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3D1A710C-6663-3D7B-7F91-EC182F24A4BC}"/>
  <workbookPr codeName="ThisWorkbook"/>
  <mc:AlternateContent xmlns:mc="http://schemas.openxmlformats.org/markup-compatibility/2006">
    <mc:Choice Requires="x15">
      <x15ac:absPath xmlns:x15ac="http://schemas.microsoft.com/office/spreadsheetml/2010/11/ac" url="C:\Users\AORUS\Desktop\"/>
    </mc:Choice>
  </mc:AlternateContent>
  <xr:revisionPtr revIDLastSave="0" documentId="13_ncr:1_{DCEEC4FA-3CCB-4CE6-A52A-994CEB399CD4}" xr6:coauthVersionLast="47" xr6:coauthVersionMax="47" xr10:uidLastSave="{00000000-0000-0000-0000-000000000000}"/>
  <workbookProtection workbookAlgorithmName="SHA-512" workbookHashValue="QuEmwlFvJY8I13PPXYRwj/NUfYdu4dUSDCsVb4bX5apaDSLF/QjWLiKNzXL4DhnTxLjs8r+CjmMwy1g86/fHNw==" workbookSaltValue="2UN2Nt4kVzl3HiLK1ipPxQ==" workbookSpinCount="100000" lockStructure="1"/>
  <bookViews>
    <workbookView xWindow="-120" yWindow="-120" windowWidth="38640" windowHeight="21120" tabRatio="344"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c r="D63" i="16"/>
  <c r="U15" i="2"/>
  <c r="C63" i="16"/>
  <c r="I63" i="16"/>
  <c r="U14" i="2"/>
  <c r="U13" i="2"/>
  <c r="U12" i="2"/>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c r="F70" i="1"/>
  <c r="F69" i="1"/>
  <c r="F68" i="1"/>
  <c r="F67" i="1"/>
  <c r="A68" i="1"/>
  <c r="B190" i="2"/>
  <c r="B202" i="2"/>
  <c r="B201" i="2"/>
  <c r="L42" i="16"/>
  <c r="L59" i="16"/>
  <c r="A50" i="16"/>
  <c r="A49" i="16"/>
  <c r="L50" i="16"/>
  <c r="L49" i="16"/>
  <c r="A43" i="16"/>
  <c r="L43" i="16" s="1"/>
  <c r="C43" i="16"/>
  <c r="B13" i="2"/>
  <c r="B15" i="2" s="1"/>
  <c r="R4" i="8" s="1"/>
  <c r="S4" i="8" s="1"/>
  <c r="A269" i="2"/>
  <c r="B12" i="2"/>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c r="C56" i="16"/>
  <c r="D56" i="16" s="1"/>
  <c r="B49" i="2"/>
  <c r="B58" i="2"/>
  <c r="B8" i="2"/>
  <c r="B9" i="2"/>
  <c r="S66" i="2" s="1"/>
  <c r="A2" i="17"/>
  <c r="B269" i="2"/>
  <c r="D49" i="16"/>
  <c r="I50" i="16"/>
  <c r="I49" i="16"/>
  <c r="B239" i="2"/>
  <c r="A239" i="2"/>
  <c r="D50" i="16"/>
  <c r="D58" i="16"/>
  <c r="D62" i="16"/>
  <c r="C48" i="16"/>
  <c r="D47" i="16"/>
  <c r="D46" i="16"/>
  <c r="D38" i="16"/>
  <c r="B258" i="2"/>
  <c r="B95" i="2"/>
  <c r="B106" i="2"/>
  <c r="B109" i="2"/>
  <c r="B96" i="2"/>
  <c r="D73" i="1"/>
  <c r="B689" i="3"/>
  <c r="N688" i="3"/>
  <c r="B114" i="2"/>
  <c r="B73" i="2"/>
  <c r="E145" i="2" s="1"/>
  <c r="B124" i="2"/>
  <c r="B10" i="2"/>
  <c r="B11" i="2"/>
  <c r="B71" i="2"/>
  <c r="B31" i="2"/>
  <c r="B10" i="3"/>
  <c r="B11" i="3"/>
  <c r="B12" i="3"/>
  <c r="B13" i="3"/>
  <c r="B14" i="3"/>
  <c r="B15" i="3"/>
  <c r="B16" i="3"/>
  <c r="B17" i="3"/>
  <c r="B18" i="3"/>
  <c r="B9" i="3"/>
  <c r="B78" i="2"/>
  <c r="B59" i="4"/>
  <c r="B191" i="2"/>
  <c r="J200" i="2" s="1"/>
  <c r="B238" i="2"/>
  <c r="B243" i="2"/>
  <c r="B32" i="2"/>
  <c r="B7" i="2"/>
  <c r="B81" i="2"/>
  <c r="B248" i="2" s="1"/>
  <c r="B185" i="2"/>
  <c r="B37" i="4"/>
  <c r="B198" i="2"/>
  <c r="B49" i="4"/>
  <c r="B126" i="2"/>
  <c r="AJ350" i="3" s="1"/>
  <c r="B207" i="2"/>
  <c r="B56" i="4" s="1"/>
  <c r="B209" i="2"/>
  <c r="B204" i="2"/>
  <c r="AG3" i="4" s="1"/>
  <c r="B88" i="2"/>
  <c r="B187" i="2"/>
  <c r="B200" i="2"/>
  <c r="B51" i="4"/>
  <c r="B205" i="2"/>
  <c r="B195" i="2"/>
  <c r="B46" i="4" s="1"/>
  <c r="B60" i="4"/>
  <c r="B188" i="2"/>
  <c r="B40" i="4"/>
  <c r="B189" i="2"/>
  <c r="B41" i="4" s="1"/>
  <c r="B193" i="2"/>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35" i="8"/>
  <c r="A47" i="8"/>
  <c r="A59" i="8" s="1"/>
  <c r="A36" i="8"/>
  <c r="A48" i="8" s="1"/>
  <c r="A37" i="8"/>
  <c r="A49" i="8"/>
  <c r="A61" i="8"/>
  <c r="A73" i="8" s="1"/>
  <c r="A38" i="8"/>
  <c r="A39" i="8"/>
  <c r="A40" i="8"/>
  <c r="A52" i="8" s="1"/>
  <c r="A41" i="8"/>
  <c r="A42" i="8"/>
  <c r="A54" i="8"/>
  <c r="A66" i="8" s="1"/>
  <c r="A78" i="8" s="1"/>
  <c r="A43" i="8"/>
  <c r="A55" i="8"/>
  <c r="A67" i="8"/>
  <c r="A79" i="8" s="1"/>
  <c r="A44" i="8"/>
  <c r="A56" i="8"/>
  <c r="A68" i="8" s="1"/>
  <c r="A45" i="8"/>
  <c r="A57" i="8"/>
  <c r="A69" i="8"/>
  <c r="A81" i="8"/>
  <c r="A50" i="8"/>
  <c r="A62" i="8"/>
  <c r="A74" i="8" s="1"/>
  <c r="A51" i="8"/>
  <c r="A63" i="8"/>
  <c r="A75" i="8"/>
  <c r="A87" i="8" s="1"/>
  <c r="A53" i="8"/>
  <c r="A65" i="8" s="1"/>
  <c r="AQ9" i="3"/>
  <c r="AR10" i="3"/>
  <c r="AQ10" i="3"/>
  <c r="AR11" i="3"/>
  <c r="AQ11" i="3"/>
  <c r="AR12" i="3"/>
  <c r="AQ12" i="3"/>
  <c r="AR13" i="3"/>
  <c r="AQ13" i="3"/>
  <c r="AR14" i="3"/>
  <c r="AQ14" i="3"/>
  <c r="AR15" i="3"/>
  <c r="AQ15" i="3"/>
  <c r="AR16" i="3"/>
  <c r="AQ16" i="3"/>
  <c r="AR17" i="3"/>
  <c r="AQ17" i="3"/>
  <c r="AR18" i="3"/>
  <c r="AQ18" i="3"/>
  <c r="A19" i="3"/>
  <c r="B19" i="3"/>
  <c r="A20" i="3"/>
  <c r="B20" i="3"/>
  <c r="AR20" i="3"/>
  <c r="A21" i="3"/>
  <c r="A30" i="3" s="1"/>
  <c r="A22" i="3"/>
  <c r="A31" i="3"/>
  <c r="A23" i="3"/>
  <c r="AQ23" i="3" s="1"/>
  <c r="A24" i="3"/>
  <c r="B24" i="3" s="1"/>
  <c r="A25" i="3"/>
  <c r="B25" i="3" s="1"/>
  <c r="A34" i="3"/>
  <c r="A26" i="3"/>
  <c r="A27" i="3"/>
  <c r="A36"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c r="B41" i="2"/>
  <c r="A238" i="2"/>
  <c r="A241" i="2"/>
  <c r="B241" i="2"/>
  <c r="A243" i="2"/>
  <c r="A258" i="2"/>
  <c r="AQ27" i="3"/>
  <c r="AQ21" i="3"/>
  <c r="AQ19" i="3"/>
  <c r="B278" i="2"/>
  <c r="B31" i="3"/>
  <c r="A32" i="3"/>
  <c r="AR32" i="3" s="1"/>
  <c r="AQ32" i="3"/>
  <c r="AR22" i="3"/>
  <c r="AQ20" i="3"/>
  <c r="B22" i="3"/>
  <c r="AR27" i="3"/>
  <c r="AQ22" i="3"/>
  <c r="AR19" i="3"/>
  <c r="B32" i="3"/>
  <c r="B23" i="3"/>
  <c r="AR23" i="3"/>
  <c r="AL106" i="4"/>
  <c r="AL195" i="4"/>
  <c r="AL99" i="4"/>
  <c r="AL36" i="4"/>
  <c r="AL164" i="4"/>
  <c r="AL37" i="4"/>
  <c r="AL165" i="4"/>
  <c r="AL46" i="4"/>
  <c r="AL174" i="4"/>
  <c r="AL95" i="4"/>
  <c r="AL24" i="4"/>
  <c r="AL152" i="4"/>
  <c r="AR24" i="3"/>
  <c r="A33" i="3"/>
  <c r="A28" i="3"/>
  <c r="B4" i="11"/>
  <c r="D4" i="11" s="1"/>
  <c r="B6" i="11"/>
  <c r="D6" i="11" s="1"/>
  <c r="A29" i="3"/>
  <c r="AQ29" i="3" s="1"/>
  <c r="AQ25" i="3"/>
  <c r="H10" i="4"/>
  <c r="H14" i="4"/>
  <c r="H18" i="4"/>
  <c r="H22" i="4"/>
  <c r="H26" i="4"/>
  <c r="H30" i="4"/>
  <c r="H34" i="4"/>
  <c r="H38" i="4"/>
  <c r="H42" i="4"/>
  <c r="H46" i="4"/>
  <c r="H50" i="4"/>
  <c r="AP50" i="4" s="1"/>
  <c r="H54" i="4"/>
  <c r="H58" i="4"/>
  <c r="H62" i="4"/>
  <c r="H66" i="4"/>
  <c r="H70" i="4"/>
  <c r="H74" i="4"/>
  <c r="H78" i="4"/>
  <c r="H82" i="4"/>
  <c r="H86" i="4"/>
  <c r="H90" i="4"/>
  <c r="H94" i="4"/>
  <c r="H98" i="4"/>
  <c r="H102" i="4"/>
  <c r="H106" i="4"/>
  <c r="H110" i="4"/>
  <c r="H114" i="4"/>
  <c r="H118" i="4"/>
  <c r="H122" i="4"/>
  <c r="H126" i="4"/>
  <c r="H130" i="4"/>
  <c r="H134" i="4"/>
  <c r="AP134" i="4" s="1"/>
  <c r="H138" i="4"/>
  <c r="H142" i="4"/>
  <c r="H146" i="4"/>
  <c r="H150" i="4"/>
  <c r="H154" i="4"/>
  <c r="H158" i="4"/>
  <c r="H162" i="4"/>
  <c r="H166" i="4"/>
  <c r="H170" i="4"/>
  <c r="H174" i="4"/>
  <c r="H178" i="4"/>
  <c r="H182" i="4"/>
  <c r="H186" i="4"/>
  <c r="H190" i="4"/>
  <c r="H194" i="4"/>
  <c r="H198" i="4"/>
  <c r="H202" i="4"/>
  <c r="H206" i="4"/>
  <c r="H9" i="4"/>
  <c r="H11" i="4"/>
  <c r="H23" i="4"/>
  <c r="H31" i="4"/>
  <c r="AJ31" i="4" s="1"/>
  <c r="H35" i="4"/>
  <c r="H43" i="4"/>
  <c r="H51" i="4"/>
  <c r="H59" i="4"/>
  <c r="H63" i="4"/>
  <c r="H71" i="4"/>
  <c r="H79" i="4"/>
  <c r="H87" i="4"/>
  <c r="H99" i="4"/>
  <c r="H107" i="4"/>
  <c r="H115" i="4"/>
  <c r="H123" i="4"/>
  <c r="H131" i="4"/>
  <c r="H139" i="4"/>
  <c r="H147" i="4"/>
  <c r="H155" i="4"/>
  <c r="H163" i="4"/>
  <c r="H171" i="4"/>
  <c r="AP171" i="4" s="1"/>
  <c r="H183" i="4"/>
  <c r="H191" i="4"/>
  <c r="H199" i="4"/>
  <c r="H207" i="4"/>
  <c r="H13" i="4"/>
  <c r="H17" i="4"/>
  <c r="H21" i="4"/>
  <c r="H25" i="4"/>
  <c r="H29" i="4"/>
  <c r="H33" i="4"/>
  <c r="H37" i="4"/>
  <c r="H41" i="4"/>
  <c r="H45" i="4"/>
  <c r="H49" i="4"/>
  <c r="H53" i="4"/>
  <c r="H57" i="4"/>
  <c r="H61" i="4"/>
  <c r="H65" i="4"/>
  <c r="H69" i="4"/>
  <c r="H73" i="4"/>
  <c r="H77" i="4"/>
  <c r="H81" i="4"/>
  <c r="H85" i="4"/>
  <c r="H89" i="4"/>
  <c r="H93" i="4"/>
  <c r="H97" i="4"/>
  <c r="I97" i="4" s="1"/>
  <c r="H101" i="4"/>
  <c r="H105" i="4"/>
  <c r="H109" i="4"/>
  <c r="H113" i="4"/>
  <c r="H117" i="4"/>
  <c r="AJ117" i="4" s="1"/>
  <c r="H121" i="4"/>
  <c r="H125" i="4"/>
  <c r="H129" i="4"/>
  <c r="H133" i="4"/>
  <c r="AJ133" i="4" s="1"/>
  <c r="H137" i="4"/>
  <c r="H141" i="4"/>
  <c r="H145" i="4"/>
  <c r="H149" i="4"/>
  <c r="H153" i="4"/>
  <c r="H157" i="4"/>
  <c r="H161" i="4"/>
  <c r="H165" i="4"/>
  <c r="H169" i="4"/>
  <c r="H173" i="4"/>
  <c r="H177" i="4"/>
  <c r="H181" i="4"/>
  <c r="H185" i="4"/>
  <c r="H189" i="4"/>
  <c r="H193" i="4"/>
  <c r="H197" i="4"/>
  <c r="H201" i="4"/>
  <c r="H205" i="4"/>
  <c r="H209" i="4"/>
  <c r="H15" i="4"/>
  <c r="H19" i="4"/>
  <c r="H27" i="4"/>
  <c r="H39" i="4"/>
  <c r="H47" i="4"/>
  <c r="H55" i="4"/>
  <c r="H67" i="4"/>
  <c r="H75" i="4"/>
  <c r="H83" i="4"/>
  <c r="H91" i="4"/>
  <c r="H95" i="4"/>
  <c r="H103" i="4"/>
  <c r="H111" i="4"/>
  <c r="H119" i="4"/>
  <c r="H127" i="4"/>
  <c r="H135" i="4"/>
  <c r="H143" i="4"/>
  <c r="H151" i="4"/>
  <c r="H159" i="4"/>
  <c r="H167" i="4"/>
  <c r="H175" i="4"/>
  <c r="H179" i="4"/>
  <c r="H187" i="4"/>
  <c r="H195" i="4"/>
  <c r="H203" i="4"/>
  <c r="H12" i="4"/>
  <c r="AJ12" i="4" s="1"/>
  <c r="H16" i="4"/>
  <c r="H32" i="4"/>
  <c r="H48" i="4"/>
  <c r="H64" i="4"/>
  <c r="H80" i="4"/>
  <c r="H96" i="4"/>
  <c r="H112" i="4"/>
  <c r="H128" i="4"/>
  <c r="H144" i="4"/>
  <c r="H160" i="4"/>
  <c r="H176" i="4"/>
  <c r="H192" i="4"/>
  <c r="H208" i="4"/>
  <c r="H20" i="4"/>
  <c r="H36" i="4"/>
  <c r="H52" i="4"/>
  <c r="H68" i="4"/>
  <c r="H84" i="4"/>
  <c r="H100" i="4"/>
  <c r="H116" i="4"/>
  <c r="H132" i="4"/>
  <c r="H148" i="4"/>
  <c r="H164" i="4"/>
  <c r="H180" i="4"/>
  <c r="H196" i="4"/>
  <c r="AJ196" i="4" s="1"/>
  <c r="H24" i="4"/>
  <c r="H40" i="4"/>
  <c r="H56" i="4"/>
  <c r="H72" i="4"/>
  <c r="H88" i="4"/>
  <c r="H104" i="4"/>
  <c r="H120" i="4"/>
  <c r="H136" i="4"/>
  <c r="H152" i="4"/>
  <c r="H168" i="4"/>
  <c r="H184" i="4"/>
  <c r="H200" i="4"/>
  <c r="H28" i="4"/>
  <c r="H44" i="4"/>
  <c r="H60" i="4"/>
  <c r="H76" i="4"/>
  <c r="H92" i="4"/>
  <c r="I92" i="4" s="1"/>
  <c r="H108" i="4"/>
  <c r="H124" i="4"/>
  <c r="H140" i="4"/>
  <c r="H156" i="4"/>
  <c r="AP156" i="4" s="1"/>
  <c r="H172" i="4"/>
  <c r="H188" i="4"/>
  <c r="H204" i="4"/>
  <c r="AM110" i="4"/>
  <c r="AK111" i="4"/>
  <c r="AK112" i="4"/>
  <c r="AK115" i="4"/>
  <c r="AK124" i="4"/>
  <c r="AK127" i="4"/>
  <c r="AK128" i="4"/>
  <c r="AK131" i="4"/>
  <c r="AK110" i="4"/>
  <c r="AK113" i="4"/>
  <c r="AK114" i="4"/>
  <c r="AK119" i="4"/>
  <c r="AK123" i="4"/>
  <c r="AK126" i="4"/>
  <c r="AK145" i="4"/>
  <c r="AK118" i="4"/>
  <c r="AK122" i="4"/>
  <c r="AK125" i="4"/>
  <c r="AK137" i="4"/>
  <c r="AK141" i="4"/>
  <c r="AM128" i="4"/>
  <c r="AK129" i="4"/>
  <c r="AK133" i="4"/>
  <c r="AK143" i="4"/>
  <c r="AK150" i="4"/>
  <c r="AK151" i="4"/>
  <c r="AK152" i="4"/>
  <c r="AK153" i="4"/>
  <c r="AK159" i="4"/>
  <c r="AK160" i="4"/>
  <c r="AM163" i="4"/>
  <c r="AK178" i="4"/>
  <c r="AK181" i="4"/>
  <c r="AK116" i="4"/>
  <c r="AK132" i="4"/>
  <c r="AK134" i="4"/>
  <c r="AK140" i="4"/>
  <c r="AK146" i="4"/>
  <c r="AK149" i="4"/>
  <c r="AK154" i="4"/>
  <c r="AK161" i="4"/>
  <c r="AK162" i="4"/>
  <c r="AK167" i="4"/>
  <c r="AK169" i="4"/>
  <c r="AK170" i="4"/>
  <c r="AK175" i="4"/>
  <c r="AK188" i="4"/>
  <c r="AK198" i="4"/>
  <c r="AK157" i="4"/>
  <c r="AK164" i="4"/>
  <c r="AK172" i="4"/>
  <c r="AK176" i="4"/>
  <c r="AK177" i="4"/>
  <c r="AK121" i="4"/>
  <c r="AK138" i="4"/>
  <c r="AK142" i="4"/>
  <c r="AK158" i="4"/>
  <c r="AK165" i="4"/>
  <c r="AK166" i="4"/>
  <c r="AK173" i="4"/>
  <c r="AK174" i="4"/>
  <c r="AK179" i="4"/>
  <c r="AM180" i="4"/>
  <c r="AK182" i="4"/>
  <c r="AK187" i="4"/>
  <c r="AK189" i="4"/>
  <c r="AK190" i="4"/>
  <c r="AK191" i="4"/>
  <c r="AK194" i="4"/>
  <c r="AK195" i="4"/>
  <c r="AK199" i="4"/>
  <c r="AK201" i="4"/>
  <c r="AK203" i="4"/>
  <c r="AK205" i="4"/>
  <c r="AK206" i="4"/>
  <c r="AK207" i="4"/>
  <c r="AK209" i="4"/>
  <c r="AK120" i="4"/>
  <c r="AK130" i="4"/>
  <c r="AK135" i="4"/>
  <c r="AK144" i="4"/>
  <c r="AK147" i="4"/>
  <c r="AK202" i="4"/>
  <c r="AK117" i="4"/>
  <c r="AK136" i="4"/>
  <c r="AK139" i="4"/>
  <c r="AK155" i="4"/>
  <c r="AK156" i="4"/>
  <c r="AK163" i="4"/>
  <c r="AK171" i="4"/>
  <c r="AK180" i="4"/>
  <c r="AK183" i="4"/>
  <c r="AK185" i="4"/>
  <c r="AK192" i="4"/>
  <c r="AK196" i="4"/>
  <c r="AK204" i="4"/>
  <c r="AK208" i="4"/>
  <c r="AK193" i="4"/>
  <c r="AK197" i="4"/>
  <c r="AK200" i="4"/>
  <c r="AK148" i="4"/>
  <c r="AK168" i="4"/>
  <c r="AK184" i="4"/>
  <c r="AK186" i="4"/>
  <c r="B90" i="2"/>
  <c r="B3" i="8" s="1"/>
  <c r="B131" i="2"/>
  <c r="J136" i="3"/>
  <c r="AK10" i="4"/>
  <c r="B19" i="4"/>
  <c r="AQ34" i="3"/>
  <c r="AQ24" i="3"/>
  <c r="B18" i="4"/>
  <c r="AK24" i="4"/>
  <c r="AK57" i="4"/>
  <c r="C273" i="2"/>
  <c r="AJ634" i="3"/>
  <c r="AJ384" i="3"/>
  <c r="AJ475" i="3"/>
  <c r="AJ105" i="3"/>
  <c r="AJ347" i="3"/>
  <c r="AJ236" i="3"/>
  <c r="AJ66" i="3"/>
  <c r="AJ253" i="3"/>
  <c r="AJ417" i="3"/>
  <c r="AJ383" i="3"/>
  <c r="AJ41" i="3"/>
  <c r="AJ153" i="3"/>
  <c r="AJ650" i="3"/>
  <c r="AJ91" i="3"/>
  <c r="AJ28" i="3"/>
  <c r="AJ377" i="3"/>
  <c r="AJ659" i="3"/>
  <c r="AK25" i="4"/>
  <c r="B53" i="4"/>
  <c r="B14" i="4"/>
  <c r="AJ280" i="3"/>
  <c r="AJ56" i="3"/>
  <c r="AJ353" i="3"/>
  <c r="AJ655" i="3"/>
  <c r="AJ618" i="3"/>
  <c r="AJ554" i="3"/>
  <c r="AJ259" i="3"/>
  <c r="AJ217" i="3"/>
  <c r="AJ533" i="3"/>
  <c r="AJ597" i="3"/>
  <c r="AJ658" i="3"/>
  <c r="AJ642" i="3"/>
  <c r="AJ624" i="3"/>
  <c r="AJ496" i="3"/>
  <c r="AJ207" i="3"/>
  <c r="AJ507" i="3"/>
  <c r="AJ443" i="3"/>
  <c r="AJ293" i="3"/>
  <c r="AJ165" i="3"/>
  <c r="AJ300" i="3"/>
  <c r="AJ130" i="3"/>
  <c r="AJ675" i="3"/>
  <c r="AJ390" i="3"/>
  <c r="AJ275" i="3"/>
  <c r="AK67" i="4"/>
  <c r="AK89" i="4"/>
  <c r="AK15" i="4"/>
  <c r="B25" i="4"/>
  <c r="B171" i="2"/>
  <c r="AJ333" i="3"/>
  <c r="AJ288" i="3"/>
  <c r="AJ224" i="3"/>
  <c r="AJ208" i="3"/>
  <c r="AJ176" i="3"/>
  <c r="AJ160" i="3"/>
  <c r="AJ144" i="3"/>
  <c r="AJ112" i="3"/>
  <c r="AJ80" i="3"/>
  <c r="AJ117" i="3"/>
  <c r="AJ449" i="3"/>
  <c r="AJ513" i="3"/>
  <c r="AJ682" i="3"/>
  <c r="AJ663" i="3"/>
  <c r="AJ647" i="3"/>
  <c r="AJ602" i="3"/>
  <c r="AJ538" i="3"/>
  <c r="AJ291" i="3"/>
  <c r="AJ607" i="3"/>
  <c r="AJ543" i="3"/>
  <c r="AJ415" i="3"/>
  <c r="AJ351" i="3"/>
  <c r="AJ237" i="3"/>
  <c r="AJ57" i="3"/>
  <c r="AJ121" i="3"/>
  <c r="AJ421" i="3"/>
  <c r="AJ549" i="3"/>
  <c r="AJ581" i="3"/>
  <c r="AJ683" i="3"/>
  <c r="AJ670" i="3"/>
  <c r="AJ662" i="3"/>
  <c r="AJ646" i="3"/>
  <c r="AJ630" i="3"/>
  <c r="AJ520" i="3"/>
  <c r="AJ456" i="3"/>
  <c r="AJ440" i="3"/>
  <c r="AJ408" i="3"/>
  <c r="AJ392" i="3"/>
  <c r="AJ376" i="3"/>
  <c r="AJ344" i="3"/>
  <c r="AJ287" i="3"/>
  <c r="AJ619" i="3"/>
  <c r="AJ491" i="3"/>
  <c r="AJ459" i="3"/>
  <c r="AJ395" i="3"/>
  <c r="AJ363" i="3"/>
  <c r="AJ325" i="3"/>
  <c r="AJ197" i="3"/>
  <c r="AJ34" i="3"/>
  <c r="AK98" i="4"/>
  <c r="AJ226" i="3"/>
  <c r="AJ140" i="3"/>
  <c r="AJ118" i="3"/>
  <c r="AJ76" i="3"/>
  <c r="AJ54" i="3"/>
  <c r="AJ36" i="3"/>
  <c r="AJ101" i="3"/>
  <c r="AJ337" i="3"/>
  <c r="AJ582" i="3"/>
  <c r="AJ414" i="3"/>
  <c r="AJ370" i="3"/>
  <c r="AJ235" i="3"/>
  <c r="AJ147" i="3"/>
  <c r="AK77" i="4"/>
  <c r="AK45" i="4"/>
  <c r="AK90" i="4"/>
  <c r="AK78" i="4"/>
  <c r="AK36" i="4"/>
  <c r="AK106" i="4"/>
  <c r="AK38" i="4"/>
  <c r="AK108" i="4"/>
  <c r="AK14" i="4"/>
  <c r="AK35" i="4"/>
  <c r="AK56" i="4"/>
  <c r="AK79" i="4"/>
  <c r="AK100" i="4"/>
  <c r="AK42" i="4"/>
  <c r="AK34" i="4"/>
  <c r="AK96" i="4"/>
  <c r="AK68" i="4"/>
  <c r="AK47" i="4"/>
  <c r="B54" i="4"/>
  <c r="B39" i="4"/>
  <c r="AJ55" i="3"/>
  <c r="AJ317" i="3"/>
  <c r="AJ115" i="3"/>
  <c r="AJ299" i="3"/>
  <c r="AJ338" i="3"/>
  <c r="AJ382" i="3"/>
  <c r="AJ402" i="3"/>
  <c r="AJ422" i="3"/>
  <c r="AJ466" i="3"/>
  <c r="AJ510" i="3"/>
  <c r="AJ643" i="3"/>
  <c r="AJ686" i="3"/>
  <c r="AJ617" i="3"/>
  <c r="AJ569" i="3"/>
  <c r="AJ489" i="3"/>
  <c r="AJ441" i="3"/>
  <c r="AJ401" i="3"/>
  <c r="AJ289" i="3"/>
  <c r="AJ127" i="3"/>
  <c r="AJ38" i="3"/>
  <c r="AJ70" i="3"/>
  <c r="AJ82" i="3"/>
  <c r="AJ92" i="3"/>
  <c r="AJ114" i="3"/>
  <c r="AJ124" i="3"/>
  <c r="AJ134" i="3"/>
  <c r="AJ156" i="3"/>
  <c r="AJ178" i="3"/>
  <c r="AJ252" i="3"/>
  <c r="AJ284" i="3"/>
  <c r="AJ294" i="3"/>
  <c r="AJ306" i="3"/>
  <c r="AJ326" i="3"/>
  <c r="AJ39" i="3"/>
  <c r="AJ103" i="3"/>
  <c r="AJ181" i="3"/>
  <c r="AJ245" i="3"/>
  <c r="AJ403" i="3"/>
  <c r="AJ451" i="3"/>
  <c r="AJ467" i="3"/>
  <c r="AJ483" i="3"/>
  <c r="AJ515" i="3"/>
  <c r="AJ531" i="3"/>
  <c r="AJ547" i="3"/>
  <c r="AJ579" i="3"/>
  <c r="AJ611" i="3"/>
  <c r="AJ167" i="3"/>
  <c r="AJ215" i="3"/>
  <c r="AJ231" i="3"/>
  <c r="AJ247" i="3"/>
  <c r="AJ279" i="3"/>
  <c r="AJ295" i="3"/>
  <c r="AJ311" i="3"/>
  <c r="AJ340" i="3"/>
  <c r="AJ356" i="3"/>
  <c r="AJ412" i="3"/>
  <c r="AJ436" i="3"/>
  <c r="AJ444" i="3"/>
  <c r="AJ452" i="3"/>
  <c r="AJ468" i="3"/>
  <c r="AJ476" i="3"/>
  <c r="AJ484" i="3"/>
  <c r="AJ500" i="3"/>
  <c r="AJ516" i="3"/>
  <c r="AJ572" i="3"/>
  <c r="AJ596" i="3"/>
  <c r="AJ604" i="3"/>
  <c r="AJ612" i="3"/>
  <c r="AJ628" i="3"/>
  <c r="AJ632" i="3"/>
  <c r="AJ636" i="3"/>
  <c r="AJ644" i="3"/>
  <c r="AJ652" i="3"/>
  <c r="AJ676" i="3"/>
  <c r="AJ589" i="3"/>
  <c r="AJ573" i="3"/>
  <c r="AJ557" i="3"/>
  <c r="AJ525" i="3"/>
  <c r="AJ509" i="3"/>
  <c r="AJ493" i="3"/>
  <c r="AJ461" i="3"/>
  <c r="AJ429" i="3"/>
  <c r="AJ297" i="3"/>
  <c r="AJ201" i="3"/>
  <c r="AJ169" i="3"/>
  <c r="AJ137" i="3"/>
  <c r="AJ129" i="3"/>
  <c r="AJ113" i="3"/>
  <c r="AJ97" i="3"/>
  <c r="AJ65"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AJ269" i="3"/>
  <c r="AJ119" i="3"/>
  <c r="AJ285" i="3"/>
  <c r="AJ343" i="3"/>
  <c r="AJ367" i="3"/>
  <c r="AJ399" i="3"/>
  <c r="AJ431" i="3"/>
  <c r="AJ455" i="3"/>
  <c r="AJ487" i="3"/>
  <c r="AJ535" i="3"/>
  <c r="AJ567" i="3"/>
  <c r="AJ599" i="3"/>
  <c r="AJ623" i="3"/>
  <c r="AJ51" i="3"/>
  <c r="AJ99" i="3"/>
  <c r="AJ139" i="3"/>
  <c r="AJ179" i="3"/>
  <c r="AJ243" i="3"/>
  <c r="AJ267" i="3"/>
  <c r="AJ283" i="3"/>
  <c r="AJ307" i="3"/>
  <c r="AJ331" i="3"/>
  <c r="AJ342" i="3"/>
  <c r="AJ354" i="3"/>
  <c r="AJ374" i="3"/>
  <c r="AJ386" i="3"/>
  <c r="AJ398" i="3"/>
  <c r="AJ406" i="3"/>
  <c r="AJ430" i="3"/>
  <c r="AJ438" i="3"/>
  <c r="AJ450" i="3"/>
  <c r="AJ470" i="3"/>
  <c r="AJ502" i="3"/>
  <c r="AJ514" i="3"/>
  <c r="AJ526" i="3"/>
  <c r="AJ534" i="3"/>
  <c r="AJ546" i="3"/>
  <c r="AJ558" i="3"/>
  <c r="AJ566" i="3"/>
  <c r="AJ578" i="3"/>
  <c r="AJ590" i="3"/>
  <c r="AJ598" i="3"/>
  <c r="AJ610" i="3"/>
  <c r="AJ622" i="3"/>
  <c r="AJ635" i="3"/>
  <c r="AJ641" i="3"/>
  <c r="AJ645" i="3"/>
  <c r="AJ657" i="3"/>
  <c r="AJ673" i="3"/>
  <c r="AJ684" i="3"/>
  <c r="AJ625" i="3"/>
  <c r="AJ601" i="3"/>
  <c r="AJ585" i="3"/>
  <c r="AJ561" i="3"/>
  <c r="AJ537" i="3"/>
  <c r="AJ521" i="3"/>
  <c r="AJ497" i="3"/>
  <c r="AJ473" i="3"/>
  <c r="AJ457" i="3"/>
  <c r="AJ433" i="3"/>
  <c r="AJ393" i="3"/>
  <c r="AJ369" i="3"/>
  <c r="AJ345" i="3"/>
  <c r="AJ273"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AJ9" i="3"/>
  <c r="B44" i="2"/>
  <c r="B42" i="4"/>
  <c r="B43" i="2"/>
  <c r="AK91" i="4"/>
  <c r="B148" i="2"/>
  <c r="F3" i="8"/>
  <c r="AR29" i="3"/>
  <c r="B29" i="3"/>
  <c r="AQ31" i="3"/>
  <c r="AR31" i="3"/>
  <c r="B27" i="3"/>
  <c r="B28" i="3"/>
  <c r="AR28" i="3"/>
  <c r="AQ28" i="3"/>
  <c r="AR33" i="3"/>
  <c r="B33" i="3"/>
  <c r="AQ33" i="3"/>
  <c r="AJ192" i="4"/>
  <c r="I154" i="4"/>
  <c r="AJ182" i="4"/>
  <c r="AJ139" i="4"/>
  <c r="AP137" i="4"/>
  <c r="AP187" i="4"/>
  <c r="AP155" i="4"/>
  <c r="AJ143" i="4"/>
  <c r="I194" i="4"/>
  <c r="AP85" i="4"/>
  <c r="AP69" i="4"/>
  <c r="B273" i="2"/>
  <c r="J668" i="3"/>
  <c r="J640" i="3"/>
  <c r="J95" i="3"/>
  <c r="J526" i="3"/>
  <c r="J660" i="3"/>
  <c r="J265" i="3"/>
  <c r="J393" i="3"/>
  <c r="J300" i="3"/>
  <c r="J665" i="3"/>
  <c r="J409" i="3"/>
  <c r="J13" i="3"/>
  <c r="J317" i="3"/>
  <c r="J173" i="3"/>
  <c r="J643" i="3"/>
  <c r="J267" i="3"/>
  <c r="J537" i="3"/>
  <c r="J140" i="3"/>
  <c r="J480" i="3"/>
  <c r="J233" i="3"/>
  <c r="J19" i="3"/>
  <c r="J332" i="3"/>
  <c r="J286" i="3"/>
  <c r="J397" i="3"/>
  <c r="J511" i="3"/>
  <c r="J423" i="3"/>
  <c r="J110" i="3"/>
  <c r="J280" i="3"/>
  <c r="J106" i="3"/>
  <c r="J309" i="3"/>
  <c r="J179" i="3"/>
  <c r="J621" i="3"/>
  <c r="J463" i="3"/>
  <c r="J174" i="3"/>
  <c r="J224" i="3"/>
  <c r="J354" i="3"/>
  <c r="J552" i="3"/>
  <c r="J197" i="3"/>
  <c r="J384" i="3"/>
  <c r="J111" i="3"/>
  <c r="J636" i="3"/>
  <c r="J395" i="3"/>
  <c r="J337" i="3"/>
  <c r="J427" i="3"/>
  <c r="J125" i="3"/>
  <c r="J687" i="3"/>
  <c r="J604" i="3"/>
  <c r="J595" i="3"/>
  <c r="J346" i="3"/>
  <c r="AP16" i="4"/>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18" i="4"/>
  <c r="J109" i="3"/>
  <c r="J505" i="3"/>
  <c r="J18" i="3"/>
  <c r="J553" i="3"/>
  <c r="J124" i="3"/>
  <c r="J422" i="3"/>
  <c r="J598" i="3"/>
  <c r="J225" i="3"/>
  <c r="J241" i="3"/>
  <c r="J664" i="3"/>
  <c r="J663" i="3"/>
  <c r="J656" i="3"/>
  <c r="J183" i="3"/>
  <c r="J166" i="3"/>
  <c r="J490" i="3"/>
  <c r="J48" i="3"/>
  <c r="J227" i="3"/>
  <c r="J291" i="3"/>
  <c r="J81" i="3"/>
  <c r="J615" i="3"/>
  <c r="J582" i="3"/>
  <c r="J403" i="3"/>
  <c r="J467" i="3"/>
  <c r="J67" i="3"/>
  <c r="J182" i="3"/>
  <c r="J509" i="3"/>
  <c r="J287" i="3"/>
  <c r="J683" i="3"/>
  <c r="I13" i="4"/>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J295" i="3"/>
  <c r="J419" i="3"/>
  <c r="J258" i="3"/>
  <c r="J36" i="3"/>
  <c r="J325" i="3"/>
  <c r="J195" i="3"/>
  <c r="J661" i="3"/>
  <c r="J479" i="3"/>
  <c r="J206" i="3"/>
  <c r="J208" i="3"/>
  <c r="J338" i="3"/>
  <c r="J484" i="3"/>
  <c r="J554" i="3"/>
  <c r="J673" i="3"/>
  <c r="J85" i="3"/>
  <c r="J304" i="3"/>
  <c r="J210" i="3"/>
  <c r="J57" i="3"/>
  <c r="J156" i="3"/>
  <c r="J454" i="3"/>
  <c r="J614" i="3"/>
  <c r="J279" i="3"/>
  <c r="J591" i="3"/>
  <c r="J567" i="3"/>
  <c r="J603" i="3"/>
  <c r="J666" i="3"/>
  <c r="J32" i="3"/>
  <c r="J380" i="3"/>
  <c r="J180" i="3"/>
  <c r="J394" i="3"/>
  <c r="J540" i="3"/>
  <c r="J89" i="3"/>
  <c r="J638" i="3"/>
  <c r="J17" i="3"/>
  <c r="J357" i="3"/>
  <c r="J130" i="3"/>
  <c r="J163" i="3"/>
  <c r="J390" i="3"/>
  <c r="J439" i="3"/>
  <c r="J153" i="3"/>
  <c r="J521" i="3"/>
  <c r="J103" i="3"/>
  <c r="J132" i="3"/>
  <c r="J530" i="3"/>
  <c r="J161" i="3"/>
  <c r="J237" i="3"/>
  <c r="J560" i="3"/>
  <c r="J62" i="3"/>
  <c r="J263" i="3"/>
  <c r="J375" i="3"/>
  <c r="J688" i="3"/>
  <c r="AJ23" i="4"/>
  <c r="I38" i="4"/>
  <c r="AJ109" i="4"/>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J72" i="3"/>
  <c r="J242" i="3"/>
  <c r="J413" i="3"/>
  <c r="J199" i="3"/>
  <c r="J549" i="3"/>
  <c r="J198" i="3"/>
  <c r="J37" i="3"/>
  <c r="J482" i="3"/>
  <c r="J596" i="3"/>
  <c r="J101" i="3"/>
  <c r="J79" i="3"/>
  <c r="J434" i="3"/>
  <c r="J64" i="3"/>
  <c r="J654" i="3"/>
  <c r="J98" i="3"/>
  <c r="J613" i="3"/>
  <c r="J228" i="3"/>
  <c r="J564" i="3"/>
  <c r="J335" i="3"/>
  <c r="J652" i="3"/>
  <c r="J135" i="3"/>
  <c r="J514" i="3"/>
  <c r="J308" i="3"/>
  <c r="J349" i="3"/>
  <c r="J499" i="3"/>
  <c r="AM21" i="4"/>
  <c r="BG17" i="4"/>
  <c r="BG11" i="4"/>
  <c r="BG16" i="4"/>
  <c r="BI16" i="4" s="1"/>
  <c r="AM109" i="4"/>
  <c r="AM70" i="4"/>
  <c r="BG9" i="4"/>
  <c r="BM9" i="4" s="1"/>
  <c r="AM66" i="4"/>
  <c r="BG15" i="4"/>
  <c r="BJ15" i="4" s="1"/>
  <c r="BG13" i="4"/>
  <c r="BG14" i="4"/>
  <c r="BQ14" i="4" s="1"/>
  <c r="AM44" i="4"/>
  <c r="BG12" i="4"/>
  <c r="BI12" i="4" s="1"/>
  <c r="AM32" i="4"/>
  <c r="AM63" i="4"/>
  <c r="C36" i="3"/>
  <c r="C19" i="3"/>
  <c r="AH204" i="4"/>
  <c r="AH198" i="4"/>
  <c r="AH121" i="4"/>
  <c r="AH188" i="4"/>
  <c r="AH166" i="4"/>
  <c r="AH132" i="4"/>
  <c r="AH186" i="4"/>
  <c r="BN14" i="4"/>
  <c r="BK14" i="4"/>
  <c r="BJ14" i="4"/>
  <c r="BI14" i="4"/>
  <c r="BH14" i="4"/>
  <c r="BP14" i="4"/>
  <c r="BL14" i="4"/>
  <c r="BM14" i="4"/>
  <c r="BO14" i="4"/>
  <c r="BI15" i="4"/>
  <c r="BM15" i="4"/>
  <c r="BP15" i="4"/>
  <c r="BQ15" i="4"/>
  <c r="BO15" i="4"/>
  <c r="BN15" i="4"/>
  <c r="BK15" i="4"/>
  <c r="BL15" i="4"/>
  <c r="BH15" i="4"/>
  <c r="BH9" i="4"/>
  <c r="BO9" i="4"/>
  <c r="BK9" i="4"/>
  <c r="BP9" i="4"/>
  <c r="BN9" i="4"/>
  <c r="BI9" i="4"/>
  <c r="BQ16" i="4"/>
  <c r="BM16" i="4"/>
  <c r="BJ16" i="4"/>
  <c r="BJ11" i="4"/>
  <c r="BN11" i="4"/>
  <c r="BQ11" i="4"/>
  <c r="BO11" i="4"/>
  <c r="BL11" i="4"/>
  <c r="BM11" i="4"/>
  <c r="BI11" i="4"/>
  <c r="BK11" i="4"/>
  <c r="BP11" i="4"/>
  <c r="BH11" i="4"/>
  <c r="BJ12" i="4"/>
  <c r="BO12" i="4"/>
  <c r="BO13" i="4"/>
  <c r="BI13" i="4"/>
  <c r="BH13" i="4"/>
  <c r="BJ13" i="4"/>
  <c r="BQ13" i="4"/>
  <c r="BK13" i="4"/>
  <c r="BN13" i="4"/>
  <c r="BP13" i="4"/>
  <c r="BL13" i="4"/>
  <c r="BM13" i="4"/>
  <c r="BK17" i="4"/>
  <c r="BP17" i="4"/>
  <c r="BM17" i="4"/>
  <c r="BO17" i="4"/>
  <c r="BN17" i="4"/>
  <c r="BL17" i="4"/>
  <c r="BH17" i="4"/>
  <c r="BQ17" i="4"/>
  <c r="BI17" i="4"/>
  <c r="BJ17" i="4"/>
  <c r="AH184" i="4"/>
  <c r="AH139" i="4"/>
  <c r="AH141" i="4"/>
  <c r="AH154" i="4"/>
  <c r="AH201" i="4"/>
  <c r="AH127" i="4"/>
  <c r="AH183" i="4"/>
  <c r="AH205" i="4"/>
  <c r="AH125" i="4"/>
  <c r="AH208" i="4"/>
  <c r="AH32" i="4"/>
  <c r="AH179" i="4"/>
  <c r="AH171" i="4"/>
  <c r="AH134" i="4"/>
  <c r="AH150" i="4"/>
  <c r="AH119" i="4"/>
  <c r="AH138" i="4"/>
  <c r="AH200" i="4"/>
  <c r="AH29" i="4"/>
  <c r="AH170" i="4"/>
  <c r="AH192" i="4"/>
  <c r="AH118" i="4"/>
  <c r="AH71" i="4"/>
  <c r="AH89" i="4"/>
  <c r="AH81" i="4"/>
  <c r="AH51" i="4"/>
  <c r="AH108" i="4"/>
  <c r="AH92" i="4"/>
  <c r="AH56" i="4"/>
  <c r="AH88" i="4"/>
  <c r="AH22" i="4"/>
  <c r="AH37" i="4"/>
  <c r="AH27" i="4"/>
  <c r="AH99" i="4"/>
  <c r="AH15" i="4"/>
  <c r="AH28" i="4"/>
  <c r="AH16" i="4"/>
  <c r="AH72" i="4"/>
  <c r="AH177" i="4"/>
  <c r="AH160" i="4"/>
  <c r="AH155" i="4"/>
  <c r="AH187" i="4"/>
  <c r="AH33" i="4"/>
  <c r="AH95" i="4"/>
  <c r="AH55" i="4"/>
  <c r="AH21" i="4"/>
  <c r="AH161" i="4"/>
  <c r="AH122" i="4"/>
  <c r="AH128" i="4"/>
  <c r="AH182" i="4"/>
  <c r="AH144" i="4"/>
  <c r="AH133" i="4"/>
  <c r="AH176" i="4"/>
  <c r="AH190" i="4"/>
  <c r="AH168" i="4"/>
  <c r="AH162" i="4"/>
  <c r="AH202" i="4"/>
  <c r="AH111" i="4"/>
  <c r="AH191" i="4"/>
  <c r="AH135" i="4"/>
  <c r="AH158" i="4"/>
  <c r="AH203" i="4"/>
  <c r="AH120" i="4"/>
  <c r="AH123" i="4"/>
  <c r="AH163" i="4"/>
  <c r="AH145" i="4"/>
  <c r="AH197" i="4"/>
  <c r="AH199" i="4"/>
  <c r="AH189" i="4"/>
  <c r="AH196" i="4"/>
  <c r="AH113" i="4"/>
  <c r="AH157" i="4"/>
  <c r="AH209" i="4"/>
  <c r="AH137" i="4"/>
  <c r="AH207" i="4"/>
  <c r="AH52" i="4"/>
  <c r="AH101" i="4"/>
  <c r="AH42" i="4"/>
  <c r="AH30" i="4"/>
  <c r="AH126" i="4"/>
  <c r="AH164" i="4"/>
  <c r="AH172" i="4"/>
  <c r="AH167" i="4"/>
  <c r="AH194" i="4"/>
  <c r="AH173" i="4"/>
  <c r="AH169" i="4"/>
  <c r="AH142" i="4"/>
  <c r="AH149" i="4"/>
  <c r="AH185" i="4"/>
  <c r="AH195" i="4"/>
  <c r="AH112" i="4"/>
  <c r="AH206" i="4"/>
  <c r="AH129" i="4"/>
  <c r="AH178" i="4"/>
  <c r="AH153" i="4"/>
  <c r="AH115" i="4"/>
  <c r="AH181" i="4"/>
  <c r="AH152" i="4"/>
  <c r="AH117" i="4"/>
  <c r="AH174" i="4"/>
  <c r="AH131" i="4"/>
  <c r="AH147" i="4"/>
  <c r="AH10" i="4"/>
  <c r="AH107" i="4"/>
  <c r="AH75" i="4"/>
  <c r="AH87" i="4"/>
  <c r="AH165" i="4"/>
  <c r="AH110" i="4"/>
  <c r="AH159" i="4"/>
  <c r="AH116" i="4"/>
  <c r="AH124" i="4"/>
  <c r="AH114" i="4"/>
  <c r="AH130" i="4"/>
  <c r="AH180" i="4"/>
  <c r="AH175" i="4"/>
  <c r="AH146" i="4"/>
  <c r="AH143" i="4"/>
  <c r="AH148" i="4"/>
  <c r="AH151" i="4"/>
  <c r="AH140" i="4"/>
  <c r="AH156" i="4"/>
  <c r="AH193" i="4"/>
  <c r="AH136" i="4"/>
  <c r="AH23" i="4"/>
  <c r="AH60" i="4"/>
  <c r="AH31" i="4"/>
  <c r="AH9" i="4"/>
  <c r="AH26" i="4"/>
  <c r="AH80" i="4"/>
  <c r="AH100" i="4"/>
  <c r="AH41" i="4"/>
  <c r="AH18" i="4"/>
  <c r="AH105" i="4"/>
  <c r="AH35" i="4"/>
  <c r="AH24" i="4"/>
  <c r="AH69" i="4"/>
  <c r="AH57" i="4"/>
  <c r="AH54" i="4"/>
  <c r="AH82" i="4"/>
  <c r="AH104" i="4"/>
  <c r="AH48" i="4"/>
  <c r="AH47" i="4"/>
  <c r="AH25" i="4"/>
  <c r="AH109" i="4"/>
  <c r="AH62" i="4"/>
  <c r="AH59" i="4"/>
  <c r="AH50" i="4"/>
  <c r="AH76" i="4"/>
  <c r="AH36" i="4"/>
  <c r="AH93" i="4"/>
  <c r="AH40" i="4"/>
  <c r="AH17" i="4"/>
  <c r="AH106" i="4"/>
  <c r="AH44" i="4"/>
  <c r="AH11" i="4"/>
  <c r="AH43" i="4"/>
  <c r="AH97" i="4"/>
  <c r="AH98" i="4"/>
  <c r="AH84" i="4"/>
  <c r="AH67" i="4"/>
  <c r="AH49" i="4"/>
  <c r="AH102" i="4"/>
  <c r="AH61" i="4"/>
  <c r="AH39" i="4"/>
  <c r="AH14" i="4"/>
  <c r="AH64" i="4"/>
  <c r="AH77" i="4"/>
  <c r="AH85" i="4"/>
  <c r="AH79" i="4"/>
  <c r="AH38" i="4"/>
  <c r="AH86" i="4"/>
  <c r="AH53" i="4"/>
  <c r="AH94" i="4"/>
  <c r="AH58" i="4"/>
  <c r="AH96" i="4"/>
  <c r="AH20" i="4"/>
  <c r="AH83" i="4"/>
  <c r="AH74" i="4"/>
  <c r="AH91" i="4"/>
  <c r="AH103" i="4"/>
  <c r="AH66" i="4"/>
  <c r="AH13" i="4"/>
  <c r="AH46" i="4"/>
  <c r="AH70" i="4"/>
  <c r="AH78" i="4"/>
  <c r="AH34" i="4"/>
  <c r="AH90" i="4"/>
  <c r="AH63" i="4"/>
  <c r="AH73" i="4"/>
  <c r="AH19" i="4"/>
  <c r="AH68" i="4"/>
  <c r="AH12" i="4"/>
  <c r="AH45" i="4"/>
  <c r="AH65" i="4"/>
  <c r="D59" i="16"/>
  <c r="A99" i="8" l="1"/>
  <c r="A85" i="8"/>
  <c r="A86" i="8"/>
  <c r="A93" i="8"/>
  <c r="AQ36" i="3"/>
  <c r="A37" i="3"/>
  <c r="AR36" i="3"/>
  <c r="B36" i="3"/>
  <c r="A58" i="8"/>
  <c r="B26" i="3"/>
  <c r="A35" i="3"/>
  <c r="AQ26" i="3"/>
  <c r="AR26" i="3"/>
  <c r="B34" i="3"/>
  <c r="AR34" i="3"/>
  <c r="A91" i="8"/>
  <c r="A90" i="8"/>
  <c r="BL12" i="4"/>
  <c r="BK16" i="4"/>
  <c r="A60" i="8"/>
  <c r="BQ9" i="4"/>
  <c r="AJ173" i="3"/>
  <c r="AJ434" i="3"/>
  <c r="AJ606" i="3"/>
  <c r="AJ501" i="3"/>
  <c r="AJ141" i="3"/>
  <c r="AJ551" i="3"/>
  <c r="AJ426" i="3"/>
  <c r="AJ560" i="3"/>
  <c r="AJ214" i="3"/>
  <c r="AJ565" i="3"/>
  <c r="AJ463" i="3"/>
  <c r="AJ187" i="3"/>
  <c r="AJ674" i="3"/>
  <c r="AJ688" i="3"/>
  <c r="AJ312" i="3"/>
  <c r="AJ362" i="3"/>
  <c r="AJ528" i="3"/>
  <c r="AJ172" i="3"/>
  <c r="AJ96" i="3"/>
  <c r="AJ570" i="3"/>
  <c r="AJ89" i="3"/>
  <c r="AJ638" i="3"/>
  <c r="AJ319" i="3"/>
  <c r="AJ133" i="3"/>
  <c r="AJ161" i="3"/>
  <c r="AJ205" i="3"/>
  <c r="AJ486" i="3"/>
  <c r="AJ209" i="3"/>
  <c r="AJ166" i="3"/>
  <c r="AJ213" i="3"/>
  <c r="AJ595" i="3"/>
  <c r="AJ348" i="3"/>
  <c r="AJ508" i="3"/>
  <c r="AJ648" i="3"/>
  <c r="AJ445" i="3"/>
  <c r="AJ49" i="3"/>
  <c r="AJ328" i="3"/>
  <c r="AJ200" i="3"/>
  <c r="AJ296" i="3"/>
  <c r="AJ608" i="3"/>
  <c r="AJ248" i="3"/>
  <c r="AJ131" i="3"/>
  <c r="AJ464" i="3"/>
  <c r="AJ86" i="3"/>
  <c r="AJ423" i="3"/>
  <c r="AJ64" i="3"/>
  <c r="AJ506" i="3"/>
  <c r="AJ111" i="3"/>
  <c r="AJ616" i="3"/>
  <c r="AJ255" i="3"/>
  <c r="AJ425" i="3"/>
  <c r="AJ359" i="3"/>
  <c r="AJ391" i="3"/>
  <c r="AJ530" i="3"/>
  <c r="AJ125" i="3"/>
  <c r="AJ188" i="3"/>
  <c r="AJ277" i="3"/>
  <c r="AJ627" i="3"/>
  <c r="AJ364" i="3"/>
  <c r="AJ524" i="3"/>
  <c r="AJ656" i="3"/>
  <c r="AJ413" i="3"/>
  <c r="AJ19" i="3"/>
  <c r="AJ72" i="3"/>
  <c r="AJ232" i="3"/>
  <c r="AJ544" i="3"/>
  <c r="AJ216" i="3"/>
  <c r="AJ575" i="3"/>
  <c r="AJ432" i="3"/>
  <c r="AJ44" i="3"/>
  <c r="AJ503" i="3"/>
  <c r="AJ48" i="3"/>
  <c r="AJ474" i="3"/>
  <c r="AJ185" i="3"/>
  <c r="AJ600" i="3"/>
  <c r="AJ223" i="3"/>
  <c r="AJ332" i="3"/>
  <c r="AJ505" i="3"/>
  <c r="AJ471" i="3"/>
  <c r="AJ439" i="3"/>
  <c r="AJ550" i="3"/>
  <c r="AJ77" i="3"/>
  <c r="AJ198" i="3"/>
  <c r="AJ309" i="3"/>
  <c r="AJ43" i="3"/>
  <c r="AJ372" i="3"/>
  <c r="AJ532" i="3"/>
  <c r="AJ660" i="3"/>
  <c r="AJ397" i="3"/>
  <c r="AJ12" i="3"/>
  <c r="AJ418" i="3"/>
  <c r="AJ629" i="3"/>
  <c r="AJ409" i="3"/>
  <c r="AJ175" i="3"/>
  <c r="AJ241" i="3"/>
  <c r="AJ168" i="3"/>
  <c r="AJ480" i="3"/>
  <c r="AJ184" i="3"/>
  <c r="AJ447" i="3"/>
  <c r="AJ400" i="3"/>
  <c r="AJ13" i="3"/>
  <c r="AJ591" i="3"/>
  <c r="AJ35" i="3"/>
  <c r="AJ442" i="3"/>
  <c r="AJ249" i="3"/>
  <c r="AJ584" i="3"/>
  <c r="AJ191" i="3"/>
  <c r="AJ310" i="3"/>
  <c r="AJ593" i="3"/>
  <c r="AJ495" i="3"/>
  <c r="AJ574" i="3"/>
  <c r="AJ30" i="3"/>
  <c r="AJ210" i="3"/>
  <c r="AJ339" i="3"/>
  <c r="AJ75" i="3"/>
  <c r="AJ380" i="3"/>
  <c r="AJ540" i="3"/>
  <c r="AJ664" i="3"/>
  <c r="AJ381" i="3"/>
  <c r="AJ150" i="3"/>
  <c r="AJ639" i="3"/>
  <c r="AJ104" i="3"/>
  <c r="AJ416" i="3"/>
  <c r="AJ152" i="3"/>
  <c r="AJ301" i="3"/>
  <c r="AJ368" i="3"/>
  <c r="AJ61" i="3"/>
  <c r="AJ336" i="3"/>
  <c r="AJ24" i="3"/>
  <c r="AJ410" i="3"/>
  <c r="AJ313" i="3"/>
  <c r="AJ568" i="3"/>
  <c r="AJ159" i="3"/>
  <c r="AJ290" i="3"/>
  <c r="AJ669" i="3"/>
  <c r="AJ559" i="3"/>
  <c r="AJ594" i="3"/>
  <c r="AJ17" i="3"/>
  <c r="AJ220" i="3"/>
  <c r="AJ355" i="3"/>
  <c r="AJ107" i="3"/>
  <c r="AJ388" i="3"/>
  <c r="AJ548" i="3"/>
  <c r="AJ668" i="3"/>
  <c r="AJ365" i="3"/>
  <c r="AJ264" i="3"/>
  <c r="AJ394" i="3"/>
  <c r="AJ40" i="3"/>
  <c r="AJ352" i="3"/>
  <c r="AJ120" i="3"/>
  <c r="AJ73" i="3"/>
  <c r="AJ335" i="3"/>
  <c r="AJ257" i="3"/>
  <c r="AJ320" i="3"/>
  <c r="AJ11" i="3"/>
  <c r="AJ378" i="3"/>
  <c r="AJ357" i="3"/>
  <c r="AJ552" i="3"/>
  <c r="AJ123" i="3"/>
  <c r="AJ268" i="3"/>
  <c r="AJ649" i="3"/>
  <c r="AJ615" i="3"/>
  <c r="AJ614" i="3"/>
  <c r="AJ25" i="3"/>
  <c r="AJ230" i="3"/>
  <c r="AJ371" i="3"/>
  <c r="AJ135" i="3"/>
  <c r="AJ396" i="3"/>
  <c r="AJ556" i="3"/>
  <c r="AJ672" i="3"/>
  <c r="AJ349" i="3"/>
  <c r="AJ522" i="3"/>
  <c r="AJ511" i="3"/>
  <c r="AJ85" i="3"/>
  <c r="AJ239" i="3"/>
  <c r="AJ88" i="3"/>
  <c r="AJ47" i="3"/>
  <c r="AJ271" i="3"/>
  <c r="AJ465" i="3"/>
  <c r="AJ304" i="3"/>
  <c r="AJ53" i="3"/>
  <c r="AJ346" i="3"/>
  <c r="AJ389" i="3"/>
  <c r="AJ536" i="3"/>
  <c r="AJ59" i="3"/>
  <c r="AJ246" i="3"/>
  <c r="AJ626" i="3"/>
  <c r="AJ26" i="3"/>
  <c r="AJ633" i="3"/>
  <c r="AJ32" i="3"/>
  <c r="AJ242" i="3"/>
  <c r="AJ387" i="3"/>
  <c r="AJ151" i="3"/>
  <c r="AJ404" i="3"/>
  <c r="AJ564" i="3"/>
  <c r="AJ685" i="3"/>
  <c r="AJ329" i="3"/>
  <c r="AJ157" i="3"/>
  <c r="AJ155" i="3"/>
  <c r="AJ462" i="3"/>
  <c r="AJ651" i="3"/>
  <c r="AJ321" i="3"/>
  <c r="AJ71" i="3"/>
  <c r="AJ437" i="3"/>
  <c r="AJ671" i="3"/>
  <c r="AJ539" i="3"/>
  <c r="AJ29" i="3"/>
  <c r="AJ341" i="3"/>
  <c r="AJ143" i="3"/>
  <c r="AJ637" i="3"/>
  <c r="AJ272" i="3"/>
  <c r="AJ177" i="3"/>
  <c r="AJ227" i="3"/>
  <c r="AJ453" i="3"/>
  <c r="AJ504" i="3"/>
  <c r="AJ587" i="3"/>
  <c r="AJ204" i="3"/>
  <c r="AJ542" i="3"/>
  <c r="AJ171" i="3"/>
  <c r="AJ653" i="3"/>
  <c r="AJ50" i="3"/>
  <c r="AJ262" i="3"/>
  <c r="AJ419" i="3"/>
  <c r="AJ183" i="3"/>
  <c r="AJ420" i="3"/>
  <c r="AJ580" i="3"/>
  <c r="AJ621" i="3"/>
  <c r="AJ265" i="3"/>
  <c r="AJ527" i="3"/>
  <c r="AJ189" i="3"/>
  <c r="AJ203" i="3"/>
  <c r="AJ482" i="3"/>
  <c r="AJ661" i="3"/>
  <c r="AJ225" i="3"/>
  <c r="AJ553" i="3"/>
  <c r="AJ666" i="3"/>
  <c r="AJ586" i="3"/>
  <c r="AJ411" i="3"/>
  <c r="AJ16" i="3"/>
  <c r="AJ405" i="3"/>
  <c r="AJ14" i="3"/>
  <c r="AJ562" i="3"/>
  <c r="AJ256" i="3"/>
  <c r="AJ305" i="3"/>
  <c r="AJ163" i="3"/>
  <c r="AJ485" i="3"/>
  <c r="AJ488" i="3"/>
  <c r="AJ555" i="3"/>
  <c r="AJ182" i="3"/>
  <c r="AJ498" i="3"/>
  <c r="AJ211" i="3"/>
  <c r="AJ665" i="3"/>
  <c r="AJ60" i="3"/>
  <c r="AJ274" i="3"/>
  <c r="AJ435" i="3"/>
  <c r="AJ199" i="3"/>
  <c r="AJ428" i="3"/>
  <c r="AJ588" i="3"/>
  <c r="AJ605" i="3"/>
  <c r="AJ233" i="3"/>
  <c r="AJ407" i="3"/>
  <c r="AJ221" i="3"/>
  <c r="AJ219" i="3"/>
  <c r="AJ494" i="3"/>
  <c r="AJ667" i="3"/>
  <c r="AJ136" i="3"/>
  <c r="AJ576" i="3"/>
  <c r="AJ458" i="3"/>
  <c r="AJ229" i="3"/>
  <c r="AJ95" i="3"/>
  <c r="AJ469" i="3"/>
  <c r="AJ571" i="3"/>
  <c r="AJ478" i="3"/>
  <c r="AJ240" i="3"/>
  <c r="AJ385" i="3"/>
  <c r="AJ67" i="3"/>
  <c r="AJ517" i="3"/>
  <c r="AJ472" i="3"/>
  <c r="AJ523" i="3"/>
  <c r="AJ162" i="3"/>
  <c r="AJ454" i="3"/>
  <c r="AJ251" i="3"/>
  <c r="AJ545" i="3"/>
  <c r="AJ448" i="3"/>
  <c r="AJ323" i="3"/>
  <c r="AJ278" i="3"/>
  <c r="AJ195" i="3"/>
  <c r="AJ303" i="3"/>
  <c r="R10" i="8"/>
  <c r="S10" i="8" s="1"/>
  <c r="AJ194" i="3"/>
  <c r="AJ481" i="3"/>
  <c r="AJ281" i="3"/>
  <c r="AJ603" i="3"/>
  <c r="AJ108" i="3"/>
  <c r="AJ609" i="3"/>
  <c r="AJ687" i="3"/>
  <c r="AJ379" i="3"/>
  <c r="AJ83" i="3"/>
  <c r="AJ192" i="3"/>
  <c r="AJ577" i="3"/>
  <c r="AJ479" i="3"/>
  <c r="AJ613" i="3"/>
  <c r="AJ424" i="3"/>
  <c r="AJ427" i="3"/>
  <c r="AJ98" i="3"/>
  <c r="AJ315" i="3"/>
  <c r="AJ358" i="3"/>
  <c r="AJ529" i="3"/>
  <c r="AJ102" i="3"/>
  <c r="AJ316" i="3"/>
  <c r="AJ499" i="3"/>
  <c r="AJ263" i="3"/>
  <c r="AJ460" i="3"/>
  <c r="AJ620" i="3"/>
  <c r="AJ541" i="3"/>
  <c r="AJ79" i="3"/>
  <c r="AJ322" i="3"/>
  <c r="AJ18" i="3"/>
  <c r="AJ373" i="3"/>
  <c r="AJ518" i="3"/>
  <c r="AJ375" i="3"/>
  <c r="AJ490" i="3"/>
  <c r="AJ592" i="3"/>
  <c r="AJ258" i="3"/>
  <c r="AJ583" i="3"/>
  <c r="AJ128" i="3"/>
  <c r="AJ631" i="3"/>
  <c r="AJ87" i="3"/>
  <c r="AJ654" i="3"/>
  <c r="AJ360" i="3"/>
  <c r="AJ261" i="3"/>
  <c r="AJ21" i="3"/>
  <c r="AJ446" i="3"/>
  <c r="AJ361" i="3"/>
  <c r="AJ146" i="3"/>
  <c r="AJ149" i="3"/>
  <c r="AJ563" i="3"/>
  <c r="AJ327" i="3"/>
  <c r="AJ492" i="3"/>
  <c r="AJ640" i="3"/>
  <c r="AJ477" i="3"/>
  <c r="AJ81" i="3"/>
  <c r="AJ519" i="3"/>
  <c r="AJ366" i="3"/>
  <c r="A80" i="8"/>
  <c r="A71" i="8"/>
  <c r="BL9" i="4"/>
  <c r="BJ9" i="4"/>
  <c r="AR30" i="3"/>
  <c r="AQ30" i="3"/>
  <c r="B30" i="3"/>
  <c r="BK12" i="4"/>
  <c r="BN16" i="4"/>
  <c r="BP12" i="4"/>
  <c r="BH16" i="4"/>
  <c r="BQ12" i="4"/>
  <c r="BL16" i="4"/>
  <c r="BM12" i="4"/>
  <c r="BH12" i="4"/>
  <c r="BP16" i="4"/>
  <c r="AJ512" i="3"/>
  <c r="A77" i="8"/>
  <c r="A64" i="8"/>
  <c r="BN12" i="4"/>
  <c r="BO16" i="4"/>
  <c r="AR25" i="3"/>
  <c r="A35" i="16"/>
  <c r="AR21" i="3"/>
  <c r="B21" i="3"/>
  <c r="AN165" i="4"/>
  <c r="B281" i="2"/>
  <c r="E69" i="1"/>
  <c r="B97" i="2"/>
  <c r="R16" i="8" s="1"/>
  <c r="S16" i="8" s="1"/>
  <c r="D97" i="2" s="1"/>
  <c r="B98" i="2" s="1"/>
  <c r="R17" i="8" s="1"/>
  <c r="S17" i="8" s="1"/>
  <c r="D98" i="2" s="1"/>
  <c r="B101" i="2" s="1"/>
  <c r="G3" i="8"/>
  <c r="B250" i="2"/>
  <c r="E250" i="2" s="1"/>
  <c r="B22" i="4"/>
  <c r="D36" i="3"/>
  <c r="D43" i="16"/>
  <c r="R66" i="2"/>
  <c r="AI21" i="4"/>
  <c r="B58" i="4"/>
  <c r="AI13" i="4"/>
  <c r="AP192" i="4"/>
  <c r="AP186" i="4"/>
  <c r="AP185" i="4"/>
  <c r="AP165" i="4"/>
  <c r="AP202" i="4"/>
  <c r="AP140" i="4"/>
  <c r="AP126" i="4"/>
  <c r="AP73" i="4"/>
  <c r="AP49" i="4"/>
  <c r="AP10" i="4"/>
  <c r="I87" i="4"/>
  <c r="AP83" i="4"/>
  <c r="I84" i="4"/>
  <c r="J84" i="4" s="1"/>
  <c r="I34" i="4"/>
  <c r="J34" i="4" s="1"/>
  <c r="K34" i="4" s="1"/>
  <c r="I73" i="4"/>
  <c r="J73" i="4" s="1"/>
  <c r="X73" i="4" s="1"/>
  <c r="Y73" i="4" s="1"/>
  <c r="I108" i="4"/>
  <c r="J108" i="4" s="1"/>
  <c r="AP47" i="4"/>
  <c r="AP33" i="4"/>
  <c r="B89" i="2"/>
  <c r="I132" i="4"/>
  <c r="AP116" i="4"/>
  <c r="I173" i="4"/>
  <c r="AP139" i="4"/>
  <c r="AP120" i="4"/>
  <c r="I124" i="4"/>
  <c r="J124" i="4" s="1"/>
  <c r="AD124" i="4" s="1"/>
  <c r="AE124" i="4" s="1"/>
  <c r="I164" i="4"/>
  <c r="AP158" i="4"/>
  <c r="I158" i="4"/>
  <c r="I107" i="4"/>
  <c r="J107" i="4" s="1"/>
  <c r="I99" i="4"/>
  <c r="J99" i="4" s="1"/>
  <c r="X99" i="4" s="1"/>
  <c r="Y99" i="4" s="1"/>
  <c r="I10" i="4"/>
  <c r="I19" i="4"/>
  <c r="J19" i="4" s="1"/>
  <c r="N19" i="4" s="1"/>
  <c r="O19" i="4" s="1"/>
  <c r="Q19" i="4" s="1"/>
  <c r="AP32" i="4"/>
  <c r="I78" i="4"/>
  <c r="J78" i="4" s="1"/>
  <c r="X78" i="4" s="1"/>
  <c r="Y78" i="4" s="1"/>
  <c r="AP13" i="4"/>
  <c r="I95" i="4"/>
  <c r="J95" i="4" s="1"/>
  <c r="I47" i="4"/>
  <c r="J47" i="4" s="1"/>
  <c r="B12" i="4"/>
  <c r="AP138" i="4"/>
  <c r="I116" i="4"/>
  <c r="I170" i="4"/>
  <c r="J170" i="4" s="1"/>
  <c r="N170" i="4" s="1"/>
  <c r="O170" i="4" s="1"/>
  <c r="Q170" i="4" s="1"/>
  <c r="AP207" i="4"/>
  <c r="I159" i="4"/>
  <c r="J159" i="4" s="1"/>
  <c r="I129" i="4"/>
  <c r="I130" i="4"/>
  <c r="AP162" i="4"/>
  <c r="I161" i="4"/>
  <c r="J161" i="4" s="1"/>
  <c r="I30" i="4"/>
  <c r="J30" i="4" s="1"/>
  <c r="U30" i="4" s="1"/>
  <c r="V30" i="4" s="1"/>
  <c r="W30" i="4" s="1"/>
  <c r="AP11" i="4"/>
  <c r="AP78" i="4"/>
  <c r="I86" i="4"/>
  <c r="J86" i="4" s="1"/>
  <c r="AD86" i="4" s="1"/>
  <c r="AE86" i="4" s="1"/>
  <c r="AP34" i="4"/>
  <c r="I59" i="4"/>
  <c r="J59" i="4" s="1"/>
  <c r="AP30" i="4"/>
  <c r="AP157" i="4"/>
  <c r="AP180" i="4"/>
  <c r="I157" i="4"/>
  <c r="J157" i="4" s="1"/>
  <c r="X157" i="4" s="1"/>
  <c r="Y157" i="4" s="1"/>
  <c r="AP184" i="4"/>
  <c r="I140" i="4"/>
  <c r="I190" i="4"/>
  <c r="I167" i="4"/>
  <c r="J167" i="4" s="1"/>
  <c r="U167" i="4" s="1"/>
  <c r="V167" i="4" s="1"/>
  <c r="W167" i="4" s="1"/>
  <c r="AP133" i="4"/>
  <c r="AP203" i="4"/>
  <c r="AP88" i="4"/>
  <c r="AP92" i="4"/>
  <c r="I28" i="4"/>
  <c r="J28" i="4" s="1"/>
  <c r="AP67" i="4"/>
  <c r="I76" i="4"/>
  <c r="AP38" i="4"/>
  <c r="AP82" i="4"/>
  <c r="I60" i="4"/>
  <c r="N44" i="2"/>
  <c r="M44" i="2" s="1"/>
  <c r="C242" i="2" s="1"/>
  <c r="C243" i="2" s="1"/>
  <c r="F243" i="2" s="1"/>
  <c r="C44" i="16" s="1"/>
  <c r="I202" i="4"/>
  <c r="J202" i="4" s="1"/>
  <c r="K202" i="4" s="1"/>
  <c r="AP151" i="4"/>
  <c r="I125" i="4"/>
  <c r="I134" i="4"/>
  <c r="J134" i="4" s="1"/>
  <c r="X134" i="4" s="1"/>
  <c r="Y134" i="4" s="1"/>
  <c r="I204" i="4"/>
  <c r="J204" i="4" s="1"/>
  <c r="AP167" i="4"/>
  <c r="I197" i="4"/>
  <c r="AP193" i="4"/>
  <c r="AP146" i="4"/>
  <c r="I37" i="4"/>
  <c r="J37" i="4" s="1"/>
  <c r="X37" i="4" s="1"/>
  <c r="Y37" i="4" s="1"/>
  <c r="AP23" i="4"/>
  <c r="AP28" i="4"/>
  <c r="AP21" i="4"/>
  <c r="AP86" i="4"/>
  <c r="AP79" i="4"/>
  <c r="I48" i="4"/>
  <c r="I79" i="4"/>
  <c r="AP173" i="4"/>
  <c r="I151" i="4"/>
  <c r="AP170" i="4"/>
  <c r="I139" i="4"/>
  <c r="J139" i="4" s="1"/>
  <c r="L139" i="4" s="1"/>
  <c r="I144" i="4"/>
  <c r="J144" i="4" s="1"/>
  <c r="K144" i="4" s="1"/>
  <c r="AP135" i="4"/>
  <c r="I152" i="4"/>
  <c r="J152" i="4" s="1"/>
  <c r="K152" i="4" s="1"/>
  <c r="AP164" i="4"/>
  <c r="AP130" i="4"/>
  <c r="AP66" i="4"/>
  <c r="I27" i="4"/>
  <c r="I58" i="4"/>
  <c r="AP94" i="4"/>
  <c r="AP55" i="4"/>
  <c r="AP95" i="4"/>
  <c r="AP102" i="4"/>
  <c r="I22" i="4"/>
  <c r="I11" i="4"/>
  <c r="J11" i="4" s="1"/>
  <c r="F64" i="1"/>
  <c r="AP127" i="4"/>
  <c r="I121" i="4"/>
  <c r="AP144" i="4"/>
  <c r="AP159" i="4"/>
  <c r="I193" i="4"/>
  <c r="J193" i="4" s="1"/>
  <c r="L193" i="4" s="1"/>
  <c r="I149" i="4"/>
  <c r="J149" i="4" s="1"/>
  <c r="U149" i="4" s="1"/>
  <c r="V149" i="4" s="1"/>
  <c r="W149" i="4" s="1"/>
  <c r="AP136" i="4"/>
  <c r="AP160" i="4"/>
  <c r="AP76" i="4"/>
  <c r="AP58" i="4"/>
  <c r="AP89" i="4"/>
  <c r="I64" i="4"/>
  <c r="I93" i="4"/>
  <c r="J93" i="4" s="1"/>
  <c r="I29" i="4"/>
  <c r="J29" i="4" s="1"/>
  <c r="AP74" i="4"/>
  <c r="I31" i="4"/>
  <c r="AP59" i="4"/>
  <c r="AP37" i="4"/>
  <c r="B127" i="2"/>
  <c r="R11" i="8" s="1"/>
  <c r="S11" i="8" s="1"/>
  <c r="B128" i="2" s="1"/>
  <c r="E64" i="1" s="1"/>
  <c r="C57" i="16" s="1"/>
  <c r="D57" i="16" s="1"/>
  <c r="I169" i="4"/>
  <c r="J169" i="4" s="1"/>
  <c r="N169" i="4" s="1"/>
  <c r="O169" i="4" s="1"/>
  <c r="Q169" i="4" s="1"/>
  <c r="I171" i="4"/>
  <c r="I137" i="4"/>
  <c r="J137" i="4" s="1"/>
  <c r="AP122" i="4"/>
  <c r="I126" i="4"/>
  <c r="AP197" i="4"/>
  <c r="AP149" i="4"/>
  <c r="I51" i="4"/>
  <c r="J51" i="4" s="1"/>
  <c r="R51" i="4" s="1"/>
  <c r="S51" i="4" s="1"/>
  <c r="T51" i="4" s="1"/>
  <c r="I33" i="4"/>
  <c r="I77" i="4"/>
  <c r="J77" i="4" s="1"/>
  <c r="I21" i="4"/>
  <c r="I89" i="4"/>
  <c r="J89" i="4" s="1"/>
  <c r="L89" i="4" s="1"/>
  <c r="AP84" i="4"/>
  <c r="I100" i="4"/>
  <c r="J100" i="4" s="1"/>
  <c r="K100" i="4" s="1"/>
  <c r="I71" i="4"/>
  <c r="J71" i="4" s="1"/>
  <c r="AP39" i="4"/>
  <c r="AP150" i="4"/>
  <c r="I192" i="4"/>
  <c r="J192" i="4" s="1"/>
  <c r="I150" i="4"/>
  <c r="I182" i="4"/>
  <c r="J182" i="4" s="1"/>
  <c r="AP141" i="4"/>
  <c r="AP152" i="4"/>
  <c r="I160" i="4"/>
  <c r="I176" i="4"/>
  <c r="J176" i="4" s="1"/>
  <c r="AP194" i="4"/>
  <c r="AP17" i="4"/>
  <c r="I74" i="4"/>
  <c r="J74" i="4" s="1"/>
  <c r="X74" i="4" s="1"/>
  <c r="Y74" i="4" s="1"/>
  <c r="I94" i="4"/>
  <c r="J94" i="4" s="1"/>
  <c r="K94" i="4" s="1"/>
  <c r="AP70" i="4"/>
  <c r="I23" i="4"/>
  <c r="J23" i="4" s="1"/>
  <c r="AP99" i="4"/>
  <c r="AP60" i="4"/>
  <c r="I88" i="4"/>
  <c r="AP108" i="4"/>
  <c r="I65" i="4"/>
  <c r="J65" i="4" s="1"/>
  <c r="B38" i="2"/>
  <c r="B17" i="2" s="1"/>
  <c r="B23" i="2"/>
  <c r="B24" i="2" s="1"/>
  <c r="AP124" i="4"/>
  <c r="AP121" i="4"/>
  <c r="I118" i="4"/>
  <c r="J118" i="4" s="1"/>
  <c r="N118" i="4" s="1"/>
  <c r="O118" i="4" s="1"/>
  <c r="Q118" i="4" s="1"/>
  <c r="I128" i="4"/>
  <c r="AP147" i="4"/>
  <c r="AP204" i="4"/>
  <c r="I143" i="4"/>
  <c r="I168" i="4"/>
  <c r="J168" i="4" s="1"/>
  <c r="AP131" i="4"/>
  <c r="I16" i="4"/>
  <c r="J16" i="4" s="1"/>
  <c r="AP93" i="4"/>
  <c r="I102" i="4"/>
  <c r="J102" i="4" s="1"/>
  <c r="AP27" i="4"/>
  <c r="AP87" i="4"/>
  <c r="I17" i="4"/>
  <c r="AP100" i="4"/>
  <c r="I83" i="4"/>
  <c r="I56" i="4"/>
  <c r="J56" i="4" s="1"/>
  <c r="AP25" i="4"/>
  <c r="AP65" i="4"/>
  <c r="B25" i="2"/>
  <c r="B26" i="2" s="1"/>
  <c r="I180" i="4"/>
  <c r="J180" i="4" s="1"/>
  <c r="AP129" i="4"/>
  <c r="AP118" i="4"/>
  <c r="I187" i="4"/>
  <c r="AP148" i="4"/>
  <c r="I162" i="4"/>
  <c r="J162" i="4" s="1"/>
  <c r="X162" i="4" s="1"/>
  <c r="Y162" i="4" s="1"/>
  <c r="AP199" i="4"/>
  <c r="AP176" i="4"/>
  <c r="AP15" i="4"/>
  <c r="AP77" i="4"/>
  <c r="I68" i="4"/>
  <c r="J68" i="4" s="1"/>
  <c r="I39" i="4"/>
  <c r="J39" i="4" s="1"/>
  <c r="AP71" i="4"/>
  <c r="AP64" i="4"/>
  <c r="AP43" i="4"/>
  <c r="I85" i="4"/>
  <c r="AP26" i="4"/>
  <c r="I25" i="4"/>
  <c r="J25" i="4" s="1"/>
  <c r="L25" i="4" s="1"/>
  <c r="B27" i="2"/>
  <c r="I201" i="4"/>
  <c r="AP132" i="4"/>
  <c r="I185" i="4"/>
  <c r="J185" i="4" s="1"/>
  <c r="X185" i="4" s="1"/>
  <c r="Y185" i="4" s="1"/>
  <c r="AP198" i="4"/>
  <c r="I122" i="4"/>
  <c r="I199" i="4"/>
  <c r="J199" i="4" s="1"/>
  <c r="N199" i="4" s="1"/>
  <c r="O199" i="4" s="1"/>
  <c r="Q199" i="4" s="1"/>
  <c r="I203" i="4"/>
  <c r="AP143" i="4"/>
  <c r="AP168" i="4"/>
  <c r="AP18" i="4"/>
  <c r="I55" i="4"/>
  <c r="J55" i="4" s="1"/>
  <c r="I90" i="4"/>
  <c r="J90" i="4" s="1"/>
  <c r="U90" i="4" s="1"/>
  <c r="V90" i="4" s="1"/>
  <c r="W90" i="4" s="1"/>
  <c r="AP81" i="4"/>
  <c r="AP20" i="4"/>
  <c r="I98" i="4"/>
  <c r="AP57" i="4"/>
  <c r="I62" i="4"/>
  <c r="J62" i="4" s="1"/>
  <c r="U62" i="4" s="1"/>
  <c r="V62" i="4" s="1"/>
  <c r="W62" i="4" s="1"/>
  <c r="B36" i="2"/>
  <c r="B37" i="2" s="1"/>
  <c r="I198" i="4"/>
  <c r="J198" i="4" s="1"/>
  <c r="I127" i="4"/>
  <c r="I120" i="4"/>
  <c r="J120" i="4" s="1"/>
  <c r="U120" i="4" s="1"/>
  <c r="V120" i="4" s="1"/>
  <c r="W120" i="4" s="1"/>
  <c r="AP201" i="4"/>
  <c r="I147" i="4"/>
  <c r="I165" i="4"/>
  <c r="J165" i="4" s="1"/>
  <c r="K165" i="4" s="1"/>
  <c r="I148" i="4"/>
  <c r="I133" i="4"/>
  <c r="AP98" i="4"/>
  <c r="AP62" i="4"/>
  <c r="AP63" i="4"/>
  <c r="I57" i="4"/>
  <c r="J57" i="4" s="1"/>
  <c r="K57" i="4" s="1"/>
  <c r="I69" i="4"/>
  <c r="J69" i="4" s="1"/>
  <c r="K69" i="4" s="1"/>
  <c r="AP29" i="4"/>
  <c r="I103" i="4"/>
  <c r="J103" i="4" s="1"/>
  <c r="I82" i="4"/>
  <c r="I44" i="4"/>
  <c r="B34" i="2"/>
  <c r="B35" i="2" s="1"/>
  <c r="B79" i="2" s="1"/>
  <c r="E46" i="1" s="1"/>
  <c r="I207" i="4"/>
  <c r="J207" i="4" s="1"/>
  <c r="AD207" i="4" s="1"/>
  <c r="AE207" i="4" s="1"/>
  <c r="I186" i="4"/>
  <c r="J186" i="4" s="1"/>
  <c r="X186" i="4" s="1"/>
  <c r="Y186" i="4" s="1"/>
  <c r="AP153" i="4"/>
  <c r="AP182" i="4"/>
  <c r="I136" i="4"/>
  <c r="J136" i="4" s="1"/>
  <c r="AD136" i="4" s="1"/>
  <c r="AE136" i="4" s="1"/>
  <c r="AP161" i="4"/>
  <c r="I135" i="4"/>
  <c r="J135" i="4" s="1"/>
  <c r="R135" i="4" s="1"/>
  <c r="S135" i="4" s="1"/>
  <c r="T135" i="4" s="1"/>
  <c r="I155" i="4"/>
  <c r="J155" i="4" s="1"/>
  <c r="X155" i="4" s="1"/>
  <c r="Y155" i="4" s="1"/>
  <c r="AP109" i="4"/>
  <c r="AP56" i="4"/>
  <c r="AP44" i="4"/>
  <c r="I63" i="4"/>
  <c r="J63" i="4" s="1"/>
  <c r="L63" i="4" s="1"/>
  <c r="I67" i="4"/>
  <c r="J67" i="4" s="1"/>
  <c r="L67" i="4" s="1"/>
  <c r="AP14" i="4"/>
  <c r="AP48" i="4"/>
  <c r="I26" i="4"/>
  <c r="J26" i="4" s="1"/>
  <c r="AP19" i="4"/>
  <c r="I66" i="4"/>
  <c r="J66" i="4" s="1"/>
  <c r="M66" i="2"/>
  <c r="L66" i="2" s="1"/>
  <c r="G243" i="2" s="1"/>
  <c r="I153" i="4"/>
  <c r="J153" i="4" s="1"/>
  <c r="K153" i="4" s="1"/>
  <c r="I138" i="4"/>
  <c r="J138" i="4" s="1"/>
  <c r="L138" i="4" s="1"/>
  <c r="AP169" i="4"/>
  <c r="AP128" i="4"/>
  <c r="AP154" i="4"/>
  <c r="AP190" i="4"/>
  <c r="I131" i="4"/>
  <c r="J131" i="4" s="1"/>
  <c r="I156" i="4"/>
  <c r="J156" i="4" s="1"/>
  <c r="K156" i="4" s="1"/>
  <c r="AP22" i="4"/>
  <c r="AP31" i="4"/>
  <c r="I32" i="4"/>
  <c r="J32" i="4" s="1"/>
  <c r="L32" i="4" s="1"/>
  <c r="I81" i="4"/>
  <c r="J81" i="4" s="1"/>
  <c r="I14" i="4"/>
  <c r="J14" i="4" s="1"/>
  <c r="AP90" i="4"/>
  <c r="AP97" i="4"/>
  <c r="I15" i="4"/>
  <c r="J15" i="4" s="1"/>
  <c r="I70" i="4"/>
  <c r="J70" i="4" s="1"/>
  <c r="L70" i="4" s="1"/>
  <c r="I43" i="4"/>
  <c r="J43" i="4" s="1"/>
  <c r="B44" i="4"/>
  <c r="B194" i="2"/>
  <c r="B217" i="2" s="1"/>
  <c r="C11" i="3"/>
  <c r="C9" i="3"/>
  <c r="C23" i="3"/>
  <c r="D33" i="3"/>
  <c r="D35" i="3"/>
  <c r="C17" i="3"/>
  <c r="C25" i="3"/>
  <c r="D24" i="3"/>
  <c r="D34" i="3"/>
  <c r="C16" i="3"/>
  <c r="C14" i="3"/>
  <c r="E60" i="1"/>
  <c r="D20" i="3"/>
  <c r="D31" i="3"/>
  <c r="D22" i="3"/>
  <c r="C12" i="3"/>
  <c r="D10" i="3"/>
  <c r="D18" i="3"/>
  <c r="D9" i="3"/>
  <c r="D11" i="3"/>
  <c r="D29" i="3"/>
  <c r="C20" i="3"/>
  <c r="C26" i="3"/>
  <c r="C32" i="3"/>
  <c r="D27" i="3"/>
  <c r="C18" i="3"/>
  <c r="C30" i="3"/>
  <c r="D13" i="3"/>
  <c r="C10" i="3"/>
  <c r="D28" i="3"/>
  <c r="D14" i="3"/>
  <c r="C29" i="3"/>
  <c r="C28" i="3"/>
  <c r="D12" i="3"/>
  <c r="C15" i="3"/>
  <c r="D32" i="3"/>
  <c r="C27" i="3"/>
  <c r="C21" i="3"/>
  <c r="C31" i="3"/>
  <c r="C24" i="3"/>
  <c r="D15" i="3"/>
  <c r="D21" i="3"/>
  <c r="D16" i="3"/>
  <c r="D17" i="3"/>
  <c r="C13" i="3"/>
  <c r="C34" i="3"/>
  <c r="D26" i="3"/>
  <c r="C22" i="3"/>
  <c r="D25" i="3"/>
  <c r="C37" i="3"/>
  <c r="C33" i="3"/>
  <c r="C35" i="3"/>
  <c r="A682" i="3"/>
  <c r="D30" i="3"/>
  <c r="D23" i="3"/>
  <c r="D19" i="3"/>
  <c r="AP103" i="4"/>
  <c r="AP110" i="4"/>
  <c r="AN37" i="4"/>
  <c r="AP189" i="4"/>
  <c r="AP125" i="4"/>
  <c r="AP61" i="4"/>
  <c r="I183" i="4"/>
  <c r="J183" i="4" s="1"/>
  <c r="K183" i="4" s="1"/>
  <c r="AP51" i="4"/>
  <c r="I42" i="4"/>
  <c r="J42" i="4" s="1"/>
  <c r="L42" i="4" s="1"/>
  <c r="AN164" i="4"/>
  <c r="AP188" i="4"/>
  <c r="I52" i="4"/>
  <c r="J52" i="4" s="1"/>
  <c r="X52" i="4" s="1"/>
  <c r="Y52" i="4" s="1"/>
  <c r="I12" i="4"/>
  <c r="J12" i="4" s="1"/>
  <c r="AP91" i="4"/>
  <c r="AP166" i="4"/>
  <c r="AN36" i="4"/>
  <c r="I172" i="4"/>
  <c r="J172" i="4" s="1"/>
  <c r="R172" i="4" s="1"/>
  <c r="S172" i="4" s="1"/>
  <c r="T172" i="4" s="1"/>
  <c r="AP104" i="4"/>
  <c r="AP36" i="4"/>
  <c r="AP181" i="4"/>
  <c r="AP163" i="4"/>
  <c r="AP35" i="4"/>
  <c r="AN99" i="4"/>
  <c r="AP195" i="4"/>
  <c r="I75" i="4"/>
  <c r="J75" i="4" s="1"/>
  <c r="AN195" i="4"/>
  <c r="AP72" i="4"/>
  <c r="I208" i="4"/>
  <c r="J208" i="4" s="1"/>
  <c r="U208" i="4" s="1"/>
  <c r="V208" i="4" s="1"/>
  <c r="W208" i="4" s="1"/>
  <c r="AN106" i="4"/>
  <c r="AP105" i="4"/>
  <c r="AP101" i="4"/>
  <c r="AP24" i="4"/>
  <c r="I206" i="4"/>
  <c r="J206" i="4" s="1"/>
  <c r="X206" i="4" s="1"/>
  <c r="Y206" i="4" s="1"/>
  <c r="AP142" i="4"/>
  <c r="AL50" i="4"/>
  <c r="AN50" i="4" s="1"/>
  <c r="AP115" i="4"/>
  <c r="AN152" i="4"/>
  <c r="AN24" i="4"/>
  <c r="AP96" i="4"/>
  <c r="AN95" i="4"/>
  <c r="I80" i="4"/>
  <c r="J80" i="4" s="1"/>
  <c r="R80" i="4" s="1"/>
  <c r="S80" i="4" s="1"/>
  <c r="T80" i="4" s="1"/>
  <c r="I205" i="4"/>
  <c r="J205" i="4" s="1"/>
  <c r="U205" i="4" s="1"/>
  <c r="V205" i="4" s="1"/>
  <c r="W205" i="4" s="1"/>
  <c r="AN174" i="4"/>
  <c r="AP54" i="4"/>
  <c r="AN46" i="4"/>
  <c r="AI53" i="4"/>
  <c r="AI192" i="4"/>
  <c r="AI89" i="4"/>
  <c r="AI33" i="4"/>
  <c r="AI161" i="4"/>
  <c r="AI198" i="4"/>
  <c r="AI37" i="4"/>
  <c r="AI205" i="4"/>
  <c r="AI130" i="4"/>
  <c r="AI57" i="4"/>
  <c r="AI119" i="4"/>
  <c r="I35" i="4"/>
  <c r="J35" i="4" s="1"/>
  <c r="K35" i="4" s="1"/>
  <c r="AP12" i="4"/>
  <c r="I189" i="4"/>
  <c r="J189" i="4" s="1"/>
  <c r="N189" i="4" s="1"/>
  <c r="O189" i="4" s="1"/>
  <c r="Q189" i="4" s="1"/>
  <c r="I166" i="4"/>
  <c r="J166" i="4" s="1"/>
  <c r="AP75" i="4"/>
  <c r="I181" i="4"/>
  <c r="J181" i="4" s="1"/>
  <c r="AD181" i="4" s="1"/>
  <c r="AE181" i="4" s="1"/>
  <c r="AP208" i="4"/>
  <c r="AP183" i="4"/>
  <c r="I61" i="4"/>
  <c r="I163" i="4"/>
  <c r="J163" i="4" s="1"/>
  <c r="AD163" i="4" s="1"/>
  <c r="AE163" i="4" s="1"/>
  <c r="AP117" i="4"/>
  <c r="I117" i="4"/>
  <c r="J117" i="4" s="1"/>
  <c r="B45" i="4"/>
  <c r="I195" i="4"/>
  <c r="I91" i="4"/>
  <c r="J91" i="4" s="1"/>
  <c r="I72" i="4"/>
  <c r="J72" i="4" s="1"/>
  <c r="I104" i="4"/>
  <c r="J104" i="4" s="1"/>
  <c r="E13" i="1"/>
  <c r="C55" i="16" s="1"/>
  <c r="D55" i="16" s="1"/>
  <c r="B275" i="2"/>
  <c r="AJ65" i="4"/>
  <c r="AM81" i="4"/>
  <c r="AM43" i="4"/>
  <c r="AM19" i="4"/>
  <c r="AM62" i="4"/>
  <c r="AM20" i="4"/>
  <c r="AM37" i="4"/>
  <c r="AI30" i="4"/>
  <c r="J79" i="4"/>
  <c r="K79" i="4" s="1"/>
  <c r="AI83" i="4"/>
  <c r="AI92" i="4"/>
  <c r="AI12" i="4"/>
  <c r="AJ38" i="4"/>
  <c r="AJ28" i="4"/>
  <c r="AJ74" i="4"/>
  <c r="AJ27" i="4"/>
  <c r="B18" i="2"/>
  <c r="AI81" i="4"/>
  <c r="AI32" i="4"/>
  <c r="AJ13" i="4"/>
  <c r="AJ131" i="4"/>
  <c r="AJ163" i="4"/>
  <c r="AJ130" i="4"/>
  <c r="AJ202" i="4"/>
  <c r="J151" i="4"/>
  <c r="L151" i="4" s="1"/>
  <c r="AJ153" i="4"/>
  <c r="AJ208" i="4"/>
  <c r="B13" i="4"/>
  <c r="AM205" i="4"/>
  <c r="AM161" i="4"/>
  <c r="AM160" i="4"/>
  <c r="AM156" i="4"/>
  <c r="AM176" i="4"/>
  <c r="AM127" i="4"/>
  <c r="AM133" i="4"/>
  <c r="AI140" i="4"/>
  <c r="AI120" i="4"/>
  <c r="AI128" i="4"/>
  <c r="AJ175" i="4"/>
  <c r="AI185" i="4"/>
  <c r="AI85" i="4"/>
  <c r="AI182" i="4"/>
  <c r="AI114" i="4"/>
  <c r="AL17" i="4"/>
  <c r="AN17" i="4" s="1"/>
  <c r="AL88" i="4"/>
  <c r="AN88" i="4" s="1"/>
  <c r="AL159" i="4"/>
  <c r="AN159" i="4" s="1"/>
  <c r="AL31" i="4"/>
  <c r="AN31" i="4" s="1"/>
  <c r="AL110" i="4"/>
  <c r="AN110" i="4" s="1"/>
  <c r="AL191" i="4"/>
  <c r="AN191" i="4" s="1"/>
  <c r="AL101" i="4"/>
  <c r="AN101" i="4" s="1"/>
  <c r="AL207" i="4"/>
  <c r="AN207" i="4" s="1"/>
  <c r="AL100" i="4"/>
  <c r="AN100" i="4" s="1"/>
  <c r="AL171" i="4"/>
  <c r="AN171" i="4" s="1"/>
  <c r="AL35" i="4"/>
  <c r="AN35" i="4" s="1"/>
  <c r="AL170" i="4"/>
  <c r="AN170" i="4" s="1"/>
  <c r="AL42" i="4"/>
  <c r="AN42" i="4" s="1"/>
  <c r="AM22" i="4"/>
  <c r="AM57" i="4"/>
  <c r="AM59" i="4"/>
  <c r="AM84" i="4"/>
  <c r="J44" i="4"/>
  <c r="K44" i="4" s="1"/>
  <c r="AI97" i="4"/>
  <c r="AJ81" i="4"/>
  <c r="AI87" i="4"/>
  <c r="AI43" i="4"/>
  <c r="AI39" i="4"/>
  <c r="AJ77" i="4"/>
  <c r="AJ104" i="4"/>
  <c r="AJ88" i="4"/>
  <c r="AJ71" i="4"/>
  <c r="AI28" i="4"/>
  <c r="AJ52" i="4"/>
  <c r="AI25" i="4"/>
  <c r="AJ152" i="4"/>
  <c r="J164" i="4"/>
  <c r="K164" i="4" s="1"/>
  <c r="AJ154" i="4"/>
  <c r="AJ166" i="4"/>
  <c r="AM198" i="4"/>
  <c r="AM179" i="4"/>
  <c r="AM166" i="4"/>
  <c r="AM173" i="4"/>
  <c r="AM126" i="4"/>
  <c r="AM132" i="4"/>
  <c r="AI112" i="4"/>
  <c r="AI167" i="4"/>
  <c r="AI181" i="4"/>
  <c r="AI133" i="4"/>
  <c r="AI131" i="4"/>
  <c r="AI146" i="4"/>
  <c r="AI110" i="4"/>
  <c r="AL208" i="4"/>
  <c r="AN208" i="4" s="1"/>
  <c r="AL80" i="4"/>
  <c r="AN80" i="4" s="1"/>
  <c r="AL151" i="4"/>
  <c r="AN151" i="4" s="1"/>
  <c r="AL23" i="4"/>
  <c r="AN23" i="4" s="1"/>
  <c r="AL102" i="4"/>
  <c r="AN102" i="4" s="1"/>
  <c r="AL206" i="4"/>
  <c r="AN206" i="4" s="1"/>
  <c r="AL93" i="4"/>
  <c r="AN93" i="4" s="1"/>
  <c r="AL183" i="4"/>
  <c r="AN183" i="4" s="1"/>
  <c r="AL92" i="4"/>
  <c r="AN92" i="4" s="1"/>
  <c r="AL163" i="4"/>
  <c r="AN163" i="4" s="1"/>
  <c r="AL27" i="4"/>
  <c r="AN27" i="4" s="1"/>
  <c r="AL162" i="4"/>
  <c r="AN162" i="4" s="1"/>
  <c r="AL34" i="4"/>
  <c r="AN34" i="4" s="1"/>
  <c r="AI65" i="4"/>
  <c r="AM35" i="4"/>
  <c r="AM105" i="4"/>
  <c r="AM77" i="4"/>
  <c r="AM71" i="4"/>
  <c r="AM61" i="4"/>
  <c r="AM97" i="4"/>
  <c r="AM14" i="4"/>
  <c r="AI23" i="4"/>
  <c r="AI35" i="4"/>
  <c r="AJ70" i="4"/>
  <c r="AJ14" i="4"/>
  <c r="AI98" i="4"/>
  <c r="AI95" i="4"/>
  <c r="AI14" i="4"/>
  <c r="AJ64" i="4"/>
  <c r="AJ87" i="4"/>
  <c r="AJ43" i="4"/>
  <c r="AJ165" i="4"/>
  <c r="AJ160" i="4"/>
  <c r="AJ187" i="4"/>
  <c r="AJ138" i="4"/>
  <c r="AJ186" i="4"/>
  <c r="AM203" i="4"/>
  <c r="AM178" i="4"/>
  <c r="AM192" i="4"/>
  <c r="AM153" i="4"/>
  <c r="AM151" i="4"/>
  <c r="AM172" i="4"/>
  <c r="AM131" i="4"/>
  <c r="AI124" i="4"/>
  <c r="AI68" i="4"/>
  <c r="AJ112" i="4"/>
  <c r="AI177" i="4"/>
  <c r="AI129" i="4"/>
  <c r="AI178" i="4"/>
  <c r="AI142" i="4"/>
  <c r="AJ46" i="4"/>
  <c r="AL200" i="4"/>
  <c r="AN200" i="4" s="1"/>
  <c r="AL72" i="4"/>
  <c r="AN72" i="4" s="1"/>
  <c r="AL143" i="4"/>
  <c r="AN143" i="4" s="1"/>
  <c r="AL15" i="4"/>
  <c r="AN15" i="4" s="1"/>
  <c r="AL94" i="4"/>
  <c r="AN94" i="4" s="1"/>
  <c r="AL190" i="4"/>
  <c r="AN190" i="4" s="1"/>
  <c r="AL85" i="4"/>
  <c r="AN85" i="4" s="1"/>
  <c r="AL182" i="4"/>
  <c r="AN182" i="4" s="1"/>
  <c r="AL84" i="4"/>
  <c r="AN84" i="4" s="1"/>
  <c r="AL147" i="4"/>
  <c r="AN147" i="4" s="1"/>
  <c r="AL19" i="4"/>
  <c r="AN19" i="4" s="1"/>
  <c r="AL154" i="4"/>
  <c r="AN154" i="4" s="1"/>
  <c r="AL26" i="4"/>
  <c r="AN26" i="4" s="1"/>
  <c r="AM106" i="4"/>
  <c r="AM31" i="4"/>
  <c r="AM9" i="4"/>
  <c r="AM85" i="4"/>
  <c r="AM67" i="4"/>
  <c r="AM52" i="4"/>
  <c r="AM86" i="4"/>
  <c r="AI62" i="4"/>
  <c r="AI47" i="4"/>
  <c r="AI66" i="4"/>
  <c r="J31" i="4"/>
  <c r="K31" i="4" s="1"/>
  <c r="AJ37" i="4"/>
  <c r="AI64" i="4"/>
  <c r="AJ17" i="4"/>
  <c r="J21" i="4"/>
  <c r="X21" i="4" s="1"/>
  <c r="Y21" i="4" s="1"/>
  <c r="J87" i="4"/>
  <c r="AJ48" i="4"/>
  <c r="AJ79" i="4"/>
  <c r="AJ29" i="4"/>
  <c r="J129" i="4"/>
  <c r="U129" i="4" s="1"/>
  <c r="V129" i="4" s="1"/>
  <c r="W129" i="4" s="1"/>
  <c r="J122" i="4"/>
  <c r="R122" i="4" s="1"/>
  <c r="S122" i="4" s="1"/>
  <c r="T122" i="4" s="1"/>
  <c r="AJ147" i="4"/>
  <c r="AJ137" i="4"/>
  <c r="B4" i="6"/>
  <c r="B12" i="6" s="1"/>
  <c r="B223" i="2"/>
  <c r="AM201" i="4"/>
  <c r="AM177" i="4"/>
  <c r="AM150" i="4"/>
  <c r="AM159" i="4"/>
  <c r="AM171" i="4"/>
  <c r="AM141" i="4"/>
  <c r="AM123" i="4"/>
  <c r="AI159" i="4"/>
  <c r="AI173" i="4"/>
  <c r="AI125" i="4"/>
  <c r="AI207" i="4"/>
  <c r="AI123" i="4"/>
  <c r="AI174" i="4"/>
  <c r="AI42" i="4"/>
  <c r="AL192" i="4"/>
  <c r="AN192" i="4" s="1"/>
  <c r="AL64" i="4"/>
  <c r="AN64" i="4" s="1"/>
  <c r="AL135" i="4"/>
  <c r="AN135" i="4" s="1"/>
  <c r="AL185" i="4"/>
  <c r="AN185" i="4" s="1"/>
  <c r="AL86" i="4"/>
  <c r="AN86" i="4" s="1"/>
  <c r="AL205" i="4"/>
  <c r="AN205" i="4" s="1"/>
  <c r="AL77" i="4"/>
  <c r="AN77" i="4" s="1"/>
  <c r="AL204" i="4"/>
  <c r="AN204" i="4" s="1"/>
  <c r="AL76" i="4"/>
  <c r="AN76" i="4" s="1"/>
  <c r="AL139" i="4"/>
  <c r="AN139" i="4" s="1"/>
  <c r="AL11" i="4"/>
  <c r="AN11" i="4" s="1"/>
  <c r="AL146" i="4"/>
  <c r="AN146" i="4" s="1"/>
  <c r="AL18" i="4"/>
  <c r="AN18" i="4" s="1"/>
  <c r="AM60" i="4"/>
  <c r="AM104" i="4"/>
  <c r="AM15" i="4"/>
  <c r="AM107" i="4"/>
  <c r="AM25" i="4"/>
  <c r="AM91" i="4"/>
  <c r="AI11" i="4"/>
  <c r="AJ73" i="4"/>
  <c r="J97" i="4"/>
  <c r="U97" i="4" s="1"/>
  <c r="V97" i="4" s="1"/>
  <c r="W97" i="4" s="1"/>
  <c r="AJ58" i="4"/>
  <c r="J92" i="4"/>
  <c r="AI86" i="4"/>
  <c r="AJ155" i="4"/>
  <c r="J148" i="4"/>
  <c r="U148" i="4" s="1"/>
  <c r="V148" i="4" s="1"/>
  <c r="W148" i="4" s="1"/>
  <c r="AJ129" i="4"/>
  <c r="J187" i="4"/>
  <c r="N187" i="4" s="1"/>
  <c r="O187" i="4" s="1"/>
  <c r="Q187" i="4" s="1"/>
  <c r="AJ159" i="4"/>
  <c r="AJ180" i="4"/>
  <c r="J116" i="4"/>
  <c r="R116" i="4" s="1"/>
  <c r="S116" i="4" s="1"/>
  <c r="T116" i="4" s="1"/>
  <c r="B78" i="4"/>
  <c r="B77" i="4"/>
  <c r="AM181" i="4"/>
  <c r="AM199" i="4"/>
  <c r="AM149" i="4"/>
  <c r="AM158" i="4"/>
  <c r="AM148" i="4"/>
  <c r="AM170" i="4"/>
  <c r="AM137" i="4"/>
  <c r="AM124" i="4"/>
  <c r="AM114" i="4"/>
  <c r="AI151" i="4"/>
  <c r="AJ173" i="4"/>
  <c r="AI115" i="4"/>
  <c r="AI206" i="4"/>
  <c r="AJ174" i="4"/>
  <c r="AI138" i="4"/>
  <c r="AL184" i="4"/>
  <c r="AN184" i="4" s="1"/>
  <c r="AL56" i="4"/>
  <c r="AN56" i="4" s="1"/>
  <c r="AL127" i="4"/>
  <c r="AN127" i="4" s="1"/>
  <c r="AL121" i="4"/>
  <c r="AN121" i="4" s="1"/>
  <c r="AL78" i="4"/>
  <c r="AN78" i="4" s="1"/>
  <c r="AL197" i="4"/>
  <c r="AN197" i="4" s="1"/>
  <c r="AL69" i="4"/>
  <c r="AN69" i="4" s="1"/>
  <c r="AL196" i="4"/>
  <c r="AN196" i="4" s="1"/>
  <c r="AL68" i="4"/>
  <c r="AN68" i="4" s="1"/>
  <c r="AL131" i="4"/>
  <c r="AN131" i="4" s="1"/>
  <c r="AL201" i="4"/>
  <c r="AN201" i="4" s="1"/>
  <c r="AL138" i="4"/>
  <c r="AN138" i="4" s="1"/>
  <c r="AL10" i="4"/>
  <c r="AN10" i="4" s="1"/>
  <c r="AM33" i="4"/>
  <c r="AM80" i="4"/>
  <c r="AM46" i="4"/>
  <c r="AM11" i="4"/>
  <c r="AM45" i="4"/>
  <c r="AM13" i="4"/>
  <c r="AJ47" i="4"/>
  <c r="AJ72" i="4"/>
  <c r="AI75" i="4"/>
  <c r="AJ90" i="4"/>
  <c r="AJ32" i="4"/>
  <c r="AI90" i="4"/>
  <c r="AI10" i="4"/>
  <c r="AJ42" i="4"/>
  <c r="AI70" i="4"/>
  <c r="AJ84" i="4"/>
  <c r="AJ181" i="4"/>
  <c r="AJ164" i="4"/>
  <c r="AJ194" i="4"/>
  <c r="AJ128" i="4"/>
  <c r="AJ167" i="4"/>
  <c r="AJ134" i="4"/>
  <c r="AJ120" i="4"/>
  <c r="AJ204" i="4"/>
  <c r="AM169" i="4"/>
  <c r="AM145" i="4"/>
  <c r="AM168" i="4"/>
  <c r="AM134" i="4"/>
  <c r="AM119" i="4"/>
  <c r="AM113" i="4"/>
  <c r="AJ40" i="4"/>
  <c r="AI20" i="4"/>
  <c r="AI143" i="4"/>
  <c r="AI169" i="4"/>
  <c r="AI121" i="4"/>
  <c r="AI199" i="4"/>
  <c r="AI170" i="4"/>
  <c r="AL176" i="4"/>
  <c r="AN176" i="4" s="1"/>
  <c r="AL48" i="4"/>
  <c r="AN48" i="4" s="1"/>
  <c r="AL119" i="4"/>
  <c r="AN119" i="4" s="1"/>
  <c r="AL49" i="4"/>
  <c r="AN49" i="4" s="1"/>
  <c r="AL70" i="4"/>
  <c r="AN70" i="4" s="1"/>
  <c r="AL189" i="4"/>
  <c r="AN189" i="4" s="1"/>
  <c r="AL61" i="4"/>
  <c r="AN61" i="4" s="1"/>
  <c r="AL188" i="4"/>
  <c r="AN188" i="4" s="1"/>
  <c r="AL60" i="4"/>
  <c r="AN60" i="4" s="1"/>
  <c r="AL123" i="4"/>
  <c r="AN123" i="4" s="1"/>
  <c r="AL153" i="4"/>
  <c r="AN153" i="4" s="1"/>
  <c r="AL130" i="4"/>
  <c r="AN130" i="4" s="1"/>
  <c r="AM53" i="4"/>
  <c r="AM24" i="4"/>
  <c r="AM102" i="4"/>
  <c r="AM74" i="4"/>
  <c r="AM79" i="4"/>
  <c r="AM12" i="4"/>
  <c r="AJ108" i="4"/>
  <c r="J88" i="4"/>
  <c r="K88" i="4" s="1"/>
  <c r="AI71" i="4"/>
  <c r="J22" i="4"/>
  <c r="K22" i="4" s="1"/>
  <c r="AJ89" i="4"/>
  <c r="AI27" i="4"/>
  <c r="AI91" i="4"/>
  <c r="AJ93" i="4"/>
  <c r="J158" i="4"/>
  <c r="R158" i="4" s="1"/>
  <c r="S158" i="4" s="1"/>
  <c r="T158" i="4" s="1"/>
  <c r="AJ168" i="4"/>
  <c r="AJ195" i="4"/>
  <c r="AJ158" i="4"/>
  <c r="AJ124" i="4"/>
  <c r="AJ151" i="4"/>
  <c r="AJ157" i="4"/>
  <c r="B224" i="2"/>
  <c r="AM195" i="4"/>
  <c r="AM157" i="4"/>
  <c r="AM202" i="4"/>
  <c r="AM165" i="4"/>
  <c r="AI208" i="4"/>
  <c r="AI135" i="4"/>
  <c r="AI191" i="4"/>
  <c r="AI107" i="4"/>
  <c r="AI202" i="4"/>
  <c r="AI134" i="4"/>
  <c r="AL168" i="4"/>
  <c r="AN168" i="4" s="1"/>
  <c r="AL40" i="4"/>
  <c r="AN40" i="4" s="1"/>
  <c r="AL111" i="4"/>
  <c r="AN111" i="4" s="1"/>
  <c r="AL199" i="4"/>
  <c r="AN199" i="4" s="1"/>
  <c r="AL62" i="4"/>
  <c r="AN62" i="4" s="1"/>
  <c r="AL181" i="4"/>
  <c r="AN181" i="4" s="1"/>
  <c r="AL53" i="4"/>
  <c r="AN53" i="4" s="1"/>
  <c r="AL180" i="4"/>
  <c r="AN180" i="4" s="1"/>
  <c r="AL52" i="4"/>
  <c r="AN52" i="4" s="1"/>
  <c r="AL115" i="4"/>
  <c r="AN115" i="4" s="1"/>
  <c r="AL105" i="4"/>
  <c r="AN105" i="4" s="1"/>
  <c r="AL122" i="4"/>
  <c r="AN122" i="4" s="1"/>
  <c r="AM27" i="4"/>
  <c r="AM99" i="4"/>
  <c r="AM78" i="4"/>
  <c r="AM38" i="4"/>
  <c r="AM90" i="4"/>
  <c r="AM100" i="4"/>
  <c r="AM73" i="4"/>
  <c r="AJ107" i="4"/>
  <c r="AJ21" i="4"/>
  <c r="J38" i="4"/>
  <c r="AD38" i="4" s="1"/>
  <c r="AE38" i="4" s="1"/>
  <c r="AJ76" i="4"/>
  <c r="AI77" i="4"/>
  <c r="AI16" i="4"/>
  <c r="AJ91" i="4"/>
  <c r="AI38" i="4"/>
  <c r="AJ161" i="4"/>
  <c r="AJ149" i="4"/>
  <c r="AJ176" i="4"/>
  <c r="AJ199" i="4"/>
  <c r="AJ201" i="4"/>
  <c r="J173" i="4"/>
  <c r="AD173" i="4" s="1"/>
  <c r="AE173" i="4" s="1"/>
  <c r="AJ118" i="4"/>
  <c r="AM152" i="4"/>
  <c r="AM194" i="4"/>
  <c r="AM208" i="4"/>
  <c r="AM164" i="4"/>
  <c r="AM146" i="4"/>
  <c r="AM115" i="4"/>
  <c r="AI196" i="4"/>
  <c r="AI127" i="4"/>
  <c r="AI209" i="4"/>
  <c r="AI165" i="4"/>
  <c r="AI117" i="4"/>
  <c r="AI183" i="4"/>
  <c r="AI166" i="4"/>
  <c r="AL160" i="4"/>
  <c r="AN160" i="4" s="1"/>
  <c r="AL32" i="4"/>
  <c r="AN32" i="4" s="1"/>
  <c r="AL103" i="4"/>
  <c r="AN103" i="4" s="1"/>
  <c r="AL198" i="4"/>
  <c r="AN198" i="4" s="1"/>
  <c r="AL54" i="4"/>
  <c r="AN54" i="4" s="1"/>
  <c r="AL173" i="4"/>
  <c r="AN173" i="4" s="1"/>
  <c r="AL45" i="4"/>
  <c r="AN45" i="4" s="1"/>
  <c r="AL172" i="4"/>
  <c r="AN172" i="4" s="1"/>
  <c r="AL44" i="4"/>
  <c r="AN44" i="4" s="1"/>
  <c r="AL107" i="4"/>
  <c r="AN107" i="4" s="1"/>
  <c r="AL57" i="4"/>
  <c r="AN57" i="4" s="1"/>
  <c r="AL114" i="4"/>
  <c r="AN114" i="4" s="1"/>
  <c r="AM36" i="4"/>
  <c r="AM23" i="4"/>
  <c r="AM89" i="4"/>
  <c r="AM92" i="4"/>
  <c r="AM29" i="4"/>
  <c r="AM75" i="4"/>
  <c r="AJ33" i="4"/>
  <c r="AI78" i="4"/>
  <c r="AJ82" i="4"/>
  <c r="AI94" i="4"/>
  <c r="AI93" i="4"/>
  <c r="AI80" i="4"/>
  <c r="AJ44" i="4"/>
  <c r="J194" i="4"/>
  <c r="K194" i="4" s="1"/>
  <c r="AJ203" i="4"/>
  <c r="AJ150" i="4"/>
  <c r="AJ116" i="4"/>
  <c r="AM191" i="4"/>
  <c r="AM147" i="4"/>
  <c r="AM118" i="4"/>
  <c r="AM183" i="4"/>
  <c r="AM125" i="4"/>
  <c r="AM162" i="4"/>
  <c r="AM121" i="4"/>
  <c r="AM144" i="4"/>
  <c r="AI200" i="4"/>
  <c r="AI180" i="4"/>
  <c r="AI111" i="4"/>
  <c r="AI157" i="4"/>
  <c r="AI113" i="4"/>
  <c r="AI49" i="4"/>
  <c r="AI171" i="4"/>
  <c r="AI162" i="4"/>
  <c r="AL144" i="4"/>
  <c r="AN144" i="4" s="1"/>
  <c r="AL16" i="4"/>
  <c r="AN16" i="4" s="1"/>
  <c r="AL87" i="4"/>
  <c r="AN87" i="4" s="1"/>
  <c r="AL166" i="4"/>
  <c r="AN166" i="4" s="1"/>
  <c r="AL38" i="4"/>
  <c r="AN38" i="4" s="1"/>
  <c r="AL157" i="4"/>
  <c r="AN157" i="4" s="1"/>
  <c r="AL29" i="4"/>
  <c r="AN29" i="4" s="1"/>
  <c r="AL156" i="4"/>
  <c r="AN156" i="4" s="1"/>
  <c r="AL28" i="4"/>
  <c r="AN28" i="4" s="1"/>
  <c r="AL91" i="4"/>
  <c r="AN91" i="4" s="1"/>
  <c r="AL179" i="4"/>
  <c r="AN179" i="4" s="1"/>
  <c r="AL98" i="4"/>
  <c r="AN98" i="4" s="1"/>
  <c r="AM65" i="4"/>
  <c r="AM83" i="4"/>
  <c r="AM18" i="4"/>
  <c r="AM50" i="4"/>
  <c r="AM48" i="4"/>
  <c r="AM39" i="4"/>
  <c r="AM69" i="4"/>
  <c r="AJ62" i="4"/>
  <c r="AI17" i="4"/>
  <c r="J98" i="4"/>
  <c r="J13" i="4"/>
  <c r="AD13" i="4" s="1"/>
  <c r="AE13" i="4" s="1"/>
  <c r="AJ56" i="4"/>
  <c r="AJ60" i="4"/>
  <c r="AJ63" i="4"/>
  <c r="AI59" i="4"/>
  <c r="AI34" i="4"/>
  <c r="AJ39" i="4"/>
  <c r="AJ61" i="4"/>
  <c r="AJ197" i="4"/>
  <c r="AJ162" i="4"/>
  <c r="AJ148" i="4"/>
  <c r="AJ132" i="4"/>
  <c r="AJ121" i="4"/>
  <c r="AJ185" i="4"/>
  <c r="AJ170" i="4"/>
  <c r="AM190" i="4"/>
  <c r="AM175" i="4"/>
  <c r="AM197" i="4"/>
  <c r="AM120" i="4"/>
  <c r="AM142" i="4"/>
  <c r="AM112" i="4"/>
  <c r="AI204" i="4"/>
  <c r="AJ200" i="4"/>
  <c r="AI164" i="4"/>
  <c r="AI176" i="4"/>
  <c r="AI203" i="4"/>
  <c r="AJ111" i="4"/>
  <c r="AI201" i="4"/>
  <c r="AI153" i="4"/>
  <c r="AI109" i="4"/>
  <c r="AJ45" i="4"/>
  <c r="AI194" i="4"/>
  <c r="AI126" i="4"/>
  <c r="AL136" i="4"/>
  <c r="AN136" i="4" s="1"/>
  <c r="AL193" i="4"/>
  <c r="AN193" i="4" s="1"/>
  <c r="AL79" i="4"/>
  <c r="AN79" i="4" s="1"/>
  <c r="AL158" i="4"/>
  <c r="AN158" i="4" s="1"/>
  <c r="AL30" i="4"/>
  <c r="AN30" i="4" s="1"/>
  <c r="AL149" i="4"/>
  <c r="AN149" i="4" s="1"/>
  <c r="AL21" i="4"/>
  <c r="AN21" i="4" s="1"/>
  <c r="AL148" i="4"/>
  <c r="AN148" i="4" s="1"/>
  <c r="AL20" i="4"/>
  <c r="AN20" i="4" s="1"/>
  <c r="AL83" i="4"/>
  <c r="AN83" i="4" s="1"/>
  <c r="AL155" i="4"/>
  <c r="AN155" i="4" s="1"/>
  <c r="AL90" i="4"/>
  <c r="AN90" i="4" s="1"/>
  <c r="AM98" i="4"/>
  <c r="AM94" i="4"/>
  <c r="AM16" i="4"/>
  <c r="AM40" i="4"/>
  <c r="AM17" i="4"/>
  <c r="AM54" i="4"/>
  <c r="AM87" i="4"/>
  <c r="AI108" i="4"/>
  <c r="AI88" i="4"/>
  <c r="AJ11" i="4"/>
  <c r="J82" i="4"/>
  <c r="R82" i="4" s="1"/>
  <c r="S82" i="4" s="1"/>
  <c r="T82" i="4" s="1"/>
  <c r="AJ26" i="4"/>
  <c r="AI15" i="4"/>
  <c r="AI44" i="4"/>
  <c r="AI58" i="4"/>
  <c r="AI99" i="4"/>
  <c r="AJ85" i="4"/>
  <c r="AJ98" i="4"/>
  <c r="J76" i="4"/>
  <c r="K76" i="4" s="1"/>
  <c r="AI18" i="4"/>
  <c r="AI102" i="4"/>
  <c r="AI48" i="4"/>
  <c r="AJ19" i="4"/>
  <c r="AJ140" i="4"/>
  <c r="AJ144" i="4"/>
  <c r="AJ122" i="4"/>
  <c r="AM189" i="4"/>
  <c r="AM204" i="4"/>
  <c r="AM193" i="4"/>
  <c r="AM187" i="4"/>
  <c r="AM117" i="4"/>
  <c r="AM140" i="4"/>
  <c r="AM111" i="4"/>
  <c r="AI188" i="4"/>
  <c r="AI184" i="4"/>
  <c r="AI149" i="4"/>
  <c r="AJ41" i="4"/>
  <c r="AI163" i="4"/>
  <c r="AI158" i="4"/>
  <c r="AL128" i="4"/>
  <c r="AN128" i="4" s="1"/>
  <c r="AL137" i="4"/>
  <c r="AN137" i="4" s="1"/>
  <c r="AL71" i="4"/>
  <c r="AN71" i="4" s="1"/>
  <c r="AL150" i="4"/>
  <c r="AN150" i="4" s="1"/>
  <c r="AL22" i="4"/>
  <c r="AN22" i="4" s="1"/>
  <c r="AL141" i="4"/>
  <c r="AN141" i="4" s="1"/>
  <c r="AL13" i="4"/>
  <c r="AN13" i="4" s="1"/>
  <c r="AL140" i="4"/>
  <c r="AN140" i="4" s="1"/>
  <c r="AL12" i="4"/>
  <c r="AN12" i="4" s="1"/>
  <c r="AL75" i="4"/>
  <c r="AN75" i="4" s="1"/>
  <c r="AL9" i="4"/>
  <c r="AN9" i="4" s="1"/>
  <c r="AL82" i="4"/>
  <c r="AN82" i="4" s="1"/>
  <c r="AM82" i="4"/>
  <c r="AM55" i="4"/>
  <c r="AM101" i="4"/>
  <c r="AM58" i="4"/>
  <c r="AM26" i="4"/>
  <c r="AM103" i="4"/>
  <c r="AJ25" i="4"/>
  <c r="AJ92" i="4"/>
  <c r="AJ16" i="4"/>
  <c r="AJ102" i="4"/>
  <c r="AI29" i="4"/>
  <c r="J18" i="4"/>
  <c r="U18" i="4" s="1"/>
  <c r="V18" i="4" s="1"/>
  <c r="W18" i="4" s="1"/>
  <c r="AI22" i="4"/>
  <c r="AI63" i="4"/>
  <c r="AI55" i="4"/>
  <c r="AJ10" i="4"/>
  <c r="AJ95" i="4"/>
  <c r="AJ97" i="4"/>
  <c r="AJ126" i="4"/>
  <c r="AJ190" i="4"/>
  <c r="AJ156" i="4"/>
  <c r="AJ136" i="4"/>
  <c r="J154" i="4"/>
  <c r="K154" i="4" s="1"/>
  <c r="J121" i="4"/>
  <c r="N121" i="4" s="1"/>
  <c r="O121" i="4" s="1"/>
  <c r="Q121" i="4" s="1"/>
  <c r="AM209" i="4"/>
  <c r="AM122" i="4"/>
  <c r="AM188" i="4"/>
  <c r="AM186" i="4"/>
  <c r="AM155" i="4"/>
  <c r="AM116" i="4"/>
  <c r="AM139" i="4"/>
  <c r="AJ184" i="4"/>
  <c r="AI148" i="4"/>
  <c r="AI160" i="4"/>
  <c r="AI195" i="4"/>
  <c r="AI197" i="4"/>
  <c r="AI145" i="4"/>
  <c r="AI155" i="4"/>
  <c r="AI190" i="4"/>
  <c r="AI122" i="4"/>
  <c r="AL177" i="4"/>
  <c r="AN177" i="4" s="1"/>
  <c r="AL120" i="4"/>
  <c r="AN120" i="4" s="1"/>
  <c r="AL89" i="4"/>
  <c r="AN89" i="4" s="1"/>
  <c r="AL63" i="4"/>
  <c r="AN63" i="4" s="1"/>
  <c r="AL142" i="4"/>
  <c r="AN142" i="4" s="1"/>
  <c r="AL14" i="4"/>
  <c r="AN14" i="4" s="1"/>
  <c r="AL133" i="4"/>
  <c r="AN133" i="4" s="1"/>
  <c r="AL209" i="4"/>
  <c r="AN209" i="4" s="1"/>
  <c r="AL132" i="4"/>
  <c r="AN132" i="4" s="1"/>
  <c r="AL161" i="4"/>
  <c r="AN161" i="4" s="1"/>
  <c r="AL67" i="4"/>
  <c r="AN67" i="4" s="1"/>
  <c r="AL202" i="4"/>
  <c r="AN202" i="4" s="1"/>
  <c r="AL74" i="4"/>
  <c r="AN74" i="4" s="1"/>
  <c r="AM42" i="4"/>
  <c r="AM49" i="4"/>
  <c r="AM47" i="4"/>
  <c r="AM56" i="4"/>
  <c r="AM96" i="4"/>
  <c r="AM76" i="4"/>
  <c r="AJ66" i="4"/>
  <c r="AJ75" i="4"/>
  <c r="J60" i="4"/>
  <c r="J85" i="4"/>
  <c r="U85" i="4" s="1"/>
  <c r="V85" i="4" s="1"/>
  <c r="W85" i="4" s="1"/>
  <c r="AI69" i="4"/>
  <c r="AI31" i="4"/>
  <c r="AI73" i="4"/>
  <c r="AJ86" i="4"/>
  <c r="AJ22" i="4"/>
  <c r="AJ35" i="4"/>
  <c r="AI67" i="4"/>
  <c r="AI104" i="4"/>
  <c r="J10" i="4"/>
  <c r="AD10" i="4" s="1"/>
  <c r="AE10" i="4" s="1"/>
  <c r="AJ57" i="4"/>
  <c r="AI82" i="4"/>
  <c r="AJ67" i="4"/>
  <c r="AI26" i="4"/>
  <c r="AJ78" i="4"/>
  <c r="J143" i="4"/>
  <c r="N143" i="4" s="1"/>
  <c r="O143" i="4" s="1"/>
  <c r="Q143" i="4" s="1"/>
  <c r="J197" i="4"/>
  <c r="R197" i="4" s="1"/>
  <c r="S197" i="4" s="1"/>
  <c r="T197" i="4" s="1"/>
  <c r="AJ127" i="4"/>
  <c r="J171" i="4"/>
  <c r="K171" i="4" s="1"/>
  <c r="AJ207" i="4"/>
  <c r="AM184" i="4"/>
  <c r="AM167" i="4"/>
  <c r="AM185" i="4"/>
  <c r="AM154" i="4"/>
  <c r="AM143" i="4"/>
  <c r="AM138" i="4"/>
  <c r="AI172" i="4"/>
  <c r="AI168" i="4"/>
  <c r="AI132" i="4"/>
  <c r="AI187" i="4"/>
  <c r="AI193" i="4"/>
  <c r="AI141" i="4"/>
  <c r="AI147" i="4"/>
  <c r="AI154" i="4"/>
  <c r="AL129" i="4"/>
  <c r="AN129" i="4" s="1"/>
  <c r="AL112" i="4"/>
  <c r="AN112" i="4" s="1"/>
  <c r="AL25" i="4"/>
  <c r="AN25" i="4" s="1"/>
  <c r="AL55" i="4"/>
  <c r="AN55" i="4" s="1"/>
  <c r="AL134" i="4"/>
  <c r="AN134" i="4" s="1"/>
  <c r="AL169" i="4"/>
  <c r="AN169" i="4" s="1"/>
  <c r="AL125" i="4"/>
  <c r="AN125" i="4" s="1"/>
  <c r="AL145" i="4"/>
  <c r="AN145" i="4" s="1"/>
  <c r="AL124" i="4"/>
  <c r="AN124" i="4" s="1"/>
  <c r="AL73" i="4"/>
  <c r="AN73" i="4" s="1"/>
  <c r="AL59" i="4"/>
  <c r="AN59" i="4" s="1"/>
  <c r="AL194" i="4"/>
  <c r="AN194" i="4" s="1"/>
  <c r="AL66" i="4"/>
  <c r="AN66" i="4" s="1"/>
  <c r="AM28" i="4"/>
  <c r="AM95" i="4"/>
  <c r="AM88" i="4"/>
  <c r="AM108" i="4"/>
  <c r="AM93" i="4"/>
  <c r="AM51" i="4"/>
  <c r="AI106" i="4"/>
  <c r="AI76" i="4"/>
  <c r="AI72" i="4"/>
  <c r="J83" i="4"/>
  <c r="J17" i="4"/>
  <c r="AI56" i="4"/>
  <c r="AI84" i="4"/>
  <c r="AI19" i="4"/>
  <c r="AJ59" i="4"/>
  <c r="AI61" i="4"/>
  <c r="AJ15" i="4"/>
  <c r="J64" i="4"/>
  <c r="L64" i="4" s="1"/>
  <c r="AB64" i="4" s="1"/>
  <c r="AJ51" i="4"/>
  <c r="AJ83" i="4"/>
  <c r="AJ193" i="4"/>
  <c r="J160" i="4"/>
  <c r="L160" i="4" s="1"/>
  <c r="M160" i="4" s="1"/>
  <c r="AA160" i="4" s="1"/>
  <c r="J140" i="4"/>
  <c r="U140" i="4" s="1"/>
  <c r="V140" i="4" s="1"/>
  <c r="W140" i="4" s="1"/>
  <c r="AJ169" i="4"/>
  <c r="AJ171" i="4"/>
  <c r="AJ115" i="4"/>
  <c r="AM10" i="4"/>
  <c r="AM207" i="4"/>
  <c r="AM136" i="4"/>
  <c r="AM130" i="4"/>
  <c r="AI152" i="4"/>
  <c r="AI144" i="4"/>
  <c r="AI179" i="4"/>
  <c r="AI189" i="4"/>
  <c r="AJ141" i="4"/>
  <c r="AI186" i="4"/>
  <c r="AI118" i="4"/>
  <c r="AL81" i="4"/>
  <c r="AN81" i="4" s="1"/>
  <c r="AL104" i="4"/>
  <c r="AN104" i="4" s="1"/>
  <c r="AL175" i="4"/>
  <c r="AN175" i="4" s="1"/>
  <c r="AL47" i="4"/>
  <c r="AN47" i="4" s="1"/>
  <c r="AL126" i="4"/>
  <c r="AN126" i="4" s="1"/>
  <c r="AL113" i="4"/>
  <c r="AN113" i="4" s="1"/>
  <c r="AL117" i="4"/>
  <c r="AN117" i="4" s="1"/>
  <c r="AL97" i="4"/>
  <c r="AN97" i="4" s="1"/>
  <c r="AL116" i="4"/>
  <c r="AN116" i="4" s="1"/>
  <c r="AL203" i="4"/>
  <c r="AN203" i="4" s="1"/>
  <c r="AL51" i="4"/>
  <c r="AN51" i="4" s="1"/>
  <c r="AL186" i="4"/>
  <c r="AN186" i="4" s="1"/>
  <c r="AL58" i="4"/>
  <c r="AN58" i="4" s="1"/>
  <c r="AM64" i="4"/>
  <c r="AM34" i="4"/>
  <c r="AM72" i="4"/>
  <c r="AM68" i="4"/>
  <c r="AM30" i="4"/>
  <c r="AM41" i="4"/>
  <c r="AJ30" i="4"/>
  <c r="AJ34" i="4"/>
  <c r="AI79" i="4"/>
  <c r="AJ99" i="4"/>
  <c r="AI51" i="4"/>
  <c r="AJ100" i="4"/>
  <c r="AJ69" i="4"/>
  <c r="AJ18" i="4"/>
  <c r="AI52" i="4"/>
  <c r="AJ55" i="4"/>
  <c r="AI74" i="4"/>
  <c r="J58" i="4"/>
  <c r="L58" i="4" s="1"/>
  <c r="AI60" i="4"/>
  <c r="AI100" i="4"/>
  <c r="AJ94" i="4"/>
  <c r="AJ80" i="4"/>
  <c r="AJ135" i="4"/>
  <c r="J133" i="4"/>
  <c r="N133" i="4" s="1"/>
  <c r="O133" i="4" s="1"/>
  <c r="Q133" i="4" s="1"/>
  <c r="J130" i="4"/>
  <c r="L130" i="4" s="1"/>
  <c r="M130" i="4" s="1"/>
  <c r="AA130" i="4" s="1"/>
  <c r="AJ189" i="4"/>
  <c r="AJ125" i="4"/>
  <c r="AJ198" i="4"/>
  <c r="J201" i="4"/>
  <c r="L201" i="4" s="1"/>
  <c r="AM206" i="4"/>
  <c r="AM182" i="4"/>
  <c r="AM200" i="4"/>
  <c r="AM196" i="4"/>
  <c r="AM174" i="4"/>
  <c r="AM135" i="4"/>
  <c r="AM129" i="4"/>
  <c r="AI156" i="4"/>
  <c r="AI136" i="4"/>
  <c r="AI116" i="4"/>
  <c r="AI175" i="4"/>
  <c r="AI137" i="4"/>
  <c r="AI139" i="4"/>
  <c r="AI150" i="4"/>
  <c r="AL65" i="4"/>
  <c r="AN65" i="4" s="1"/>
  <c r="AL96" i="4"/>
  <c r="AN96" i="4" s="1"/>
  <c r="AL167" i="4"/>
  <c r="AN167" i="4" s="1"/>
  <c r="AL39" i="4"/>
  <c r="AN39" i="4" s="1"/>
  <c r="AL118" i="4"/>
  <c r="AN118" i="4" s="1"/>
  <c r="AL41" i="4"/>
  <c r="AN41" i="4" s="1"/>
  <c r="AL109" i="4"/>
  <c r="AN109" i="4" s="1"/>
  <c r="AL33" i="4"/>
  <c r="AN33" i="4" s="1"/>
  <c r="AL108" i="4"/>
  <c r="AN108" i="4" s="1"/>
  <c r="AL187" i="4"/>
  <c r="AN187" i="4" s="1"/>
  <c r="AL43" i="4"/>
  <c r="AN43" i="4" s="1"/>
  <c r="AL178" i="4"/>
  <c r="AN178" i="4" s="1"/>
  <c r="I113" i="4"/>
  <c r="I40" i="4"/>
  <c r="AJ53" i="4"/>
  <c r="AI45" i="4"/>
  <c r="AP205" i="4"/>
  <c r="AP174" i="4"/>
  <c r="AP9" i="4"/>
  <c r="AI36" i="4"/>
  <c r="AP46" i="4"/>
  <c r="I53" i="4"/>
  <c r="I45" i="4"/>
  <c r="I112" i="4"/>
  <c r="J112" i="4" s="1"/>
  <c r="N112" i="4" s="1"/>
  <c r="O112" i="4" s="1"/>
  <c r="Q112" i="4" s="1"/>
  <c r="AJ146" i="4"/>
  <c r="AJ114" i="4"/>
  <c r="AJ206" i="4"/>
  <c r="AJ209" i="4"/>
  <c r="AJ177" i="4"/>
  <c r="AJ179" i="4"/>
  <c r="AJ105" i="4"/>
  <c r="AI41" i="4"/>
  <c r="B73" i="4"/>
  <c r="AI50" i="4"/>
  <c r="AJ20" i="4"/>
  <c r="AJ50" i="4"/>
  <c r="I146" i="4"/>
  <c r="J146" i="4" s="1"/>
  <c r="R146" i="4" s="1"/>
  <c r="S146" i="4" s="1"/>
  <c r="T146" i="4" s="1"/>
  <c r="AP145" i="4"/>
  <c r="AJ113" i="4"/>
  <c r="I119" i="4"/>
  <c r="J119" i="4" s="1"/>
  <c r="L119" i="4" s="1"/>
  <c r="I184" i="4"/>
  <c r="J184" i="4" s="1"/>
  <c r="L184" i="4" s="1"/>
  <c r="AP177" i="4"/>
  <c r="I106" i="4"/>
  <c r="AJ103" i="4"/>
  <c r="I105" i="4"/>
  <c r="J105" i="4" s="1"/>
  <c r="N105" i="4" s="1"/>
  <c r="O105" i="4" s="1"/>
  <c r="Q105" i="4" s="1"/>
  <c r="AP80" i="4"/>
  <c r="AJ54" i="4"/>
  <c r="AJ101" i="4"/>
  <c r="AI9" i="4"/>
  <c r="I175" i="4"/>
  <c r="J175" i="4" s="1"/>
  <c r="N175" i="4" s="1"/>
  <c r="O175" i="4" s="1"/>
  <c r="Q175" i="4" s="1"/>
  <c r="I115" i="4"/>
  <c r="I141" i="4"/>
  <c r="J141" i="4" s="1"/>
  <c r="X141" i="4" s="1"/>
  <c r="Y141" i="4" s="1"/>
  <c r="AJ188" i="4"/>
  <c r="I109" i="4"/>
  <c r="AJ68" i="4"/>
  <c r="I9" i="4"/>
  <c r="AJ36" i="4"/>
  <c r="AI103" i="4"/>
  <c r="I174" i="4"/>
  <c r="J174" i="4" s="1"/>
  <c r="R174" i="4" s="1"/>
  <c r="S174" i="4" s="1"/>
  <c r="T174" i="4" s="1"/>
  <c r="AP191" i="4"/>
  <c r="I196" i="4"/>
  <c r="J196" i="4" s="1"/>
  <c r="L196" i="4" s="1"/>
  <c r="AJ119" i="4"/>
  <c r="AP179" i="4"/>
  <c r="B72" i="4"/>
  <c r="AI105" i="4"/>
  <c r="AP40" i="4"/>
  <c r="I36" i="4"/>
  <c r="J36" i="4" s="1"/>
  <c r="AD36" i="4" s="1"/>
  <c r="AE36" i="4" s="1"/>
  <c r="AI46" i="4"/>
  <c r="AP106" i="4"/>
  <c r="I114" i="4"/>
  <c r="J114" i="4" s="1"/>
  <c r="R114" i="4" s="1"/>
  <c r="S114" i="4" s="1"/>
  <c r="T114" i="4" s="1"/>
  <c r="I111" i="4"/>
  <c r="AP111" i="4"/>
  <c r="AP209" i="4"/>
  <c r="AP123" i="4"/>
  <c r="AP196" i="4"/>
  <c r="I200" i="4"/>
  <c r="J200" i="4" s="1"/>
  <c r="X200" i="4" s="1"/>
  <c r="Y200" i="4" s="1"/>
  <c r="B216" i="2"/>
  <c r="I50" i="4"/>
  <c r="J50" i="4" s="1"/>
  <c r="X50" i="4" s="1"/>
  <c r="Y50" i="4" s="1"/>
  <c r="AJ24" i="4"/>
  <c r="AI101" i="4"/>
  <c r="I54" i="4"/>
  <c r="J54" i="4" s="1"/>
  <c r="AD54" i="4" s="1"/>
  <c r="AE54" i="4" s="1"/>
  <c r="AI96" i="4"/>
  <c r="AP45" i="4"/>
  <c r="I20" i="4"/>
  <c r="J20" i="4" s="1"/>
  <c r="U20" i="4" s="1"/>
  <c r="V20" i="4" s="1"/>
  <c r="W20" i="4" s="1"/>
  <c r="AJ110" i="4"/>
  <c r="AP206" i="4"/>
  <c r="AP175" i="4"/>
  <c r="AP41" i="4"/>
  <c r="I41" i="4"/>
  <c r="I96" i="4"/>
  <c r="J96" i="4" s="1"/>
  <c r="K96" i="4" s="1"/>
  <c r="AP68" i="4"/>
  <c r="AP200" i="4"/>
  <c r="AJ178" i="4"/>
  <c r="I46" i="4"/>
  <c r="AJ49" i="4"/>
  <c r="AI24" i="4"/>
  <c r="I49" i="4"/>
  <c r="AI54" i="4"/>
  <c r="AJ96" i="4"/>
  <c r="AP178" i="4"/>
  <c r="AP172" i="4"/>
  <c r="I191" i="4"/>
  <c r="J191" i="4" s="1"/>
  <c r="N191" i="4" s="1"/>
  <c r="O191" i="4" s="1"/>
  <c r="Q191" i="4" s="1"/>
  <c r="AJ145" i="4"/>
  <c r="AJ205" i="4"/>
  <c r="AJ183" i="4"/>
  <c r="I179" i="4"/>
  <c r="J179" i="4" s="1"/>
  <c r="N179" i="4" s="1"/>
  <c r="O179" i="4" s="1"/>
  <c r="Q179" i="4" s="1"/>
  <c r="AP113" i="4"/>
  <c r="I209" i="4"/>
  <c r="J209" i="4" s="1"/>
  <c r="K209" i="4" s="1"/>
  <c r="AI40" i="4"/>
  <c r="AP52" i="4"/>
  <c r="AJ106" i="4"/>
  <c r="AP53" i="4"/>
  <c r="AJ142" i="4"/>
  <c r="I123" i="4"/>
  <c r="J123" i="4" s="1"/>
  <c r="K123" i="4" s="1"/>
  <c r="I188" i="4"/>
  <c r="J188" i="4" s="1"/>
  <c r="N188" i="4" s="1"/>
  <c r="O188" i="4" s="1"/>
  <c r="Q188" i="4" s="1"/>
  <c r="I177" i="4"/>
  <c r="J177" i="4" s="1"/>
  <c r="K177" i="4" s="1"/>
  <c r="I101" i="4"/>
  <c r="J101" i="4" s="1"/>
  <c r="K101" i="4" s="1"/>
  <c r="AJ9" i="4"/>
  <c r="AP42" i="4"/>
  <c r="AP112" i="4"/>
  <c r="AJ123" i="4"/>
  <c r="AJ191" i="4"/>
  <c r="I178" i="4"/>
  <c r="J178" i="4" s="1"/>
  <c r="K178" i="4" s="1"/>
  <c r="I110" i="4"/>
  <c r="J110" i="4" s="1"/>
  <c r="L110" i="4" s="1"/>
  <c r="AP107" i="4"/>
  <c r="I142" i="4"/>
  <c r="J142" i="4" s="1"/>
  <c r="U142" i="4" s="1"/>
  <c r="V142" i="4" s="1"/>
  <c r="W142" i="4" s="1"/>
  <c r="AP114" i="4"/>
  <c r="AJ172" i="4"/>
  <c r="I145" i="4"/>
  <c r="J145" i="4" s="1"/>
  <c r="AD145" i="4" s="1"/>
  <c r="AE145" i="4" s="1"/>
  <c r="I24" i="4"/>
  <c r="AP119" i="4"/>
  <c r="B39" i="2"/>
  <c r="J190" i="4"/>
  <c r="U190" i="4" s="1"/>
  <c r="V190" i="4" s="1"/>
  <c r="W190" i="4" s="1"/>
  <c r="J27" i="4"/>
  <c r="X27" i="4" s="1"/>
  <c r="Y27" i="4" s="1"/>
  <c r="J203" i="4"/>
  <c r="AD203" i="4" s="1"/>
  <c r="AE203" i="4" s="1"/>
  <c r="N183" i="4" l="1"/>
  <c r="O183" i="4" s="1"/>
  <c r="Q183" i="4" s="1"/>
  <c r="N116" i="4"/>
  <c r="O116" i="4" s="1"/>
  <c r="Q116" i="4" s="1"/>
  <c r="X183" i="4"/>
  <c r="Y183" i="4" s="1"/>
  <c r="K161" i="4"/>
  <c r="R161" i="4"/>
  <c r="S161" i="4" s="1"/>
  <c r="T161" i="4" s="1"/>
  <c r="U161" i="4"/>
  <c r="V161" i="4" s="1"/>
  <c r="W161" i="4" s="1"/>
  <c r="R198" i="4"/>
  <c r="S198" i="4" s="1"/>
  <c r="T198" i="4" s="1"/>
  <c r="N198" i="4"/>
  <c r="O198" i="4" s="1"/>
  <c r="Q198" i="4" s="1"/>
  <c r="X198" i="4"/>
  <c r="Y198" i="4" s="1"/>
  <c r="L198" i="4"/>
  <c r="B85" i="2"/>
  <c r="AD183" i="4"/>
  <c r="AE183" i="4" s="1"/>
  <c r="L158" i="4"/>
  <c r="AB158" i="4" s="1"/>
  <c r="U88" i="4"/>
  <c r="V88" i="4" s="1"/>
  <c r="W88" i="4" s="1"/>
  <c r="J126" i="4"/>
  <c r="R126" i="4" s="1"/>
  <c r="S126" i="4" s="1"/>
  <c r="T126" i="4" s="1"/>
  <c r="L140" i="4"/>
  <c r="M140" i="4" s="1"/>
  <c r="AA140" i="4" s="1"/>
  <c r="R140" i="4"/>
  <c r="S140" i="4" s="1"/>
  <c r="T140" i="4" s="1"/>
  <c r="D242" i="2"/>
  <c r="B245" i="2" s="1"/>
  <c r="D243" i="2" s="1"/>
  <c r="E243" i="2" s="1"/>
  <c r="B244" i="2"/>
  <c r="D44" i="16" s="1"/>
  <c r="J128" i="4"/>
  <c r="AD128" i="4" s="1"/>
  <c r="AE128" i="4" s="1"/>
  <c r="AD88" i="4"/>
  <c r="AE88" i="4" s="1"/>
  <c r="K140" i="4"/>
  <c r="L88" i="4"/>
  <c r="Z88" i="4" s="1"/>
  <c r="K56" i="4"/>
  <c r="R56" i="4"/>
  <c r="S56" i="4" s="1"/>
  <c r="T56" i="4" s="1"/>
  <c r="N56" i="4"/>
  <c r="O56" i="4" s="1"/>
  <c r="Q56" i="4" s="1"/>
  <c r="U56" i="4"/>
  <c r="V56" i="4" s="1"/>
  <c r="W56" i="4" s="1"/>
  <c r="AD140" i="4"/>
  <c r="AE140" i="4" s="1"/>
  <c r="L183" i="4"/>
  <c r="AB183" i="4" s="1"/>
  <c r="U183" i="4"/>
  <c r="V183" i="4" s="1"/>
  <c r="W183" i="4" s="1"/>
  <c r="U143" i="4"/>
  <c r="V143" i="4" s="1"/>
  <c r="W143" i="4" s="1"/>
  <c r="R183" i="4"/>
  <c r="S183" i="4" s="1"/>
  <c r="T183" i="4" s="1"/>
  <c r="K198" i="4"/>
  <c r="Z198" i="4" s="1"/>
  <c r="AD198" i="4"/>
  <c r="AE198" i="4" s="1"/>
  <c r="X194" i="4"/>
  <c r="Y194" i="4" s="1"/>
  <c r="R194" i="4"/>
  <c r="S194" i="4" s="1"/>
  <c r="T194" i="4" s="1"/>
  <c r="B30" i="2"/>
  <c r="E16" i="1" s="1"/>
  <c r="AD171" i="4"/>
  <c r="AE171" i="4" s="1"/>
  <c r="X136" i="4"/>
  <c r="Y136" i="4" s="1"/>
  <c r="L136" i="4"/>
  <c r="M136" i="4" s="1"/>
  <c r="AA136" i="4" s="1"/>
  <c r="X153" i="4"/>
  <c r="Y153" i="4" s="1"/>
  <c r="L170" i="4"/>
  <c r="R27" i="4"/>
  <c r="S27" i="4" s="1"/>
  <c r="T27" i="4" s="1"/>
  <c r="K170" i="4"/>
  <c r="X170" i="4"/>
  <c r="Y170" i="4" s="1"/>
  <c r="R209" i="4"/>
  <c r="S209" i="4" s="1"/>
  <c r="T209" i="4" s="1"/>
  <c r="X199" i="4"/>
  <c r="Y199" i="4" s="1"/>
  <c r="R208" i="4"/>
  <c r="S208" i="4" s="1"/>
  <c r="T208" i="4" s="1"/>
  <c r="R199" i="4"/>
  <c r="S199" i="4" s="1"/>
  <c r="T199" i="4" s="1"/>
  <c r="AD199" i="4"/>
  <c r="AE199" i="4" s="1"/>
  <c r="U136" i="4"/>
  <c r="V136" i="4" s="1"/>
  <c r="W136" i="4" s="1"/>
  <c r="U199" i="4"/>
  <c r="V199" i="4" s="1"/>
  <c r="W199" i="4" s="1"/>
  <c r="L199" i="4"/>
  <c r="K199" i="4"/>
  <c r="R136" i="4"/>
  <c r="S136" i="4" s="1"/>
  <c r="T136" i="4" s="1"/>
  <c r="AD32" i="4"/>
  <c r="AE32" i="4" s="1"/>
  <c r="R97" i="4"/>
  <c r="S97" i="4" s="1"/>
  <c r="T97" i="4" s="1"/>
  <c r="K97" i="4"/>
  <c r="N186" i="4"/>
  <c r="O186" i="4" s="1"/>
  <c r="Q186" i="4" s="1"/>
  <c r="L186" i="4"/>
  <c r="M186" i="4" s="1"/>
  <c r="AA186" i="4" s="1"/>
  <c r="AD186" i="4"/>
  <c r="AE186" i="4" s="1"/>
  <c r="AD64" i="4"/>
  <c r="AE64" i="4" s="1"/>
  <c r="L181" i="4"/>
  <c r="M181" i="4" s="1"/>
  <c r="AA181" i="4" s="1"/>
  <c r="R186" i="4"/>
  <c r="S186" i="4" s="1"/>
  <c r="T186" i="4" s="1"/>
  <c r="K181" i="4"/>
  <c r="R32" i="4"/>
  <c r="S32" i="4" s="1"/>
  <c r="T32" i="4" s="1"/>
  <c r="X97" i="4"/>
  <c r="Y97" i="4" s="1"/>
  <c r="N181" i="4"/>
  <c r="O181" i="4" s="1"/>
  <c r="Q181" i="4" s="1"/>
  <c r="R181" i="4"/>
  <c r="S181" i="4" s="1"/>
  <c r="T181" i="4" s="1"/>
  <c r="N97" i="4"/>
  <c r="O97" i="4" s="1"/>
  <c r="Q97" i="4" s="1"/>
  <c r="X32" i="4"/>
  <c r="Y32" i="4" s="1"/>
  <c r="U186" i="4"/>
  <c r="V186" i="4" s="1"/>
  <c r="W186" i="4" s="1"/>
  <c r="K129" i="4"/>
  <c r="X129" i="4"/>
  <c r="Y129" i="4" s="1"/>
  <c r="U181" i="4"/>
  <c r="V181" i="4" s="1"/>
  <c r="W181" i="4" s="1"/>
  <c r="K186" i="4"/>
  <c r="R129" i="4"/>
  <c r="S129" i="4" s="1"/>
  <c r="T129" i="4" s="1"/>
  <c r="N129" i="4"/>
  <c r="O129" i="4" s="1"/>
  <c r="Q129" i="4" s="1"/>
  <c r="X181" i="4"/>
  <c r="Y181" i="4" s="1"/>
  <c r="AD129" i="4"/>
  <c r="AE129" i="4" s="1"/>
  <c r="L129" i="4"/>
  <c r="AB129" i="4" s="1"/>
  <c r="N165" i="4"/>
  <c r="O165" i="4" s="1"/>
  <c r="Q165" i="4" s="1"/>
  <c r="X123" i="4"/>
  <c r="Y123" i="4" s="1"/>
  <c r="N136" i="4"/>
  <c r="O136" i="4" s="1"/>
  <c r="Q136" i="4" s="1"/>
  <c r="L166" i="4"/>
  <c r="N166" i="4"/>
  <c r="O166" i="4" s="1"/>
  <c r="Q166" i="4" s="1"/>
  <c r="R166" i="4"/>
  <c r="S166" i="4" s="1"/>
  <c r="T166" i="4" s="1"/>
  <c r="N103" i="4"/>
  <c r="O103" i="4" s="1"/>
  <c r="Q103" i="4" s="1"/>
  <c r="K103" i="4"/>
  <c r="L103" i="4"/>
  <c r="R103" i="4"/>
  <c r="S103" i="4" s="1"/>
  <c r="T103" i="4" s="1"/>
  <c r="K81" i="4"/>
  <c r="AD81" i="4"/>
  <c r="AE81" i="4" s="1"/>
  <c r="L81" i="4"/>
  <c r="N81" i="4"/>
  <c r="O81" i="4" s="1"/>
  <c r="Q81" i="4" s="1"/>
  <c r="X81" i="4"/>
  <c r="Y81" i="4" s="1"/>
  <c r="U81" i="4"/>
  <c r="V81" i="4" s="1"/>
  <c r="W81" i="4" s="1"/>
  <c r="R81" i="4"/>
  <c r="S81" i="4" s="1"/>
  <c r="T81" i="4" s="1"/>
  <c r="L176" i="4"/>
  <c r="AF176" i="4" s="1"/>
  <c r="AG176" i="4" s="1"/>
  <c r="AS176" i="4" s="1"/>
  <c r="N176" i="4"/>
  <c r="O176" i="4" s="1"/>
  <c r="Q176" i="4" s="1"/>
  <c r="X176" i="4"/>
  <c r="Y176" i="4" s="1"/>
  <c r="R176" i="4"/>
  <c r="S176" i="4" s="1"/>
  <c r="T176" i="4" s="1"/>
  <c r="U176" i="4"/>
  <c r="V176" i="4" s="1"/>
  <c r="W176" i="4" s="1"/>
  <c r="AD176" i="4"/>
  <c r="AE176" i="4" s="1"/>
  <c r="K176" i="4"/>
  <c r="N204" i="4"/>
  <c r="O204" i="4" s="1"/>
  <c r="Q204" i="4" s="1"/>
  <c r="L204" i="4"/>
  <c r="M204" i="4" s="1"/>
  <c r="AA204" i="4" s="1"/>
  <c r="X166" i="4"/>
  <c r="Y166" i="4" s="1"/>
  <c r="X193" i="4"/>
  <c r="Y193" i="4" s="1"/>
  <c r="U69" i="4"/>
  <c r="V69" i="4" s="1"/>
  <c r="W69" i="4" s="1"/>
  <c r="U51" i="4"/>
  <c r="V51" i="4" s="1"/>
  <c r="W51" i="4" s="1"/>
  <c r="U103" i="4"/>
  <c r="V103" i="4" s="1"/>
  <c r="W103" i="4" s="1"/>
  <c r="L51" i="4"/>
  <c r="M51" i="4" s="1"/>
  <c r="AA51" i="4" s="1"/>
  <c r="K51" i="4"/>
  <c r="AD103" i="4"/>
  <c r="AE103" i="4" s="1"/>
  <c r="X103" i="4"/>
  <c r="Y103" i="4" s="1"/>
  <c r="U123" i="4"/>
  <c r="V123" i="4" s="1"/>
  <c r="W123" i="4" s="1"/>
  <c r="R13" i="4"/>
  <c r="S13" i="4" s="1"/>
  <c r="T13" i="4" s="1"/>
  <c r="K116" i="4"/>
  <c r="X116" i="4"/>
  <c r="Y116" i="4" s="1"/>
  <c r="L116" i="4"/>
  <c r="AB116" i="4" s="1"/>
  <c r="N69" i="4"/>
  <c r="O69" i="4" s="1"/>
  <c r="Q69" i="4" s="1"/>
  <c r="K158" i="4"/>
  <c r="AD116" i="4"/>
  <c r="AE116" i="4" s="1"/>
  <c r="X158" i="4"/>
  <c r="Y158" i="4" s="1"/>
  <c r="N158" i="4"/>
  <c r="O158" i="4" s="1"/>
  <c r="Q158" i="4" s="1"/>
  <c r="U116" i="4"/>
  <c r="V116" i="4" s="1"/>
  <c r="W116" i="4" s="1"/>
  <c r="AD158" i="4"/>
  <c r="AE158" i="4" s="1"/>
  <c r="R168" i="4"/>
  <c r="S168" i="4" s="1"/>
  <c r="T168" i="4" s="1"/>
  <c r="U168" i="4"/>
  <c r="V168" i="4" s="1"/>
  <c r="W168" i="4" s="1"/>
  <c r="K65" i="4"/>
  <c r="AD65" i="4"/>
  <c r="AE65" i="4" s="1"/>
  <c r="U65" i="4"/>
  <c r="V65" i="4" s="1"/>
  <c r="W65" i="4" s="1"/>
  <c r="X65" i="4"/>
  <c r="Y65" i="4" s="1"/>
  <c r="R65" i="4"/>
  <c r="S65" i="4" s="1"/>
  <c r="T65" i="4" s="1"/>
  <c r="L65" i="4"/>
  <c r="AB65" i="4" s="1"/>
  <c r="N65" i="4"/>
  <c r="O65" i="4" s="1"/>
  <c r="Q65" i="4" s="1"/>
  <c r="U193" i="4"/>
  <c r="V193" i="4" s="1"/>
  <c r="W193" i="4" s="1"/>
  <c r="U166" i="4"/>
  <c r="V166" i="4" s="1"/>
  <c r="W166" i="4" s="1"/>
  <c r="AD170" i="4"/>
  <c r="AE170" i="4" s="1"/>
  <c r="K155" i="4"/>
  <c r="R88" i="4"/>
  <c r="S88" i="4" s="1"/>
  <c r="T88" i="4" s="1"/>
  <c r="J33" i="4"/>
  <c r="AD33" i="4" s="1"/>
  <c r="AE33" i="4" s="1"/>
  <c r="AD51" i="4"/>
  <c r="AE51" i="4" s="1"/>
  <c r="X51" i="4"/>
  <c r="Y51" i="4" s="1"/>
  <c r="AD155" i="4"/>
  <c r="AE155" i="4" s="1"/>
  <c r="AD193" i="4"/>
  <c r="AE193" i="4" s="1"/>
  <c r="K166" i="4"/>
  <c r="U155" i="4"/>
  <c r="V155" i="4" s="1"/>
  <c r="W155" i="4" s="1"/>
  <c r="U27" i="4"/>
  <c r="V27" i="4" s="1"/>
  <c r="W27" i="4" s="1"/>
  <c r="U204" i="4"/>
  <c r="V204" i="4" s="1"/>
  <c r="W204" i="4" s="1"/>
  <c r="N153" i="4"/>
  <c r="O153" i="4" s="1"/>
  <c r="Q153" i="4" s="1"/>
  <c r="N13" i="4"/>
  <c r="O13" i="4" s="1"/>
  <c r="Q13" i="4" s="1"/>
  <c r="R153" i="4"/>
  <c r="S153" i="4" s="1"/>
  <c r="T153" i="4" s="1"/>
  <c r="N51" i="4"/>
  <c r="O51" i="4" s="1"/>
  <c r="Q51" i="4" s="1"/>
  <c r="X167" i="4"/>
  <c r="Y167" i="4" s="1"/>
  <c r="AD27" i="4"/>
  <c r="AE27" i="4" s="1"/>
  <c r="X34" i="4"/>
  <c r="Y34" i="4" s="1"/>
  <c r="L153" i="4"/>
  <c r="Z153" i="4" s="1"/>
  <c r="U152" i="4"/>
  <c r="V152" i="4" s="1"/>
  <c r="W152" i="4" s="1"/>
  <c r="N167" i="4"/>
  <c r="O167" i="4" s="1"/>
  <c r="Q167" i="4" s="1"/>
  <c r="U34" i="4"/>
  <c r="V34" i="4" s="1"/>
  <c r="W34" i="4" s="1"/>
  <c r="R50" i="4"/>
  <c r="S50" i="4" s="1"/>
  <c r="T50" i="4" s="1"/>
  <c r="J125" i="4"/>
  <c r="AD125" i="4" s="1"/>
  <c r="AE125" i="4" s="1"/>
  <c r="X152" i="4"/>
  <c r="Y152" i="4" s="1"/>
  <c r="L167" i="4"/>
  <c r="X110" i="4"/>
  <c r="Y110" i="4" s="1"/>
  <c r="AD34" i="4"/>
  <c r="AE34" i="4" s="1"/>
  <c r="X58" i="4"/>
  <c r="Y58" i="4" s="1"/>
  <c r="AD152" i="4"/>
  <c r="AE152" i="4" s="1"/>
  <c r="R167" i="4"/>
  <c r="S167" i="4" s="1"/>
  <c r="T167" i="4" s="1"/>
  <c r="U110" i="4"/>
  <c r="V110" i="4" s="1"/>
  <c r="W110" i="4" s="1"/>
  <c r="U58" i="4"/>
  <c r="V58" i="4" s="1"/>
  <c r="W58" i="4" s="1"/>
  <c r="AD166" i="4"/>
  <c r="AE166" i="4" s="1"/>
  <c r="AD167" i="4"/>
  <c r="AE167" i="4" s="1"/>
  <c r="N110" i="4"/>
  <c r="O110" i="4" s="1"/>
  <c r="Q110" i="4" s="1"/>
  <c r="AD58" i="4"/>
  <c r="AE58" i="4" s="1"/>
  <c r="K167" i="4"/>
  <c r="R110" i="4"/>
  <c r="S110" i="4" s="1"/>
  <c r="T110" i="4" s="1"/>
  <c r="N155" i="4"/>
  <c r="O155" i="4" s="1"/>
  <c r="Q155" i="4" s="1"/>
  <c r="AD110" i="4"/>
  <c r="AE110" i="4" s="1"/>
  <c r="X88" i="4"/>
  <c r="Y88" i="4" s="1"/>
  <c r="R193" i="4"/>
  <c r="S193" i="4" s="1"/>
  <c r="T193" i="4" s="1"/>
  <c r="U170" i="4"/>
  <c r="V170" i="4" s="1"/>
  <c r="W170" i="4" s="1"/>
  <c r="R170" i="4"/>
  <c r="S170" i="4" s="1"/>
  <c r="T170" i="4" s="1"/>
  <c r="L155" i="4"/>
  <c r="M155" i="4" s="1"/>
  <c r="AA155" i="4" s="1"/>
  <c r="K68" i="4"/>
  <c r="AD68" i="4"/>
  <c r="AE68" i="4" s="1"/>
  <c r="X68" i="4"/>
  <c r="Y68" i="4" s="1"/>
  <c r="N68" i="4"/>
  <c r="O68" i="4" s="1"/>
  <c r="Q68" i="4" s="1"/>
  <c r="R68" i="4"/>
  <c r="S68" i="4" s="1"/>
  <c r="T68" i="4" s="1"/>
  <c r="U68" i="4"/>
  <c r="V68" i="4" s="1"/>
  <c r="W68" i="4" s="1"/>
  <c r="U55" i="4"/>
  <c r="V55" i="4" s="1"/>
  <c r="W55" i="4" s="1"/>
  <c r="K55" i="4"/>
  <c r="R107" i="4"/>
  <c r="S107" i="4" s="1"/>
  <c r="T107" i="4" s="1"/>
  <c r="X107" i="4"/>
  <c r="Y107" i="4" s="1"/>
  <c r="K107" i="4"/>
  <c r="N107" i="4"/>
  <c r="O107" i="4" s="1"/>
  <c r="Q107" i="4" s="1"/>
  <c r="L107" i="4"/>
  <c r="AB107" i="4" s="1"/>
  <c r="U182" i="4"/>
  <c r="V182" i="4" s="1"/>
  <c r="W182" i="4" s="1"/>
  <c r="K182" i="4"/>
  <c r="K131" i="4"/>
  <c r="U131" i="4"/>
  <c r="V131" i="4" s="1"/>
  <c r="W131" i="4" s="1"/>
  <c r="R131" i="4"/>
  <c r="S131" i="4" s="1"/>
  <c r="T131" i="4" s="1"/>
  <c r="N131" i="4"/>
  <c r="O131" i="4" s="1"/>
  <c r="Q131" i="4" s="1"/>
  <c r="L131" i="4"/>
  <c r="M131" i="4" s="1"/>
  <c r="AA131" i="4" s="1"/>
  <c r="L159" i="4"/>
  <c r="AD159" i="4"/>
  <c r="AE159" i="4" s="1"/>
  <c r="K180" i="4"/>
  <c r="U180" i="4"/>
  <c r="V180" i="4" s="1"/>
  <c r="W180" i="4" s="1"/>
  <c r="AD204" i="4"/>
  <c r="AE204" i="4" s="1"/>
  <c r="X180" i="4"/>
  <c r="Y180" i="4" s="1"/>
  <c r="A89" i="8"/>
  <c r="A92" i="8"/>
  <c r="AD180" i="4"/>
  <c r="AE180" i="4" s="1"/>
  <c r="X204" i="4"/>
  <c r="Y204" i="4" s="1"/>
  <c r="AD107" i="4"/>
  <c r="AE107" i="4" s="1"/>
  <c r="R204" i="4"/>
  <c r="S204" i="4" s="1"/>
  <c r="T204" i="4" s="1"/>
  <c r="U107" i="4"/>
  <c r="V107" i="4" s="1"/>
  <c r="W107" i="4" s="1"/>
  <c r="B153" i="2"/>
  <c r="B146" i="2" s="1"/>
  <c r="A98" i="8"/>
  <c r="K204" i="4"/>
  <c r="A70" i="8"/>
  <c r="X19" i="4"/>
  <c r="Y19" i="4" s="1"/>
  <c r="A102" i="8"/>
  <c r="L19" i="4"/>
  <c r="M19" i="4" s="1"/>
  <c r="AA19" i="4" s="1"/>
  <c r="J48" i="4"/>
  <c r="X48" i="4" s="1"/>
  <c r="Y48" i="4" s="1"/>
  <c r="J147" i="4"/>
  <c r="U147" i="4" s="1"/>
  <c r="V147" i="4" s="1"/>
  <c r="W147" i="4" s="1"/>
  <c r="U19" i="4"/>
  <c r="V19" i="4" s="1"/>
  <c r="W19" i="4" s="1"/>
  <c r="A97" i="8"/>
  <c r="X191" i="4"/>
  <c r="Y191" i="4" s="1"/>
  <c r="A103" i="8"/>
  <c r="AR37" i="3"/>
  <c r="AQ37" i="3"/>
  <c r="A38" i="3"/>
  <c r="B37" i="3"/>
  <c r="A76" i="8"/>
  <c r="K19" i="4"/>
  <c r="AD138" i="4"/>
  <c r="AE138" i="4" s="1"/>
  <c r="R19" i="4"/>
  <c r="S19" i="4" s="1"/>
  <c r="T19" i="4" s="1"/>
  <c r="AD201" i="4"/>
  <c r="AE201" i="4" s="1"/>
  <c r="K138" i="4"/>
  <c r="Z138" i="4" s="1"/>
  <c r="J150" i="4"/>
  <c r="X150" i="4" s="1"/>
  <c r="Y150" i="4" s="1"/>
  <c r="AD89" i="4"/>
  <c r="AE89" i="4" s="1"/>
  <c r="AD19" i="4"/>
  <c r="AE19" i="4" s="1"/>
  <c r="R138" i="4"/>
  <c r="S138" i="4" s="1"/>
  <c r="T138" i="4" s="1"/>
  <c r="D37" i="3"/>
  <c r="U121" i="4"/>
  <c r="V121" i="4" s="1"/>
  <c r="W121" i="4" s="1"/>
  <c r="X138" i="4"/>
  <c r="Y138" i="4" s="1"/>
  <c r="A72" i="8"/>
  <c r="A111" i="8"/>
  <c r="A83" i="8"/>
  <c r="A105" i="8"/>
  <c r="L171" i="4"/>
  <c r="AF171" i="4" s="1"/>
  <c r="AR35" i="3"/>
  <c r="B35" i="3"/>
  <c r="AQ35" i="3"/>
  <c r="G97" i="2"/>
  <c r="G98" i="2" s="1"/>
  <c r="F97" i="2"/>
  <c r="F98" i="2" s="1"/>
  <c r="E54" i="1" s="1"/>
  <c r="C61" i="16" s="1"/>
  <c r="D61" i="16" s="1"/>
  <c r="X66" i="4"/>
  <c r="Y66" i="4" s="1"/>
  <c r="K66" i="4"/>
  <c r="AD137" i="4"/>
  <c r="AE137" i="4" s="1"/>
  <c r="K137" i="4"/>
  <c r="X28" i="4"/>
  <c r="Y28" i="4" s="1"/>
  <c r="L28" i="4"/>
  <c r="K95" i="4"/>
  <c r="L95" i="4"/>
  <c r="AB95" i="4" s="1"/>
  <c r="N26" i="4"/>
  <c r="O26" i="4" s="1"/>
  <c r="Q26" i="4" s="1"/>
  <c r="L26" i="4"/>
  <c r="M26" i="4" s="1"/>
  <c r="AA26" i="4" s="1"/>
  <c r="L192" i="4"/>
  <c r="M192" i="4" s="1"/>
  <c r="AA192" i="4" s="1"/>
  <c r="K192" i="4"/>
  <c r="N156" i="4"/>
  <c r="O156" i="4" s="1"/>
  <c r="Q156" i="4" s="1"/>
  <c r="K121" i="4"/>
  <c r="X62" i="4"/>
  <c r="Y62" i="4" s="1"/>
  <c r="AD62" i="4"/>
  <c r="AE62" i="4" s="1"/>
  <c r="X121" i="4"/>
  <c r="Y121" i="4" s="1"/>
  <c r="AD121" i="4"/>
  <c r="AE121" i="4" s="1"/>
  <c r="K32" i="4"/>
  <c r="K64" i="4"/>
  <c r="AF64" i="4" s="1"/>
  <c r="B42" i="2"/>
  <c r="B15" i="6" s="1"/>
  <c r="U28" i="4"/>
  <c r="V28" i="4" s="1"/>
  <c r="W28" i="4" s="1"/>
  <c r="B100" i="2"/>
  <c r="B259" i="2"/>
  <c r="B129" i="2"/>
  <c r="E65" i="1" s="1"/>
  <c r="N62" i="4"/>
  <c r="O62" i="4" s="1"/>
  <c r="Q62" i="4" s="1"/>
  <c r="B80" i="2"/>
  <c r="E41" i="1" s="1"/>
  <c r="B28" i="2"/>
  <c r="B62" i="2"/>
  <c r="R31" i="4"/>
  <c r="S31" i="4" s="1"/>
  <c r="T31" i="4" s="1"/>
  <c r="B159" i="2"/>
  <c r="J132" i="4"/>
  <c r="X132" i="4" s="1"/>
  <c r="Y132" i="4" s="1"/>
  <c r="A259" i="2"/>
  <c r="U31" i="4"/>
  <c r="V31" i="4" s="1"/>
  <c r="W31" i="4" s="1"/>
  <c r="J127" i="4"/>
  <c r="AD31" i="4"/>
  <c r="AE31" i="4" s="1"/>
  <c r="L31" i="4"/>
  <c r="AF31" i="4" s="1"/>
  <c r="AR682" i="3"/>
  <c r="B682" i="3"/>
  <c r="C682" i="3"/>
  <c r="AQ682" i="3"/>
  <c r="D682" i="3"/>
  <c r="N18" i="4"/>
  <c r="O18" i="4" s="1"/>
  <c r="Q18" i="4" s="1"/>
  <c r="U198" i="4"/>
  <c r="V198" i="4" s="1"/>
  <c r="W198" i="4" s="1"/>
  <c r="X208" i="4"/>
  <c r="Y208" i="4" s="1"/>
  <c r="R156" i="4"/>
  <c r="S156" i="4" s="1"/>
  <c r="T156" i="4" s="1"/>
  <c r="X104" i="4"/>
  <c r="Y104" i="4" s="1"/>
  <c r="L104" i="4"/>
  <c r="M104" i="4" s="1"/>
  <c r="AA104" i="4" s="1"/>
  <c r="N72" i="4"/>
  <c r="O72" i="4" s="1"/>
  <c r="Q72" i="4" s="1"/>
  <c r="K72" i="4"/>
  <c r="R72" i="4"/>
  <c r="S72" i="4" s="1"/>
  <c r="T72" i="4" s="1"/>
  <c r="U72" i="4"/>
  <c r="V72" i="4" s="1"/>
  <c r="W72" i="4" s="1"/>
  <c r="AD72" i="4"/>
  <c r="AE72" i="4" s="1"/>
  <c r="L72" i="4"/>
  <c r="X72" i="4"/>
  <c r="Y72" i="4" s="1"/>
  <c r="K136" i="4"/>
  <c r="U138" i="4"/>
  <c r="V138" i="4" s="1"/>
  <c r="W138" i="4" s="1"/>
  <c r="R155" i="4"/>
  <c r="S155" i="4" s="1"/>
  <c r="T155" i="4" s="1"/>
  <c r="U153" i="4"/>
  <c r="V153" i="4" s="1"/>
  <c r="W153" i="4" s="1"/>
  <c r="N123" i="4"/>
  <c r="O123" i="4" s="1"/>
  <c r="Q123" i="4" s="1"/>
  <c r="N138" i="4"/>
  <c r="O138" i="4" s="1"/>
  <c r="Q138" i="4" s="1"/>
  <c r="AD153" i="4"/>
  <c r="AE153" i="4" s="1"/>
  <c r="J195" i="4"/>
  <c r="U195" i="4" s="1"/>
  <c r="V195" i="4" s="1"/>
  <c r="W195" i="4" s="1"/>
  <c r="U52" i="4"/>
  <c r="V52" i="4" s="1"/>
  <c r="W52" i="4" s="1"/>
  <c r="L123" i="4"/>
  <c r="R37" i="4"/>
  <c r="S37" i="4" s="1"/>
  <c r="T37" i="4" s="1"/>
  <c r="R123" i="4"/>
  <c r="S123" i="4" s="1"/>
  <c r="T123" i="4" s="1"/>
  <c r="K37" i="4"/>
  <c r="AD135" i="4"/>
  <c r="AE135" i="4" s="1"/>
  <c r="K50" i="4"/>
  <c r="R188" i="4"/>
  <c r="S188" i="4" s="1"/>
  <c r="T188" i="4" s="1"/>
  <c r="K110" i="4"/>
  <c r="AF110" i="4" s="1"/>
  <c r="X188" i="4"/>
  <c r="Y188" i="4" s="1"/>
  <c r="N28" i="4"/>
  <c r="O28" i="4" s="1"/>
  <c r="Q28" i="4" s="1"/>
  <c r="U105" i="4"/>
  <c r="V105" i="4" s="1"/>
  <c r="W105" i="4" s="1"/>
  <c r="AD188" i="4"/>
  <c r="AE188" i="4" s="1"/>
  <c r="K105" i="4"/>
  <c r="AD123" i="4"/>
  <c r="AE123" i="4" s="1"/>
  <c r="K172" i="4"/>
  <c r="X174" i="4"/>
  <c r="Y174" i="4" s="1"/>
  <c r="K188" i="4"/>
  <c r="AD69" i="4"/>
  <c r="AE69" i="4" s="1"/>
  <c r="R28" i="4"/>
  <c r="S28" i="4" s="1"/>
  <c r="T28" i="4" s="1"/>
  <c r="X112" i="4"/>
  <c r="Y112" i="4" s="1"/>
  <c r="N88" i="4"/>
  <c r="O88" i="4" s="1"/>
  <c r="Q88" i="4" s="1"/>
  <c r="AD22" i="4"/>
  <c r="AE22" i="4" s="1"/>
  <c r="AD139" i="4"/>
  <c r="AE139" i="4" s="1"/>
  <c r="K38" i="4"/>
  <c r="R205" i="4"/>
  <c r="S205" i="4" s="1"/>
  <c r="T205" i="4" s="1"/>
  <c r="N134" i="4"/>
  <c r="O134" i="4" s="1"/>
  <c r="Q134" i="4" s="1"/>
  <c r="AD209" i="4"/>
  <c r="AE209" i="4" s="1"/>
  <c r="U191" i="4"/>
  <c r="V191" i="4" s="1"/>
  <c r="W191" i="4" s="1"/>
  <c r="N171" i="4"/>
  <c r="O171" i="4" s="1"/>
  <c r="Q171" i="4" s="1"/>
  <c r="R162" i="4"/>
  <c r="S162" i="4" s="1"/>
  <c r="T162" i="4" s="1"/>
  <c r="R133" i="4"/>
  <c r="S133" i="4" s="1"/>
  <c r="T133" i="4" s="1"/>
  <c r="K58" i="4"/>
  <c r="AF58" i="4" s="1"/>
  <c r="R191" i="4"/>
  <c r="S191" i="4" s="1"/>
  <c r="T191" i="4" s="1"/>
  <c r="L191" i="4"/>
  <c r="M191" i="4" s="1"/>
  <c r="AA191" i="4" s="1"/>
  <c r="U104" i="4"/>
  <c r="V104" i="4" s="1"/>
  <c r="W104" i="4" s="1"/>
  <c r="X133" i="4"/>
  <c r="Y133" i="4" s="1"/>
  <c r="K191" i="4"/>
  <c r="N122" i="4"/>
  <c r="O122" i="4" s="1"/>
  <c r="Q122" i="4" s="1"/>
  <c r="U171" i="4"/>
  <c r="V171" i="4" s="1"/>
  <c r="W171" i="4" s="1"/>
  <c r="K162" i="4"/>
  <c r="R171" i="4"/>
  <c r="S171" i="4" s="1"/>
  <c r="T171" i="4" s="1"/>
  <c r="X171" i="4"/>
  <c r="Y171" i="4" s="1"/>
  <c r="X165" i="4"/>
  <c r="Y165" i="4" s="1"/>
  <c r="U165" i="4"/>
  <c r="V165" i="4" s="1"/>
  <c r="W165" i="4" s="1"/>
  <c r="X154" i="4"/>
  <c r="Y154" i="4" s="1"/>
  <c r="N119" i="4"/>
  <c r="O119" i="4" s="1"/>
  <c r="Q119" i="4" s="1"/>
  <c r="AD96" i="4"/>
  <c r="AE96" i="4" s="1"/>
  <c r="AD165" i="4"/>
  <c r="AE165" i="4" s="1"/>
  <c r="AD122" i="4"/>
  <c r="AE122" i="4" s="1"/>
  <c r="U122" i="4"/>
  <c r="V122" i="4" s="1"/>
  <c r="W122" i="4" s="1"/>
  <c r="L154" i="4"/>
  <c r="Z154" i="4" s="1"/>
  <c r="X82" i="4"/>
  <c r="Y82" i="4" s="1"/>
  <c r="K119" i="4"/>
  <c r="AF119" i="4" s="1"/>
  <c r="R165" i="4"/>
  <c r="S165" i="4" s="1"/>
  <c r="T165" i="4" s="1"/>
  <c r="X122" i="4"/>
  <c r="Y122" i="4" s="1"/>
  <c r="K122" i="4"/>
  <c r="U154" i="4"/>
  <c r="V154" i="4" s="1"/>
  <c r="W154" i="4" s="1"/>
  <c r="L165" i="4"/>
  <c r="M165" i="4" s="1"/>
  <c r="AA165" i="4" s="1"/>
  <c r="L122" i="4"/>
  <c r="M122" i="4" s="1"/>
  <c r="AA122" i="4" s="1"/>
  <c r="X114" i="4"/>
  <c r="Y114" i="4" s="1"/>
  <c r="AD154" i="4"/>
  <c r="AE154" i="4" s="1"/>
  <c r="U177" i="4"/>
  <c r="V177" i="4" s="1"/>
  <c r="W177" i="4" s="1"/>
  <c r="N58" i="4"/>
  <c r="O58" i="4" s="1"/>
  <c r="Q58" i="4" s="1"/>
  <c r="N154" i="4"/>
  <c r="O154" i="4" s="1"/>
  <c r="Q154" i="4" s="1"/>
  <c r="R154" i="4"/>
  <c r="S154" i="4" s="1"/>
  <c r="T154" i="4" s="1"/>
  <c r="R58" i="4"/>
  <c r="S58" i="4" s="1"/>
  <c r="T58" i="4" s="1"/>
  <c r="AD191" i="4"/>
  <c r="AE191" i="4" s="1"/>
  <c r="AD35" i="4"/>
  <c r="AE35" i="4" s="1"/>
  <c r="U117" i="4"/>
  <c r="V117" i="4" s="1"/>
  <c r="W117" i="4" s="1"/>
  <c r="X117" i="4"/>
  <c r="Y117" i="4" s="1"/>
  <c r="K91" i="4"/>
  <c r="L91" i="4"/>
  <c r="AB91" i="4" s="1"/>
  <c r="U91" i="4"/>
  <c r="V91" i="4" s="1"/>
  <c r="W91" i="4" s="1"/>
  <c r="X91" i="4"/>
  <c r="Y91" i="4" s="1"/>
  <c r="N91" i="4"/>
  <c r="O91" i="4" s="1"/>
  <c r="Q91" i="4" s="1"/>
  <c r="AD91" i="4"/>
  <c r="AE91" i="4" s="1"/>
  <c r="R91" i="4"/>
  <c r="S91" i="4" s="1"/>
  <c r="T91" i="4" s="1"/>
  <c r="AD82" i="4"/>
  <c r="AE82" i="4" s="1"/>
  <c r="X101" i="4"/>
  <c r="Y101" i="4" s="1"/>
  <c r="K130" i="4"/>
  <c r="Z130" i="4" s="1"/>
  <c r="R121" i="4"/>
  <c r="S121" i="4" s="1"/>
  <c r="T121" i="4" s="1"/>
  <c r="AD162" i="4"/>
  <c r="AE162" i="4" s="1"/>
  <c r="N209" i="4"/>
  <c r="O209" i="4" s="1"/>
  <c r="Q209" i="4" s="1"/>
  <c r="X31" i="4"/>
  <c r="Y31" i="4" s="1"/>
  <c r="L69" i="4"/>
  <c r="M69" i="4" s="1"/>
  <c r="AA69" i="4" s="1"/>
  <c r="N82" i="4"/>
  <c r="O82" i="4" s="1"/>
  <c r="Q82" i="4" s="1"/>
  <c r="AD70" i="4"/>
  <c r="AE70" i="4" s="1"/>
  <c r="U209" i="4"/>
  <c r="V209" i="4" s="1"/>
  <c r="W209" i="4" s="1"/>
  <c r="X130" i="4"/>
  <c r="Y130" i="4" s="1"/>
  <c r="R169" i="4"/>
  <c r="S169" i="4" s="1"/>
  <c r="T169" i="4" s="1"/>
  <c r="U162" i="4"/>
  <c r="V162" i="4" s="1"/>
  <c r="W162" i="4" s="1"/>
  <c r="L209" i="4"/>
  <c r="AB209" i="4" s="1"/>
  <c r="L185" i="4"/>
  <c r="M185" i="4" s="1"/>
  <c r="AA185" i="4" s="1"/>
  <c r="N31" i="4"/>
  <c r="O31" i="4" s="1"/>
  <c r="Q31" i="4" s="1"/>
  <c r="M64" i="4"/>
  <c r="AA64" i="4" s="1"/>
  <c r="X69" i="4"/>
  <c r="Y69" i="4" s="1"/>
  <c r="U158" i="4"/>
  <c r="V158" i="4" s="1"/>
  <c r="W158" i="4" s="1"/>
  <c r="L82" i="4"/>
  <c r="R70" i="4"/>
  <c r="S70" i="4" s="1"/>
  <c r="T70" i="4" s="1"/>
  <c r="AD142" i="4"/>
  <c r="AE142" i="4" s="1"/>
  <c r="U159" i="4"/>
  <c r="V159" i="4" s="1"/>
  <c r="W159" i="4" s="1"/>
  <c r="AD130" i="4"/>
  <c r="AE130" i="4" s="1"/>
  <c r="N185" i="4"/>
  <c r="O185" i="4" s="1"/>
  <c r="Q185" i="4" s="1"/>
  <c r="R69" i="4"/>
  <c r="S69" i="4" s="1"/>
  <c r="T69" i="4" s="1"/>
  <c r="U82" i="4"/>
  <c r="V82" i="4" s="1"/>
  <c r="W82" i="4" s="1"/>
  <c r="K142" i="4"/>
  <c r="X156" i="4"/>
  <c r="Y156" i="4" s="1"/>
  <c r="L169" i="4"/>
  <c r="AB169" i="4" s="1"/>
  <c r="AD169" i="4"/>
  <c r="AE169" i="4" s="1"/>
  <c r="N192" i="4"/>
  <c r="O192" i="4" s="1"/>
  <c r="Q192" i="4" s="1"/>
  <c r="K201" i="4"/>
  <c r="AF201" i="4" s="1"/>
  <c r="K82" i="4"/>
  <c r="N44" i="4"/>
  <c r="O44" i="4" s="1"/>
  <c r="Q44" i="4" s="1"/>
  <c r="X56" i="4"/>
  <c r="Y56" i="4" s="1"/>
  <c r="U100" i="4"/>
  <c r="V100" i="4" s="1"/>
  <c r="W100" i="4" s="1"/>
  <c r="U130" i="4"/>
  <c r="V130" i="4" s="1"/>
  <c r="W130" i="4" s="1"/>
  <c r="K169" i="4"/>
  <c r="K193" i="4"/>
  <c r="AF193" i="4" s="1"/>
  <c r="U169" i="4"/>
  <c r="V169" i="4" s="1"/>
  <c r="W169" i="4" s="1"/>
  <c r="AD192" i="4"/>
  <c r="AE192" i="4" s="1"/>
  <c r="K159" i="4"/>
  <c r="K174" i="4"/>
  <c r="N201" i="4"/>
  <c r="O201" i="4" s="1"/>
  <c r="Q201" i="4" s="1"/>
  <c r="N32" i="4"/>
  <c r="O32" i="4" s="1"/>
  <c r="Q32" i="4" s="1"/>
  <c r="R34" i="4"/>
  <c r="S34" i="4" s="1"/>
  <c r="T34" i="4" s="1"/>
  <c r="X178" i="4"/>
  <c r="Y178" i="4" s="1"/>
  <c r="U163" i="4"/>
  <c r="V163" i="4" s="1"/>
  <c r="W163" i="4" s="1"/>
  <c r="R35" i="4"/>
  <c r="S35" i="4" s="1"/>
  <c r="T35" i="4" s="1"/>
  <c r="AD56" i="4"/>
  <c r="AE56" i="4" s="1"/>
  <c r="L56" i="4"/>
  <c r="J61" i="4"/>
  <c r="K61" i="4" s="1"/>
  <c r="X192" i="4"/>
  <c r="Y192" i="4" s="1"/>
  <c r="R201" i="4"/>
  <c r="S201" i="4" s="1"/>
  <c r="T201" i="4" s="1"/>
  <c r="X35" i="4"/>
  <c r="Y35" i="4" s="1"/>
  <c r="L100" i="4"/>
  <c r="M100" i="4" s="1"/>
  <c r="AA100" i="4" s="1"/>
  <c r="K207" i="4"/>
  <c r="N193" i="4"/>
  <c r="O193" i="4" s="1"/>
  <c r="Q193" i="4" s="1"/>
  <c r="X169" i="4"/>
  <c r="Y169" i="4" s="1"/>
  <c r="U192" i="4"/>
  <c r="V192" i="4" s="1"/>
  <c r="W192" i="4" s="1"/>
  <c r="R159" i="4"/>
  <c r="S159" i="4" s="1"/>
  <c r="T159" i="4" s="1"/>
  <c r="AD174" i="4"/>
  <c r="AE174" i="4" s="1"/>
  <c r="U201" i="4"/>
  <c r="V201" i="4" s="1"/>
  <c r="W201" i="4" s="1"/>
  <c r="AD66" i="4"/>
  <c r="AE66" i="4" s="1"/>
  <c r="U32" i="4"/>
  <c r="V32" i="4" s="1"/>
  <c r="W32" i="4" s="1"/>
  <c r="N34" i="4"/>
  <c r="O34" i="4" s="1"/>
  <c r="Q34" i="4" s="1"/>
  <c r="R178" i="4"/>
  <c r="S178" i="4" s="1"/>
  <c r="T178" i="4" s="1"/>
  <c r="X120" i="4"/>
  <c r="Y120" i="4" s="1"/>
  <c r="AD37" i="4"/>
  <c r="AE37" i="4" s="1"/>
  <c r="L163" i="4"/>
  <c r="AB163" i="4" s="1"/>
  <c r="AD100" i="4"/>
  <c r="AE100" i="4" s="1"/>
  <c r="R100" i="4"/>
  <c r="S100" i="4" s="1"/>
  <c r="T100" i="4" s="1"/>
  <c r="L162" i="4"/>
  <c r="AD114" i="4"/>
  <c r="AE114" i="4" s="1"/>
  <c r="K124" i="4"/>
  <c r="R192" i="4"/>
  <c r="S192" i="4" s="1"/>
  <c r="T192" i="4" s="1"/>
  <c r="N208" i="4"/>
  <c r="O208" i="4" s="1"/>
  <c r="Q208" i="4" s="1"/>
  <c r="N159" i="4"/>
  <c r="O159" i="4" s="1"/>
  <c r="Q159" i="4" s="1"/>
  <c r="N174" i="4"/>
  <c r="O174" i="4" s="1"/>
  <c r="Q174" i="4" s="1"/>
  <c r="X201" i="4"/>
  <c r="Y201" i="4" s="1"/>
  <c r="L66" i="4"/>
  <c r="M66" i="4" s="1"/>
  <c r="AA66" i="4" s="1"/>
  <c r="L34" i="4"/>
  <c r="AF34" i="4" s="1"/>
  <c r="L178" i="4"/>
  <c r="AB178" i="4" s="1"/>
  <c r="R120" i="4"/>
  <c r="S120" i="4" s="1"/>
  <c r="T120" i="4" s="1"/>
  <c r="N37" i="4"/>
  <c r="O37" i="4" s="1"/>
  <c r="Q37" i="4" s="1"/>
  <c r="R163" i="4"/>
  <c r="S163" i="4" s="1"/>
  <c r="T163" i="4" s="1"/>
  <c r="L35" i="4"/>
  <c r="Z35" i="4" s="1"/>
  <c r="X100" i="4"/>
  <c r="Y100" i="4" s="1"/>
  <c r="X124" i="4"/>
  <c r="Y124" i="4" s="1"/>
  <c r="K114" i="4"/>
  <c r="K208" i="4"/>
  <c r="L174" i="4"/>
  <c r="M174" i="4" s="1"/>
  <c r="AA174" i="4" s="1"/>
  <c r="L188" i="4"/>
  <c r="M188" i="4" s="1"/>
  <c r="AA188" i="4" s="1"/>
  <c r="U64" i="4"/>
  <c r="V64" i="4" s="1"/>
  <c r="W64" i="4" s="1"/>
  <c r="U156" i="4"/>
  <c r="V156" i="4" s="1"/>
  <c r="W156" i="4" s="1"/>
  <c r="K120" i="4"/>
  <c r="L37" i="4"/>
  <c r="AD131" i="4"/>
  <c r="AE131" i="4" s="1"/>
  <c r="L44" i="4"/>
  <c r="M44" i="4" s="1"/>
  <c r="AA44" i="4" s="1"/>
  <c r="U44" i="4"/>
  <c r="V44" i="4" s="1"/>
  <c r="W44" i="4" s="1"/>
  <c r="N120" i="4"/>
  <c r="O120" i="4" s="1"/>
  <c r="Q120" i="4" s="1"/>
  <c r="AD44" i="4"/>
  <c r="AE44" i="4" s="1"/>
  <c r="AD182" i="4"/>
  <c r="AE182" i="4" s="1"/>
  <c r="AD148" i="4"/>
  <c r="AE148" i="4" s="1"/>
  <c r="X159" i="4"/>
  <c r="Y159" i="4" s="1"/>
  <c r="L121" i="4"/>
  <c r="L114" i="4"/>
  <c r="M114" i="4" s="1"/>
  <c r="AA114" i="4" s="1"/>
  <c r="AD208" i="4"/>
  <c r="AE208" i="4" s="1"/>
  <c r="U174" i="4"/>
  <c r="V174" i="4" s="1"/>
  <c r="W174" i="4" s="1"/>
  <c r="R64" i="4"/>
  <c r="S64" i="4" s="1"/>
  <c r="T64" i="4" s="1"/>
  <c r="L156" i="4"/>
  <c r="Z156" i="4" s="1"/>
  <c r="X126" i="4"/>
  <c r="Y126" i="4" s="1"/>
  <c r="L120" i="4"/>
  <c r="M120" i="4" s="1"/>
  <c r="AA120" i="4" s="1"/>
  <c r="U37" i="4"/>
  <c r="V37" i="4" s="1"/>
  <c r="W37" i="4" s="1"/>
  <c r="X70" i="4"/>
  <c r="Y70" i="4" s="1"/>
  <c r="U114" i="4"/>
  <c r="V114" i="4" s="1"/>
  <c r="W114" i="4" s="1"/>
  <c r="R130" i="4"/>
  <c r="S130" i="4" s="1"/>
  <c r="T130" i="4" s="1"/>
  <c r="N114" i="4"/>
  <c r="O114" i="4" s="1"/>
  <c r="Q114" i="4" s="1"/>
  <c r="N162" i="4"/>
  <c r="O162" i="4" s="1"/>
  <c r="Q162" i="4" s="1"/>
  <c r="X209" i="4"/>
  <c r="Y209" i="4" s="1"/>
  <c r="L208" i="4"/>
  <c r="AB208" i="4" s="1"/>
  <c r="U188" i="4"/>
  <c r="V188" i="4" s="1"/>
  <c r="W188" i="4" s="1"/>
  <c r="X64" i="4"/>
  <c r="Y64" i="4" s="1"/>
  <c r="AD156" i="4"/>
  <c r="AE156" i="4" s="1"/>
  <c r="AD120" i="4"/>
  <c r="AE120" i="4" s="1"/>
  <c r="X131" i="4"/>
  <c r="Y131" i="4" s="1"/>
  <c r="N35" i="4"/>
  <c r="O35" i="4" s="1"/>
  <c r="Q35" i="4" s="1"/>
  <c r="N70" i="4"/>
  <c r="O70" i="4" s="1"/>
  <c r="Q70" i="4" s="1"/>
  <c r="U50" i="4"/>
  <c r="V50" i="4" s="1"/>
  <c r="W50" i="4" s="1"/>
  <c r="X44" i="4"/>
  <c r="Y44" i="4" s="1"/>
  <c r="N100" i="4"/>
  <c r="O100" i="4" s="1"/>
  <c r="Q100" i="4" s="1"/>
  <c r="U35" i="4"/>
  <c r="V35" i="4" s="1"/>
  <c r="W35" i="4" s="1"/>
  <c r="N64" i="4"/>
  <c r="O64" i="4" s="1"/>
  <c r="Q64" i="4" s="1"/>
  <c r="R44" i="4"/>
  <c r="S44" i="4" s="1"/>
  <c r="T44" i="4" s="1"/>
  <c r="AD196" i="4"/>
  <c r="AE196" i="4" s="1"/>
  <c r="R175" i="4"/>
  <c r="S175" i="4" s="1"/>
  <c r="T175" i="4" s="1"/>
  <c r="R185" i="4"/>
  <c r="S185" i="4" s="1"/>
  <c r="T185" i="4" s="1"/>
  <c r="N196" i="4"/>
  <c r="O196" i="4" s="1"/>
  <c r="Q196" i="4" s="1"/>
  <c r="K175" i="4"/>
  <c r="K185" i="4"/>
  <c r="U157" i="4"/>
  <c r="V157" i="4" s="1"/>
  <c r="W157" i="4" s="1"/>
  <c r="U172" i="4"/>
  <c r="V172" i="4" s="1"/>
  <c r="W172" i="4" s="1"/>
  <c r="R196" i="4"/>
  <c r="S196" i="4" s="1"/>
  <c r="T196" i="4" s="1"/>
  <c r="X175" i="4"/>
  <c r="Y175" i="4" s="1"/>
  <c r="AD185" i="4"/>
  <c r="AE185" i="4" s="1"/>
  <c r="AD189" i="4"/>
  <c r="AE189" i="4" s="1"/>
  <c r="U196" i="4"/>
  <c r="V196" i="4" s="1"/>
  <c r="W196" i="4" s="1"/>
  <c r="U175" i="4"/>
  <c r="V175" i="4" s="1"/>
  <c r="W175" i="4" s="1"/>
  <c r="L78" i="4"/>
  <c r="M78" i="4" s="1"/>
  <c r="AA78" i="4" s="1"/>
  <c r="U185" i="4"/>
  <c r="V185" i="4" s="1"/>
  <c r="W185" i="4" s="1"/>
  <c r="N30" i="4"/>
  <c r="O30" i="4" s="1"/>
  <c r="Q30" i="4" s="1"/>
  <c r="K196" i="4"/>
  <c r="AD175" i="4"/>
  <c r="AE175" i="4" s="1"/>
  <c r="X30" i="4"/>
  <c r="Y30" i="4" s="1"/>
  <c r="X196" i="4"/>
  <c r="Y196" i="4" s="1"/>
  <c r="L175" i="4"/>
  <c r="AB175" i="4" s="1"/>
  <c r="AD146" i="4"/>
  <c r="AE146" i="4" s="1"/>
  <c r="L146" i="4"/>
  <c r="AB146" i="4" s="1"/>
  <c r="N148" i="4"/>
  <c r="O148" i="4" s="1"/>
  <c r="Q148" i="4" s="1"/>
  <c r="N149" i="4"/>
  <c r="O149" i="4" s="1"/>
  <c r="Q149" i="4" s="1"/>
  <c r="X146" i="4"/>
  <c r="Y146" i="4" s="1"/>
  <c r="U78" i="4"/>
  <c r="V78" i="4" s="1"/>
  <c r="W78" i="4" s="1"/>
  <c r="L148" i="4"/>
  <c r="M148" i="4" s="1"/>
  <c r="AA148" i="4" s="1"/>
  <c r="K146" i="4"/>
  <c r="L172" i="4"/>
  <c r="M172" i="4" s="1"/>
  <c r="AA172" i="4" s="1"/>
  <c r="R134" i="4"/>
  <c r="S134" i="4" s="1"/>
  <c r="T134" i="4" s="1"/>
  <c r="R148" i="4"/>
  <c r="S148" i="4" s="1"/>
  <c r="T148" i="4" s="1"/>
  <c r="N86" i="4"/>
  <c r="O86" i="4" s="1"/>
  <c r="Q86" i="4" s="1"/>
  <c r="U146" i="4"/>
  <c r="V146" i="4" s="1"/>
  <c r="W146" i="4" s="1"/>
  <c r="U66" i="4"/>
  <c r="V66" i="4" s="1"/>
  <c r="W66" i="4" s="1"/>
  <c r="U101" i="4"/>
  <c r="V101" i="4" s="1"/>
  <c r="W101" i="4" s="1"/>
  <c r="N78" i="4"/>
  <c r="O78" i="4" s="1"/>
  <c r="Q78" i="4" s="1"/>
  <c r="K148" i="4"/>
  <c r="N146" i="4"/>
  <c r="O146" i="4" s="1"/>
  <c r="Q146" i="4" s="1"/>
  <c r="N66" i="4"/>
  <c r="O66" i="4" s="1"/>
  <c r="Q66" i="4" s="1"/>
  <c r="AD105" i="4"/>
  <c r="AE105" i="4" s="1"/>
  <c r="X148" i="4"/>
  <c r="Y148" i="4" s="1"/>
  <c r="R66" i="4"/>
  <c r="S66" i="4" s="1"/>
  <c r="T66" i="4" s="1"/>
  <c r="AD78" i="4"/>
  <c r="AE78" i="4" s="1"/>
  <c r="N117" i="4"/>
  <c r="O117" i="4" s="1"/>
  <c r="Q117" i="4" s="1"/>
  <c r="X143" i="4"/>
  <c r="Y143" i="4" s="1"/>
  <c r="AD26" i="4"/>
  <c r="AE26" i="4" s="1"/>
  <c r="U80" i="4"/>
  <c r="V80" i="4" s="1"/>
  <c r="W80" i="4" s="1"/>
  <c r="U194" i="4"/>
  <c r="V194" i="4" s="1"/>
  <c r="W194" i="4" s="1"/>
  <c r="R143" i="4"/>
  <c r="S143" i="4" s="1"/>
  <c r="T143" i="4" s="1"/>
  <c r="N168" i="4"/>
  <c r="O168" i="4" s="1"/>
  <c r="Q168" i="4" s="1"/>
  <c r="N194" i="4"/>
  <c r="O194" i="4" s="1"/>
  <c r="Q194" i="4" s="1"/>
  <c r="L143" i="4"/>
  <c r="AB143" i="4" s="1"/>
  <c r="K10" i="4"/>
  <c r="X94" i="4"/>
  <c r="Y94" i="4" s="1"/>
  <c r="AD194" i="4"/>
  <c r="AE194" i="4" s="1"/>
  <c r="AD143" i="4"/>
  <c r="AE143" i="4" s="1"/>
  <c r="R26" i="4"/>
  <c r="S26" i="4" s="1"/>
  <c r="T26" i="4" s="1"/>
  <c r="L179" i="4"/>
  <c r="K143" i="4"/>
  <c r="AD76" i="4"/>
  <c r="AE76" i="4" s="1"/>
  <c r="AD94" i="4"/>
  <c r="AE94" i="4" s="1"/>
  <c r="X76" i="4"/>
  <c r="Y76" i="4" s="1"/>
  <c r="U94" i="4"/>
  <c r="V94" i="4" s="1"/>
  <c r="W94" i="4" s="1"/>
  <c r="R94" i="4"/>
  <c r="S94" i="4" s="1"/>
  <c r="T94" i="4" s="1"/>
  <c r="U26" i="4"/>
  <c r="V26" i="4" s="1"/>
  <c r="W26" i="4" s="1"/>
  <c r="X161" i="4"/>
  <c r="Y161" i="4" s="1"/>
  <c r="L94" i="4"/>
  <c r="M94" i="4" s="1"/>
  <c r="AA94" i="4" s="1"/>
  <c r="N94" i="4"/>
  <c r="O94" i="4" s="1"/>
  <c r="Q94" i="4" s="1"/>
  <c r="N161" i="4"/>
  <c r="O161" i="4" s="1"/>
  <c r="Q161" i="4" s="1"/>
  <c r="L68" i="4"/>
  <c r="AB68" i="4" s="1"/>
  <c r="L161" i="4"/>
  <c r="AF161" i="4" s="1"/>
  <c r="R76" i="4"/>
  <c r="S76" i="4" s="1"/>
  <c r="T76" i="4" s="1"/>
  <c r="AD161" i="4"/>
  <c r="AE161" i="4" s="1"/>
  <c r="N76" i="4"/>
  <c r="O76" i="4" s="1"/>
  <c r="Q76" i="4" s="1"/>
  <c r="U54" i="4"/>
  <c r="V54" i="4" s="1"/>
  <c r="W54" i="4" s="1"/>
  <c r="AD73" i="4"/>
  <c r="AE73" i="4" s="1"/>
  <c r="L194" i="4"/>
  <c r="M194" i="4" s="1"/>
  <c r="AA194" i="4" s="1"/>
  <c r="L76" i="4"/>
  <c r="M76" i="4" s="1"/>
  <c r="AA76" i="4" s="1"/>
  <c r="K73" i="4"/>
  <c r="U151" i="4"/>
  <c r="V151" i="4" s="1"/>
  <c r="W151" i="4" s="1"/>
  <c r="U76" i="4"/>
  <c r="V76" i="4" s="1"/>
  <c r="W76" i="4" s="1"/>
  <c r="K173" i="4"/>
  <c r="AD151" i="4"/>
  <c r="AE151" i="4" s="1"/>
  <c r="L187" i="4"/>
  <c r="AB187" i="4" s="1"/>
  <c r="R145" i="4"/>
  <c r="S145" i="4" s="1"/>
  <c r="T145" i="4" s="1"/>
  <c r="L145" i="4"/>
  <c r="AB145" i="4" s="1"/>
  <c r="N145" i="4"/>
  <c r="O145" i="4" s="1"/>
  <c r="Q145" i="4" s="1"/>
  <c r="K163" i="4"/>
  <c r="K145" i="4"/>
  <c r="U86" i="4"/>
  <c r="V86" i="4" s="1"/>
  <c r="W86" i="4" s="1"/>
  <c r="X145" i="4"/>
  <c r="Y145" i="4" s="1"/>
  <c r="AD206" i="4"/>
  <c r="AE206" i="4" s="1"/>
  <c r="X163" i="4"/>
  <c r="Y163" i="4" s="1"/>
  <c r="U57" i="4"/>
  <c r="V57" i="4" s="1"/>
  <c r="W57" i="4" s="1"/>
  <c r="U145" i="4"/>
  <c r="V145" i="4" s="1"/>
  <c r="W145" i="4" s="1"/>
  <c r="N163" i="4"/>
  <c r="O163" i="4" s="1"/>
  <c r="Q163" i="4" s="1"/>
  <c r="N57" i="4"/>
  <c r="O57" i="4" s="1"/>
  <c r="Q57" i="4" s="1"/>
  <c r="X57" i="4"/>
  <c r="Y57" i="4" s="1"/>
  <c r="AB130" i="4"/>
  <c r="R21" i="4"/>
  <c r="S21" i="4" s="1"/>
  <c r="T21" i="4" s="1"/>
  <c r="AB160" i="4"/>
  <c r="AD160" i="4"/>
  <c r="AE160" i="4" s="1"/>
  <c r="K141" i="4"/>
  <c r="X105" i="4"/>
  <c r="Y105" i="4" s="1"/>
  <c r="X189" i="4"/>
  <c r="Y189" i="4" s="1"/>
  <c r="R105" i="4"/>
  <c r="S105" i="4" s="1"/>
  <c r="T105" i="4" s="1"/>
  <c r="K39" i="4"/>
  <c r="L39" i="4"/>
  <c r="X39" i="4"/>
  <c r="Y39" i="4" s="1"/>
  <c r="AD39" i="4"/>
  <c r="AE39" i="4" s="1"/>
  <c r="N39" i="4"/>
  <c r="O39" i="4" s="1"/>
  <c r="Q39" i="4" s="1"/>
  <c r="U39" i="4"/>
  <c r="V39" i="4" s="1"/>
  <c r="W39" i="4" s="1"/>
  <c r="X187" i="4"/>
  <c r="Y187" i="4" s="1"/>
  <c r="L73" i="4"/>
  <c r="AB73" i="4" s="1"/>
  <c r="AD187" i="4"/>
  <c r="AE187" i="4" s="1"/>
  <c r="N96" i="4"/>
  <c r="O96" i="4" s="1"/>
  <c r="Q96" i="4" s="1"/>
  <c r="X96" i="4"/>
  <c r="Y96" i="4" s="1"/>
  <c r="K151" i="4"/>
  <c r="AF151" i="4" s="1"/>
  <c r="X144" i="4"/>
  <c r="Y144" i="4" s="1"/>
  <c r="X173" i="4"/>
  <c r="Y173" i="4" s="1"/>
  <c r="K75" i="4"/>
  <c r="N75" i="4"/>
  <c r="O75" i="4" s="1"/>
  <c r="Q75" i="4" s="1"/>
  <c r="U75" i="4"/>
  <c r="V75" i="4" s="1"/>
  <c r="W75" i="4" s="1"/>
  <c r="AD75" i="4"/>
  <c r="AE75" i="4" s="1"/>
  <c r="R75" i="4"/>
  <c r="S75" i="4" s="1"/>
  <c r="T75" i="4" s="1"/>
  <c r="L75" i="4"/>
  <c r="X75" i="4"/>
  <c r="Y75" i="4" s="1"/>
  <c r="B13" i="6"/>
  <c r="K78" i="4"/>
  <c r="R78" i="4"/>
  <c r="S78" i="4" s="1"/>
  <c r="T78" i="4" s="1"/>
  <c r="X118" i="4"/>
  <c r="Y118" i="4" s="1"/>
  <c r="N144" i="4"/>
  <c r="O144" i="4" s="1"/>
  <c r="Q144" i="4" s="1"/>
  <c r="K15" i="4"/>
  <c r="L15" i="4"/>
  <c r="AD15" i="4"/>
  <c r="AE15" i="4" s="1"/>
  <c r="U15" i="4"/>
  <c r="V15" i="4" s="1"/>
  <c r="W15" i="4" s="1"/>
  <c r="N15" i="4"/>
  <c r="O15" i="4" s="1"/>
  <c r="Q15" i="4" s="1"/>
  <c r="X15" i="4"/>
  <c r="Y15" i="4" s="1"/>
  <c r="R15" i="4"/>
  <c r="S15" i="4" s="1"/>
  <c r="T15" i="4" s="1"/>
  <c r="K29" i="4"/>
  <c r="L29" i="4"/>
  <c r="AD29" i="4"/>
  <c r="AE29" i="4" s="1"/>
  <c r="U29" i="4"/>
  <c r="V29" i="4" s="1"/>
  <c r="W29" i="4" s="1"/>
  <c r="X29" i="4"/>
  <c r="Y29" i="4" s="1"/>
  <c r="N29" i="4"/>
  <c r="O29" i="4" s="1"/>
  <c r="Q29" i="4" s="1"/>
  <c r="R29" i="4"/>
  <c r="S29" i="4" s="1"/>
  <c r="T29" i="4" s="1"/>
  <c r="X79" i="4"/>
  <c r="Y79" i="4" s="1"/>
  <c r="K118" i="4"/>
  <c r="R139" i="4"/>
  <c r="S139" i="4" s="1"/>
  <c r="T139" i="4" s="1"/>
  <c r="R117" i="4"/>
  <c r="S117" i="4" s="1"/>
  <c r="T117" i="4" s="1"/>
  <c r="X164" i="4"/>
  <c r="Y164" i="4" s="1"/>
  <c r="X197" i="4"/>
  <c r="Y197" i="4" s="1"/>
  <c r="AD157" i="4"/>
  <c r="AE157" i="4" s="1"/>
  <c r="K179" i="4"/>
  <c r="R118" i="4"/>
  <c r="S118" i="4" s="1"/>
  <c r="T118" i="4" s="1"/>
  <c r="X149" i="4"/>
  <c r="Y149" i="4" s="1"/>
  <c r="X139" i="4"/>
  <c r="Y139" i="4" s="1"/>
  <c r="L117" i="4"/>
  <c r="AB117" i="4" s="1"/>
  <c r="R164" i="4"/>
  <c r="S164" i="4" s="1"/>
  <c r="T164" i="4" s="1"/>
  <c r="U73" i="4"/>
  <c r="V73" i="4" s="1"/>
  <c r="W73" i="4" s="1"/>
  <c r="L197" i="4"/>
  <c r="M197" i="4" s="1"/>
  <c r="AA197" i="4" s="1"/>
  <c r="N157" i="4"/>
  <c r="O157" i="4" s="1"/>
  <c r="Q157" i="4" s="1"/>
  <c r="R187" i="4"/>
  <c r="S187" i="4" s="1"/>
  <c r="T187" i="4" s="1"/>
  <c r="AD101" i="4"/>
  <c r="AE101" i="4" s="1"/>
  <c r="N142" i="4"/>
  <c r="O142" i="4" s="1"/>
  <c r="Q142" i="4" s="1"/>
  <c r="R144" i="4"/>
  <c r="S144" i="4" s="1"/>
  <c r="T144" i="4" s="1"/>
  <c r="L173" i="4"/>
  <c r="U197" i="4"/>
  <c r="V197" i="4" s="1"/>
  <c r="W197" i="4" s="1"/>
  <c r="R152" i="4"/>
  <c r="S152" i="4" s="1"/>
  <c r="T152" i="4" s="1"/>
  <c r="N152" i="4"/>
  <c r="O152" i="4" s="1"/>
  <c r="Q152" i="4" s="1"/>
  <c r="L152" i="4"/>
  <c r="AF152" i="4" s="1"/>
  <c r="K84" i="4"/>
  <c r="R84" i="4"/>
  <c r="S84" i="4" s="1"/>
  <c r="T84" i="4" s="1"/>
  <c r="L84" i="4"/>
  <c r="X84" i="4"/>
  <c r="Y84" i="4" s="1"/>
  <c r="AD84" i="4"/>
  <c r="AE84" i="4" s="1"/>
  <c r="N84" i="4"/>
  <c r="O84" i="4" s="1"/>
  <c r="Q84" i="4" s="1"/>
  <c r="U84" i="4"/>
  <c r="V84" i="4" s="1"/>
  <c r="W84" i="4" s="1"/>
  <c r="N95" i="4"/>
  <c r="O95" i="4" s="1"/>
  <c r="Q95" i="4" s="1"/>
  <c r="AD149" i="4"/>
  <c r="AE149" i="4" s="1"/>
  <c r="L205" i="4"/>
  <c r="U118" i="4"/>
  <c r="V118" i="4" s="1"/>
  <c r="W118" i="4" s="1"/>
  <c r="U134" i="4"/>
  <c r="V134" i="4" s="1"/>
  <c r="W134" i="4" s="1"/>
  <c r="K149" i="4"/>
  <c r="N139" i="4"/>
  <c r="O139" i="4" s="1"/>
  <c r="Q139" i="4" s="1"/>
  <c r="AD164" i="4"/>
  <c r="AE164" i="4" s="1"/>
  <c r="N73" i="4"/>
  <c r="O73" i="4" s="1"/>
  <c r="Q73" i="4" s="1"/>
  <c r="K197" i="4"/>
  <c r="R157" i="4"/>
  <c r="S157" i="4" s="1"/>
  <c r="T157" i="4" s="1"/>
  <c r="K187" i="4"/>
  <c r="L142" i="4"/>
  <c r="L57" i="4"/>
  <c r="Z57" i="4" s="1"/>
  <c r="L144" i="4"/>
  <c r="Z144" i="4" s="1"/>
  <c r="R173" i="4"/>
  <c r="S173" i="4" s="1"/>
  <c r="T173" i="4" s="1"/>
  <c r="L168" i="4"/>
  <c r="M168" i="4" s="1"/>
  <c r="AA168" i="4" s="1"/>
  <c r="N207" i="4"/>
  <c r="O207" i="4" s="1"/>
  <c r="Q207" i="4" s="1"/>
  <c r="R207" i="4"/>
  <c r="S207" i="4" s="1"/>
  <c r="T207" i="4" s="1"/>
  <c r="L207" i="4"/>
  <c r="X207" i="4"/>
  <c r="Y207" i="4" s="1"/>
  <c r="U207" i="4"/>
  <c r="V207" i="4" s="1"/>
  <c r="W207" i="4" s="1"/>
  <c r="E108" i="1"/>
  <c r="E107" i="1"/>
  <c r="B221" i="2"/>
  <c r="B222" i="2" s="1"/>
  <c r="B75" i="4"/>
  <c r="B76" i="4" s="1"/>
  <c r="K93" i="4"/>
  <c r="U93" i="4"/>
  <c r="V93" i="4" s="1"/>
  <c r="W93" i="4" s="1"/>
  <c r="L93" i="4"/>
  <c r="R93" i="4"/>
  <c r="S93" i="4" s="1"/>
  <c r="T93" i="4" s="1"/>
  <c r="N93" i="4"/>
  <c r="O93" i="4" s="1"/>
  <c r="Q93" i="4" s="1"/>
  <c r="AD93" i="4"/>
  <c r="AE93" i="4" s="1"/>
  <c r="X93" i="4"/>
  <c r="Y93" i="4" s="1"/>
  <c r="R124" i="4"/>
  <c r="S124" i="4" s="1"/>
  <c r="T124" i="4" s="1"/>
  <c r="N124" i="4"/>
  <c r="O124" i="4" s="1"/>
  <c r="Q124" i="4" s="1"/>
  <c r="L124" i="4"/>
  <c r="U124" i="4"/>
  <c r="V124" i="4" s="1"/>
  <c r="W124" i="4" s="1"/>
  <c r="K108" i="4"/>
  <c r="AD108" i="4"/>
  <c r="AE108" i="4" s="1"/>
  <c r="L108" i="4"/>
  <c r="R108" i="4"/>
  <c r="S108" i="4" s="1"/>
  <c r="T108" i="4" s="1"/>
  <c r="U108" i="4"/>
  <c r="V108" i="4" s="1"/>
  <c r="W108" i="4" s="1"/>
  <c r="N108" i="4"/>
  <c r="O108" i="4" s="1"/>
  <c r="Q108" i="4" s="1"/>
  <c r="X108" i="4"/>
  <c r="Y108" i="4" s="1"/>
  <c r="U139" i="4"/>
  <c r="V139" i="4" s="1"/>
  <c r="W139" i="4" s="1"/>
  <c r="U164" i="4"/>
  <c r="V164" i="4" s="1"/>
  <c r="W164" i="4" s="1"/>
  <c r="N63" i="4"/>
  <c r="O63" i="4" s="1"/>
  <c r="Q63" i="4" s="1"/>
  <c r="K205" i="4"/>
  <c r="AD67" i="4"/>
  <c r="AE67" i="4" s="1"/>
  <c r="AD118" i="4"/>
  <c r="AE118" i="4" s="1"/>
  <c r="AD134" i="4"/>
  <c r="AE134" i="4" s="1"/>
  <c r="L149" i="4"/>
  <c r="M149" i="4" s="1"/>
  <c r="AA149" i="4" s="1"/>
  <c r="N79" i="4"/>
  <c r="O79" i="4" s="1"/>
  <c r="Q79" i="4" s="1"/>
  <c r="K139" i="4"/>
  <c r="AF139" i="4" s="1"/>
  <c r="L79" i="4"/>
  <c r="AF79" i="4" s="1"/>
  <c r="N164" i="4"/>
  <c r="O164" i="4" s="1"/>
  <c r="Q164" i="4" s="1"/>
  <c r="R73" i="4"/>
  <c r="S73" i="4" s="1"/>
  <c r="T73" i="4" s="1"/>
  <c r="N197" i="4"/>
  <c r="O197" i="4" s="1"/>
  <c r="Q197" i="4" s="1"/>
  <c r="L157" i="4"/>
  <c r="M157" i="4" s="1"/>
  <c r="AA157" i="4" s="1"/>
  <c r="R142" i="4"/>
  <c r="S142" i="4" s="1"/>
  <c r="T142" i="4" s="1"/>
  <c r="AD57" i="4"/>
  <c r="AE57" i="4" s="1"/>
  <c r="AD144" i="4"/>
  <c r="AE144" i="4" s="1"/>
  <c r="N173" i="4"/>
  <c r="O173" i="4" s="1"/>
  <c r="Q173" i="4" s="1"/>
  <c r="K18" i="4"/>
  <c r="L18" i="4"/>
  <c r="R18" i="4"/>
  <c r="S18" i="4" s="1"/>
  <c r="T18" i="4" s="1"/>
  <c r="X18" i="4"/>
  <c r="Y18" i="4" s="1"/>
  <c r="AD18" i="4"/>
  <c r="AE18" i="4" s="1"/>
  <c r="K70" i="4"/>
  <c r="AF70" i="4" s="1"/>
  <c r="U70" i="4"/>
  <c r="V70" i="4" s="1"/>
  <c r="W70" i="4" s="1"/>
  <c r="R179" i="4"/>
  <c r="S179" i="4" s="1"/>
  <c r="T179" i="4" s="1"/>
  <c r="L164" i="4"/>
  <c r="AF164" i="4" s="1"/>
  <c r="AD197" i="4"/>
  <c r="AE197" i="4" s="1"/>
  <c r="K157" i="4"/>
  <c r="R160" i="4"/>
  <c r="S160" i="4" s="1"/>
  <c r="T160" i="4" s="1"/>
  <c r="X142" i="4"/>
  <c r="Y142" i="4" s="1"/>
  <c r="U144" i="4"/>
  <c r="V144" i="4" s="1"/>
  <c r="W144" i="4" s="1"/>
  <c r="R112" i="4"/>
  <c r="S112" i="4" s="1"/>
  <c r="T112" i="4" s="1"/>
  <c r="U173" i="4"/>
  <c r="V173" i="4" s="1"/>
  <c r="W173" i="4" s="1"/>
  <c r="X42" i="4"/>
  <c r="Y42" i="4" s="1"/>
  <c r="AD42" i="4"/>
  <c r="AE42" i="4" s="1"/>
  <c r="K25" i="4"/>
  <c r="Z25" i="4" s="1"/>
  <c r="U25" i="4"/>
  <c r="V25" i="4" s="1"/>
  <c r="W25" i="4" s="1"/>
  <c r="AD25" i="4"/>
  <c r="AE25" i="4" s="1"/>
  <c r="N25" i="4"/>
  <c r="O25" i="4" s="1"/>
  <c r="Q25" i="4" s="1"/>
  <c r="X25" i="4"/>
  <c r="Y25" i="4" s="1"/>
  <c r="R25" i="4"/>
  <c r="S25" i="4" s="1"/>
  <c r="T25" i="4" s="1"/>
  <c r="K16" i="4"/>
  <c r="X16" i="4"/>
  <c r="Y16" i="4" s="1"/>
  <c r="U16" i="4"/>
  <c r="V16" i="4" s="1"/>
  <c r="W16" i="4" s="1"/>
  <c r="R16" i="4"/>
  <c r="S16" i="4" s="1"/>
  <c r="T16" i="4" s="1"/>
  <c r="N16" i="4"/>
  <c r="O16" i="4" s="1"/>
  <c r="Q16" i="4" s="1"/>
  <c r="AD16" i="4"/>
  <c r="AE16" i="4" s="1"/>
  <c r="L16" i="4"/>
  <c r="K71" i="4"/>
  <c r="AD71" i="4"/>
  <c r="AE71" i="4" s="1"/>
  <c r="L71" i="4"/>
  <c r="R71" i="4"/>
  <c r="S71" i="4" s="1"/>
  <c r="T71" i="4" s="1"/>
  <c r="X71" i="4"/>
  <c r="Y71" i="4" s="1"/>
  <c r="N71" i="4"/>
  <c r="O71" i="4" s="1"/>
  <c r="Q71" i="4" s="1"/>
  <c r="U71" i="4"/>
  <c r="V71" i="4" s="1"/>
  <c r="W71" i="4" s="1"/>
  <c r="K63" i="4"/>
  <c r="AF63" i="4" s="1"/>
  <c r="AD63" i="4"/>
  <c r="AE63" i="4" s="1"/>
  <c r="X63" i="4"/>
  <c r="Y63" i="4" s="1"/>
  <c r="U63" i="4"/>
  <c r="V63" i="4" s="1"/>
  <c r="W63" i="4" s="1"/>
  <c r="K21" i="4"/>
  <c r="L21" i="4"/>
  <c r="AD21" i="4"/>
  <c r="AE21" i="4" s="1"/>
  <c r="U21" i="4"/>
  <c r="V21" i="4" s="1"/>
  <c r="W21" i="4" s="1"/>
  <c r="X205" i="4"/>
  <c r="Y205" i="4" s="1"/>
  <c r="L118" i="4"/>
  <c r="AB118" i="4" s="1"/>
  <c r="L134" i="4"/>
  <c r="AB134" i="4" s="1"/>
  <c r="R149" i="4"/>
  <c r="S149" i="4" s="1"/>
  <c r="T149" i="4" s="1"/>
  <c r="N205" i="4"/>
  <c r="O205" i="4" s="1"/>
  <c r="Q205" i="4" s="1"/>
  <c r="K134" i="4"/>
  <c r="R206" i="4"/>
  <c r="S206" i="4" s="1"/>
  <c r="T206" i="4" s="1"/>
  <c r="R30" i="4"/>
  <c r="S30" i="4" s="1"/>
  <c r="T30" i="4" s="1"/>
  <c r="L96" i="4"/>
  <c r="AB96" i="4" s="1"/>
  <c r="R57" i="4"/>
  <c r="S57" i="4" s="1"/>
  <c r="T57" i="4" s="1"/>
  <c r="K112" i="4"/>
  <c r="U22" i="4"/>
  <c r="V22" i="4" s="1"/>
  <c r="W22" i="4" s="1"/>
  <c r="L22" i="4"/>
  <c r="M22" i="4" s="1"/>
  <c r="AA22" i="4" s="1"/>
  <c r="K14" i="4"/>
  <c r="R14" i="4"/>
  <c r="S14" i="4" s="1"/>
  <c r="T14" i="4" s="1"/>
  <c r="L14" i="4"/>
  <c r="N14" i="4"/>
  <c r="O14" i="4" s="1"/>
  <c r="Q14" i="4" s="1"/>
  <c r="AD14" i="4"/>
  <c r="AE14" i="4" s="1"/>
  <c r="U14" i="4"/>
  <c r="V14" i="4" s="1"/>
  <c r="W14" i="4" s="1"/>
  <c r="X14" i="4"/>
  <c r="Y14" i="4" s="1"/>
  <c r="K59" i="4"/>
  <c r="L59" i="4"/>
  <c r="AD59" i="4"/>
  <c r="AE59" i="4" s="1"/>
  <c r="U59" i="4"/>
  <c r="V59" i="4" s="1"/>
  <c r="W59" i="4" s="1"/>
  <c r="R59" i="4"/>
  <c r="S59" i="4" s="1"/>
  <c r="T59" i="4" s="1"/>
  <c r="N59" i="4"/>
  <c r="O59" i="4" s="1"/>
  <c r="Q59" i="4" s="1"/>
  <c r="X59" i="4"/>
  <c r="Y59" i="4" s="1"/>
  <c r="K62" i="4"/>
  <c r="R62" i="4"/>
  <c r="S62" i="4" s="1"/>
  <c r="T62" i="4" s="1"/>
  <c r="L62" i="4"/>
  <c r="K104" i="4"/>
  <c r="R104" i="4"/>
  <c r="S104" i="4" s="1"/>
  <c r="T104" i="4" s="1"/>
  <c r="N104" i="4"/>
  <c r="O104" i="4" s="1"/>
  <c r="Q104" i="4" s="1"/>
  <c r="AD104" i="4"/>
  <c r="AE104" i="4" s="1"/>
  <c r="K102" i="4"/>
  <c r="R102" i="4"/>
  <c r="S102" i="4" s="1"/>
  <c r="T102" i="4" s="1"/>
  <c r="L102" i="4"/>
  <c r="AD102" i="4"/>
  <c r="AE102" i="4" s="1"/>
  <c r="N102" i="4"/>
  <c r="O102" i="4" s="1"/>
  <c r="Q102" i="4" s="1"/>
  <c r="U102" i="4"/>
  <c r="V102" i="4" s="1"/>
  <c r="W102" i="4" s="1"/>
  <c r="X102" i="4"/>
  <c r="Y102" i="4" s="1"/>
  <c r="K42" i="4"/>
  <c r="AF42" i="4" s="1"/>
  <c r="N42" i="4"/>
  <c r="O42" i="4" s="1"/>
  <c r="Q42" i="4" s="1"/>
  <c r="U42" i="4"/>
  <c r="V42" i="4" s="1"/>
  <c r="W42" i="4" s="1"/>
  <c r="AD205" i="4"/>
  <c r="AE205" i="4" s="1"/>
  <c r="N52" i="4"/>
  <c r="O52" i="4" s="1"/>
  <c r="Q52" i="4" s="1"/>
  <c r="L206" i="4"/>
  <c r="AB206" i="4" s="1"/>
  <c r="L38" i="4"/>
  <c r="AB38" i="4" s="1"/>
  <c r="X177" i="4"/>
  <c r="Y177" i="4" s="1"/>
  <c r="N178" i="4"/>
  <c r="O178" i="4" s="1"/>
  <c r="Q178" i="4" s="1"/>
  <c r="R189" i="4"/>
  <c r="S189" i="4" s="1"/>
  <c r="T189" i="4" s="1"/>
  <c r="AD30" i="4"/>
  <c r="AE30" i="4" s="1"/>
  <c r="L133" i="4"/>
  <c r="X160" i="4"/>
  <c r="Y160" i="4" s="1"/>
  <c r="R96" i="4"/>
  <c r="S96" i="4" s="1"/>
  <c r="T96" i="4" s="1"/>
  <c r="R10" i="4"/>
  <c r="S10" i="4" s="1"/>
  <c r="T10" i="4" s="1"/>
  <c r="N135" i="4"/>
  <c r="O135" i="4" s="1"/>
  <c r="Q135" i="4" s="1"/>
  <c r="AD141" i="4"/>
  <c r="AE141" i="4" s="1"/>
  <c r="N130" i="4"/>
  <c r="O130" i="4" s="1"/>
  <c r="Q130" i="4" s="1"/>
  <c r="N80" i="4"/>
  <c r="O80" i="4" s="1"/>
  <c r="Q80" i="4" s="1"/>
  <c r="K26" i="4"/>
  <c r="X26" i="4"/>
  <c r="Y26" i="4" s="1"/>
  <c r="K11" i="4"/>
  <c r="U11" i="4"/>
  <c r="V11" i="4" s="1"/>
  <c r="W11" i="4" s="1"/>
  <c r="L11" i="4"/>
  <c r="X11" i="4"/>
  <c r="Y11" i="4" s="1"/>
  <c r="N11" i="4"/>
  <c r="O11" i="4" s="1"/>
  <c r="Q11" i="4" s="1"/>
  <c r="AD11" i="4"/>
  <c r="AE11" i="4" s="1"/>
  <c r="R11" i="4"/>
  <c r="S11" i="4" s="1"/>
  <c r="T11" i="4" s="1"/>
  <c r="K23" i="4"/>
  <c r="U23" i="4"/>
  <c r="V23" i="4" s="1"/>
  <c r="W23" i="4" s="1"/>
  <c r="L23" i="4"/>
  <c r="N23" i="4"/>
  <c r="O23" i="4" s="1"/>
  <c r="Q23" i="4" s="1"/>
  <c r="AD23" i="4"/>
  <c r="AE23" i="4" s="1"/>
  <c r="X23" i="4"/>
  <c r="Y23" i="4" s="1"/>
  <c r="R23" i="4"/>
  <c r="S23" i="4" s="1"/>
  <c r="T23" i="4" s="1"/>
  <c r="K206" i="4"/>
  <c r="X22" i="4"/>
  <c r="Y22" i="4" s="1"/>
  <c r="AD168" i="4"/>
  <c r="AE168" i="4" s="1"/>
  <c r="K168" i="4"/>
  <c r="U67" i="4"/>
  <c r="V67" i="4" s="1"/>
  <c r="W67" i="4" s="1"/>
  <c r="K80" i="4"/>
  <c r="L101" i="4"/>
  <c r="AF101" i="4" s="1"/>
  <c r="U206" i="4"/>
  <c r="V206" i="4" s="1"/>
  <c r="W206" i="4" s="1"/>
  <c r="R38" i="4"/>
  <c r="S38" i="4" s="1"/>
  <c r="T38" i="4" s="1"/>
  <c r="R177" i="4"/>
  <c r="S177" i="4" s="1"/>
  <c r="T177" i="4" s="1"/>
  <c r="R55" i="4"/>
  <c r="S55" i="4" s="1"/>
  <c r="T55" i="4" s="1"/>
  <c r="U178" i="4"/>
  <c r="V178" i="4" s="1"/>
  <c r="W178" i="4" s="1"/>
  <c r="L189" i="4"/>
  <c r="L30" i="4"/>
  <c r="M30" i="4" s="1"/>
  <c r="AA30" i="4" s="1"/>
  <c r="K133" i="4"/>
  <c r="AD52" i="4"/>
  <c r="AE52" i="4" s="1"/>
  <c r="U79" i="4"/>
  <c r="V79" i="4" s="1"/>
  <c r="W79" i="4" s="1"/>
  <c r="U10" i="4"/>
  <c r="V10" i="4" s="1"/>
  <c r="W10" i="4" s="1"/>
  <c r="X135" i="4"/>
  <c r="Y135" i="4" s="1"/>
  <c r="L50" i="4"/>
  <c r="N141" i="4"/>
  <c r="O141" i="4" s="1"/>
  <c r="Q141" i="4" s="1"/>
  <c r="R42" i="4"/>
  <c r="S42" i="4" s="1"/>
  <c r="T42" i="4" s="1"/>
  <c r="N21" i="4"/>
  <c r="O21" i="4" s="1"/>
  <c r="Q21" i="4" s="1"/>
  <c r="K43" i="4"/>
  <c r="R43" i="4"/>
  <c r="S43" i="4" s="1"/>
  <c r="T43" i="4" s="1"/>
  <c r="L43" i="4"/>
  <c r="U43" i="4"/>
  <c r="V43" i="4" s="1"/>
  <c r="W43" i="4" s="1"/>
  <c r="AD43" i="4"/>
  <c r="AE43" i="4" s="1"/>
  <c r="X43" i="4"/>
  <c r="Y43" i="4" s="1"/>
  <c r="N43" i="4"/>
  <c r="O43" i="4" s="1"/>
  <c r="Q43" i="4" s="1"/>
  <c r="X137" i="4"/>
  <c r="Y137" i="4" s="1"/>
  <c r="U137" i="4"/>
  <c r="V137" i="4" s="1"/>
  <c r="W137" i="4" s="1"/>
  <c r="R137" i="4"/>
  <c r="S137" i="4" s="1"/>
  <c r="T137" i="4" s="1"/>
  <c r="L137" i="4"/>
  <c r="N137" i="4"/>
  <c r="O137" i="4" s="1"/>
  <c r="Q137" i="4" s="1"/>
  <c r="K92" i="4"/>
  <c r="AD92" i="4"/>
  <c r="AE92" i="4" s="1"/>
  <c r="L92" i="4"/>
  <c r="R92" i="4"/>
  <c r="S92" i="4" s="1"/>
  <c r="T92" i="4" s="1"/>
  <c r="N92" i="4"/>
  <c r="O92" i="4" s="1"/>
  <c r="Q92" i="4" s="1"/>
  <c r="X92" i="4"/>
  <c r="Y92" i="4" s="1"/>
  <c r="U92" i="4"/>
  <c r="V92" i="4" s="1"/>
  <c r="W92" i="4" s="1"/>
  <c r="K47" i="4"/>
  <c r="X47" i="4"/>
  <c r="Y47" i="4" s="1"/>
  <c r="L47" i="4"/>
  <c r="AD47" i="4"/>
  <c r="AE47" i="4" s="1"/>
  <c r="R47" i="4"/>
  <c r="S47" i="4" s="1"/>
  <c r="T47" i="4" s="1"/>
  <c r="U47" i="4"/>
  <c r="V47" i="4" s="1"/>
  <c r="W47" i="4" s="1"/>
  <c r="N47" i="4"/>
  <c r="O47" i="4" s="1"/>
  <c r="Q47" i="4" s="1"/>
  <c r="K189" i="4"/>
  <c r="K160" i="4"/>
  <c r="AF160" i="4" s="1"/>
  <c r="X151" i="4"/>
  <c r="Y151" i="4" s="1"/>
  <c r="N10" i="4"/>
  <c r="O10" i="4" s="1"/>
  <c r="Q10" i="4" s="1"/>
  <c r="K135" i="4"/>
  <c r="R141" i="4"/>
  <c r="S141" i="4" s="1"/>
  <c r="T141" i="4" s="1"/>
  <c r="X140" i="4"/>
  <c r="Y140" i="4" s="1"/>
  <c r="N140" i="4"/>
  <c r="O140" i="4" s="1"/>
  <c r="Q140" i="4" s="1"/>
  <c r="K13" i="4"/>
  <c r="L13" i="4"/>
  <c r="U13" i="4"/>
  <c r="V13" i="4" s="1"/>
  <c r="W13" i="4" s="1"/>
  <c r="X13" i="4"/>
  <c r="Y13" i="4" s="1"/>
  <c r="K74" i="4"/>
  <c r="L74" i="4"/>
  <c r="R74" i="4"/>
  <c r="S74" i="4" s="1"/>
  <c r="T74" i="4" s="1"/>
  <c r="N74" i="4"/>
  <c r="O74" i="4" s="1"/>
  <c r="Q74" i="4" s="1"/>
  <c r="AD74" i="4"/>
  <c r="AE74" i="4" s="1"/>
  <c r="U74" i="4"/>
  <c r="V74" i="4" s="1"/>
  <c r="W74" i="4" s="1"/>
  <c r="N177" i="4"/>
  <c r="O177" i="4" s="1"/>
  <c r="Q177" i="4" s="1"/>
  <c r="U135" i="4"/>
  <c r="V135" i="4" s="1"/>
  <c r="W135" i="4" s="1"/>
  <c r="R63" i="4"/>
  <c r="S63" i="4" s="1"/>
  <c r="T63" i="4" s="1"/>
  <c r="AD95" i="4"/>
  <c r="AE95" i="4" s="1"/>
  <c r="N206" i="4"/>
  <c r="O206" i="4" s="1"/>
  <c r="Q206" i="4" s="1"/>
  <c r="X38" i="4"/>
  <c r="Y38" i="4" s="1"/>
  <c r="N55" i="4"/>
  <c r="O55" i="4" s="1"/>
  <c r="Q55" i="4" s="1"/>
  <c r="R95" i="4"/>
  <c r="S95" i="4" s="1"/>
  <c r="T95" i="4" s="1"/>
  <c r="AD117" i="4"/>
  <c r="AE117" i="4" s="1"/>
  <c r="U38" i="4"/>
  <c r="V38" i="4" s="1"/>
  <c r="W38" i="4" s="1"/>
  <c r="AD177" i="4"/>
  <c r="AE177" i="4" s="1"/>
  <c r="L55" i="4"/>
  <c r="AD178" i="4"/>
  <c r="AE178" i="4" s="1"/>
  <c r="U189" i="4"/>
  <c r="V189" i="4" s="1"/>
  <c r="W189" i="4" s="1"/>
  <c r="K30" i="4"/>
  <c r="U133" i="4"/>
  <c r="V133" i="4" s="1"/>
  <c r="W133" i="4" s="1"/>
  <c r="U160" i="4"/>
  <c r="V160" i="4" s="1"/>
  <c r="W160" i="4" s="1"/>
  <c r="N160" i="4"/>
  <c r="O160" i="4" s="1"/>
  <c r="Q160" i="4" s="1"/>
  <c r="R101" i="4"/>
  <c r="S101" i="4" s="1"/>
  <c r="T101" i="4" s="1"/>
  <c r="R151" i="4"/>
  <c r="S151" i="4" s="1"/>
  <c r="T151" i="4" s="1"/>
  <c r="X10" i="4"/>
  <c r="Y10" i="4" s="1"/>
  <c r="L135" i="4"/>
  <c r="AB135" i="4" s="1"/>
  <c r="N50" i="4"/>
  <c r="O50" i="4" s="1"/>
  <c r="Q50" i="4" s="1"/>
  <c r="U141" i="4"/>
  <c r="V141" i="4" s="1"/>
  <c r="W141" i="4" s="1"/>
  <c r="R22" i="4"/>
  <c r="S22" i="4" s="1"/>
  <c r="T22" i="4" s="1"/>
  <c r="N22" i="4"/>
  <c r="O22" i="4" s="1"/>
  <c r="Q22" i="4" s="1"/>
  <c r="K17" i="4"/>
  <c r="U17" i="4"/>
  <c r="V17" i="4" s="1"/>
  <c r="W17" i="4" s="1"/>
  <c r="L17" i="4"/>
  <c r="N17" i="4"/>
  <c r="O17" i="4" s="1"/>
  <c r="Q17" i="4" s="1"/>
  <c r="R17" i="4"/>
  <c r="S17" i="4" s="1"/>
  <c r="T17" i="4" s="1"/>
  <c r="X17" i="4"/>
  <c r="Y17" i="4" s="1"/>
  <c r="AD17" i="4"/>
  <c r="AE17" i="4" s="1"/>
  <c r="K85" i="4"/>
  <c r="L85" i="4"/>
  <c r="R85" i="4"/>
  <c r="S85" i="4" s="1"/>
  <c r="T85" i="4" s="1"/>
  <c r="X85" i="4"/>
  <c r="Y85" i="4" s="1"/>
  <c r="N85" i="4"/>
  <c r="O85" i="4" s="1"/>
  <c r="Q85" i="4" s="1"/>
  <c r="AD85" i="4"/>
  <c r="AE85" i="4" s="1"/>
  <c r="K98" i="4"/>
  <c r="R98" i="4"/>
  <c r="S98" i="4" s="1"/>
  <c r="T98" i="4" s="1"/>
  <c r="L98" i="4"/>
  <c r="AD98" i="4"/>
  <c r="AE98" i="4" s="1"/>
  <c r="U98" i="4"/>
  <c r="V98" i="4" s="1"/>
  <c r="W98" i="4" s="1"/>
  <c r="X98" i="4"/>
  <c r="Y98" i="4" s="1"/>
  <c r="N98" i="4"/>
  <c r="O98" i="4" s="1"/>
  <c r="Q98" i="4" s="1"/>
  <c r="K28" i="4"/>
  <c r="AF28" i="4" s="1"/>
  <c r="AD28" i="4"/>
  <c r="AE28" i="4" s="1"/>
  <c r="L97" i="4"/>
  <c r="AD97" i="4"/>
  <c r="AE97" i="4" s="1"/>
  <c r="K89" i="4"/>
  <c r="AF89" i="4" s="1"/>
  <c r="U89" i="4"/>
  <c r="V89" i="4" s="1"/>
  <c r="W89" i="4" s="1"/>
  <c r="X89" i="4"/>
  <c r="Y89" i="4" s="1"/>
  <c r="N89" i="4"/>
  <c r="O89" i="4" s="1"/>
  <c r="Q89" i="4" s="1"/>
  <c r="R89" i="4"/>
  <c r="S89" i="4" s="1"/>
  <c r="T89" i="4" s="1"/>
  <c r="R39" i="4"/>
  <c r="S39" i="4" s="1"/>
  <c r="T39" i="4" s="1"/>
  <c r="L112" i="4"/>
  <c r="M112" i="4" s="1"/>
  <c r="AA112" i="4" s="1"/>
  <c r="X168" i="4"/>
  <c r="Y168" i="4" s="1"/>
  <c r="L177" i="4"/>
  <c r="M177" i="4" s="1"/>
  <c r="AA177" i="4" s="1"/>
  <c r="R79" i="4"/>
  <c r="S79" i="4" s="1"/>
  <c r="T79" i="4" s="1"/>
  <c r="AD202" i="4"/>
  <c r="AE202" i="4" s="1"/>
  <c r="K117" i="4"/>
  <c r="N38" i="4"/>
  <c r="O38" i="4" s="1"/>
  <c r="Q38" i="4" s="1"/>
  <c r="X55" i="4"/>
  <c r="Y55" i="4" s="1"/>
  <c r="U179" i="4"/>
  <c r="V179" i="4" s="1"/>
  <c r="W179" i="4" s="1"/>
  <c r="AD133" i="4"/>
  <c r="AE133" i="4" s="1"/>
  <c r="U96" i="4"/>
  <c r="V96" i="4" s="1"/>
  <c r="W96" i="4" s="1"/>
  <c r="N151" i="4"/>
  <c r="O151" i="4" s="1"/>
  <c r="Q151" i="4" s="1"/>
  <c r="L10" i="4"/>
  <c r="M10" i="4" s="1"/>
  <c r="AA10" i="4" s="1"/>
  <c r="L141" i="4"/>
  <c r="X80" i="4"/>
  <c r="Y80" i="4" s="1"/>
  <c r="K83" i="4"/>
  <c r="U83" i="4"/>
  <c r="V83" i="4" s="1"/>
  <c r="W83" i="4" s="1"/>
  <c r="L83" i="4"/>
  <c r="N83" i="4"/>
  <c r="O83" i="4" s="1"/>
  <c r="Q83" i="4" s="1"/>
  <c r="R83" i="4"/>
  <c r="S83" i="4" s="1"/>
  <c r="T83" i="4" s="1"/>
  <c r="AD83" i="4"/>
  <c r="AE83" i="4" s="1"/>
  <c r="X83" i="4"/>
  <c r="Y83" i="4" s="1"/>
  <c r="K60" i="4"/>
  <c r="L60" i="4"/>
  <c r="X60" i="4"/>
  <c r="Y60" i="4" s="1"/>
  <c r="AD60" i="4"/>
  <c r="AE60" i="4" s="1"/>
  <c r="R60" i="4"/>
  <c r="S60" i="4" s="1"/>
  <c r="T60" i="4" s="1"/>
  <c r="U60" i="4"/>
  <c r="V60" i="4" s="1"/>
  <c r="W60" i="4" s="1"/>
  <c r="N60" i="4"/>
  <c r="O60" i="4" s="1"/>
  <c r="Q60" i="4" s="1"/>
  <c r="K77" i="4"/>
  <c r="R77" i="4"/>
  <c r="S77" i="4" s="1"/>
  <c r="T77" i="4" s="1"/>
  <c r="L77" i="4"/>
  <c r="N77" i="4"/>
  <c r="O77" i="4" s="1"/>
  <c r="Q77" i="4" s="1"/>
  <c r="AD77" i="4"/>
  <c r="AE77" i="4" s="1"/>
  <c r="X77" i="4"/>
  <c r="Y77" i="4" s="1"/>
  <c r="U77" i="4"/>
  <c r="V77" i="4" s="1"/>
  <c r="W77" i="4" s="1"/>
  <c r="X182" i="4"/>
  <c r="Y182" i="4" s="1"/>
  <c r="N182" i="4"/>
  <c r="O182" i="4" s="1"/>
  <c r="Q182" i="4" s="1"/>
  <c r="R182" i="4"/>
  <c r="S182" i="4" s="1"/>
  <c r="T182" i="4" s="1"/>
  <c r="L182" i="4"/>
  <c r="K67" i="4"/>
  <c r="Z67" i="4" s="1"/>
  <c r="R67" i="4"/>
  <c r="S67" i="4" s="1"/>
  <c r="T67" i="4" s="1"/>
  <c r="X67" i="4"/>
  <c r="Y67" i="4" s="1"/>
  <c r="L80" i="4"/>
  <c r="AB80" i="4" s="1"/>
  <c r="N67" i="4"/>
  <c r="O67" i="4" s="1"/>
  <c r="Q67" i="4" s="1"/>
  <c r="X202" i="4"/>
  <c r="Y202" i="4" s="1"/>
  <c r="AD55" i="4"/>
  <c r="AE55" i="4" s="1"/>
  <c r="U187" i="4"/>
  <c r="V187" i="4" s="1"/>
  <c r="W187" i="4" s="1"/>
  <c r="X179" i="4"/>
  <c r="Y179" i="4" s="1"/>
  <c r="AD79" i="4"/>
  <c r="AE79" i="4" s="1"/>
  <c r="N101" i="4"/>
  <c r="O101" i="4" s="1"/>
  <c r="Q101" i="4" s="1"/>
  <c r="AD80" i="4"/>
  <c r="AE80" i="4" s="1"/>
  <c r="K12" i="4"/>
  <c r="L12" i="4"/>
  <c r="N12" i="4"/>
  <c r="O12" i="4" s="1"/>
  <c r="Q12" i="4" s="1"/>
  <c r="R12" i="4"/>
  <c r="S12" i="4" s="1"/>
  <c r="T12" i="4" s="1"/>
  <c r="X12" i="4"/>
  <c r="Y12" i="4" s="1"/>
  <c r="AD12" i="4"/>
  <c r="AE12" i="4" s="1"/>
  <c r="U12" i="4"/>
  <c r="V12" i="4" s="1"/>
  <c r="W12" i="4" s="1"/>
  <c r="K87" i="4"/>
  <c r="AD87" i="4"/>
  <c r="AE87" i="4" s="1"/>
  <c r="L87" i="4"/>
  <c r="X87" i="4"/>
  <c r="Y87" i="4" s="1"/>
  <c r="R87" i="4"/>
  <c r="S87" i="4" s="1"/>
  <c r="T87" i="4" s="1"/>
  <c r="U87" i="4"/>
  <c r="V87" i="4" s="1"/>
  <c r="W87" i="4" s="1"/>
  <c r="N87" i="4"/>
  <c r="O87" i="4" s="1"/>
  <c r="Q87" i="4" s="1"/>
  <c r="R180" i="4"/>
  <c r="S180" i="4" s="1"/>
  <c r="T180" i="4" s="1"/>
  <c r="L180" i="4"/>
  <c r="N180" i="4"/>
  <c r="O180" i="4" s="1"/>
  <c r="Q180" i="4" s="1"/>
  <c r="J24" i="4"/>
  <c r="AD24" i="4" s="1"/>
  <c r="AE24" i="4" s="1"/>
  <c r="M81" i="4"/>
  <c r="AA81" i="4" s="1"/>
  <c r="J109" i="4"/>
  <c r="U109" i="4" s="1"/>
  <c r="V109" i="4" s="1"/>
  <c r="W109" i="4" s="1"/>
  <c r="B68" i="4"/>
  <c r="B69" i="4" s="1"/>
  <c r="L20" i="4"/>
  <c r="AB20" i="4" s="1"/>
  <c r="X172" i="4"/>
  <c r="Y172" i="4" s="1"/>
  <c r="J106" i="4"/>
  <c r="X106" i="4" s="1"/>
  <c r="Y106" i="4" s="1"/>
  <c r="AD172" i="4"/>
  <c r="AE172" i="4" s="1"/>
  <c r="N20" i="4"/>
  <c r="O20" i="4" s="1"/>
  <c r="Q20" i="4" s="1"/>
  <c r="N184" i="4"/>
  <c r="O184" i="4" s="1"/>
  <c r="Q184" i="4" s="1"/>
  <c r="AD20" i="4"/>
  <c r="AE20" i="4" s="1"/>
  <c r="J45" i="4"/>
  <c r="X45" i="4" s="1"/>
  <c r="Y45" i="4" s="1"/>
  <c r="X20" i="4"/>
  <c r="Y20" i="4" s="1"/>
  <c r="K184" i="4"/>
  <c r="Z184" i="4" s="1"/>
  <c r="R20" i="4"/>
  <c r="S20" i="4" s="1"/>
  <c r="T20" i="4" s="1"/>
  <c r="L105" i="4"/>
  <c r="AF105" i="4" s="1"/>
  <c r="J53" i="4"/>
  <c r="AD53" i="4" s="1"/>
  <c r="AE53" i="4" s="1"/>
  <c r="J46" i="4"/>
  <c r="X46" i="4" s="1"/>
  <c r="Y46" i="4" s="1"/>
  <c r="K20" i="4"/>
  <c r="J40" i="4"/>
  <c r="U40" i="4" s="1"/>
  <c r="V40" i="4" s="1"/>
  <c r="W40" i="4" s="1"/>
  <c r="U184" i="4"/>
  <c r="V184" i="4" s="1"/>
  <c r="W184" i="4" s="1"/>
  <c r="AD184" i="4"/>
  <c r="AE184" i="4" s="1"/>
  <c r="AD179" i="4"/>
  <c r="AE179" i="4" s="1"/>
  <c r="AD119" i="4"/>
  <c r="AE119" i="4" s="1"/>
  <c r="J111" i="4"/>
  <c r="AD111" i="4" s="1"/>
  <c r="AE111" i="4" s="1"/>
  <c r="J9" i="4"/>
  <c r="U9" i="4" s="1"/>
  <c r="V9" i="4" s="1"/>
  <c r="W9" i="4" s="1"/>
  <c r="N202" i="4"/>
  <c r="O202" i="4" s="1"/>
  <c r="Q202" i="4" s="1"/>
  <c r="X184" i="4"/>
  <c r="Y184" i="4" s="1"/>
  <c r="X119" i="4"/>
  <c r="Y119" i="4" s="1"/>
  <c r="J113" i="4"/>
  <c r="AD113" i="4" s="1"/>
  <c r="AE113" i="4" s="1"/>
  <c r="AD200" i="4"/>
  <c r="AE200" i="4" s="1"/>
  <c r="R184" i="4"/>
  <c r="S184" i="4" s="1"/>
  <c r="T184" i="4" s="1"/>
  <c r="X95" i="4"/>
  <c r="Y95" i="4" s="1"/>
  <c r="AD99" i="4"/>
  <c r="AE99" i="4" s="1"/>
  <c r="U119" i="4"/>
  <c r="V119" i="4" s="1"/>
  <c r="W119" i="4" s="1"/>
  <c r="U112" i="4"/>
  <c r="V112" i="4" s="1"/>
  <c r="W112" i="4" s="1"/>
  <c r="N172" i="4"/>
  <c r="O172" i="4" s="1"/>
  <c r="Q172" i="4" s="1"/>
  <c r="X86" i="4"/>
  <c r="Y86" i="4" s="1"/>
  <c r="R119" i="4"/>
  <c r="S119" i="4" s="1"/>
  <c r="T119" i="4" s="1"/>
  <c r="AD112" i="4"/>
  <c r="AE112" i="4" s="1"/>
  <c r="J115" i="4"/>
  <c r="AD115" i="4" s="1"/>
  <c r="AE115" i="4" s="1"/>
  <c r="M42" i="4"/>
  <c r="AA42" i="4" s="1"/>
  <c r="AB42" i="4"/>
  <c r="AD50" i="4"/>
  <c r="AE50" i="4" s="1"/>
  <c r="J49" i="4"/>
  <c r="X49" i="4" s="1"/>
  <c r="Y49" i="4" s="1"/>
  <c r="J41" i="4"/>
  <c r="AD41" i="4" s="1"/>
  <c r="AE41" i="4" s="1"/>
  <c r="M70" i="4"/>
  <c r="AA70" i="4" s="1"/>
  <c r="AB70" i="4"/>
  <c r="U203" i="4"/>
  <c r="V203" i="4" s="1"/>
  <c r="W203" i="4" s="1"/>
  <c r="M28" i="4"/>
  <c r="AA28" i="4" s="1"/>
  <c r="AB28" i="4"/>
  <c r="X36" i="4"/>
  <c r="Y36" i="4" s="1"/>
  <c r="M151" i="4"/>
  <c r="AA151" i="4" s="1"/>
  <c r="AB151" i="4"/>
  <c r="R99" i="4"/>
  <c r="S99" i="4" s="1"/>
  <c r="T99" i="4" s="1"/>
  <c r="U95" i="4"/>
  <c r="V95" i="4" s="1"/>
  <c r="W95" i="4" s="1"/>
  <c r="R36" i="4"/>
  <c r="S36" i="4" s="1"/>
  <c r="T36" i="4" s="1"/>
  <c r="U202" i="4"/>
  <c r="V202" i="4" s="1"/>
  <c r="W202" i="4" s="1"/>
  <c r="U36" i="4"/>
  <c r="V36" i="4" s="1"/>
  <c r="W36" i="4" s="1"/>
  <c r="U99" i="4"/>
  <c r="V99" i="4" s="1"/>
  <c r="W99" i="4" s="1"/>
  <c r="AD190" i="4"/>
  <c r="AE190" i="4" s="1"/>
  <c r="AD90" i="4"/>
  <c r="AE90" i="4" s="1"/>
  <c r="U200" i="4"/>
  <c r="V200" i="4" s="1"/>
  <c r="W200" i="4" s="1"/>
  <c r="K90" i="4"/>
  <c r="N90" i="4"/>
  <c r="O90" i="4" s="1"/>
  <c r="Q90" i="4" s="1"/>
  <c r="L90" i="4"/>
  <c r="R90" i="4"/>
  <c r="S90" i="4" s="1"/>
  <c r="T90" i="4" s="1"/>
  <c r="X90" i="4"/>
  <c r="Y90" i="4" s="1"/>
  <c r="K36" i="4"/>
  <c r="N36" i="4"/>
  <c r="O36" i="4" s="1"/>
  <c r="Q36" i="4" s="1"/>
  <c r="L36" i="4"/>
  <c r="M32" i="4"/>
  <c r="AA32" i="4" s="1"/>
  <c r="AB32" i="4"/>
  <c r="M158" i="4"/>
  <c r="AA158" i="4" s="1"/>
  <c r="M199" i="4"/>
  <c r="AA199" i="4" s="1"/>
  <c r="L202" i="4"/>
  <c r="Z202" i="4" s="1"/>
  <c r="R202" i="4"/>
  <c r="S202" i="4" s="1"/>
  <c r="T202" i="4" s="1"/>
  <c r="K54" i="4"/>
  <c r="N54" i="4"/>
  <c r="O54" i="4" s="1"/>
  <c r="Q54" i="4" s="1"/>
  <c r="L54" i="4"/>
  <c r="R54" i="4"/>
  <c r="S54" i="4" s="1"/>
  <c r="T54" i="4" s="1"/>
  <c r="AB119" i="4"/>
  <c r="M119" i="4"/>
  <c r="AA119" i="4" s="1"/>
  <c r="AB58" i="4"/>
  <c r="M58" i="4"/>
  <c r="AA58" i="4" s="1"/>
  <c r="X54" i="4"/>
  <c r="Y54" i="4" s="1"/>
  <c r="K99" i="4"/>
  <c r="N99" i="4"/>
  <c r="O99" i="4" s="1"/>
  <c r="Q99" i="4" s="1"/>
  <c r="L99" i="4"/>
  <c r="K27" i="4"/>
  <c r="N27" i="4"/>
  <c r="O27" i="4" s="1"/>
  <c r="Q27" i="4" s="1"/>
  <c r="L27" i="4"/>
  <c r="K86" i="4"/>
  <c r="R86" i="4"/>
  <c r="S86" i="4" s="1"/>
  <c r="T86" i="4" s="1"/>
  <c r="L86" i="4"/>
  <c r="N203" i="4"/>
  <c r="O203" i="4" s="1"/>
  <c r="Q203" i="4" s="1"/>
  <c r="R203" i="4"/>
  <c r="S203" i="4" s="1"/>
  <c r="T203" i="4" s="1"/>
  <c r="L203" i="4"/>
  <c r="K203" i="4"/>
  <c r="N190" i="4"/>
  <c r="O190" i="4" s="1"/>
  <c r="Q190" i="4" s="1"/>
  <c r="L190" i="4"/>
  <c r="R190" i="4"/>
  <c r="S190" i="4" s="1"/>
  <c r="T190" i="4" s="1"/>
  <c r="K190" i="4"/>
  <c r="X203" i="4"/>
  <c r="Y203" i="4" s="1"/>
  <c r="AB138" i="4"/>
  <c r="M138" i="4"/>
  <c r="AA138" i="4" s="1"/>
  <c r="K200" i="4"/>
  <c r="N200" i="4"/>
  <c r="O200" i="4" s="1"/>
  <c r="Q200" i="4" s="1"/>
  <c r="R200" i="4"/>
  <c r="S200" i="4" s="1"/>
  <c r="T200" i="4" s="1"/>
  <c r="L200" i="4"/>
  <c r="X190" i="4"/>
  <c r="Y190" i="4" s="1"/>
  <c r="K52" i="4"/>
  <c r="R52" i="4"/>
  <c r="S52" i="4" s="1"/>
  <c r="T52" i="4" s="1"/>
  <c r="L52" i="4"/>
  <c r="M139" i="4"/>
  <c r="AA139" i="4" s="1"/>
  <c r="AB139" i="4"/>
  <c r="AB67" i="4"/>
  <c r="M67" i="4"/>
  <c r="AA67" i="4" s="1"/>
  <c r="AF198" i="4"/>
  <c r="AG198" i="4" s="1"/>
  <c r="AS198" i="4" s="1"/>
  <c r="AB198" i="4"/>
  <c r="M198" i="4"/>
  <c r="AA198" i="4" s="1"/>
  <c r="AB193" i="4"/>
  <c r="M193" i="4"/>
  <c r="AA193" i="4" s="1"/>
  <c r="M201" i="4"/>
  <c r="AA201" i="4" s="1"/>
  <c r="AB201" i="4"/>
  <c r="M25" i="4"/>
  <c r="AA25" i="4" s="1"/>
  <c r="AB25" i="4"/>
  <c r="AB196" i="4"/>
  <c r="M196" i="4"/>
  <c r="AA196" i="4" s="1"/>
  <c r="AB123" i="4"/>
  <c r="Z123" i="4"/>
  <c r="M123" i="4"/>
  <c r="AA123" i="4" s="1"/>
  <c r="AF123" i="4"/>
  <c r="AB184" i="4"/>
  <c r="M184" i="4"/>
  <c r="AA184" i="4" s="1"/>
  <c r="M166" i="4"/>
  <c r="AA166" i="4" s="1"/>
  <c r="AB166" i="4"/>
  <c r="M183" i="4"/>
  <c r="AA183" i="4" s="1"/>
  <c r="M121" i="4"/>
  <c r="AA121" i="4" s="1"/>
  <c r="AB121" i="4"/>
  <c r="AB167" i="4"/>
  <c r="M167" i="4"/>
  <c r="AA167" i="4" s="1"/>
  <c r="M63" i="4"/>
  <c r="AA63" i="4" s="1"/>
  <c r="AB63" i="4"/>
  <c r="M169" i="4"/>
  <c r="AA169" i="4" s="1"/>
  <c r="AB110" i="4"/>
  <c r="M110" i="4"/>
  <c r="AA110" i="4" s="1"/>
  <c r="M89" i="4"/>
  <c r="AA89" i="4" s="1"/>
  <c r="AB89" i="4"/>
  <c r="Z56" i="4" l="1"/>
  <c r="AF167" i="4"/>
  <c r="M118" i="4"/>
  <c r="AA118" i="4" s="1"/>
  <c r="AD126" i="4"/>
  <c r="AE126" i="4" s="1"/>
  <c r="AB172" i="4"/>
  <c r="AF199" i="4"/>
  <c r="AG199" i="4" s="1"/>
  <c r="AS199" i="4" s="1"/>
  <c r="AB153" i="4"/>
  <c r="AB199" i="4"/>
  <c r="AG58" i="4"/>
  <c r="AS58" i="4" s="1"/>
  <c r="N128" i="4"/>
  <c r="O128" i="4" s="1"/>
  <c r="Q128" i="4" s="1"/>
  <c r="Z119" i="4"/>
  <c r="Z97" i="4"/>
  <c r="Z58" i="4"/>
  <c r="B66" i="2"/>
  <c r="A44" i="16"/>
  <c r="L44" i="16" s="1"/>
  <c r="L65" i="16" s="1"/>
  <c r="N65" i="16" s="1"/>
  <c r="M91" i="4"/>
  <c r="AA91" i="4" s="1"/>
  <c r="M209" i="4"/>
  <c r="AA209" i="4" s="1"/>
  <c r="AF209" i="4"/>
  <c r="AG209" i="4" s="1"/>
  <c r="AS209" i="4" s="1"/>
  <c r="Z209" i="4"/>
  <c r="N126" i="4"/>
  <c r="O126" i="4" s="1"/>
  <c r="Q126" i="4" s="1"/>
  <c r="M154" i="4"/>
  <c r="AA154" i="4" s="1"/>
  <c r="B160" i="2"/>
  <c r="AB140" i="4"/>
  <c r="E20" i="1"/>
  <c r="AF166" i="4"/>
  <c r="K126" i="4"/>
  <c r="Z140" i="4"/>
  <c r="Z129" i="4"/>
  <c r="AF103" i="4"/>
  <c r="Z158" i="4"/>
  <c r="AC158" i="4" s="1"/>
  <c r="AR158" i="4" s="1"/>
  <c r="B84" i="2"/>
  <c r="E45" i="1" s="1"/>
  <c r="AF207" i="4"/>
  <c r="AG207" i="4" s="1"/>
  <c r="AS207" i="4" s="1"/>
  <c r="B72" i="2"/>
  <c r="E34" i="1" s="1"/>
  <c r="AB136" i="4"/>
  <c r="B70" i="2"/>
  <c r="E32" i="1" s="1"/>
  <c r="E19" i="1"/>
  <c r="B158" i="2"/>
  <c r="B82" i="2"/>
  <c r="E43" i="1" s="1"/>
  <c r="G156" i="2"/>
  <c r="Z193" i="4"/>
  <c r="AC193" i="4" s="1"/>
  <c r="B50" i="2"/>
  <c r="B59" i="2" s="1"/>
  <c r="R22" i="8" s="1"/>
  <c r="S22" i="8" s="1"/>
  <c r="R128" i="4"/>
  <c r="S128" i="4" s="1"/>
  <c r="T128" i="4" s="1"/>
  <c r="B51" i="2"/>
  <c r="E27" i="1" s="1"/>
  <c r="X128" i="4"/>
  <c r="Y128" i="4" s="1"/>
  <c r="AF140" i="4"/>
  <c r="AG140" i="4" s="1"/>
  <c r="AS140" i="4" s="1"/>
  <c r="L128" i="4"/>
  <c r="M128" i="4" s="1"/>
  <c r="AA128" i="4" s="1"/>
  <c r="B3" i="6"/>
  <c r="AF137" i="4"/>
  <c r="AG137" i="4" s="1"/>
  <c r="AS137" i="4" s="1"/>
  <c r="AB165" i="4"/>
  <c r="AB88" i="4"/>
  <c r="Z165" i="4"/>
  <c r="AF88" i="4"/>
  <c r="AG88" i="4" s="1"/>
  <c r="AS88" i="4" s="1"/>
  <c r="AF165" i="4"/>
  <c r="AG165" i="4" s="1"/>
  <c r="AS165" i="4" s="1"/>
  <c r="M88" i="4"/>
  <c r="AA88" i="4" s="1"/>
  <c r="M206" i="4"/>
  <c r="AA206" i="4" s="1"/>
  <c r="M103" i="4"/>
  <c r="AA103" i="4" s="1"/>
  <c r="AB103" i="4"/>
  <c r="Z103" i="4"/>
  <c r="Z183" i="4"/>
  <c r="AC183" i="4" s="1"/>
  <c r="AF183" i="4"/>
  <c r="AG183" i="4" s="1"/>
  <c r="AS183" i="4" s="1"/>
  <c r="L126" i="4"/>
  <c r="AB126" i="4" s="1"/>
  <c r="Z26" i="4"/>
  <c r="Z104" i="4"/>
  <c r="AF204" i="4"/>
  <c r="AG204" i="4" s="1"/>
  <c r="AS204" i="4" s="1"/>
  <c r="AF131" i="4"/>
  <c r="AG131" i="4" s="1"/>
  <c r="AS131" i="4" s="1"/>
  <c r="Z95" i="4"/>
  <c r="AB155" i="4"/>
  <c r="Z170" i="4"/>
  <c r="AF159" i="4"/>
  <c r="AG159" i="4" s="1"/>
  <c r="AS159" i="4" s="1"/>
  <c r="Z131" i="4"/>
  <c r="AB131" i="4"/>
  <c r="AB19" i="4"/>
  <c r="K128" i="4"/>
  <c r="U128" i="4"/>
  <c r="V128" i="4" s="1"/>
  <c r="W128" i="4" s="1"/>
  <c r="AB204" i="4"/>
  <c r="M95" i="4"/>
  <c r="AA95" i="4" s="1"/>
  <c r="AG34" i="4"/>
  <c r="AS34" i="4" s="1"/>
  <c r="M145" i="4"/>
  <c r="AA145" i="4" s="1"/>
  <c r="AG193" i="4"/>
  <c r="AS193" i="4" s="1"/>
  <c r="Z166" i="4"/>
  <c r="AC166" i="4" s="1"/>
  <c r="X125" i="4"/>
  <c r="Y125" i="4" s="1"/>
  <c r="U126" i="4"/>
  <c r="V126" i="4" s="1"/>
  <c r="W126" i="4" s="1"/>
  <c r="AB186" i="4"/>
  <c r="M170" i="4"/>
  <c r="AA170" i="4" s="1"/>
  <c r="AF91" i="4"/>
  <c r="AG91" i="4" s="1"/>
  <c r="AS91" i="4" s="1"/>
  <c r="AF67" i="4"/>
  <c r="AG67" i="4" s="1"/>
  <c r="AS67" i="4" s="1"/>
  <c r="Z204" i="4"/>
  <c r="AF138" i="4"/>
  <c r="AG138" i="4" s="1"/>
  <c r="AS138" i="4" s="1"/>
  <c r="AF170" i="4"/>
  <c r="AG170" i="4" s="1"/>
  <c r="AS170" i="4" s="1"/>
  <c r="AF136" i="4"/>
  <c r="AG136" i="4" s="1"/>
  <c r="AS136" i="4" s="1"/>
  <c r="AB170" i="4"/>
  <c r="AG171" i="4"/>
  <c r="AS171" i="4" s="1"/>
  <c r="AF181" i="4"/>
  <c r="AG181" i="4" s="1"/>
  <c r="AS181" i="4" s="1"/>
  <c r="Z171" i="4"/>
  <c r="AB171" i="4"/>
  <c r="M171" i="4"/>
  <c r="AA171" i="4" s="1"/>
  <c r="M134" i="4"/>
  <c r="AA134" i="4" s="1"/>
  <c r="AG166" i="4"/>
  <c r="AS166" i="4" s="1"/>
  <c r="AF162" i="4"/>
  <c r="AG162" i="4" s="1"/>
  <c r="AS162" i="4" s="1"/>
  <c r="AF56" i="4"/>
  <c r="AG56" i="4" s="1"/>
  <c r="AS56" i="4" s="1"/>
  <c r="AF154" i="4"/>
  <c r="AG154" i="4" s="1"/>
  <c r="AS154" i="4" s="1"/>
  <c r="Z51" i="4"/>
  <c r="Z199" i="4"/>
  <c r="Z161" i="4"/>
  <c r="Z91" i="4"/>
  <c r="AF182" i="4"/>
  <c r="AG182" i="4" s="1"/>
  <c r="AS182" i="4" s="1"/>
  <c r="AB161" i="4"/>
  <c r="M68" i="4"/>
  <c r="AA68" i="4" s="1"/>
  <c r="Z136" i="4"/>
  <c r="M161" i="4"/>
  <c r="AA161" i="4" s="1"/>
  <c r="AG64" i="4"/>
  <c r="AS64" i="4" s="1"/>
  <c r="AB154" i="4"/>
  <c r="AF158" i="4"/>
  <c r="AG158" i="4" s="1"/>
  <c r="AS158" i="4" s="1"/>
  <c r="AB181" i="4"/>
  <c r="Z81" i="4"/>
  <c r="AG110" i="4"/>
  <c r="AS110" i="4" s="1"/>
  <c r="Z181" i="4"/>
  <c r="Z182" i="4"/>
  <c r="M163" i="4"/>
  <c r="AA163" i="4" s="1"/>
  <c r="AB100" i="4"/>
  <c r="Z163" i="4"/>
  <c r="Z137" i="4"/>
  <c r="AF95" i="4"/>
  <c r="AG95" i="4" s="1"/>
  <c r="AS95" i="4" s="1"/>
  <c r="U33" i="4"/>
  <c r="V33" i="4" s="1"/>
  <c r="W33" i="4" s="1"/>
  <c r="AB149" i="4"/>
  <c r="AF68" i="4"/>
  <c r="AG68" i="4" s="1"/>
  <c r="AS68" i="4" s="1"/>
  <c r="AB120" i="4"/>
  <c r="M56" i="4"/>
  <c r="AA56" i="4" s="1"/>
  <c r="AF172" i="4"/>
  <c r="AG172" i="4" s="1"/>
  <c r="AS172" i="4" s="1"/>
  <c r="Z155" i="4"/>
  <c r="Z167" i="4"/>
  <c r="AC167" i="4" s="1"/>
  <c r="AF186" i="4"/>
  <c r="AG186" i="4" s="1"/>
  <c r="AS186" i="4" s="1"/>
  <c r="AG201" i="4"/>
  <c r="AS201" i="4" s="1"/>
  <c r="Z176" i="4"/>
  <c r="AF191" i="4"/>
  <c r="AG191" i="4" s="1"/>
  <c r="AS191" i="4" s="1"/>
  <c r="Z191" i="4"/>
  <c r="AB191" i="4"/>
  <c r="AG123" i="4"/>
  <c r="AS123" i="4" s="1"/>
  <c r="AF155" i="4"/>
  <c r="AG155" i="4" s="1"/>
  <c r="AS155" i="4" s="1"/>
  <c r="Z121" i="4"/>
  <c r="AC121" i="4" s="1"/>
  <c r="AB185" i="4"/>
  <c r="M153" i="4"/>
  <c r="AA153" i="4" s="1"/>
  <c r="Z172" i="4"/>
  <c r="AC172" i="4" s="1"/>
  <c r="AF65" i="4"/>
  <c r="AG65" i="4" s="1"/>
  <c r="AS65" i="4" s="1"/>
  <c r="AB188" i="4"/>
  <c r="Z64" i="4"/>
  <c r="AC64" i="4" s="1"/>
  <c r="AR64" i="4" s="1"/>
  <c r="AF153" i="4"/>
  <c r="AG153" i="4" s="1"/>
  <c r="AS153" i="4" s="1"/>
  <c r="Z188" i="4"/>
  <c r="AF35" i="4"/>
  <c r="AG35" i="4" s="1"/>
  <c r="AS35" i="4" s="1"/>
  <c r="AF188" i="4"/>
  <c r="AG188" i="4" s="1"/>
  <c r="AS188" i="4" s="1"/>
  <c r="AB35" i="4"/>
  <c r="AB101" i="4"/>
  <c r="M73" i="4"/>
  <c r="AA73" i="4" s="1"/>
  <c r="M35" i="4"/>
  <c r="AA35" i="4" s="1"/>
  <c r="AF148" i="4"/>
  <c r="AG148" i="4" s="1"/>
  <c r="AS148" i="4" s="1"/>
  <c r="AF129" i="4"/>
  <c r="AG129" i="4" s="1"/>
  <c r="AS129" i="4" s="1"/>
  <c r="Z116" i="4"/>
  <c r="M129" i="4"/>
  <c r="AA129" i="4" s="1"/>
  <c r="Z186" i="4"/>
  <c r="AF26" i="4"/>
  <c r="AG26" i="4" s="1"/>
  <c r="AS26" i="4" s="1"/>
  <c r="AF37" i="4"/>
  <c r="AG37" i="4" s="1"/>
  <c r="AS37" i="4" s="1"/>
  <c r="AB81" i="4"/>
  <c r="M144" i="4"/>
  <c r="AA144" i="4" s="1"/>
  <c r="AF81" i="4"/>
  <c r="AG81" i="4" s="1"/>
  <c r="AS81" i="4" s="1"/>
  <c r="AB104" i="4"/>
  <c r="AB144" i="4"/>
  <c r="AG152" i="4"/>
  <c r="AS152" i="4" s="1"/>
  <c r="AG103" i="4"/>
  <c r="AS103" i="4" s="1"/>
  <c r="AF144" i="4"/>
  <c r="AG144" i="4" s="1"/>
  <c r="AS144" i="4" s="1"/>
  <c r="Z180" i="4"/>
  <c r="AB34" i="4"/>
  <c r="R195" i="4"/>
  <c r="S195" i="4" s="1"/>
  <c r="T195" i="4" s="1"/>
  <c r="AB197" i="4"/>
  <c r="AG101" i="4"/>
  <c r="AS101" i="4" s="1"/>
  <c r="AD147" i="4"/>
  <c r="AE147" i="4" s="1"/>
  <c r="M116" i="4"/>
  <c r="AA116" i="4" s="1"/>
  <c r="AF69" i="4"/>
  <c r="AG69" i="4" s="1"/>
  <c r="AS69" i="4" s="1"/>
  <c r="M101" i="4"/>
  <c r="AA101" i="4" s="1"/>
  <c r="AB26" i="4"/>
  <c r="AF116" i="4"/>
  <c r="AG116" i="4" s="1"/>
  <c r="AS116" i="4" s="1"/>
  <c r="L195" i="4"/>
  <c r="AB195" i="4" s="1"/>
  <c r="M176" i="4"/>
  <c r="AA176" i="4" s="1"/>
  <c r="Z141" i="4"/>
  <c r="AB44" i="4"/>
  <c r="X33" i="4"/>
  <c r="Y33" i="4" s="1"/>
  <c r="M175" i="4"/>
  <c r="AA175" i="4" s="1"/>
  <c r="AG167" i="4"/>
  <c r="AS167" i="4" s="1"/>
  <c r="AF192" i="4"/>
  <c r="AG192" i="4" s="1"/>
  <c r="AS192" i="4" s="1"/>
  <c r="M187" i="4"/>
  <c r="AA187" i="4" s="1"/>
  <c r="AB112" i="4"/>
  <c r="K195" i="4"/>
  <c r="AB176" i="4"/>
  <c r="AB192" i="4"/>
  <c r="AG160" i="4"/>
  <c r="AS160" i="4" s="1"/>
  <c r="Z162" i="4"/>
  <c r="AB51" i="4"/>
  <c r="AF51" i="4"/>
  <c r="AG51" i="4" s="1"/>
  <c r="AS51" i="4" s="1"/>
  <c r="Z192" i="4"/>
  <c r="AF180" i="4"/>
  <c r="AG180" i="4" s="1"/>
  <c r="AS180" i="4" s="1"/>
  <c r="AF121" i="4"/>
  <c r="AG121" i="4" s="1"/>
  <c r="AS121" i="4" s="1"/>
  <c r="Z101" i="4"/>
  <c r="Z69" i="4"/>
  <c r="AF19" i="4"/>
  <c r="AG19" i="4" s="1"/>
  <c r="AS19" i="4" s="1"/>
  <c r="AF104" i="4"/>
  <c r="AG104" i="4" s="1"/>
  <c r="AS104" i="4" s="1"/>
  <c r="R33" i="4"/>
  <c r="S33" i="4" s="1"/>
  <c r="T33" i="4" s="1"/>
  <c r="N33" i="4"/>
  <c r="O33" i="4" s="1"/>
  <c r="Q33" i="4" s="1"/>
  <c r="K33" i="4"/>
  <c r="L33" i="4"/>
  <c r="AF107" i="4"/>
  <c r="AG107" i="4" s="1"/>
  <c r="AS107" i="4" s="1"/>
  <c r="Z110" i="4"/>
  <c r="AC110" i="4" s="1"/>
  <c r="Z107" i="4"/>
  <c r="Z142" i="4"/>
  <c r="M65" i="4"/>
  <c r="AA65" i="4" s="1"/>
  <c r="Z65" i="4"/>
  <c r="Z19" i="4"/>
  <c r="AD48" i="4"/>
  <c r="AE48" i="4" s="1"/>
  <c r="M107" i="4"/>
  <c r="AA107" i="4" s="1"/>
  <c r="A683" i="3"/>
  <c r="AF38" i="4"/>
  <c r="AG38" i="4" s="1"/>
  <c r="AS38" i="4" s="1"/>
  <c r="AF96" i="4"/>
  <c r="AG96" i="4" s="1"/>
  <c r="AS96" i="4" s="1"/>
  <c r="B69" i="2"/>
  <c r="E37" i="1" s="1"/>
  <c r="B147" i="2"/>
  <c r="F30" i="3" s="1"/>
  <c r="BM30" i="3" s="1"/>
  <c r="N125" i="4"/>
  <c r="O125" i="4" s="1"/>
  <c r="Q125" i="4" s="1"/>
  <c r="K125" i="4"/>
  <c r="R125" i="4"/>
  <c r="S125" i="4" s="1"/>
  <c r="T125" i="4" s="1"/>
  <c r="L125" i="4"/>
  <c r="U125" i="4"/>
  <c r="V125" i="4" s="1"/>
  <c r="W125" i="4" s="1"/>
  <c r="B135" i="2"/>
  <c r="B136" i="2" s="1"/>
  <c r="E3" i="8" s="1"/>
  <c r="B125" i="2"/>
  <c r="B132" i="2" s="1"/>
  <c r="B74" i="1" s="1"/>
  <c r="AB55" i="4"/>
  <c r="M55" i="4"/>
  <c r="AA55" i="4" s="1"/>
  <c r="Z50" i="4"/>
  <c r="AB50" i="4"/>
  <c r="AG89" i="4"/>
  <c r="AS89" i="4" s="1"/>
  <c r="M179" i="4"/>
  <c r="AA179" i="4" s="1"/>
  <c r="AB179" i="4"/>
  <c r="AF44" i="4"/>
  <c r="AG44" i="4" s="1"/>
  <c r="AS44" i="4" s="1"/>
  <c r="Z44" i="4"/>
  <c r="M34" i="4"/>
  <c r="AA34" i="4" s="1"/>
  <c r="Z34" i="4"/>
  <c r="A88" i="8"/>
  <c r="M72" i="4"/>
  <c r="AA72" i="4" s="1"/>
  <c r="Z72" i="4"/>
  <c r="AB72" i="4"/>
  <c r="AF72" i="4"/>
  <c r="AG72" i="4" s="1"/>
  <c r="AS72" i="4" s="1"/>
  <c r="M146" i="4"/>
  <c r="AA146" i="4" s="1"/>
  <c r="Z179" i="4"/>
  <c r="Z196" i="4"/>
  <c r="AC196" i="4" s="1"/>
  <c r="AF196" i="4"/>
  <c r="AG196" i="4" s="1"/>
  <c r="AS196" i="4" s="1"/>
  <c r="M189" i="4"/>
  <c r="AA189" i="4" s="1"/>
  <c r="AB189" i="4"/>
  <c r="AF32" i="4"/>
  <c r="AG32" i="4" s="1"/>
  <c r="AS32" i="4" s="1"/>
  <c r="Z32" i="4"/>
  <c r="AC32" i="4" s="1"/>
  <c r="Z83" i="4"/>
  <c r="Z74" i="4"/>
  <c r="AG31" i="4"/>
  <c r="AS31" i="4" s="1"/>
  <c r="AD132" i="4"/>
  <c r="AE132" i="4" s="1"/>
  <c r="A110" i="8"/>
  <c r="A123" i="8"/>
  <c r="A109" i="8"/>
  <c r="A101" i="8"/>
  <c r="Z175" i="4"/>
  <c r="U132" i="4"/>
  <c r="V132" i="4" s="1"/>
  <c r="W132" i="4" s="1"/>
  <c r="A117" i="8"/>
  <c r="N150" i="4"/>
  <c r="O150" i="4" s="1"/>
  <c r="Q150" i="4" s="1"/>
  <c r="R150" i="4"/>
  <c r="S150" i="4" s="1"/>
  <c r="T150" i="4" s="1"/>
  <c r="K150" i="4"/>
  <c r="L150" i="4"/>
  <c r="AR38" i="3"/>
  <c r="A39" i="3"/>
  <c r="AQ38" i="3"/>
  <c r="B38" i="3"/>
  <c r="D38" i="3"/>
  <c r="C38" i="3"/>
  <c r="Z28" i="4"/>
  <c r="AC28" i="4" s="1"/>
  <c r="B74" i="2"/>
  <c r="E36" i="1" s="1"/>
  <c r="AG164" i="4"/>
  <c r="AS164" i="4" s="1"/>
  <c r="Z187" i="4"/>
  <c r="E59" i="1"/>
  <c r="U48" i="4"/>
  <c r="V48" i="4" s="1"/>
  <c r="W48" i="4" s="1"/>
  <c r="N147" i="4"/>
  <c r="O147" i="4" s="1"/>
  <c r="Q147" i="4" s="1"/>
  <c r="L147" i="4"/>
  <c r="R147" i="4"/>
  <c r="S147" i="4" s="1"/>
  <c r="T147" i="4" s="1"/>
  <c r="K147" i="4"/>
  <c r="A82" i="8"/>
  <c r="AF73" i="4"/>
  <c r="AG73" i="4" s="1"/>
  <c r="AS73" i="4" s="1"/>
  <c r="M96" i="4"/>
  <c r="AA96" i="4" s="1"/>
  <c r="Z98" i="4"/>
  <c r="AF118" i="4"/>
  <c r="AG118" i="4" s="1"/>
  <c r="AS118" i="4" s="1"/>
  <c r="E53" i="1"/>
  <c r="C60" i="16" s="1"/>
  <c r="D60" i="16" s="1"/>
  <c r="N48" i="4"/>
  <c r="O48" i="4" s="1"/>
  <c r="Q48" i="4" s="1"/>
  <c r="R48" i="4"/>
  <c r="S48" i="4" s="1"/>
  <c r="T48" i="4" s="1"/>
  <c r="L48" i="4"/>
  <c r="K48" i="4"/>
  <c r="AG70" i="4"/>
  <c r="AS70" i="4" s="1"/>
  <c r="B16" i="6"/>
  <c r="A95" i="8"/>
  <c r="M159" i="4"/>
  <c r="AA159" i="4" s="1"/>
  <c r="AB159" i="4"/>
  <c r="A84" i="8"/>
  <c r="AD150" i="4"/>
  <c r="AE150" i="4" s="1"/>
  <c r="U150" i="4"/>
  <c r="V150" i="4" s="1"/>
  <c r="W150" i="4" s="1"/>
  <c r="X147" i="4"/>
  <c r="Y147" i="4" s="1"/>
  <c r="A115" i="8"/>
  <c r="A114" i="8"/>
  <c r="A104" i="8"/>
  <c r="Z55" i="4"/>
  <c r="AF55" i="4"/>
  <c r="AG55" i="4" s="1"/>
  <c r="AS55" i="4" s="1"/>
  <c r="R127" i="4"/>
  <c r="S127" i="4" s="1"/>
  <c r="T127" i="4" s="1"/>
  <c r="L127" i="4"/>
  <c r="N127" i="4"/>
  <c r="O127" i="4" s="1"/>
  <c r="Q127" i="4" s="1"/>
  <c r="K127" i="4"/>
  <c r="AF174" i="4"/>
  <c r="AG174" i="4" s="1"/>
  <c r="AS174" i="4" s="1"/>
  <c r="AD127" i="4"/>
  <c r="AE127" i="4" s="1"/>
  <c r="AB174" i="4"/>
  <c r="Z201" i="4"/>
  <c r="AC201" i="4" s="1"/>
  <c r="AR201" i="4" s="1"/>
  <c r="Z174" i="4"/>
  <c r="U127" i="4"/>
  <c r="V127" i="4" s="1"/>
  <c r="W127" i="4" s="1"/>
  <c r="AB164" i="4"/>
  <c r="Z133" i="4"/>
  <c r="X127" i="4"/>
  <c r="Y127" i="4" s="1"/>
  <c r="M208" i="4"/>
  <c r="AA208" i="4" s="1"/>
  <c r="AF130" i="4"/>
  <c r="AG130" i="4" s="1"/>
  <c r="Z208" i="4"/>
  <c r="AF179" i="4"/>
  <c r="AG179" i="4" s="1"/>
  <c r="AS179" i="4" s="1"/>
  <c r="R132" i="4"/>
  <c r="S132" i="4" s="1"/>
  <c r="T132" i="4" s="1"/>
  <c r="L132" i="4"/>
  <c r="K132" i="4"/>
  <c r="N132" i="4"/>
  <c r="O132" i="4" s="1"/>
  <c r="Q132" i="4" s="1"/>
  <c r="Z31" i="4"/>
  <c r="AF208" i="4"/>
  <c r="AG208" i="4" s="1"/>
  <c r="AS208" i="4" s="1"/>
  <c r="AF194" i="4"/>
  <c r="AG194" i="4" s="1"/>
  <c r="AS194" i="4" s="1"/>
  <c r="AF169" i="4"/>
  <c r="AG169" i="4" s="1"/>
  <c r="AS169" i="4" s="1"/>
  <c r="X61" i="4"/>
  <c r="Y61" i="4" s="1"/>
  <c r="M31" i="4"/>
  <c r="AA31" i="4" s="1"/>
  <c r="Z194" i="4"/>
  <c r="AF185" i="4"/>
  <c r="AG185" i="4" s="1"/>
  <c r="AS185" i="4" s="1"/>
  <c r="AF120" i="4"/>
  <c r="AG120" i="4" s="1"/>
  <c r="AS120" i="4" s="1"/>
  <c r="AB194" i="4"/>
  <c r="R14" i="8"/>
  <c r="E28" i="1"/>
  <c r="AB31" i="4"/>
  <c r="AF189" i="4"/>
  <c r="AG189" i="4" s="1"/>
  <c r="AS189" i="4" s="1"/>
  <c r="AF82" i="4"/>
  <c r="AG82" i="4" s="1"/>
  <c r="AS82" i="4" s="1"/>
  <c r="AF197" i="4"/>
  <c r="AG197" i="4" s="1"/>
  <c r="AS197" i="4" s="1"/>
  <c r="Z105" i="4"/>
  <c r="M57" i="4"/>
  <c r="AA57" i="4" s="1"/>
  <c r="AB105" i="4"/>
  <c r="AB57" i="4"/>
  <c r="AF57" i="4"/>
  <c r="AG57" i="4" s="1"/>
  <c r="AS57" i="4" s="1"/>
  <c r="AG139" i="4"/>
  <c r="AS139" i="4" s="1"/>
  <c r="AF163" i="4"/>
  <c r="AG163" i="4" s="1"/>
  <c r="AS163" i="4" s="1"/>
  <c r="N195" i="4"/>
  <c r="O195" i="4" s="1"/>
  <c r="Q195" i="4" s="1"/>
  <c r="X195" i="4"/>
  <c r="Y195" i="4" s="1"/>
  <c r="AD195" i="4"/>
  <c r="AE195" i="4" s="1"/>
  <c r="Z87" i="4"/>
  <c r="Z185" i="4"/>
  <c r="M162" i="4"/>
  <c r="AA162" i="4" s="1"/>
  <c r="AF156" i="4"/>
  <c r="AG156" i="4" s="1"/>
  <c r="AS156" i="4" s="1"/>
  <c r="AF50" i="4"/>
  <c r="AG50" i="4" s="1"/>
  <c r="AS50" i="4" s="1"/>
  <c r="AC130" i="4"/>
  <c r="AR130" i="4" s="1"/>
  <c r="AB162" i="4"/>
  <c r="M156" i="4"/>
  <c r="AA156" i="4" s="1"/>
  <c r="AB156" i="4"/>
  <c r="AB69" i="4"/>
  <c r="Z118" i="4"/>
  <c r="AC118" i="4" s="1"/>
  <c r="AB37" i="4"/>
  <c r="Z38" i="4"/>
  <c r="Z120" i="4"/>
  <c r="Z159" i="4"/>
  <c r="Z122" i="4"/>
  <c r="M37" i="4"/>
  <c r="AA37" i="4" s="1"/>
  <c r="M142" i="4"/>
  <c r="AA142" i="4" s="1"/>
  <c r="AF202" i="4"/>
  <c r="AG202" i="4" s="1"/>
  <c r="AS202" i="4" s="1"/>
  <c r="AB122" i="4"/>
  <c r="AB142" i="4"/>
  <c r="Z73" i="4"/>
  <c r="AF122" i="4"/>
  <c r="AG122" i="4" s="1"/>
  <c r="AS122" i="4" s="1"/>
  <c r="Z189" i="4"/>
  <c r="AF142" i="4"/>
  <c r="AG142" i="4" s="1"/>
  <c r="AS142" i="4" s="1"/>
  <c r="AF112" i="4"/>
  <c r="AG112" i="4" s="1"/>
  <c r="AS112" i="4" s="1"/>
  <c r="M143" i="4"/>
  <c r="AA143" i="4" s="1"/>
  <c r="AF178" i="4"/>
  <c r="AG178" i="4" s="1"/>
  <c r="AS178" i="4" s="1"/>
  <c r="AF133" i="4"/>
  <c r="AG133" i="4" s="1"/>
  <c r="AS133" i="4" s="1"/>
  <c r="AG79" i="4"/>
  <c r="AS79" i="4" s="1"/>
  <c r="Z178" i="4"/>
  <c r="AG42" i="4"/>
  <c r="AS42" i="4" s="1"/>
  <c r="AG63" i="4"/>
  <c r="AS63" i="4" s="1"/>
  <c r="M178" i="4"/>
  <c r="AA178" i="4" s="1"/>
  <c r="AF175" i="4"/>
  <c r="AG175" i="4" s="1"/>
  <c r="AS175" i="4" s="1"/>
  <c r="Z169" i="4"/>
  <c r="AC169" i="4" s="1"/>
  <c r="AR169" i="4" s="1"/>
  <c r="M133" i="4"/>
  <c r="AA133" i="4" s="1"/>
  <c r="AG105" i="4"/>
  <c r="AS105" i="4" s="1"/>
  <c r="R61" i="4"/>
  <c r="S61" i="4" s="1"/>
  <c r="T61" i="4" s="1"/>
  <c r="AF145" i="4"/>
  <c r="AG145" i="4" s="1"/>
  <c r="AS145" i="4" s="1"/>
  <c r="AF143" i="4"/>
  <c r="AG143" i="4" s="1"/>
  <c r="AS143" i="4" s="1"/>
  <c r="AF187" i="4"/>
  <c r="AG187" i="4" s="1"/>
  <c r="AS187" i="4" s="1"/>
  <c r="Z134" i="4"/>
  <c r="AC134" i="4" s="1"/>
  <c r="AF205" i="4"/>
  <c r="AG205" i="4" s="1"/>
  <c r="AS205" i="4" s="1"/>
  <c r="AG151" i="4"/>
  <c r="AS151" i="4" s="1"/>
  <c r="M79" i="4"/>
  <c r="AA79" i="4" s="1"/>
  <c r="M50" i="4"/>
  <c r="AA50" i="4" s="1"/>
  <c r="AF80" i="4"/>
  <c r="AG80" i="4" s="1"/>
  <c r="AS80" i="4" s="1"/>
  <c r="Z79" i="4"/>
  <c r="M82" i="4"/>
  <c r="AA82" i="4" s="1"/>
  <c r="Z76" i="4"/>
  <c r="Z80" i="4"/>
  <c r="Z139" i="4"/>
  <c r="AC139" i="4" s="1"/>
  <c r="Z82" i="4"/>
  <c r="AF76" i="4"/>
  <c r="AG76" i="4" s="1"/>
  <c r="AS76" i="4" s="1"/>
  <c r="Z85" i="4"/>
  <c r="AF146" i="4"/>
  <c r="AG146" i="4" s="1"/>
  <c r="AS146" i="4" s="1"/>
  <c r="AB133" i="4"/>
  <c r="AG119" i="4"/>
  <c r="AS119" i="4" s="1"/>
  <c r="AB66" i="4"/>
  <c r="AB82" i="4"/>
  <c r="AB76" i="4"/>
  <c r="Z112" i="4"/>
  <c r="Z42" i="4"/>
  <c r="AC42" i="4" s="1"/>
  <c r="Z66" i="4"/>
  <c r="AF20" i="4"/>
  <c r="AG20" i="4" s="1"/>
  <c r="AS20" i="4" s="1"/>
  <c r="Z114" i="4"/>
  <c r="Z30" i="4"/>
  <c r="AF66" i="4"/>
  <c r="AG66" i="4" s="1"/>
  <c r="AS66" i="4" s="1"/>
  <c r="AB141" i="4"/>
  <c r="Z37" i="4"/>
  <c r="M80" i="4"/>
  <c r="AA80" i="4" s="1"/>
  <c r="AB114" i="4"/>
  <c r="AF168" i="4"/>
  <c r="AG168" i="4" s="1"/>
  <c r="AS168" i="4" s="1"/>
  <c r="AB30" i="4"/>
  <c r="AF10" i="4"/>
  <c r="AG10" i="4" s="1"/>
  <c r="AS10" i="4" s="1"/>
  <c r="M141" i="4"/>
  <c r="AA141" i="4" s="1"/>
  <c r="Z100" i="4"/>
  <c r="AF114" i="4"/>
  <c r="AG114" i="4" s="1"/>
  <c r="AS114" i="4" s="1"/>
  <c r="Z168" i="4"/>
  <c r="AF30" i="4"/>
  <c r="AG30" i="4" s="1"/>
  <c r="AS30" i="4" s="1"/>
  <c r="AF100" i="4"/>
  <c r="AG100" i="4" s="1"/>
  <c r="AS100" i="4" s="1"/>
  <c r="AB79" i="4"/>
  <c r="Z63" i="4"/>
  <c r="AC63" i="4" s="1"/>
  <c r="M164" i="4"/>
  <c r="AA164" i="4" s="1"/>
  <c r="AB56" i="4"/>
  <c r="Z68" i="4"/>
  <c r="M135" i="4"/>
  <c r="AA135" i="4" s="1"/>
  <c r="Z152" i="4"/>
  <c r="AG161" i="4"/>
  <c r="AS161" i="4" s="1"/>
  <c r="Z96" i="4"/>
  <c r="N61" i="4"/>
  <c r="O61" i="4" s="1"/>
  <c r="Q61" i="4" s="1"/>
  <c r="U61" i="4"/>
  <c r="V61" i="4" s="1"/>
  <c r="W61" i="4" s="1"/>
  <c r="L61" i="4"/>
  <c r="AD61" i="4"/>
  <c r="AE61" i="4" s="1"/>
  <c r="M20" i="4"/>
  <c r="AA20" i="4" s="1"/>
  <c r="Z47" i="4"/>
  <c r="Z108" i="4"/>
  <c r="AB148" i="4"/>
  <c r="Z205" i="4"/>
  <c r="AF141" i="4"/>
  <c r="AG141" i="4" s="1"/>
  <c r="AS141" i="4" s="1"/>
  <c r="Z60" i="4"/>
  <c r="Z148" i="4"/>
  <c r="AB205" i="4"/>
  <c r="M205" i="4"/>
  <c r="AA205" i="4" s="1"/>
  <c r="Z20" i="4"/>
  <c r="AG28" i="4"/>
  <c r="AS28" i="4" s="1"/>
  <c r="Z89" i="4"/>
  <c r="AC89" i="4" s="1"/>
  <c r="AR89" i="4" s="1"/>
  <c r="Z146" i="4"/>
  <c r="Z151" i="4"/>
  <c r="AC151" i="4" s="1"/>
  <c r="AF134" i="4"/>
  <c r="AG134" i="4" s="1"/>
  <c r="AS134" i="4" s="1"/>
  <c r="Z145" i="4"/>
  <c r="Z143" i="4"/>
  <c r="AB78" i="4"/>
  <c r="Z78" i="4"/>
  <c r="AF25" i="4"/>
  <c r="AG25" i="4" s="1"/>
  <c r="AS25" i="4" s="1"/>
  <c r="AF78" i="4"/>
  <c r="AG78" i="4" s="1"/>
  <c r="AS78" i="4" s="1"/>
  <c r="M38" i="4"/>
  <c r="AA38" i="4" s="1"/>
  <c r="Z10" i="4"/>
  <c r="Z94" i="4"/>
  <c r="Z197" i="4"/>
  <c r="Z93" i="4"/>
  <c r="Z164" i="4"/>
  <c r="Z77" i="4"/>
  <c r="AB94" i="4"/>
  <c r="AF94" i="4"/>
  <c r="AG94" i="4" s="1"/>
  <c r="AS94" i="4" s="1"/>
  <c r="AF173" i="4"/>
  <c r="AG173" i="4" s="1"/>
  <c r="AS173" i="4" s="1"/>
  <c r="Z206" i="4"/>
  <c r="AC206" i="4" s="1"/>
  <c r="X109" i="4"/>
  <c r="Y109" i="4" s="1"/>
  <c r="AF157" i="4"/>
  <c r="AG157" i="4" s="1"/>
  <c r="AS157" i="4" s="1"/>
  <c r="AB157" i="4"/>
  <c r="Z157" i="4"/>
  <c r="AF149" i="4"/>
  <c r="AG149" i="4" s="1"/>
  <c r="AS149" i="4" s="1"/>
  <c r="AB177" i="4"/>
  <c r="M117" i="4"/>
  <c r="AA117" i="4" s="1"/>
  <c r="Z177" i="4"/>
  <c r="AF22" i="4"/>
  <c r="AG22" i="4" s="1"/>
  <c r="AS22" i="4" s="1"/>
  <c r="Z117" i="4"/>
  <c r="AF177" i="4"/>
  <c r="AG177" i="4" s="1"/>
  <c r="AS177" i="4" s="1"/>
  <c r="AB22" i="4"/>
  <c r="AF117" i="4"/>
  <c r="AG117" i="4" s="1"/>
  <c r="AS117" i="4" s="1"/>
  <c r="Z22" i="4"/>
  <c r="AF135" i="4"/>
  <c r="AG135" i="4" s="1"/>
  <c r="AS135" i="4" s="1"/>
  <c r="AF206" i="4"/>
  <c r="AG206" i="4" s="1"/>
  <c r="AS206" i="4" s="1"/>
  <c r="AB10" i="4"/>
  <c r="X9" i="4"/>
  <c r="Y9" i="4" s="1"/>
  <c r="M105" i="4"/>
  <c r="AA105" i="4" s="1"/>
  <c r="AD9" i="4"/>
  <c r="AE9" i="4" s="1"/>
  <c r="AB85" i="4"/>
  <c r="AF85" i="4"/>
  <c r="AG85" i="4" s="1"/>
  <c r="AS85" i="4" s="1"/>
  <c r="M85" i="4"/>
  <c r="AA85" i="4" s="1"/>
  <c r="M43" i="4"/>
  <c r="AA43" i="4" s="1"/>
  <c r="AF43" i="4"/>
  <c r="AG43" i="4" s="1"/>
  <c r="AS43" i="4" s="1"/>
  <c r="AB43" i="4"/>
  <c r="AB59" i="4"/>
  <c r="AF59" i="4"/>
  <c r="AG59" i="4" s="1"/>
  <c r="AS59" i="4" s="1"/>
  <c r="M59" i="4"/>
  <c r="AA59" i="4" s="1"/>
  <c r="M124" i="4"/>
  <c r="AA124" i="4" s="1"/>
  <c r="AB124" i="4"/>
  <c r="M207" i="4"/>
  <c r="AA207" i="4" s="1"/>
  <c r="AB207" i="4"/>
  <c r="M23" i="4"/>
  <c r="AA23" i="4" s="1"/>
  <c r="AB23" i="4"/>
  <c r="AF23" i="4"/>
  <c r="AG23" i="4" s="1"/>
  <c r="AS23" i="4" s="1"/>
  <c r="Z23" i="4"/>
  <c r="M12" i="4"/>
  <c r="AA12" i="4" s="1"/>
  <c r="Z12" i="4"/>
  <c r="AF12" i="4"/>
  <c r="AG12" i="4" s="1"/>
  <c r="AS12" i="4" s="1"/>
  <c r="AB12" i="4"/>
  <c r="M182" i="4"/>
  <c r="AA182" i="4" s="1"/>
  <c r="AB182" i="4"/>
  <c r="M60" i="4"/>
  <c r="AA60" i="4" s="1"/>
  <c r="AB60" i="4"/>
  <c r="AF60" i="4"/>
  <c r="AG60" i="4" s="1"/>
  <c r="AS60" i="4" s="1"/>
  <c r="M102" i="4"/>
  <c r="AA102" i="4" s="1"/>
  <c r="Z102" i="4"/>
  <c r="AB102" i="4"/>
  <c r="AF102" i="4"/>
  <c r="AG102" i="4" s="1"/>
  <c r="AS102" i="4" s="1"/>
  <c r="AD46" i="4"/>
  <c r="AE46" i="4" s="1"/>
  <c r="M97" i="4"/>
  <c r="AA97" i="4" s="1"/>
  <c r="AB97" i="4"/>
  <c r="M15" i="4"/>
  <c r="AA15" i="4" s="1"/>
  <c r="AB15" i="4"/>
  <c r="AF15" i="4"/>
  <c r="AG15" i="4" s="1"/>
  <c r="AS15" i="4" s="1"/>
  <c r="Z15" i="4"/>
  <c r="M180" i="4"/>
  <c r="AA180" i="4" s="1"/>
  <c r="AB180" i="4"/>
  <c r="M71" i="4"/>
  <c r="AA71" i="4" s="1"/>
  <c r="AB71" i="4"/>
  <c r="AF71" i="4"/>
  <c r="AG71" i="4" s="1"/>
  <c r="AS71" i="4" s="1"/>
  <c r="Z18" i="4"/>
  <c r="AB18" i="4"/>
  <c r="M18" i="4"/>
  <c r="AA18" i="4" s="1"/>
  <c r="AF18" i="4"/>
  <c r="AG18" i="4" s="1"/>
  <c r="AS18" i="4" s="1"/>
  <c r="Z70" i="4"/>
  <c r="AC70" i="4" s="1"/>
  <c r="M92" i="4"/>
  <c r="AA92" i="4" s="1"/>
  <c r="AB92" i="4"/>
  <c r="AF92" i="4"/>
  <c r="AG92" i="4" s="1"/>
  <c r="AS92" i="4" s="1"/>
  <c r="X113" i="4"/>
  <c r="Y113" i="4" s="1"/>
  <c r="M17" i="4"/>
  <c r="AA17" i="4" s="1"/>
  <c r="AB17" i="4"/>
  <c r="AF17" i="4"/>
  <c r="AG17" i="4" s="1"/>
  <c r="AS17" i="4" s="1"/>
  <c r="Z17" i="4"/>
  <c r="AF11" i="4"/>
  <c r="AG11" i="4" s="1"/>
  <c r="AS11" i="4" s="1"/>
  <c r="AB11" i="4"/>
  <c r="M11" i="4"/>
  <c r="AA11" i="4" s="1"/>
  <c r="Z11" i="4"/>
  <c r="M14" i="4"/>
  <c r="AA14" i="4" s="1"/>
  <c r="AF14" i="4"/>
  <c r="AG14" i="4" s="1"/>
  <c r="AS14" i="4" s="1"/>
  <c r="AB14" i="4"/>
  <c r="Z14" i="4"/>
  <c r="M16" i="4"/>
  <c r="AA16" i="4" s="1"/>
  <c r="AF16" i="4"/>
  <c r="AG16" i="4" s="1"/>
  <c r="AS16" i="4" s="1"/>
  <c r="AB16" i="4"/>
  <c r="Z16" i="4"/>
  <c r="AF124" i="4"/>
  <c r="AG124" i="4" s="1"/>
  <c r="AS124" i="4" s="1"/>
  <c r="M173" i="4"/>
  <c r="AA173" i="4" s="1"/>
  <c r="AF83" i="4"/>
  <c r="AG83" i="4" s="1"/>
  <c r="AS83" i="4" s="1"/>
  <c r="M83" i="4"/>
  <c r="AA83" i="4" s="1"/>
  <c r="AB83" i="4"/>
  <c r="M93" i="4"/>
  <c r="AA93" i="4" s="1"/>
  <c r="AB93" i="4"/>
  <c r="AF93" i="4"/>
  <c r="AG93" i="4" s="1"/>
  <c r="AS93" i="4" s="1"/>
  <c r="Z124" i="4"/>
  <c r="AB173" i="4"/>
  <c r="M137" i="4"/>
  <c r="AA137" i="4" s="1"/>
  <c r="AB137" i="4"/>
  <c r="Z62" i="4"/>
  <c r="AB62" i="4"/>
  <c r="M62" i="4"/>
  <c r="AA62" i="4" s="1"/>
  <c r="AF62" i="4"/>
  <c r="AG62" i="4" s="1"/>
  <c r="AS62" i="4" s="1"/>
  <c r="Z149" i="4"/>
  <c r="Z173" i="4"/>
  <c r="M87" i="4"/>
  <c r="AA87" i="4" s="1"/>
  <c r="AB87" i="4"/>
  <c r="AF87" i="4"/>
  <c r="AG87" i="4" s="1"/>
  <c r="AS87" i="4" s="1"/>
  <c r="M77" i="4"/>
  <c r="AA77" i="4" s="1"/>
  <c r="AF77" i="4"/>
  <c r="AG77" i="4" s="1"/>
  <c r="AS77" i="4" s="1"/>
  <c r="AB77" i="4"/>
  <c r="M98" i="4"/>
  <c r="AA98" i="4" s="1"/>
  <c r="AF98" i="4"/>
  <c r="AG98" i="4" s="1"/>
  <c r="AS98" i="4" s="1"/>
  <c r="AB98" i="4"/>
  <c r="M74" i="4"/>
  <c r="AA74" i="4" s="1"/>
  <c r="AF74" i="4"/>
  <c r="AG74" i="4" s="1"/>
  <c r="AS74" i="4" s="1"/>
  <c r="AB74" i="4"/>
  <c r="AB21" i="4"/>
  <c r="Z21" i="4"/>
  <c r="AF21" i="4"/>
  <c r="AG21" i="4" s="1"/>
  <c r="AS21" i="4" s="1"/>
  <c r="M21" i="4"/>
  <c r="AA21" i="4" s="1"/>
  <c r="M84" i="4"/>
  <c r="AA84" i="4" s="1"/>
  <c r="Z84" i="4"/>
  <c r="AF84" i="4"/>
  <c r="AG84" i="4" s="1"/>
  <c r="AS84" i="4" s="1"/>
  <c r="AB84" i="4"/>
  <c r="Z43" i="4"/>
  <c r="AF97" i="4"/>
  <c r="AG97" i="4" s="1"/>
  <c r="AS97" i="4" s="1"/>
  <c r="Z160" i="4"/>
  <c r="AC160" i="4" s="1"/>
  <c r="Z92" i="4"/>
  <c r="U24" i="4"/>
  <c r="V24" i="4" s="1"/>
  <c r="W24" i="4" s="1"/>
  <c r="M47" i="4"/>
  <c r="AA47" i="4" s="1"/>
  <c r="AB47" i="4"/>
  <c r="AF47" i="4"/>
  <c r="AG47" i="4" s="1"/>
  <c r="AS47" i="4" s="1"/>
  <c r="AB29" i="4"/>
  <c r="AF29" i="4"/>
  <c r="AG29" i="4" s="1"/>
  <c r="AS29" i="4" s="1"/>
  <c r="M29" i="4"/>
  <c r="AA29" i="4" s="1"/>
  <c r="Z29" i="4"/>
  <c r="AB75" i="4"/>
  <c r="AF75" i="4"/>
  <c r="AG75" i="4" s="1"/>
  <c r="AS75" i="4" s="1"/>
  <c r="M75" i="4"/>
  <c r="AA75" i="4" s="1"/>
  <c r="Z75" i="4"/>
  <c r="M108" i="4"/>
  <c r="AA108" i="4" s="1"/>
  <c r="AB108" i="4"/>
  <c r="AF108" i="4"/>
  <c r="AG108" i="4" s="1"/>
  <c r="AS108" i="4" s="1"/>
  <c r="M152" i="4"/>
  <c r="AA152" i="4" s="1"/>
  <c r="AB152" i="4"/>
  <c r="Z135" i="4"/>
  <c r="Z71" i="4"/>
  <c r="AB168" i="4"/>
  <c r="M13" i="4"/>
  <c r="AA13" i="4" s="1"/>
  <c r="AB13" i="4"/>
  <c r="AF13" i="4"/>
  <c r="AG13" i="4" s="1"/>
  <c r="AS13" i="4" s="1"/>
  <c r="Z13" i="4"/>
  <c r="Z207" i="4"/>
  <c r="AF39" i="4"/>
  <c r="AG39" i="4" s="1"/>
  <c r="AS39" i="4" s="1"/>
  <c r="Z39" i="4"/>
  <c r="M39" i="4"/>
  <c r="AA39" i="4" s="1"/>
  <c r="AB39" i="4"/>
  <c r="Z59" i="4"/>
  <c r="AD109" i="4"/>
  <c r="AE109" i="4" s="1"/>
  <c r="K115" i="4"/>
  <c r="X115" i="4"/>
  <c r="Y115" i="4" s="1"/>
  <c r="N115" i="4"/>
  <c r="O115" i="4" s="1"/>
  <c r="Q115" i="4" s="1"/>
  <c r="L115" i="4"/>
  <c r="R115" i="4"/>
  <c r="S115" i="4" s="1"/>
  <c r="T115" i="4" s="1"/>
  <c r="U115" i="4"/>
  <c r="V115" i="4" s="1"/>
  <c r="W115" i="4" s="1"/>
  <c r="K45" i="4"/>
  <c r="AD45" i="4"/>
  <c r="AE45" i="4" s="1"/>
  <c r="U45" i="4"/>
  <c r="V45" i="4" s="1"/>
  <c r="W45" i="4" s="1"/>
  <c r="N45" i="4"/>
  <c r="O45" i="4" s="1"/>
  <c r="Q45" i="4" s="1"/>
  <c r="L45" i="4"/>
  <c r="R45" i="4"/>
  <c r="S45" i="4" s="1"/>
  <c r="T45" i="4" s="1"/>
  <c r="K9" i="4"/>
  <c r="R9" i="4"/>
  <c r="S9" i="4" s="1"/>
  <c r="T9" i="4" s="1"/>
  <c r="L9" i="4"/>
  <c r="N9" i="4"/>
  <c r="O9" i="4" s="1"/>
  <c r="Q9" i="4" s="1"/>
  <c r="L111" i="4"/>
  <c r="K111" i="4"/>
  <c r="X111" i="4"/>
  <c r="Y111" i="4" s="1"/>
  <c r="N111" i="4"/>
  <c r="O111" i="4" s="1"/>
  <c r="Q111" i="4" s="1"/>
  <c r="U111" i="4"/>
  <c r="V111" i="4" s="1"/>
  <c r="W111" i="4" s="1"/>
  <c r="R111" i="4"/>
  <c r="S111" i="4" s="1"/>
  <c r="T111" i="4" s="1"/>
  <c r="K41" i="4"/>
  <c r="U41" i="4"/>
  <c r="V41" i="4" s="1"/>
  <c r="W41" i="4" s="1"/>
  <c r="R41" i="4"/>
  <c r="S41" i="4" s="1"/>
  <c r="T41" i="4" s="1"/>
  <c r="N41" i="4"/>
  <c r="O41" i="4" s="1"/>
  <c r="Q41" i="4" s="1"/>
  <c r="X41" i="4"/>
  <c r="Y41" i="4" s="1"/>
  <c r="L41" i="4"/>
  <c r="AF184" i="4"/>
  <c r="AG184" i="4" s="1"/>
  <c r="AS184" i="4" s="1"/>
  <c r="AD49" i="4"/>
  <c r="AE49" i="4" s="1"/>
  <c r="R113" i="4"/>
  <c r="S113" i="4" s="1"/>
  <c r="T113" i="4" s="1"/>
  <c r="L113" i="4"/>
  <c r="K113" i="4"/>
  <c r="N113" i="4"/>
  <c r="O113" i="4" s="1"/>
  <c r="Q113" i="4" s="1"/>
  <c r="U46" i="4"/>
  <c r="V46" i="4" s="1"/>
  <c r="W46" i="4" s="1"/>
  <c r="C225" i="2"/>
  <c r="B225" i="2" s="1"/>
  <c r="B226" i="2" s="1"/>
  <c r="C79" i="4"/>
  <c r="B79" i="4" s="1"/>
  <c r="B80" i="4" s="1"/>
  <c r="B70" i="4"/>
  <c r="X24" i="4"/>
  <c r="Y24" i="4" s="1"/>
  <c r="U113" i="4"/>
  <c r="V113" i="4" s="1"/>
  <c r="W113" i="4" s="1"/>
  <c r="K49" i="4"/>
  <c r="R49" i="4"/>
  <c r="S49" i="4" s="1"/>
  <c r="T49" i="4" s="1"/>
  <c r="L49" i="4"/>
  <c r="N49" i="4"/>
  <c r="O49" i="4" s="1"/>
  <c r="Q49" i="4" s="1"/>
  <c r="U49" i="4"/>
  <c r="V49" i="4" s="1"/>
  <c r="W49" i="4" s="1"/>
  <c r="K46" i="4"/>
  <c r="R46" i="4"/>
  <c r="S46" i="4" s="1"/>
  <c r="T46" i="4" s="1"/>
  <c r="N46" i="4"/>
  <c r="O46" i="4" s="1"/>
  <c r="Q46" i="4" s="1"/>
  <c r="L46" i="4"/>
  <c r="K24" i="4"/>
  <c r="R24" i="4"/>
  <c r="S24" i="4" s="1"/>
  <c r="T24" i="4" s="1"/>
  <c r="L24" i="4"/>
  <c r="N24" i="4"/>
  <c r="O24" i="4" s="1"/>
  <c r="Q24" i="4" s="1"/>
  <c r="K109" i="4"/>
  <c r="R109" i="4"/>
  <c r="S109" i="4" s="1"/>
  <c r="T109" i="4" s="1"/>
  <c r="L109" i="4"/>
  <c r="N109" i="4"/>
  <c r="O109" i="4" s="1"/>
  <c r="Q109" i="4" s="1"/>
  <c r="K40" i="4"/>
  <c r="R40" i="4"/>
  <c r="S40" i="4" s="1"/>
  <c r="T40" i="4" s="1"/>
  <c r="L40" i="4"/>
  <c r="N40" i="4"/>
  <c r="O40" i="4" s="1"/>
  <c r="Q40" i="4" s="1"/>
  <c r="K106" i="4"/>
  <c r="R106" i="4"/>
  <c r="S106" i="4" s="1"/>
  <c r="T106" i="4" s="1"/>
  <c r="L106" i="4"/>
  <c r="N106" i="4"/>
  <c r="O106" i="4" s="1"/>
  <c r="Q106" i="4" s="1"/>
  <c r="AD40" i="4"/>
  <c r="AE40" i="4" s="1"/>
  <c r="K53" i="4"/>
  <c r="L53" i="4"/>
  <c r="R53" i="4"/>
  <c r="S53" i="4" s="1"/>
  <c r="T53" i="4" s="1"/>
  <c r="X53" i="4"/>
  <c r="Y53" i="4" s="1"/>
  <c r="U53" i="4"/>
  <c r="V53" i="4" s="1"/>
  <c r="W53" i="4" s="1"/>
  <c r="N53" i="4"/>
  <c r="O53" i="4" s="1"/>
  <c r="Q53" i="4" s="1"/>
  <c r="U106" i="4"/>
  <c r="V106" i="4" s="1"/>
  <c r="W106" i="4" s="1"/>
  <c r="X40" i="4"/>
  <c r="Y40" i="4" s="1"/>
  <c r="AD106" i="4"/>
  <c r="AE106" i="4" s="1"/>
  <c r="AC58" i="4"/>
  <c r="AR58" i="4" s="1"/>
  <c r="M190" i="4"/>
  <c r="AA190" i="4" s="1"/>
  <c r="AB190" i="4"/>
  <c r="Z190" i="4"/>
  <c r="AF190" i="4"/>
  <c r="AG190" i="4" s="1"/>
  <c r="AS190" i="4" s="1"/>
  <c r="M27" i="4"/>
  <c r="AA27" i="4" s="1"/>
  <c r="AF27" i="4"/>
  <c r="AG27" i="4" s="1"/>
  <c r="AS27" i="4" s="1"/>
  <c r="AB27" i="4"/>
  <c r="Z27" i="4"/>
  <c r="M52" i="4"/>
  <c r="AA52" i="4" s="1"/>
  <c r="AB52" i="4"/>
  <c r="AF52" i="4"/>
  <c r="AG52" i="4" s="1"/>
  <c r="AS52" i="4" s="1"/>
  <c r="Z52" i="4"/>
  <c r="M36" i="4"/>
  <c r="AA36" i="4" s="1"/>
  <c r="AB36" i="4"/>
  <c r="Z36" i="4"/>
  <c r="AF36" i="4"/>
  <c r="AG36" i="4" s="1"/>
  <c r="AS36" i="4" s="1"/>
  <c r="AC184" i="4"/>
  <c r="AR184" i="4" s="1"/>
  <c r="M99" i="4"/>
  <c r="AA99" i="4" s="1"/>
  <c r="Z99" i="4"/>
  <c r="AF99" i="4"/>
  <c r="AG99" i="4" s="1"/>
  <c r="AS99" i="4" s="1"/>
  <c r="AB99" i="4"/>
  <c r="AC119" i="4"/>
  <c r="Z200" i="4"/>
  <c r="AF200" i="4"/>
  <c r="AG200" i="4" s="1"/>
  <c r="AS200" i="4" s="1"/>
  <c r="AB200" i="4"/>
  <c r="M200" i="4"/>
  <c r="AA200" i="4" s="1"/>
  <c r="M203" i="4"/>
  <c r="AA203" i="4" s="1"/>
  <c r="AF203" i="4"/>
  <c r="AG203" i="4" s="1"/>
  <c r="AS203" i="4" s="1"/>
  <c r="AB203" i="4"/>
  <c r="Z203" i="4"/>
  <c r="M202" i="4"/>
  <c r="AA202" i="4" s="1"/>
  <c r="AB202" i="4"/>
  <c r="AF90" i="4"/>
  <c r="AG90" i="4" s="1"/>
  <c r="AS90" i="4" s="1"/>
  <c r="AB90" i="4"/>
  <c r="M90" i="4"/>
  <c r="AA90" i="4" s="1"/>
  <c r="Z90" i="4"/>
  <c r="M54" i="4"/>
  <c r="AA54" i="4" s="1"/>
  <c r="Z54" i="4"/>
  <c r="AF54" i="4"/>
  <c r="AG54" i="4" s="1"/>
  <c r="AS54" i="4" s="1"/>
  <c r="AB54" i="4"/>
  <c r="AF86" i="4"/>
  <c r="AG86" i="4" s="1"/>
  <c r="AS86" i="4" s="1"/>
  <c r="AB86" i="4"/>
  <c r="M86" i="4"/>
  <c r="AA86" i="4" s="1"/>
  <c r="Z86" i="4"/>
  <c r="AC138" i="4"/>
  <c r="AC123" i="4"/>
  <c r="AC67" i="4"/>
  <c r="AC25" i="4"/>
  <c r="AC198" i="4"/>
  <c r="AC199" i="4" l="1"/>
  <c r="AR199" i="4" s="1"/>
  <c r="AC153" i="4"/>
  <c r="AR153" i="4" s="1"/>
  <c r="AC171" i="4"/>
  <c r="AC209" i="4"/>
  <c r="AR209" i="4" s="1"/>
  <c r="B55" i="2"/>
  <c r="AC165" i="4"/>
  <c r="AC140" i="4"/>
  <c r="AR140" i="4" s="1"/>
  <c r="AC91" i="4"/>
  <c r="AF126" i="4"/>
  <c r="AG126" i="4" s="1"/>
  <c r="AS126" i="4" s="1"/>
  <c r="Z126" i="4"/>
  <c r="M126" i="4"/>
  <c r="AA126" i="4" s="1"/>
  <c r="AC154" i="4"/>
  <c r="AO154" i="4" s="1"/>
  <c r="AQ154" i="4" s="1"/>
  <c r="AU154" i="4" s="1"/>
  <c r="AC170" i="4"/>
  <c r="AR170" i="4" s="1"/>
  <c r="AC129" i="4"/>
  <c r="AO129" i="4" s="1"/>
  <c r="AQ129" i="4" s="1"/>
  <c r="AU129" i="4" s="1"/>
  <c r="AB128" i="4"/>
  <c r="AC136" i="4"/>
  <c r="AR136" i="4" s="1"/>
  <c r="AC88" i="4"/>
  <c r="AO88" i="4" s="1"/>
  <c r="AQ88" i="4" s="1"/>
  <c r="AU88" i="4" s="1"/>
  <c r="AC188" i="4"/>
  <c r="AR188" i="4" s="1"/>
  <c r="D48" i="16"/>
  <c r="AC95" i="4"/>
  <c r="AR95" i="4" s="1"/>
  <c r="AC204" i="4"/>
  <c r="AR204" i="4" s="1"/>
  <c r="AC103" i="4"/>
  <c r="AR103" i="4" s="1"/>
  <c r="Z128" i="4"/>
  <c r="AC68" i="4"/>
  <c r="AR68" i="4" s="1"/>
  <c r="AC176" i="4"/>
  <c r="AR176" i="4" s="1"/>
  <c r="AC131" i="4"/>
  <c r="AC144" i="4"/>
  <c r="AR144" i="4" s="1"/>
  <c r="AC155" i="4"/>
  <c r="AR155" i="4" s="1"/>
  <c r="AO64" i="4"/>
  <c r="AQ64" i="4" s="1"/>
  <c r="AU64" i="4" s="1"/>
  <c r="AC26" i="4"/>
  <c r="AR26" i="4" s="1"/>
  <c r="AC186" i="4"/>
  <c r="AO186" i="4" s="1"/>
  <c r="AQ186" i="4" s="1"/>
  <c r="AU186" i="4" s="1"/>
  <c r="AC149" i="4"/>
  <c r="AO149" i="4" s="1"/>
  <c r="AQ149" i="4" s="1"/>
  <c r="AU149" i="4" s="1"/>
  <c r="AC101" i="4"/>
  <c r="AR101" i="4" s="1"/>
  <c r="AC19" i="4"/>
  <c r="AR19" i="4" s="1"/>
  <c r="AF128" i="4"/>
  <c r="AG128" i="4" s="1"/>
  <c r="AS128" i="4" s="1"/>
  <c r="AC181" i="4"/>
  <c r="AR181" i="4" s="1"/>
  <c r="AC116" i="4"/>
  <c r="AR116" i="4" s="1"/>
  <c r="AC191" i="4"/>
  <c r="AR191" i="4" s="1"/>
  <c r="AO160" i="4"/>
  <c r="AQ160" i="4" s="1"/>
  <c r="AU160" i="4" s="1"/>
  <c r="AC65" i="4"/>
  <c r="AR65" i="4" s="1"/>
  <c r="AC100" i="4"/>
  <c r="AR100" i="4" s="1"/>
  <c r="AC104" i="4"/>
  <c r="AO104" i="4" s="1"/>
  <c r="AQ104" i="4" s="1"/>
  <c r="AU104" i="4" s="1"/>
  <c r="AC145" i="4"/>
  <c r="AR145" i="4" s="1"/>
  <c r="AC163" i="4"/>
  <c r="AR163" i="4" s="1"/>
  <c r="AC51" i="4"/>
  <c r="AR51" i="4" s="1"/>
  <c r="AC185" i="4"/>
  <c r="AC161" i="4"/>
  <c r="AO161" i="4" s="1"/>
  <c r="AQ161" i="4" s="1"/>
  <c r="AU161" i="4" s="1"/>
  <c r="F683" i="3"/>
  <c r="AC162" i="4"/>
  <c r="AR162" i="4" s="1"/>
  <c r="G34" i="3"/>
  <c r="H34" i="3" s="1"/>
  <c r="BN34" i="3" s="1"/>
  <c r="AC179" i="4"/>
  <c r="AR179" i="4" s="1"/>
  <c r="B78" i="1"/>
  <c r="B133" i="2"/>
  <c r="B134" i="2" s="1"/>
  <c r="E62" i="1"/>
  <c r="R8" i="8"/>
  <c r="S8" i="8" s="1"/>
  <c r="R27" i="8" s="1"/>
  <c r="G26" i="3"/>
  <c r="H26" i="3" s="1"/>
  <c r="BN26" i="3" s="1"/>
  <c r="G11" i="3"/>
  <c r="H11" i="3" s="1"/>
  <c r="BN11" i="3" s="1"/>
  <c r="F22" i="3"/>
  <c r="BM22" i="3" s="1"/>
  <c r="G33" i="3"/>
  <c r="H33" i="3" s="1"/>
  <c r="BN33" i="3" s="1"/>
  <c r="F17" i="3"/>
  <c r="BM17" i="3" s="1"/>
  <c r="AC35" i="4"/>
  <c r="AR35" i="4" s="1"/>
  <c r="AC107" i="4"/>
  <c r="AR107" i="4" s="1"/>
  <c r="AC81" i="4"/>
  <c r="AR81" i="4" s="1"/>
  <c r="AC208" i="4"/>
  <c r="AO208" i="4" s="1"/>
  <c r="AQ208" i="4" s="1"/>
  <c r="AU208" i="4" s="1"/>
  <c r="AC120" i="4"/>
  <c r="AR120" i="4" s="1"/>
  <c r="AC69" i="4"/>
  <c r="AR69" i="4" s="1"/>
  <c r="AC56" i="4"/>
  <c r="AR56" i="4" s="1"/>
  <c r="AC72" i="4"/>
  <c r="AO72" i="4" s="1"/>
  <c r="AQ72" i="4" s="1"/>
  <c r="AU72" i="4" s="1"/>
  <c r="AC197" i="4"/>
  <c r="AO197" i="4" s="1"/>
  <c r="AQ197" i="4" s="1"/>
  <c r="AU197" i="4" s="1"/>
  <c r="AC189" i="4"/>
  <c r="AR189" i="4" s="1"/>
  <c r="AC73" i="4"/>
  <c r="AO73" i="4" s="1"/>
  <c r="AQ73" i="4" s="1"/>
  <c r="AU73" i="4" s="1"/>
  <c r="AC146" i="4"/>
  <c r="AC192" i="4"/>
  <c r="AR192" i="4" s="1"/>
  <c r="AC57" i="4"/>
  <c r="AO57" i="4" s="1"/>
  <c r="AQ57" i="4" s="1"/>
  <c r="AU57" i="4" s="1"/>
  <c r="AC34" i="4"/>
  <c r="AR34" i="4" s="1"/>
  <c r="AC44" i="4"/>
  <c r="AO44" i="4" s="1"/>
  <c r="AQ44" i="4" s="1"/>
  <c r="AU44" i="4" s="1"/>
  <c r="AC31" i="4"/>
  <c r="AR31" i="4" s="1"/>
  <c r="AC30" i="4"/>
  <c r="AO30" i="4" s="1"/>
  <c r="AQ30" i="4" s="1"/>
  <c r="AU30" i="4" s="1"/>
  <c r="AC142" i="4"/>
  <c r="AO142" i="4" s="1"/>
  <c r="AQ142" i="4" s="1"/>
  <c r="AU142" i="4" s="1"/>
  <c r="AC159" i="4"/>
  <c r="AR159" i="4" s="1"/>
  <c r="AC96" i="4"/>
  <c r="AR96" i="4" s="1"/>
  <c r="M195" i="4"/>
  <c r="AA195" i="4" s="1"/>
  <c r="AC141" i="4"/>
  <c r="AO141" i="4" s="1"/>
  <c r="AQ141" i="4" s="1"/>
  <c r="AU141" i="4" s="1"/>
  <c r="AF195" i="4"/>
  <c r="AG195" i="4" s="1"/>
  <c r="AS195" i="4" s="1"/>
  <c r="AC79" i="4"/>
  <c r="AR79" i="4" s="1"/>
  <c r="AC50" i="4"/>
  <c r="AR50" i="4" s="1"/>
  <c r="AC175" i="4"/>
  <c r="AR175" i="4" s="1"/>
  <c r="AC112" i="4"/>
  <c r="AR112" i="4" s="1"/>
  <c r="Z195" i="4"/>
  <c r="AC187" i="4"/>
  <c r="AR187" i="4" s="1"/>
  <c r="B77" i="1"/>
  <c r="R9" i="8"/>
  <c r="S9" i="8" s="1"/>
  <c r="S30" i="8" s="1"/>
  <c r="C77" i="1" s="1"/>
  <c r="D77" i="1" s="1"/>
  <c r="B142" i="2" s="1"/>
  <c r="F29" i="3"/>
  <c r="BM29" i="3" s="1"/>
  <c r="AS130" i="4"/>
  <c r="AO130" i="4"/>
  <c r="AQ130" i="4" s="1"/>
  <c r="AU130" i="4" s="1"/>
  <c r="AC174" i="4"/>
  <c r="AR174" i="4" s="1"/>
  <c r="F682" i="3"/>
  <c r="F23" i="3"/>
  <c r="BM23" i="3" s="1"/>
  <c r="G20" i="3"/>
  <c r="H20" i="3" s="1"/>
  <c r="BN20" i="3" s="1"/>
  <c r="G21" i="3"/>
  <c r="H21" i="3" s="1"/>
  <c r="BN21" i="3" s="1"/>
  <c r="AC20" i="4"/>
  <c r="AO20" i="4" s="1"/>
  <c r="AQ20" i="4" s="1"/>
  <c r="AU20" i="4" s="1"/>
  <c r="AC76" i="4"/>
  <c r="AR76" i="4" s="1"/>
  <c r="G12" i="3"/>
  <c r="H12" i="3" s="1"/>
  <c r="BN12" i="3" s="1"/>
  <c r="F11" i="3"/>
  <c r="BM11" i="3" s="1"/>
  <c r="G27" i="3"/>
  <c r="H27" i="3" s="1"/>
  <c r="BN27" i="3" s="1"/>
  <c r="G22" i="3"/>
  <c r="H22" i="3" s="1"/>
  <c r="BN22" i="3" s="1"/>
  <c r="F16" i="3"/>
  <c r="BM16" i="3" s="1"/>
  <c r="G36" i="3"/>
  <c r="H36" i="3" s="1"/>
  <c r="BN36" i="3" s="1"/>
  <c r="G23" i="3"/>
  <c r="H23" i="3" s="1"/>
  <c r="BN23" i="3" s="1"/>
  <c r="F9" i="3"/>
  <c r="BM9" i="3" s="1"/>
  <c r="G38" i="3"/>
  <c r="H38" i="3" s="1"/>
  <c r="BN38" i="3" s="1"/>
  <c r="AR683" i="3"/>
  <c r="D683" i="3"/>
  <c r="B683" i="3"/>
  <c r="AQ683" i="3"/>
  <c r="G683" i="3"/>
  <c r="H683" i="3" s="1"/>
  <c r="C683" i="3"/>
  <c r="F26" i="3"/>
  <c r="BM26" i="3" s="1"/>
  <c r="G28" i="3"/>
  <c r="H28" i="3" s="1"/>
  <c r="BN28" i="3" s="1"/>
  <c r="AC177" i="4"/>
  <c r="AO177" i="4" s="1"/>
  <c r="AQ177" i="4" s="1"/>
  <c r="AU177" i="4" s="1"/>
  <c r="G31" i="3"/>
  <c r="H31" i="3" s="1"/>
  <c r="BN31" i="3" s="1"/>
  <c r="G35" i="3"/>
  <c r="H35" i="3" s="1"/>
  <c r="BN35" i="3" s="1"/>
  <c r="G10" i="3"/>
  <c r="H10" i="3" s="1"/>
  <c r="BN10" i="3" s="1"/>
  <c r="AC38" i="4"/>
  <c r="AR38" i="4" s="1"/>
  <c r="G32" i="3"/>
  <c r="H32" i="3" s="1"/>
  <c r="BN32" i="3" s="1"/>
  <c r="F18" i="3"/>
  <c r="BM18" i="3" s="1"/>
  <c r="F14" i="3"/>
  <c r="BM14" i="3" s="1"/>
  <c r="F13" i="3"/>
  <c r="BM13" i="3" s="1"/>
  <c r="F34" i="3"/>
  <c r="BM34" i="3" s="1"/>
  <c r="F12" i="3"/>
  <c r="BM12" i="3" s="1"/>
  <c r="F31" i="3"/>
  <c r="BM31" i="3" s="1"/>
  <c r="G17" i="3"/>
  <c r="H17" i="3" s="1"/>
  <c r="BN17" i="3" s="1"/>
  <c r="G30" i="3"/>
  <c r="H30" i="3" s="1"/>
  <c r="BN30" i="3" s="1"/>
  <c r="M33" i="4"/>
  <c r="AA33" i="4" s="1"/>
  <c r="AF33" i="4"/>
  <c r="AG33" i="4" s="1"/>
  <c r="AS33" i="4" s="1"/>
  <c r="Z33" i="4"/>
  <c r="AB33" i="4"/>
  <c r="AC82" i="4"/>
  <c r="AO82" i="4" s="1"/>
  <c r="AQ82" i="4" s="1"/>
  <c r="AU82" i="4" s="1"/>
  <c r="AC55" i="4"/>
  <c r="AR55" i="4" s="1"/>
  <c r="G16" i="3"/>
  <c r="H16" i="3" s="1"/>
  <c r="BN16" i="3" s="1"/>
  <c r="F28" i="3"/>
  <c r="BM28" i="3" s="1"/>
  <c r="F10" i="3"/>
  <c r="BM10" i="3" s="1"/>
  <c r="G24" i="3"/>
  <c r="H24" i="3" s="1"/>
  <c r="BN24" i="3" s="1"/>
  <c r="F27" i="3"/>
  <c r="BM27" i="3" s="1"/>
  <c r="G15" i="3"/>
  <c r="H15" i="3" s="1"/>
  <c r="BN15" i="3" s="1"/>
  <c r="F33" i="3"/>
  <c r="BM33" i="3" s="1"/>
  <c r="G9" i="3"/>
  <c r="H9" i="3" s="1"/>
  <c r="BN9" i="3" s="1"/>
  <c r="G19" i="3"/>
  <c r="H19" i="3" s="1"/>
  <c r="BN19" i="3" s="1"/>
  <c r="F37" i="3"/>
  <c r="BM37" i="3" s="1"/>
  <c r="F24" i="3"/>
  <c r="BM24" i="3" s="1"/>
  <c r="G25" i="3"/>
  <c r="H25" i="3" s="1"/>
  <c r="BN25" i="3" s="1"/>
  <c r="F38" i="3"/>
  <c r="BM38" i="3" s="1"/>
  <c r="G14" i="3"/>
  <c r="H14" i="3" s="1"/>
  <c r="BN14" i="3" s="1"/>
  <c r="F15" i="3"/>
  <c r="BM15" i="3" s="1"/>
  <c r="AC168" i="4"/>
  <c r="AR168" i="4" s="1"/>
  <c r="F35" i="3"/>
  <c r="BM35" i="3" s="1"/>
  <c r="G682" i="3"/>
  <c r="H682" i="3" s="1"/>
  <c r="F21" i="3"/>
  <c r="BM21" i="3" s="1"/>
  <c r="AB125" i="4"/>
  <c r="AF125" i="4"/>
  <c r="AG125" i="4" s="1"/>
  <c r="AS125" i="4" s="1"/>
  <c r="Z125" i="4"/>
  <c r="M125" i="4"/>
  <c r="AA125" i="4" s="1"/>
  <c r="F25" i="3"/>
  <c r="BM25" i="3" s="1"/>
  <c r="G37" i="3"/>
  <c r="H37" i="3" s="1"/>
  <c r="BN37" i="3" s="1"/>
  <c r="G18" i="3"/>
  <c r="H18" i="3" s="1"/>
  <c r="BN18" i="3" s="1"/>
  <c r="F19" i="3"/>
  <c r="BM19" i="3" s="1"/>
  <c r="G13" i="3"/>
  <c r="H13" i="3" s="1"/>
  <c r="BN13" i="3" s="1"/>
  <c r="F20" i="3"/>
  <c r="BM20" i="3" s="1"/>
  <c r="F32" i="3"/>
  <c r="BM32" i="3" s="1"/>
  <c r="F36" i="3"/>
  <c r="BM36" i="3" s="1"/>
  <c r="G29" i="3"/>
  <c r="H29" i="3" s="1"/>
  <c r="BN29" i="3" s="1"/>
  <c r="A129" i="8"/>
  <c r="A107" i="8"/>
  <c r="A135" i="8"/>
  <c r="A100" i="8"/>
  <c r="AC156" i="4"/>
  <c r="AR156" i="4" s="1"/>
  <c r="A113" i="8"/>
  <c r="AO153" i="4"/>
  <c r="AQ153" i="4" s="1"/>
  <c r="AU153" i="4" s="1"/>
  <c r="AQ39" i="3"/>
  <c r="AR39" i="3"/>
  <c r="B39" i="3"/>
  <c r="A40" i="3"/>
  <c r="D39" i="3"/>
  <c r="C39" i="3"/>
  <c r="G39" i="3"/>
  <c r="H39" i="3" s="1"/>
  <c r="F39" i="3"/>
  <c r="BM39" i="3" s="1"/>
  <c r="A126" i="8"/>
  <c r="AF150" i="4"/>
  <c r="AG150" i="4" s="1"/>
  <c r="AS150" i="4" s="1"/>
  <c r="AB150" i="4"/>
  <c r="Z150" i="4"/>
  <c r="M150" i="4"/>
  <c r="AA150" i="4" s="1"/>
  <c r="A94" i="8"/>
  <c r="A122" i="8"/>
  <c r="A127" i="8"/>
  <c r="A121" i="8"/>
  <c r="AC126" i="4"/>
  <c r="AR126" i="4" s="1"/>
  <c r="AB147" i="4"/>
  <c r="M147" i="4"/>
  <c r="AA147" i="4" s="1"/>
  <c r="Z147" i="4"/>
  <c r="AF147" i="4"/>
  <c r="AG147" i="4" s="1"/>
  <c r="AS147" i="4" s="1"/>
  <c r="A96" i="8"/>
  <c r="AB48" i="4"/>
  <c r="M48" i="4"/>
  <c r="AA48" i="4" s="1"/>
  <c r="AF48" i="4"/>
  <c r="AG48" i="4" s="1"/>
  <c r="AS48" i="4" s="1"/>
  <c r="Z48" i="4"/>
  <c r="AC194" i="4"/>
  <c r="AR194" i="4" s="1"/>
  <c r="A116" i="8"/>
  <c r="AC105" i="4"/>
  <c r="AR105" i="4" s="1"/>
  <c r="AC66" i="4"/>
  <c r="AO66" i="4" s="1"/>
  <c r="AQ66" i="4" s="1"/>
  <c r="AU66" i="4" s="1"/>
  <c r="AC178" i="4"/>
  <c r="AR178" i="4" s="1"/>
  <c r="AC122" i="4"/>
  <c r="AR122" i="4" s="1"/>
  <c r="Z132" i="4"/>
  <c r="AB132" i="4"/>
  <c r="M132" i="4"/>
  <c r="AA132" i="4" s="1"/>
  <c r="AF132" i="4"/>
  <c r="AG132" i="4" s="1"/>
  <c r="AS132" i="4" s="1"/>
  <c r="AC135" i="4"/>
  <c r="AO135" i="4" s="1"/>
  <c r="AQ135" i="4" s="1"/>
  <c r="AU135" i="4" s="1"/>
  <c r="AC78" i="4"/>
  <c r="AR78" i="4" s="1"/>
  <c r="AC164" i="4"/>
  <c r="AR164" i="4" s="1"/>
  <c r="AC114" i="4"/>
  <c r="AR114" i="4" s="1"/>
  <c r="AC133" i="4"/>
  <c r="AR133" i="4" s="1"/>
  <c r="AC148" i="4"/>
  <c r="AR148" i="4" s="1"/>
  <c r="AC80" i="4"/>
  <c r="AR80" i="4" s="1"/>
  <c r="M127" i="4"/>
  <c r="AA127" i="4" s="1"/>
  <c r="AF127" i="4"/>
  <c r="AG127" i="4" s="1"/>
  <c r="AS127" i="4" s="1"/>
  <c r="AB127" i="4"/>
  <c r="Z127" i="4"/>
  <c r="AC94" i="4"/>
  <c r="AR94" i="4" s="1"/>
  <c r="AC117" i="4"/>
  <c r="AR117" i="4" s="1"/>
  <c r="Z111" i="4"/>
  <c r="AC60" i="4"/>
  <c r="AC180" i="4"/>
  <c r="AO180" i="4" s="1"/>
  <c r="AQ180" i="4" s="1"/>
  <c r="AU180" i="4" s="1"/>
  <c r="AC143" i="4"/>
  <c r="AO143" i="4" s="1"/>
  <c r="AQ143" i="4" s="1"/>
  <c r="AU143" i="4" s="1"/>
  <c r="AC37" i="4"/>
  <c r="AR37" i="4" s="1"/>
  <c r="AC157" i="4"/>
  <c r="AR157" i="4" s="1"/>
  <c r="AO199" i="4"/>
  <c r="AQ199" i="4" s="1"/>
  <c r="AU199" i="4" s="1"/>
  <c r="M61" i="4"/>
  <c r="AA61" i="4" s="1"/>
  <c r="AB61" i="4"/>
  <c r="Z61" i="4"/>
  <c r="AF61" i="4"/>
  <c r="AG61" i="4" s="1"/>
  <c r="AS61" i="4" s="1"/>
  <c r="AC152" i="4"/>
  <c r="AR152" i="4" s="1"/>
  <c r="AC39" i="4"/>
  <c r="AR39" i="4" s="1"/>
  <c r="AC205" i="4"/>
  <c r="AR205" i="4" s="1"/>
  <c r="AC10" i="4"/>
  <c r="AR10" i="4" s="1"/>
  <c r="AC93" i="4"/>
  <c r="AO93" i="4" s="1"/>
  <c r="AQ93" i="4" s="1"/>
  <c r="AU93" i="4" s="1"/>
  <c r="AC22" i="4"/>
  <c r="AR22" i="4" s="1"/>
  <c r="AC83" i="4"/>
  <c r="AO83" i="4" s="1"/>
  <c r="AQ83" i="4" s="1"/>
  <c r="AU83" i="4" s="1"/>
  <c r="AC173" i="4"/>
  <c r="AO173" i="4" s="1"/>
  <c r="AQ173" i="4" s="1"/>
  <c r="AU173" i="4" s="1"/>
  <c r="AC98" i="4"/>
  <c r="AR98" i="4" s="1"/>
  <c r="AC108" i="4"/>
  <c r="AR108" i="4" s="1"/>
  <c r="AC71" i="4"/>
  <c r="AR71" i="4" s="1"/>
  <c r="AC77" i="4"/>
  <c r="AO77" i="4" s="1"/>
  <c r="AQ77" i="4" s="1"/>
  <c r="AU77" i="4" s="1"/>
  <c r="AC84" i="4"/>
  <c r="AO84" i="4" s="1"/>
  <c r="AQ84" i="4" s="1"/>
  <c r="AU84" i="4" s="1"/>
  <c r="AR160" i="4"/>
  <c r="AC124" i="4"/>
  <c r="AR124" i="4" s="1"/>
  <c r="AO169" i="4"/>
  <c r="AQ169" i="4" s="1"/>
  <c r="AU169" i="4" s="1"/>
  <c r="AC87" i="4"/>
  <c r="AR87" i="4" s="1"/>
  <c r="AC182" i="4"/>
  <c r="AR182" i="4" s="1"/>
  <c r="AC137" i="4"/>
  <c r="AO137" i="4" s="1"/>
  <c r="AQ137" i="4" s="1"/>
  <c r="AU137" i="4" s="1"/>
  <c r="AC97" i="4"/>
  <c r="AR97" i="4" s="1"/>
  <c r="AC85" i="4"/>
  <c r="AO85" i="4" s="1"/>
  <c r="AQ85" i="4" s="1"/>
  <c r="AU85" i="4" s="1"/>
  <c r="AC47" i="4"/>
  <c r="AO47" i="4" s="1"/>
  <c r="AQ47" i="4" s="1"/>
  <c r="AU47" i="4" s="1"/>
  <c r="AC59" i="4"/>
  <c r="AO59" i="4" s="1"/>
  <c r="AQ59" i="4" s="1"/>
  <c r="AU59" i="4" s="1"/>
  <c r="AC11" i="4"/>
  <c r="AO11" i="4" s="1"/>
  <c r="AQ11" i="4" s="1"/>
  <c r="AU11" i="4" s="1"/>
  <c r="AC17" i="4"/>
  <c r="AR17" i="4" s="1"/>
  <c r="AC207" i="4"/>
  <c r="AR207" i="4" s="1"/>
  <c r="AC74" i="4"/>
  <c r="AR74" i="4" s="1"/>
  <c r="AC12" i="4"/>
  <c r="AC21" i="4"/>
  <c r="AC13" i="4"/>
  <c r="AC18" i="4"/>
  <c r="AC75" i="4"/>
  <c r="B64" i="2"/>
  <c r="R6" i="8"/>
  <c r="S6" i="8" s="1"/>
  <c r="B56" i="2" s="1"/>
  <c r="R5" i="8"/>
  <c r="S5" i="8" s="1"/>
  <c r="AC23" i="4"/>
  <c r="B265" i="2"/>
  <c r="C265" i="2"/>
  <c r="B60" i="2"/>
  <c r="A265" i="2" s="1"/>
  <c r="AO201" i="4"/>
  <c r="AQ201" i="4" s="1"/>
  <c r="AU201" i="4" s="1"/>
  <c r="AC62" i="4"/>
  <c r="AC102" i="4"/>
  <c r="AO89" i="4"/>
  <c r="AQ89" i="4" s="1"/>
  <c r="AU89" i="4" s="1"/>
  <c r="AC43" i="4"/>
  <c r="AC29" i="4"/>
  <c r="AC16" i="4"/>
  <c r="AC92" i="4"/>
  <c r="AC15" i="4"/>
  <c r="AO209" i="4"/>
  <c r="AQ209" i="4" s="1"/>
  <c r="AU209" i="4" s="1"/>
  <c r="B308" i="2" s="1"/>
  <c r="AC14" i="4"/>
  <c r="M46" i="4"/>
  <c r="AA46" i="4" s="1"/>
  <c r="AF46" i="4"/>
  <c r="AG46" i="4" s="1"/>
  <c r="AS46" i="4" s="1"/>
  <c r="AB46" i="4"/>
  <c r="Z46" i="4"/>
  <c r="AB45" i="4"/>
  <c r="AF45" i="4"/>
  <c r="AG45" i="4" s="1"/>
  <c r="AS45" i="4" s="1"/>
  <c r="Z45" i="4"/>
  <c r="M45" i="4"/>
  <c r="AA45" i="4" s="1"/>
  <c r="Z40" i="4"/>
  <c r="M40" i="4"/>
  <c r="AA40" i="4" s="1"/>
  <c r="AB40" i="4"/>
  <c r="AF40" i="4"/>
  <c r="AG40" i="4" s="1"/>
  <c r="AS40" i="4" s="1"/>
  <c r="AR172" i="4"/>
  <c r="AO172" i="4"/>
  <c r="AQ172" i="4" s="1"/>
  <c r="AU172" i="4" s="1"/>
  <c r="M113" i="4"/>
  <c r="AA113" i="4" s="1"/>
  <c r="AB113" i="4"/>
  <c r="AF113" i="4"/>
  <c r="AG113" i="4" s="1"/>
  <c r="AS113" i="4" s="1"/>
  <c r="Z113" i="4"/>
  <c r="AF53" i="4"/>
  <c r="AG53" i="4" s="1"/>
  <c r="AS53" i="4" s="1"/>
  <c r="Z53" i="4"/>
  <c r="AB53" i="4"/>
  <c r="M53" i="4"/>
  <c r="AA53" i="4" s="1"/>
  <c r="AB109" i="4"/>
  <c r="M109" i="4"/>
  <c r="AA109" i="4" s="1"/>
  <c r="AF109" i="4"/>
  <c r="AG109" i="4" s="1"/>
  <c r="AS109" i="4" s="1"/>
  <c r="Z109" i="4"/>
  <c r="M49" i="4"/>
  <c r="AA49" i="4" s="1"/>
  <c r="AB49" i="4"/>
  <c r="AF49" i="4"/>
  <c r="AG49" i="4" s="1"/>
  <c r="AS49" i="4" s="1"/>
  <c r="Z49" i="4"/>
  <c r="AF111" i="4"/>
  <c r="AG111" i="4" s="1"/>
  <c r="AS111" i="4" s="1"/>
  <c r="M111" i="4"/>
  <c r="AA111" i="4" s="1"/>
  <c r="AB111" i="4"/>
  <c r="Z115" i="4"/>
  <c r="AF115" i="4"/>
  <c r="AG115" i="4" s="1"/>
  <c r="AS115" i="4" s="1"/>
  <c r="AB115" i="4"/>
  <c r="M115" i="4"/>
  <c r="AA115" i="4" s="1"/>
  <c r="AR42" i="4"/>
  <c r="AO42" i="4"/>
  <c r="AQ42" i="4" s="1"/>
  <c r="AU42" i="4" s="1"/>
  <c r="AR165" i="4"/>
  <c r="AO165" i="4"/>
  <c r="AQ165" i="4" s="1"/>
  <c r="AU165" i="4" s="1"/>
  <c r="AO140" i="4"/>
  <c r="AQ140" i="4" s="1"/>
  <c r="AU140" i="4" s="1"/>
  <c r="M41" i="4"/>
  <c r="AA41" i="4" s="1"/>
  <c r="AF41" i="4"/>
  <c r="AG41" i="4" s="1"/>
  <c r="AS41" i="4" s="1"/>
  <c r="Z41" i="4"/>
  <c r="AB41" i="4"/>
  <c r="M106" i="4"/>
  <c r="AA106" i="4" s="1"/>
  <c r="AF106" i="4"/>
  <c r="AG106" i="4" s="1"/>
  <c r="AS106" i="4" s="1"/>
  <c r="Z106" i="4"/>
  <c r="AB106" i="4"/>
  <c r="M24" i="4"/>
  <c r="AA24" i="4" s="1"/>
  <c r="AB24" i="4"/>
  <c r="AF24" i="4"/>
  <c r="AG24" i="4" s="1"/>
  <c r="AS24" i="4" s="1"/>
  <c r="Z24" i="4"/>
  <c r="AB9" i="4"/>
  <c r="Z9" i="4"/>
  <c r="M9" i="4"/>
  <c r="AA9" i="4" s="1"/>
  <c r="AF9" i="4"/>
  <c r="AG9" i="4" s="1"/>
  <c r="AS9" i="4" s="1"/>
  <c r="AR70" i="4"/>
  <c r="AO70" i="4"/>
  <c r="AQ70" i="4" s="1"/>
  <c r="AU70" i="4" s="1"/>
  <c r="AC202" i="4"/>
  <c r="AO202" i="4" s="1"/>
  <c r="AQ202" i="4" s="1"/>
  <c r="AU202" i="4" s="1"/>
  <c r="AR57" i="4"/>
  <c r="AR91" i="4"/>
  <c r="AO91" i="4"/>
  <c r="AQ91" i="4" s="1"/>
  <c r="AU91" i="4" s="1"/>
  <c r="AR151" i="4"/>
  <c r="AO151" i="4"/>
  <c r="AQ151" i="4" s="1"/>
  <c r="AU151" i="4" s="1"/>
  <c r="AO144" i="4"/>
  <c r="AQ144" i="4" s="1"/>
  <c r="AU144" i="4" s="1"/>
  <c r="AR28" i="4"/>
  <c r="AO28" i="4"/>
  <c r="AQ28" i="4" s="1"/>
  <c r="AU28" i="4" s="1"/>
  <c r="AO58" i="4"/>
  <c r="AQ58" i="4" s="1"/>
  <c r="AU58" i="4" s="1"/>
  <c r="AO158" i="4"/>
  <c r="AQ158" i="4" s="1"/>
  <c r="AU158" i="4" s="1"/>
  <c r="AC52" i="4"/>
  <c r="AO52" i="4" s="1"/>
  <c r="AQ52" i="4" s="1"/>
  <c r="AU52" i="4" s="1"/>
  <c r="AO136" i="4"/>
  <c r="AQ136" i="4" s="1"/>
  <c r="AU136" i="4" s="1"/>
  <c r="AC54" i="4"/>
  <c r="AR32" i="4"/>
  <c r="AO32" i="4"/>
  <c r="AQ32" i="4" s="1"/>
  <c r="AU32" i="4" s="1"/>
  <c r="AR138" i="4"/>
  <c r="AO138" i="4"/>
  <c r="AQ138" i="4" s="1"/>
  <c r="AU138" i="4" s="1"/>
  <c r="AC27" i="4"/>
  <c r="AO69" i="4"/>
  <c r="AQ69" i="4" s="1"/>
  <c r="AU69" i="4" s="1"/>
  <c r="AC203" i="4"/>
  <c r="AC36" i="4"/>
  <c r="AC190" i="4"/>
  <c r="AR119" i="4"/>
  <c r="AO119" i="4"/>
  <c r="AQ119" i="4" s="1"/>
  <c r="AU119" i="4" s="1"/>
  <c r="AC90" i="4"/>
  <c r="AC86" i="4"/>
  <c r="AO184" i="4"/>
  <c r="AQ184" i="4" s="1"/>
  <c r="AU184" i="4" s="1"/>
  <c r="AC99" i="4"/>
  <c r="AC200" i="4"/>
  <c r="AR131" i="4"/>
  <c r="AO131" i="4"/>
  <c r="AQ131" i="4" s="1"/>
  <c r="AU131" i="4" s="1"/>
  <c r="AR134" i="4"/>
  <c r="AO134" i="4"/>
  <c r="AQ134" i="4" s="1"/>
  <c r="AU134" i="4" s="1"/>
  <c r="AR196" i="4"/>
  <c r="AO196" i="4"/>
  <c r="AQ196" i="4" s="1"/>
  <c r="AU196" i="4" s="1"/>
  <c r="AR123" i="4"/>
  <c r="AO123" i="4"/>
  <c r="AQ123" i="4" s="1"/>
  <c r="AU123" i="4" s="1"/>
  <c r="AR183" i="4"/>
  <c r="AO183" i="4"/>
  <c r="AQ183" i="4" s="1"/>
  <c r="AU183" i="4" s="1"/>
  <c r="AR139" i="4"/>
  <c r="AO139" i="4"/>
  <c r="AQ139" i="4" s="1"/>
  <c r="AU139" i="4" s="1"/>
  <c r="AR171" i="4"/>
  <c r="AO171" i="4"/>
  <c r="AQ171" i="4" s="1"/>
  <c r="AU171" i="4" s="1"/>
  <c r="AR118" i="4"/>
  <c r="AO118" i="4"/>
  <c r="AQ118" i="4" s="1"/>
  <c r="AU118" i="4" s="1"/>
  <c r="AR185" i="4"/>
  <c r="AO185" i="4"/>
  <c r="AQ185" i="4" s="1"/>
  <c r="AU185" i="4" s="1"/>
  <c r="AR110" i="4"/>
  <c r="AO110" i="4"/>
  <c r="AQ110" i="4" s="1"/>
  <c r="AU110" i="4" s="1"/>
  <c r="AR154" i="4"/>
  <c r="AR129" i="4"/>
  <c r="AR121" i="4"/>
  <c r="AO121" i="4"/>
  <c r="AQ121" i="4" s="1"/>
  <c r="AU121" i="4" s="1"/>
  <c r="AR63" i="4"/>
  <c r="AO63" i="4"/>
  <c r="AQ63" i="4" s="1"/>
  <c r="AU63" i="4" s="1"/>
  <c r="AR193" i="4"/>
  <c r="AO193" i="4"/>
  <c r="AQ193" i="4" s="1"/>
  <c r="AU193" i="4" s="1"/>
  <c r="AR67" i="4"/>
  <c r="AO67" i="4"/>
  <c r="AQ67" i="4" s="1"/>
  <c r="AU67" i="4" s="1"/>
  <c r="AR149" i="4"/>
  <c r="AR25" i="4"/>
  <c r="AO25" i="4"/>
  <c r="AQ25" i="4" s="1"/>
  <c r="AU25" i="4" s="1"/>
  <c r="AR146" i="4"/>
  <c r="AO146" i="4"/>
  <c r="AQ146" i="4" s="1"/>
  <c r="AU146" i="4" s="1"/>
  <c r="AR206" i="4"/>
  <c r="AO206" i="4"/>
  <c r="AQ206" i="4" s="1"/>
  <c r="AU206" i="4" s="1"/>
  <c r="AR198" i="4"/>
  <c r="AO198" i="4"/>
  <c r="AQ198" i="4" s="1"/>
  <c r="AU198" i="4" s="1"/>
  <c r="AR167" i="4"/>
  <c r="AO167" i="4"/>
  <c r="AQ167" i="4" s="1"/>
  <c r="AU167" i="4" s="1"/>
  <c r="AR166" i="4"/>
  <c r="AO166" i="4"/>
  <c r="AQ166" i="4" s="1"/>
  <c r="AU166" i="4" s="1"/>
  <c r="AO170" i="4" l="1"/>
  <c r="AQ170" i="4" s="1"/>
  <c r="AU170" i="4" s="1"/>
  <c r="AC128" i="4"/>
  <c r="AR128" i="4" s="1"/>
  <c r="AO103" i="4"/>
  <c r="AQ103" i="4" s="1"/>
  <c r="AU103" i="4" s="1"/>
  <c r="AR88" i="4"/>
  <c r="AO188" i="4"/>
  <c r="AQ188" i="4" s="1"/>
  <c r="AU188" i="4" s="1"/>
  <c r="AO120" i="4"/>
  <c r="AQ120" i="4" s="1"/>
  <c r="AU120" i="4" s="1"/>
  <c r="AO68" i="4"/>
  <c r="AQ68" i="4" s="1"/>
  <c r="AU68" i="4" s="1"/>
  <c r="AO176" i="4"/>
  <c r="AQ176" i="4" s="1"/>
  <c r="AU176" i="4" s="1"/>
  <c r="AR161" i="4"/>
  <c r="AO204" i="4"/>
  <c r="AQ204" i="4" s="1"/>
  <c r="AU204" i="4" s="1"/>
  <c r="AO155" i="4"/>
  <c r="AQ155" i="4" s="1"/>
  <c r="AU155" i="4" s="1"/>
  <c r="AR72" i="4"/>
  <c r="AO95" i="4"/>
  <c r="AQ95" i="4" s="1"/>
  <c r="AU95" i="4" s="1"/>
  <c r="AO187" i="4"/>
  <c r="AQ187" i="4" s="1"/>
  <c r="AU187" i="4" s="1"/>
  <c r="AR186" i="4"/>
  <c r="AO51" i="4"/>
  <c r="AQ51" i="4" s="1"/>
  <c r="AU51" i="4" s="1"/>
  <c r="AO26" i="4"/>
  <c r="AQ26" i="4" s="1"/>
  <c r="AU26" i="4" s="1"/>
  <c r="AO189" i="4"/>
  <c r="AQ189" i="4" s="1"/>
  <c r="AU189" i="4" s="1"/>
  <c r="AO179" i="4"/>
  <c r="AQ179" i="4" s="1"/>
  <c r="AU179" i="4" s="1"/>
  <c r="AO175" i="4"/>
  <c r="AQ175" i="4" s="1"/>
  <c r="AU175" i="4" s="1"/>
  <c r="AR73" i="4"/>
  <c r="AO162" i="4"/>
  <c r="AQ162" i="4" s="1"/>
  <c r="AU162" i="4" s="1"/>
  <c r="AR197" i="4"/>
  <c r="AO101" i="4"/>
  <c r="AQ101" i="4" s="1"/>
  <c r="AU101" i="4" s="1"/>
  <c r="AO19" i="4"/>
  <c r="AQ19" i="4" s="1"/>
  <c r="AU19" i="4" s="1"/>
  <c r="AO181" i="4"/>
  <c r="AQ181" i="4" s="1"/>
  <c r="AU181" i="4" s="1"/>
  <c r="AO191" i="4"/>
  <c r="AQ191" i="4" s="1"/>
  <c r="AU191" i="4" s="1"/>
  <c r="AO116" i="4"/>
  <c r="AQ116" i="4" s="1"/>
  <c r="AU116" i="4" s="1"/>
  <c r="AO145" i="4"/>
  <c r="AQ145" i="4" s="1"/>
  <c r="AU145" i="4" s="1"/>
  <c r="AO50" i="4"/>
  <c r="AQ50" i="4" s="1"/>
  <c r="AU50" i="4" s="1"/>
  <c r="AO56" i="4"/>
  <c r="AQ56" i="4" s="1"/>
  <c r="AU56" i="4" s="1"/>
  <c r="AR208" i="4"/>
  <c r="AR104" i="4"/>
  <c r="AO100" i="4"/>
  <c r="AQ100" i="4" s="1"/>
  <c r="AU100" i="4" s="1"/>
  <c r="AO163" i="4"/>
  <c r="AQ163" i="4" s="1"/>
  <c r="AU163" i="4" s="1"/>
  <c r="AO65" i="4"/>
  <c r="AQ65" i="4" s="1"/>
  <c r="AU65" i="4" s="1"/>
  <c r="AO35" i="4"/>
  <c r="AQ35" i="4" s="1"/>
  <c r="AU35" i="4" s="1"/>
  <c r="AR177" i="4"/>
  <c r="AO107" i="4"/>
  <c r="AQ107" i="4" s="1"/>
  <c r="AU107" i="4" s="1"/>
  <c r="AR141" i="4"/>
  <c r="AO148" i="4"/>
  <c r="AQ148" i="4" s="1"/>
  <c r="AU148" i="4" s="1"/>
  <c r="AO81" i="4"/>
  <c r="AQ81" i="4" s="1"/>
  <c r="AU81" i="4" s="1"/>
  <c r="B75" i="1"/>
  <c r="C3" i="8"/>
  <c r="S27" i="8"/>
  <c r="C74" i="1" s="1"/>
  <c r="D74" i="1" s="1"/>
  <c r="A237" i="2" s="1"/>
  <c r="R30" i="8"/>
  <c r="C53" i="16"/>
  <c r="D53" i="16" s="1"/>
  <c r="AO34" i="4"/>
  <c r="AQ34" i="4" s="1"/>
  <c r="AU34" i="4" s="1"/>
  <c r="AR143" i="4"/>
  <c r="AR30" i="4"/>
  <c r="AR142" i="4"/>
  <c r="AR44" i="4"/>
  <c r="AO96" i="4"/>
  <c r="AQ96" i="4" s="1"/>
  <c r="AU96" i="4" s="1"/>
  <c r="AR82" i="4"/>
  <c r="AO55" i="4"/>
  <c r="AQ55" i="4" s="1"/>
  <c r="AU55" i="4" s="1"/>
  <c r="AO192" i="4"/>
  <c r="AQ192" i="4" s="1"/>
  <c r="AU192" i="4" s="1"/>
  <c r="AC195" i="4"/>
  <c r="AR195" i="4" s="1"/>
  <c r="AO79" i="4"/>
  <c r="AQ79" i="4" s="1"/>
  <c r="AU79" i="4" s="1"/>
  <c r="AO37" i="4"/>
  <c r="AQ37" i="4" s="1"/>
  <c r="AU37" i="4" s="1"/>
  <c r="AO194" i="4"/>
  <c r="AQ194" i="4" s="1"/>
  <c r="AU194" i="4" s="1"/>
  <c r="AO156" i="4"/>
  <c r="AQ156" i="4" s="1"/>
  <c r="AU156" i="4" s="1"/>
  <c r="AO133" i="4"/>
  <c r="AQ133" i="4" s="1"/>
  <c r="AU133" i="4" s="1"/>
  <c r="AO174" i="4"/>
  <c r="AQ174" i="4" s="1"/>
  <c r="AU174" i="4" s="1"/>
  <c r="AO39" i="4"/>
  <c r="AQ39" i="4" s="1"/>
  <c r="AU39" i="4" s="1"/>
  <c r="AO31" i="4"/>
  <c r="AQ31" i="4" s="1"/>
  <c r="AU31" i="4" s="1"/>
  <c r="AR180" i="4"/>
  <c r="AO76" i="4"/>
  <c r="AQ76" i="4" s="1"/>
  <c r="AU76" i="4" s="1"/>
  <c r="AO114" i="4"/>
  <c r="AQ114" i="4" s="1"/>
  <c r="AU114" i="4" s="1"/>
  <c r="AO112" i="4"/>
  <c r="AQ112" i="4" s="1"/>
  <c r="AU112" i="4" s="1"/>
  <c r="AO159" i="4"/>
  <c r="AQ159" i="4" s="1"/>
  <c r="AU159" i="4" s="1"/>
  <c r="AO38" i="4"/>
  <c r="AQ38" i="4" s="1"/>
  <c r="AU38" i="4" s="1"/>
  <c r="AO126" i="4"/>
  <c r="AQ126" i="4" s="1"/>
  <c r="AU126" i="4" s="1"/>
  <c r="AR202" i="4"/>
  <c r="AO122" i="4"/>
  <c r="AQ122" i="4" s="1"/>
  <c r="AU122" i="4" s="1"/>
  <c r="AO178" i="4"/>
  <c r="AQ178" i="4" s="1"/>
  <c r="AU178" i="4" s="1"/>
  <c r="AO117" i="4"/>
  <c r="AQ117" i="4" s="1"/>
  <c r="AU117" i="4" s="1"/>
  <c r="AR20" i="4"/>
  <c r="AO168" i="4"/>
  <c r="AQ168" i="4" s="1"/>
  <c r="AU168" i="4" s="1"/>
  <c r="AR66" i="4"/>
  <c r="AO78" i="4"/>
  <c r="AQ78" i="4" s="1"/>
  <c r="AU78" i="4" s="1"/>
  <c r="AR85" i="4"/>
  <c r="AO105" i="4"/>
  <c r="AQ105" i="4" s="1"/>
  <c r="AU105" i="4" s="1"/>
  <c r="AC125" i="4"/>
  <c r="AC33" i="4"/>
  <c r="AO94" i="4"/>
  <c r="AQ94" i="4" s="1"/>
  <c r="AU94" i="4" s="1"/>
  <c r="A128" i="8"/>
  <c r="A147" i="8"/>
  <c r="A108" i="8"/>
  <c r="A139" i="8"/>
  <c r="AC150" i="4"/>
  <c r="A125" i="8"/>
  <c r="A119" i="8"/>
  <c r="AC147" i="4"/>
  <c r="A138" i="8"/>
  <c r="A134" i="8"/>
  <c r="AC48" i="4"/>
  <c r="A133" i="8"/>
  <c r="BN39" i="3"/>
  <c r="AO152" i="4"/>
  <c r="AQ152" i="4" s="1"/>
  <c r="AU152" i="4" s="1"/>
  <c r="B40" i="3"/>
  <c r="AQ40" i="3"/>
  <c r="A41" i="3"/>
  <c r="AR40" i="3"/>
  <c r="C40" i="3"/>
  <c r="D40" i="3"/>
  <c r="F40" i="3"/>
  <c r="BM40" i="3" s="1"/>
  <c r="G40" i="3"/>
  <c r="H40" i="3" s="1"/>
  <c r="A112" i="8"/>
  <c r="A141" i="8"/>
  <c r="A106" i="8"/>
  <c r="AO80" i="4"/>
  <c r="AQ80" i="4" s="1"/>
  <c r="AU80" i="4" s="1"/>
  <c r="AC132" i="4"/>
  <c r="AO164" i="4"/>
  <c r="AQ164" i="4" s="1"/>
  <c r="AU164" i="4" s="1"/>
  <c r="AR173" i="4"/>
  <c r="AR135" i="4"/>
  <c r="AC127" i="4"/>
  <c r="AO22" i="4"/>
  <c r="AQ22" i="4" s="1"/>
  <c r="AU22" i="4" s="1"/>
  <c r="AO157" i="4"/>
  <c r="AQ157" i="4" s="1"/>
  <c r="AU157" i="4" s="1"/>
  <c r="AR93" i="4"/>
  <c r="AO10" i="4"/>
  <c r="AQ10" i="4" s="1"/>
  <c r="AU10" i="4" s="1"/>
  <c r="AO71" i="4"/>
  <c r="AQ71" i="4" s="1"/>
  <c r="AU71" i="4" s="1"/>
  <c r="AC61" i="4"/>
  <c r="AR77" i="4"/>
  <c r="AR47" i="4"/>
  <c r="AO205" i="4"/>
  <c r="AQ205" i="4" s="1"/>
  <c r="AU205" i="4" s="1"/>
  <c r="AR60" i="4"/>
  <c r="AO60" i="4"/>
  <c r="AQ60" i="4" s="1"/>
  <c r="AU60" i="4" s="1"/>
  <c r="AO98" i="4"/>
  <c r="AQ98" i="4" s="1"/>
  <c r="AU98" i="4" s="1"/>
  <c r="AO182" i="4"/>
  <c r="AQ182" i="4" s="1"/>
  <c r="AU182" i="4" s="1"/>
  <c r="AO17" i="4"/>
  <c r="AQ17" i="4" s="1"/>
  <c r="AU17" i="4" s="1"/>
  <c r="AR11" i="4"/>
  <c r="AR83" i="4"/>
  <c r="AO108" i="4"/>
  <c r="AQ108" i="4" s="1"/>
  <c r="AU108" i="4" s="1"/>
  <c r="AR59" i="4"/>
  <c r="AR84" i="4"/>
  <c r="AO74" i="4"/>
  <c r="AQ74" i="4" s="1"/>
  <c r="AU74" i="4" s="1"/>
  <c r="AO124" i="4"/>
  <c r="AQ124" i="4" s="1"/>
  <c r="AU124" i="4" s="1"/>
  <c r="AO97" i="4"/>
  <c r="AQ97" i="4" s="1"/>
  <c r="AU97" i="4" s="1"/>
  <c r="AR137" i="4"/>
  <c r="AO87" i="4"/>
  <c r="AQ87" i="4" s="1"/>
  <c r="AU87" i="4" s="1"/>
  <c r="AO207" i="4"/>
  <c r="AQ207" i="4" s="1"/>
  <c r="AU207" i="4" s="1"/>
  <c r="AO128" i="4"/>
  <c r="AQ128" i="4" s="1"/>
  <c r="AU128" i="4" s="1"/>
  <c r="AC111" i="4"/>
  <c r="AR111" i="4" s="1"/>
  <c r="AR102" i="4"/>
  <c r="AO102" i="4"/>
  <c r="AQ102" i="4" s="1"/>
  <c r="AU102" i="4" s="1"/>
  <c r="AR18" i="4"/>
  <c r="AO18" i="4"/>
  <c r="AQ18" i="4" s="1"/>
  <c r="AU18" i="4" s="1"/>
  <c r="AR62" i="4"/>
  <c r="AO62" i="4"/>
  <c r="AQ62" i="4" s="1"/>
  <c r="AU62" i="4" s="1"/>
  <c r="AR13" i="4"/>
  <c r="AO13" i="4"/>
  <c r="AQ13" i="4" s="1"/>
  <c r="AU13" i="4" s="1"/>
  <c r="AR21" i="4"/>
  <c r="AO21" i="4"/>
  <c r="AQ21" i="4" s="1"/>
  <c r="AU21" i="4" s="1"/>
  <c r="AR15" i="4"/>
  <c r="AO15" i="4"/>
  <c r="AQ15" i="4" s="1"/>
  <c r="AU15" i="4" s="1"/>
  <c r="AR12" i="4"/>
  <c r="AO12" i="4"/>
  <c r="AQ12" i="4" s="1"/>
  <c r="AU12" i="4" s="1"/>
  <c r="AC106" i="4"/>
  <c r="AO92" i="4"/>
  <c r="AQ92" i="4" s="1"/>
  <c r="AU92" i="4" s="1"/>
  <c r="AR92" i="4"/>
  <c r="AR23" i="4"/>
  <c r="AO23" i="4"/>
  <c r="AQ23" i="4" s="1"/>
  <c r="AU23" i="4" s="1"/>
  <c r="AR16" i="4"/>
  <c r="AO16" i="4"/>
  <c r="AQ16" i="4" s="1"/>
  <c r="AU16" i="4" s="1"/>
  <c r="AR29" i="4"/>
  <c r="AO29" i="4"/>
  <c r="AQ29" i="4" s="1"/>
  <c r="AU29" i="4" s="1"/>
  <c r="A264" i="2"/>
  <c r="B264" i="2"/>
  <c r="B268" i="2" s="1"/>
  <c r="C264" i="2"/>
  <c r="C268" i="2" s="1"/>
  <c r="E26" i="1"/>
  <c r="C54" i="16" s="1"/>
  <c r="D54" i="16" s="1"/>
  <c r="AC109" i="4"/>
  <c r="R23" i="8"/>
  <c r="R13" i="8"/>
  <c r="H3" i="8"/>
  <c r="AO43" i="4"/>
  <c r="AQ43" i="4" s="1"/>
  <c r="AU43" i="4" s="1"/>
  <c r="AR43" i="4"/>
  <c r="AR75" i="4"/>
  <c r="AO75" i="4"/>
  <c r="AQ75" i="4" s="1"/>
  <c r="AU75" i="4" s="1"/>
  <c r="AR14" i="4"/>
  <c r="AO14" i="4"/>
  <c r="AQ14" i="4" s="1"/>
  <c r="AU14" i="4" s="1"/>
  <c r="AC53" i="4"/>
  <c r="AC45" i="4"/>
  <c r="AC113" i="4"/>
  <c r="AC24" i="4"/>
  <c r="AC49" i="4"/>
  <c r="AC46" i="4"/>
  <c r="AC9" i="4"/>
  <c r="AC41" i="4"/>
  <c r="AC115" i="4"/>
  <c r="AC40" i="4"/>
  <c r="AR52" i="4"/>
  <c r="AR36" i="4"/>
  <c r="AO36" i="4"/>
  <c r="AQ36" i="4" s="1"/>
  <c r="AU36" i="4" s="1"/>
  <c r="AR203" i="4"/>
  <c r="AO203" i="4"/>
  <c r="AQ203" i="4" s="1"/>
  <c r="AU203" i="4" s="1"/>
  <c r="AR27" i="4"/>
  <c r="AO27" i="4"/>
  <c r="AQ27" i="4" s="1"/>
  <c r="AU27" i="4" s="1"/>
  <c r="AR99" i="4"/>
  <c r="AO99" i="4"/>
  <c r="AQ99" i="4" s="1"/>
  <c r="AU99" i="4" s="1"/>
  <c r="AR86" i="4"/>
  <c r="AO86" i="4"/>
  <c r="AQ86" i="4" s="1"/>
  <c r="AU86" i="4" s="1"/>
  <c r="AR200" i="4"/>
  <c r="AO200" i="4"/>
  <c r="AQ200" i="4" s="1"/>
  <c r="AU200" i="4" s="1"/>
  <c r="AR90" i="4"/>
  <c r="AO90" i="4"/>
  <c r="AQ90" i="4" s="1"/>
  <c r="AU90" i="4" s="1"/>
  <c r="AO54" i="4"/>
  <c r="AQ54" i="4" s="1"/>
  <c r="AU54" i="4" s="1"/>
  <c r="AR54" i="4"/>
  <c r="AR190" i="4"/>
  <c r="AO190" i="4"/>
  <c r="AQ190" i="4" s="1"/>
  <c r="AU190" i="4" s="1"/>
  <c r="D3" i="8"/>
  <c r="B76" i="1"/>
  <c r="B256" i="2"/>
  <c r="A256" i="2"/>
  <c r="AO195" i="4" l="1"/>
  <c r="AQ195" i="4" s="1"/>
  <c r="AU195" i="4" s="1"/>
  <c r="C52" i="16"/>
  <c r="D52" i="16" s="1"/>
  <c r="B139" i="2"/>
  <c r="B253" i="2" s="1"/>
  <c r="B237" i="2"/>
  <c r="BN40" i="3"/>
  <c r="AR33" i="4"/>
  <c r="AO33" i="4"/>
  <c r="AQ33" i="4" s="1"/>
  <c r="AU33" i="4" s="1"/>
  <c r="AR125" i="4"/>
  <c r="AO125" i="4"/>
  <c r="AQ125" i="4" s="1"/>
  <c r="AU125" i="4" s="1"/>
  <c r="A137" i="8"/>
  <c r="A150" i="8"/>
  <c r="A124" i="8"/>
  <c r="AR147" i="4"/>
  <c r="AO147" i="4"/>
  <c r="AQ147" i="4" s="1"/>
  <c r="AU147" i="4" s="1"/>
  <c r="A151" i="8"/>
  <c r="A145" i="8"/>
  <c r="A159" i="8"/>
  <c r="A153" i="8"/>
  <c r="A120" i="8"/>
  <c r="AR150" i="4"/>
  <c r="AO150" i="4"/>
  <c r="AQ150" i="4" s="1"/>
  <c r="AU150" i="4" s="1"/>
  <c r="A146" i="8"/>
  <c r="A131" i="8"/>
  <c r="A118" i="8"/>
  <c r="AQ41" i="3"/>
  <c r="AR41" i="3"/>
  <c r="A42" i="3"/>
  <c r="B41" i="3"/>
  <c r="D41" i="3"/>
  <c r="C41" i="3"/>
  <c r="G41" i="3"/>
  <c r="H41" i="3" s="1"/>
  <c r="F41" i="3"/>
  <c r="A140" i="8"/>
  <c r="AR48" i="4"/>
  <c r="AO48" i="4"/>
  <c r="AQ48" i="4" s="1"/>
  <c r="AU48" i="4" s="1"/>
  <c r="AO127" i="4"/>
  <c r="AQ127" i="4" s="1"/>
  <c r="AU127" i="4" s="1"/>
  <c r="AR127" i="4"/>
  <c r="AR132" i="4"/>
  <c r="AO132" i="4"/>
  <c r="AQ132" i="4" s="1"/>
  <c r="AU132" i="4" s="1"/>
  <c r="AR61" i="4"/>
  <c r="AO61" i="4"/>
  <c r="AQ61" i="4" s="1"/>
  <c r="AU61" i="4" s="1"/>
  <c r="AO111" i="4"/>
  <c r="AQ111" i="4" s="1"/>
  <c r="AU111" i="4" s="1"/>
  <c r="AR106" i="4"/>
  <c r="AO106" i="4"/>
  <c r="AQ106" i="4" s="1"/>
  <c r="AU106" i="4" s="1"/>
  <c r="AR109" i="4"/>
  <c r="AO109" i="4"/>
  <c r="AQ109" i="4" s="1"/>
  <c r="AU109" i="4" s="1"/>
  <c r="B309" i="2" s="1"/>
  <c r="AR9" i="4"/>
  <c r="AO9" i="4"/>
  <c r="AQ9" i="4" s="1"/>
  <c r="AU9" i="4" s="1"/>
  <c r="AR113" i="4"/>
  <c r="AO113" i="4"/>
  <c r="AQ113" i="4" s="1"/>
  <c r="AU113" i="4" s="1"/>
  <c r="AO115" i="4"/>
  <c r="AQ115" i="4" s="1"/>
  <c r="AU115" i="4" s="1"/>
  <c r="AR115" i="4"/>
  <c r="AO45" i="4"/>
  <c r="AQ45" i="4" s="1"/>
  <c r="AU45" i="4" s="1"/>
  <c r="AR45" i="4"/>
  <c r="AR40" i="4"/>
  <c r="AO40" i="4"/>
  <c r="AQ40" i="4" s="1"/>
  <c r="AU40" i="4" s="1"/>
  <c r="AO41" i="4"/>
  <c r="AQ41" i="4" s="1"/>
  <c r="AU41" i="4" s="1"/>
  <c r="AR41" i="4"/>
  <c r="AR46" i="4"/>
  <c r="AO46" i="4"/>
  <c r="AQ46" i="4" s="1"/>
  <c r="AU46" i="4" s="1"/>
  <c r="AR49" i="4"/>
  <c r="AO49" i="4"/>
  <c r="AQ49" i="4" s="1"/>
  <c r="AU49" i="4" s="1"/>
  <c r="AR24" i="4"/>
  <c r="AO24" i="4"/>
  <c r="AQ24" i="4" s="1"/>
  <c r="AU24" i="4" s="1"/>
  <c r="AO53" i="4"/>
  <c r="AQ53" i="4" s="1"/>
  <c r="AU53" i="4" s="1"/>
  <c r="AR53" i="4"/>
  <c r="A253" i="2" l="1"/>
  <c r="N159" i="8"/>
  <c r="J159" i="8"/>
  <c r="L159" i="8"/>
  <c r="J158" i="8"/>
  <c r="I159" i="8"/>
  <c r="I158" i="8" s="1"/>
  <c r="K159" i="8"/>
  <c r="M159" i="8"/>
  <c r="K158" i="8"/>
  <c r="M158" i="8"/>
  <c r="B159" i="8"/>
  <c r="B158" i="8"/>
  <c r="B157" i="8" s="1"/>
  <c r="F159" i="8"/>
  <c r="F158" i="8" s="1"/>
  <c r="F157" i="8" s="1"/>
  <c r="G159" i="8"/>
  <c r="G158" i="8" s="1"/>
  <c r="G157" i="8" s="1"/>
  <c r="E159" i="8"/>
  <c r="E158" i="8" s="1"/>
  <c r="E157" i="8" s="1"/>
  <c r="C159" i="8"/>
  <c r="C158" i="8" s="1"/>
  <c r="C157" i="8" s="1"/>
  <c r="A143" i="8"/>
  <c r="BM41" i="3"/>
  <c r="BN41" i="3"/>
  <c r="A136" i="8"/>
  <c r="AQ42" i="3"/>
  <c r="B42" i="3"/>
  <c r="A43" i="3"/>
  <c r="AR42" i="3"/>
  <c r="C42" i="3"/>
  <c r="D42" i="3"/>
  <c r="F42" i="3"/>
  <c r="G42" i="3"/>
  <c r="H42" i="3" s="1"/>
  <c r="BN42" i="3" s="1"/>
  <c r="A132" i="8"/>
  <c r="A158" i="8"/>
  <c r="A157" i="8"/>
  <c r="H159" i="8"/>
  <c r="H158" i="8" s="1"/>
  <c r="H157" i="8" s="1"/>
  <c r="D159" i="8"/>
  <c r="D158" i="8" s="1"/>
  <c r="D157" i="8" s="1"/>
  <c r="A130" i="8"/>
  <c r="A149" i="8"/>
  <c r="A152" i="8"/>
  <c r="A44" i="3" l="1"/>
  <c r="B43" i="3"/>
  <c r="AQ43" i="3"/>
  <c r="AR43" i="3"/>
  <c r="C43" i="3"/>
  <c r="D43" i="3"/>
  <c r="F43" i="3"/>
  <c r="G43" i="3"/>
  <c r="H43" i="3" s="1"/>
  <c r="BN43" i="3" s="1"/>
  <c r="A142" i="8"/>
  <c r="A148" i="8"/>
  <c r="A144" i="8"/>
  <c r="A155" i="8"/>
  <c r="N157" i="8"/>
  <c r="J157" i="8"/>
  <c r="M157" i="8"/>
  <c r="I157" i="8"/>
  <c r="L157" i="8"/>
  <c r="K157" i="8"/>
  <c r="L158" i="8"/>
  <c r="N158" i="8"/>
  <c r="BM42" i="3"/>
  <c r="A156" i="8" l="1"/>
  <c r="AR44" i="3"/>
  <c r="B44" i="3"/>
  <c r="AQ44" i="3"/>
  <c r="A45" i="3"/>
  <c r="C44" i="3"/>
  <c r="D44" i="3"/>
  <c r="G44" i="3"/>
  <c r="H44" i="3" s="1"/>
  <c r="F44" i="3"/>
  <c r="A154" i="8"/>
  <c r="BM43" i="3"/>
  <c r="AQ45" i="3" l="1"/>
  <c r="AR45" i="3"/>
  <c r="A46" i="3"/>
  <c r="B45" i="3"/>
  <c r="C45" i="3"/>
  <c r="D45" i="3"/>
  <c r="G45" i="3"/>
  <c r="H45" i="3" s="1"/>
  <c r="BN45" i="3" s="1"/>
  <c r="F45" i="3"/>
  <c r="BM45" i="3" s="1"/>
  <c r="BN44" i="3"/>
  <c r="I156" i="8"/>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N156" i="8"/>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L156" i="8"/>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E156" i="8"/>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J156" i="8"/>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G156" i="8"/>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M156" i="8"/>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K156" i="8"/>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F156" i="8"/>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H156" i="8"/>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156" i="8"/>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D156" i="8"/>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6" i="8"/>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BM44" i="3"/>
  <c r="B266" i="2" l="1"/>
  <c r="C270" i="2"/>
  <c r="B270" i="2"/>
  <c r="C266" i="2"/>
  <c r="R12" i="8"/>
  <c r="B91" i="2"/>
  <c r="E50" i="1" s="1"/>
  <c r="C45" i="16" s="1"/>
  <c r="D45" i="16" s="1"/>
  <c r="B276" i="2"/>
  <c r="S31" i="8"/>
  <c r="C78" i="1" s="1"/>
  <c r="D78" i="1" s="1"/>
  <c r="R31" i="8"/>
  <c r="S28" i="8"/>
  <c r="C75" i="1" s="1"/>
  <c r="D75" i="1" s="1"/>
  <c r="R28" i="8"/>
  <c r="S29" i="8"/>
  <c r="C76" i="1" s="1"/>
  <c r="D76" i="1" s="1"/>
  <c r="R29" i="8"/>
  <c r="AQ46" i="3"/>
  <c r="B46" i="3"/>
  <c r="A47" i="3"/>
  <c r="AR46" i="3"/>
  <c r="C46" i="3"/>
  <c r="D46" i="3"/>
  <c r="G46" i="3"/>
  <c r="H46" i="3" s="1"/>
  <c r="F46" i="3"/>
  <c r="B47" i="3" l="1"/>
  <c r="AQ47" i="3"/>
  <c r="AR47" i="3"/>
  <c r="A48" i="3"/>
  <c r="C47" i="3"/>
  <c r="D47" i="3"/>
  <c r="G47" i="3"/>
  <c r="H47" i="3" s="1"/>
  <c r="F47" i="3"/>
  <c r="BM47" i="3" s="1"/>
  <c r="BN46" i="3"/>
  <c r="C40" i="16"/>
  <c r="D40" i="16" s="1"/>
  <c r="B141" i="2"/>
  <c r="C39" i="16"/>
  <c r="D39" i="16" s="1"/>
  <c r="B140" i="2"/>
  <c r="C41" i="16"/>
  <c r="D41" i="16" s="1"/>
  <c r="B143" i="2"/>
  <c r="C42" i="16"/>
  <c r="D42" i="16"/>
  <c r="BM46" i="3"/>
  <c r="BN47" i="3" l="1"/>
  <c r="AD32" i="3"/>
  <c r="AD36" i="3"/>
  <c r="AD45" i="3"/>
  <c r="AD34" i="3"/>
  <c r="AD22" i="3"/>
  <c r="AD30" i="3"/>
  <c r="AD9" i="3"/>
  <c r="AD10" i="3"/>
  <c r="AD682" i="3"/>
  <c r="AD17" i="3"/>
  <c r="AD14" i="3"/>
  <c r="AD26" i="3"/>
  <c r="AD43" i="3"/>
  <c r="AD46" i="3"/>
  <c r="AD40" i="3"/>
  <c r="AD20" i="3"/>
  <c r="AD33" i="3"/>
  <c r="AD15" i="3"/>
  <c r="AD28" i="3"/>
  <c r="AD31" i="3"/>
  <c r="AD48" i="3"/>
  <c r="AD16" i="3"/>
  <c r="AD18" i="3"/>
  <c r="B149" i="2"/>
  <c r="O48" i="3" s="1"/>
  <c r="AD23" i="3"/>
  <c r="AD42" i="3"/>
  <c r="AD47" i="3"/>
  <c r="AD24" i="3"/>
  <c r="AD35" i="3"/>
  <c r="AD37" i="3"/>
  <c r="AD41" i="3"/>
  <c r="AD29" i="3"/>
  <c r="AD44" i="3"/>
  <c r="AD19" i="3"/>
  <c r="AD25" i="3"/>
  <c r="B254" i="2"/>
  <c r="AD21" i="3"/>
  <c r="AD27" i="3"/>
  <c r="AD13" i="3"/>
  <c r="AD39" i="3"/>
  <c r="AD12" i="3"/>
  <c r="AD38" i="3"/>
  <c r="AD11" i="3"/>
  <c r="A254" i="2"/>
  <c r="AD683" i="3"/>
  <c r="AE30" i="3"/>
  <c r="AE48" i="3"/>
  <c r="AE23" i="3"/>
  <c r="M33" i="3"/>
  <c r="M39" i="3"/>
  <c r="M16" i="3"/>
  <c r="M47" i="3"/>
  <c r="M13" i="3"/>
  <c r="M683" i="3"/>
  <c r="M23" i="3"/>
  <c r="M15" i="3"/>
  <c r="M29" i="3"/>
  <c r="AE21" i="3"/>
  <c r="AE45" i="3"/>
  <c r="M18" i="3"/>
  <c r="M12" i="3"/>
  <c r="AE29" i="3"/>
  <c r="M31" i="3"/>
  <c r="M19" i="3"/>
  <c r="AE20" i="3"/>
  <c r="M35" i="3"/>
  <c r="AE28" i="3"/>
  <c r="AE36" i="3"/>
  <c r="AE9" i="3"/>
  <c r="AE17" i="3"/>
  <c r="AE24" i="3"/>
  <c r="AE34" i="3"/>
  <c r="AE16" i="3"/>
  <c r="M37" i="3"/>
  <c r="AE12" i="3"/>
  <c r="M38" i="3"/>
  <c r="AE38" i="3"/>
  <c r="M41" i="3"/>
  <c r="M25" i="3"/>
  <c r="AE22" i="3"/>
  <c r="M30" i="3"/>
  <c r="AE43" i="3"/>
  <c r="AE13" i="3"/>
  <c r="M24" i="3"/>
  <c r="AE33" i="3"/>
  <c r="AE44" i="3"/>
  <c r="B152" i="2"/>
  <c r="U48" i="3" s="1"/>
  <c r="AE46" i="3"/>
  <c r="M46" i="3"/>
  <c r="AE18" i="3"/>
  <c r="M43" i="3"/>
  <c r="AE31" i="3"/>
  <c r="M9" i="3"/>
  <c r="AE14" i="3"/>
  <c r="M14" i="3"/>
  <c r="M22" i="3"/>
  <c r="AE10" i="3"/>
  <c r="M682" i="3"/>
  <c r="AE35" i="3"/>
  <c r="M17" i="3"/>
  <c r="AE47" i="3"/>
  <c r="AE27" i="3"/>
  <c r="AE37" i="3"/>
  <c r="AE683" i="3"/>
  <c r="AE19" i="3"/>
  <c r="M20" i="3"/>
  <c r="M32" i="3"/>
  <c r="AE15" i="3"/>
  <c r="AE682" i="3"/>
  <c r="AE42" i="3"/>
  <c r="M34" i="3"/>
  <c r="AE39" i="3"/>
  <c r="AE25" i="3"/>
  <c r="M27" i="3"/>
  <c r="M21" i="3"/>
  <c r="M48" i="3"/>
  <c r="AE40" i="3"/>
  <c r="M28" i="3"/>
  <c r="M40" i="3"/>
  <c r="M26" i="3"/>
  <c r="M36" i="3"/>
  <c r="M42" i="3"/>
  <c r="M45" i="3"/>
  <c r="M10" i="3"/>
  <c r="AE32" i="3"/>
  <c r="AE11" i="3"/>
  <c r="AE26" i="3"/>
  <c r="AE41" i="3"/>
  <c r="M44" i="3"/>
  <c r="M11" i="3"/>
  <c r="AF17" i="3"/>
  <c r="AF28" i="3"/>
  <c r="AF19" i="3"/>
  <c r="B255" i="2"/>
  <c r="AF39" i="3"/>
  <c r="AF45" i="3"/>
  <c r="AF47" i="3"/>
  <c r="AF34" i="3"/>
  <c r="AF32" i="3"/>
  <c r="AF20" i="3"/>
  <c r="AF38" i="3"/>
  <c r="AF12" i="3"/>
  <c r="A255" i="2"/>
  <c r="AF18" i="3"/>
  <c r="AF15" i="3"/>
  <c r="AF26" i="3"/>
  <c r="AF27" i="3"/>
  <c r="AF23" i="3"/>
  <c r="AF31" i="3"/>
  <c r="AF25" i="3"/>
  <c r="AF21" i="3"/>
  <c r="AF35" i="3"/>
  <c r="AF22" i="3"/>
  <c r="AF37" i="3"/>
  <c r="AF48" i="3"/>
  <c r="AF14" i="3"/>
  <c r="AF44" i="3"/>
  <c r="AF24" i="3"/>
  <c r="AF682" i="3"/>
  <c r="AF683" i="3"/>
  <c r="AF11" i="3"/>
  <c r="AF36" i="3"/>
  <c r="AF10" i="3"/>
  <c r="AF13" i="3"/>
  <c r="AF9" i="3"/>
  <c r="AF46" i="3"/>
  <c r="AF33" i="3"/>
  <c r="AF40" i="3"/>
  <c r="AF42" i="3"/>
  <c r="AF30" i="3"/>
  <c r="AF43" i="3"/>
  <c r="AF41" i="3"/>
  <c r="AF29" i="3"/>
  <c r="AF16" i="3"/>
  <c r="B48" i="3"/>
  <c r="AQ48" i="3"/>
  <c r="A49" i="3"/>
  <c r="AF49" i="3" s="1"/>
  <c r="AR48" i="3"/>
  <c r="C48" i="3"/>
  <c r="D48" i="3"/>
  <c r="F48" i="3"/>
  <c r="G48" i="3"/>
  <c r="H48" i="3" s="1"/>
  <c r="AK19" i="3"/>
  <c r="AK16" i="3"/>
  <c r="AM16" i="3"/>
  <c r="AK44" i="3"/>
  <c r="AK39" i="3"/>
  <c r="AK17" i="3"/>
  <c r="AM47" i="3"/>
  <c r="AM22" i="3"/>
  <c r="AM25" i="3"/>
  <c r="AM24" i="3"/>
  <c r="AM21" i="3"/>
  <c r="AK21" i="3"/>
  <c r="AK27" i="3"/>
  <c r="AK18" i="3"/>
  <c r="AM682" i="3"/>
  <c r="AM28" i="3"/>
  <c r="AK46" i="3"/>
  <c r="AM19" i="3"/>
  <c r="AK40" i="3"/>
  <c r="AM14" i="3"/>
  <c r="AM30" i="3"/>
  <c r="B151" i="2"/>
  <c r="S48" i="3" s="1"/>
  <c r="AK28" i="3"/>
  <c r="AK22" i="3"/>
  <c r="AM38" i="3"/>
  <c r="AM43" i="3"/>
  <c r="AK26" i="3"/>
  <c r="AK11" i="3"/>
  <c r="AM42" i="3"/>
  <c r="AM37" i="3"/>
  <c r="AM10" i="3"/>
  <c r="AM11" i="3"/>
  <c r="AM13" i="3"/>
  <c r="AK15" i="3"/>
  <c r="AK43" i="3"/>
  <c r="AM36" i="3"/>
  <c r="AM44" i="3"/>
  <c r="AM48" i="3"/>
  <c r="AK35" i="3"/>
  <c r="AK10" i="3"/>
  <c r="A257" i="2"/>
  <c r="AM39" i="3"/>
  <c r="AM683" i="3"/>
  <c r="AK14" i="3"/>
  <c r="AO14" i="3" s="1"/>
  <c r="AK45" i="3"/>
  <c r="B257" i="2"/>
  <c r="AK24" i="3"/>
  <c r="AM27" i="3"/>
  <c r="AK33" i="3"/>
  <c r="B150" i="2"/>
  <c r="Q48" i="3" s="1"/>
  <c r="AK683" i="3"/>
  <c r="AO683" i="3" s="1"/>
  <c r="AM32" i="3"/>
  <c r="AK32" i="3"/>
  <c r="AM33" i="3"/>
  <c r="AK38" i="3"/>
  <c r="AM29" i="3"/>
  <c r="AM31" i="3"/>
  <c r="AK48" i="3"/>
  <c r="AO48" i="3" s="1"/>
  <c r="AK37" i="3"/>
  <c r="AK30" i="3"/>
  <c r="AM20" i="3"/>
  <c r="AK34" i="3"/>
  <c r="AM26" i="3"/>
  <c r="AK31" i="3"/>
  <c r="AM46" i="3"/>
  <c r="AK12" i="3"/>
  <c r="AK47" i="3"/>
  <c r="AK41" i="3"/>
  <c r="AK36" i="3"/>
  <c r="AM35" i="3"/>
  <c r="AM18" i="3"/>
  <c r="AK25" i="3"/>
  <c r="AO25" i="3" s="1"/>
  <c r="AK42" i="3"/>
  <c r="AO42" i="3" s="1"/>
  <c r="AM45" i="3"/>
  <c r="AK682" i="3"/>
  <c r="AK49" i="3"/>
  <c r="AK13" i="3"/>
  <c r="AK20" i="3"/>
  <c r="AK29" i="3"/>
  <c r="AK9" i="3"/>
  <c r="AM15" i="3"/>
  <c r="AM23" i="3"/>
  <c r="AM34" i="3"/>
  <c r="AM41" i="3"/>
  <c r="AM12" i="3"/>
  <c r="AK23" i="3"/>
  <c r="AM40" i="3"/>
  <c r="AM17" i="3"/>
  <c r="AM49" i="3"/>
  <c r="AM9" i="3"/>
  <c r="AN9" i="3" s="1"/>
  <c r="AO15" i="3" l="1"/>
  <c r="AN35" i="3"/>
  <c r="AN40" i="3"/>
  <c r="AO682" i="3"/>
  <c r="AN45" i="3"/>
  <c r="AO34" i="3"/>
  <c r="AH48" i="3"/>
  <c r="AH30" i="3"/>
  <c r="BM48" i="3"/>
  <c r="AN21" i="3"/>
  <c r="AN49" i="3"/>
  <c r="AO36" i="3"/>
  <c r="AN17" i="3"/>
  <c r="AN12" i="3"/>
  <c r="AN46" i="3"/>
  <c r="AN38" i="3"/>
  <c r="AH23" i="3"/>
  <c r="AN26" i="3"/>
  <c r="AO28" i="3"/>
  <c r="AO44" i="3"/>
  <c r="AO30" i="3"/>
  <c r="AO31" i="3"/>
  <c r="AN23" i="3"/>
  <c r="AN19" i="3"/>
  <c r="AN32" i="3"/>
  <c r="AN27" i="3"/>
  <c r="AO41" i="3"/>
  <c r="AN22" i="3"/>
  <c r="AO24" i="3"/>
  <c r="AN47" i="3"/>
  <c r="AO11" i="3"/>
  <c r="AN16" i="3"/>
  <c r="AG682" i="3"/>
  <c r="AH35" i="3"/>
  <c r="AO33" i="3"/>
  <c r="AN39" i="3"/>
  <c r="AN20" i="3"/>
  <c r="AO37" i="3"/>
  <c r="AH21" i="3"/>
  <c r="AO13" i="3"/>
  <c r="AN18" i="3"/>
  <c r="AH18" i="3"/>
  <c r="AN29" i="3"/>
  <c r="AO45" i="3"/>
  <c r="AO10" i="3"/>
  <c r="AO43" i="3"/>
  <c r="AG47" i="3"/>
  <c r="AN30" i="3"/>
  <c r="AO12" i="3"/>
  <c r="AO49" i="3"/>
  <c r="AN15" i="3"/>
  <c r="AN683" i="3"/>
  <c r="AN37" i="3"/>
  <c r="AN43" i="3"/>
  <c r="AO16" i="3"/>
  <c r="BN48" i="3"/>
  <c r="AN33" i="3"/>
  <c r="AN10" i="3"/>
  <c r="AG25" i="3"/>
  <c r="AN44" i="3"/>
  <c r="AO21" i="3"/>
  <c r="S11" i="3"/>
  <c r="T22" i="3"/>
  <c r="S42" i="3"/>
  <c r="S36" i="3"/>
  <c r="T9" i="3"/>
  <c r="S10" i="3"/>
  <c r="S21" i="3"/>
  <c r="T42" i="3"/>
  <c r="S33" i="3"/>
  <c r="F76" i="1"/>
  <c r="T30" i="3"/>
  <c r="T27" i="3"/>
  <c r="S17" i="3"/>
  <c r="T14" i="3"/>
  <c r="A686" i="3"/>
  <c r="S18" i="3"/>
  <c r="T10" i="3"/>
  <c r="T29" i="3"/>
  <c r="S25" i="3"/>
  <c r="T45" i="3"/>
  <c r="S9" i="3"/>
  <c r="S14" i="3"/>
  <c r="S22" i="3"/>
  <c r="T25" i="3"/>
  <c r="S39" i="3"/>
  <c r="T16" i="3"/>
  <c r="T20" i="3"/>
  <c r="S26" i="3"/>
  <c r="T48" i="3"/>
  <c r="S43" i="3"/>
  <c r="S31" i="3"/>
  <c r="S28" i="3"/>
  <c r="T21" i="3"/>
  <c r="T19" i="3"/>
  <c r="T34" i="3"/>
  <c r="T13" i="3"/>
  <c r="T44" i="3"/>
  <c r="T49" i="3"/>
  <c r="T33" i="3"/>
  <c r="T24" i="3"/>
  <c r="T15" i="3"/>
  <c r="S12" i="3"/>
  <c r="T46" i="3"/>
  <c r="T37" i="3"/>
  <c r="T35" i="3"/>
  <c r="S44" i="3"/>
  <c r="S30" i="3"/>
  <c r="T17" i="3"/>
  <c r="T43" i="3"/>
  <c r="T38" i="3"/>
  <c r="T40" i="3"/>
  <c r="S41" i="3"/>
  <c r="T41" i="3"/>
  <c r="S32" i="3"/>
  <c r="S16" i="3"/>
  <c r="T32" i="3"/>
  <c r="S13" i="3"/>
  <c r="S35" i="3"/>
  <c r="T11" i="3"/>
  <c r="S23" i="3"/>
  <c r="T36" i="3"/>
  <c r="T28" i="3"/>
  <c r="T12" i="3"/>
  <c r="S24" i="3"/>
  <c r="S20" i="3"/>
  <c r="T23" i="3"/>
  <c r="T18" i="3"/>
  <c r="S34" i="3"/>
  <c r="S40" i="3"/>
  <c r="S15" i="3"/>
  <c r="S37" i="3"/>
  <c r="T26" i="3"/>
  <c r="T31" i="3"/>
  <c r="T683" i="3"/>
  <c r="S27" i="3"/>
  <c r="S29" i="3"/>
  <c r="T47" i="3"/>
  <c r="S19" i="3"/>
  <c r="S682" i="3"/>
  <c r="T39" i="3"/>
  <c r="S38" i="3"/>
  <c r="T682" i="3"/>
  <c r="S683" i="3"/>
  <c r="S45" i="3"/>
  <c r="S46" i="3"/>
  <c r="S47" i="3"/>
  <c r="AO40" i="3"/>
  <c r="AQ49" i="3"/>
  <c r="AR49" i="3"/>
  <c r="B49" i="3"/>
  <c r="A50" i="3"/>
  <c r="D49" i="3"/>
  <c r="C49" i="3"/>
  <c r="F49" i="3"/>
  <c r="BM49" i="3" s="1"/>
  <c r="G49" i="3"/>
  <c r="H49" i="3" s="1"/>
  <c r="Q49" i="3"/>
  <c r="S49" i="3"/>
  <c r="O49" i="3"/>
  <c r="U49" i="3"/>
  <c r="AD49" i="3"/>
  <c r="AE49" i="3"/>
  <c r="M49" i="3"/>
  <c r="AH42" i="3"/>
  <c r="AO29" i="3"/>
  <c r="AO38" i="3"/>
  <c r="AN24" i="3"/>
  <c r="AG14" i="3"/>
  <c r="AO32" i="3"/>
  <c r="AN36" i="3"/>
  <c r="AO26" i="3"/>
  <c r="AO35" i="3"/>
  <c r="AN25" i="3"/>
  <c r="AG15" i="3"/>
  <c r="AO20" i="3"/>
  <c r="AN11" i="3"/>
  <c r="AO22" i="3"/>
  <c r="AO19" i="3"/>
  <c r="AH22" i="3"/>
  <c r="AN48" i="3"/>
  <c r="AN42" i="3"/>
  <c r="AO27" i="3"/>
  <c r="AG41" i="3"/>
  <c r="AH33" i="3"/>
  <c r="AO17" i="3"/>
  <c r="AN41" i="3"/>
  <c r="AO47" i="3"/>
  <c r="AN13" i="3"/>
  <c r="AO18" i="3"/>
  <c r="AG42" i="3"/>
  <c r="AO23" i="3"/>
  <c r="AH46" i="3"/>
  <c r="AN34" i="3"/>
  <c r="AN31" i="3"/>
  <c r="A685" i="3"/>
  <c r="R40" i="3"/>
  <c r="R27" i="3"/>
  <c r="R35" i="3"/>
  <c r="Q15" i="3"/>
  <c r="R28" i="3"/>
  <c r="R45" i="3"/>
  <c r="R21" i="3"/>
  <c r="Q24" i="3"/>
  <c r="Q38" i="3"/>
  <c r="R10" i="3"/>
  <c r="Q32" i="3"/>
  <c r="Q39" i="3"/>
  <c r="R43" i="3"/>
  <c r="R41" i="3"/>
  <c r="Q16" i="3"/>
  <c r="R42" i="3"/>
  <c r="R13" i="3"/>
  <c r="Q40" i="3"/>
  <c r="R29" i="3"/>
  <c r="R682" i="3"/>
  <c r="R36" i="3"/>
  <c r="R25" i="3"/>
  <c r="Q37" i="3"/>
  <c r="Q23" i="3"/>
  <c r="R18" i="3"/>
  <c r="Q10" i="3"/>
  <c r="Q26" i="3"/>
  <c r="Q36" i="3"/>
  <c r="Q33" i="3"/>
  <c r="R32" i="3"/>
  <c r="R31" i="3"/>
  <c r="R38" i="3"/>
  <c r="R34" i="3"/>
  <c r="R9" i="3"/>
  <c r="R47" i="3"/>
  <c r="R48" i="3"/>
  <c r="R33" i="3"/>
  <c r="Q43" i="3"/>
  <c r="Q18" i="3"/>
  <c r="Q683" i="3"/>
  <c r="Q21" i="3"/>
  <c r="R30" i="3"/>
  <c r="R683" i="3"/>
  <c r="R17" i="3"/>
  <c r="Q14" i="3"/>
  <c r="R15" i="3"/>
  <c r="R46" i="3"/>
  <c r="Q13" i="3"/>
  <c r="Q27" i="3"/>
  <c r="R19" i="3"/>
  <c r="R14" i="3"/>
  <c r="Q682" i="3"/>
  <c r="R23" i="3"/>
  <c r="R20" i="3"/>
  <c r="Q22" i="3"/>
  <c r="R37" i="3"/>
  <c r="Q28" i="3"/>
  <c r="Q34" i="3"/>
  <c r="R26" i="3"/>
  <c r="R11" i="3"/>
  <c r="Q35" i="3"/>
  <c r="R49" i="3"/>
  <c r="Q31" i="3"/>
  <c r="Q19" i="3"/>
  <c r="R44" i="3"/>
  <c r="Q9" i="3"/>
  <c r="R50" i="3"/>
  <c r="R22" i="3"/>
  <c r="Q29" i="3"/>
  <c r="R16" i="3"/>
  <c r="R12" i="3"/>
  <c r="Q12" i="3"/>
  <c r="Q20" i="3"/>
  <c r="F75" i="1"/>
  <c r="Q17" i="3"/>
  <c r="Q30" i="3"/>
  <c r="R39" i="3"/>
  <c r="R24" i="3"/>
  <c r="Q11" i="3"/>
  <c r="Q41" i="3"/>
  <c r="Q42" i="3"/>
  <c r="Q44" i="3"/>
  <c r="Q25" i="3"/>
  <c r="Q45" i="3"/>
  <c r="Q46" i="3"/>
  <c r="Q47" i="3"/>
  <c r="AN28" i="3"/>
  <c r="AN682" i="3"/>
  <c r="AN14" i="3"/>
  <c r="AO39" i="3"/>
  <c r="X48" i="3"/>
  <c r="AG26" i="3"/>
  <c r="AO9" i="3"/>
  <c r="AP9" i="3" s="1"/>
  <c r="AO46" i="3"/>
  <c r="AG21" i="3"/>
  <c r="AH14" i="3"/>
  <c r="U25" i="3"/>
  <c r="U39" i="3"/>
  <c r="U17" i="3"/>
  <c r="V20" i="3"/>
  <c r="U29" i="3"/>
  <c r="U12" i="3"/>
  <c r="V33" i="3"/>
  <c r="U45" i="3"/>
  <c r="U46" i="3"/>
  <c r="V41" i="3"/>
  <c r="U26" i="3"/>
  <c r="U34" i="3"/>
  <c r="U32" i="3"/>
  <c r="U35" i="3"/>
  <c r="U31" i="3"/>
  <c r="U28" i="3"/>
  <c r="V19" i="3"/>
  <c r="U13" i="3"/>
  <c r="U22" i="3"/>
  <c r="U24" i="3"/>
  <c r="V30" i="3"/>
  <c r="U44" i="3"/>
  <c r="U10" i="3"/>
  <c r="V21" i="3"/>
  <c r="U42" i="3"/>
  <c r="V34" i="3"/>
  <c r="U38" i="3"/>
  <c r="U15" i="3"/>
  <c r="V47" i="3"/>
  <c r="V18" i="3"/>
  <c r="U33" i="3"/>
  <c r="V37" i="3"/>
  <c r="U23" i="3"/>
  <c r="V26" i="3"/>
  <c r="V24" i="3"/>
  <c r="V10" i="3"/>
  <c r="V11" i="3"/>
  <c r="U11" i="3"/>
  <c r="V9" i="3"/>
  <c r="V39" i="3"/>
  <c r="V25" i="3"/>
  <c r="V40" i="3"/>
  <c r="V48" i="3"/>
  <c r="U19" i="3"/>
  <c r="U37" i="3"/>
  <c r="V38" i="3"/>
  <c r="U40" i="3"/>
  <c r="V42" i="3"/>
  <c r="U18" i="3"/>
  <c r="U20" i="3"/>
  <c r="V17" i="3"/>
  <c r="U36" i="3"/>
  <c r="V29" i="3"/>
  <c r="U9" i="3"/>
  <c r="U30" i="3"/>
  <c r="F77" i="1"/>
  <c r="V31" i="3"/>
  <c r="V45" i="3"/>
  <c r="V36" i="3"/>
  <c r="A687" i="3"/>
  <c r="U14" i="3"/>
  <c r="V23" i="3"/>
  <c r="V16" i="3"/>
  <c r="U21" i="3"/>
  <c r="U682" i="3"/>
  <c r="U27" i="3"/>
  <c r="V46" i="3"/>
  <c r="V682" i="3"/>
  <c r="V22" i="3"/>
  <c r="U41" i="3"/>
  <c r="V13" i="3"/>
  <c r="V49" i="3"/>
  <c r="V15" i="3"/>
  <c r="V43" i="3"/>
  <c r="U16" i="3"/>
  <c r="V14" i="3"/>
  <c r="V12" i="3"/>
  <c r="U43" i="3"/>
  <c r="V27" i="3"/>
  <c r="V50" i="3"/>
  <c r="V32" i="3"/>
  <c r="V35" i="3"/>
  <c r="V44" i="3"/>
  <c r="V683" i="3"/>
  <c r="V28" i="3"/>
  <c r="U683" i="3"/>
  <c r="U47" i="3"/>
  <c r="AH37" i="3"/>
  <c r="AH47" i="3"/>
  <c r="AH17" i="3"/>
  <c r="AG17" i="3"/>
  <c r="AG48" i="3"/>
  <c r="AH16" i="3"/>
  <c r="AH34" i="3"/>
  <c r="AG33" i="3"/>
  <c r="AG9" i="3"/>
  <c r="AG22" i="3"/>
  <c r="AG12" i="3"/>
  <c r="AH38" i="3"/>
  <c r="AH12" i="3"/>
  <c r="AH27" i="3"/>
  <c r="AH45" i="3"/>
  <c r="AG44" i="3"/>
  <c r="AG16" i="3"/>
  <c r="AG20" i="3"/>
  <c r="AH20" i="3"/>
  <c r="AG19" i="3"/>
  <c r="AG34" i="3"/>
  <c r="AH19" i="3"/>
  <c r="AH29" i="3"/>
  <c r="AH28" i="3"/>
  <c r="AH9" i="3"/>
  <c r="AH683" i="3"/>
  <c r="AH40" i="3"/>
  <c r="AH682" i="3"/>
  <c r="AG39" i="3"/>
  <c r="AG24" i="3"/>
  <c r="AG32" i="3"/>
  <c r="AG683" i="3"/>
  <c r="AG38" i="3"/>
  <c r="AG36" i="3"/>
  <c r="AH39" i="3"/>
  <c r="AH36" i="3"/>
  <c r="AG46" i="3"/>
  <c r="AG29" i="3"/>
  <c r="AH43" i="3"/>
  <c r="AG23" i="3"/>
  <c r="AH44" i="3"/>
  <c r="AH15" i="3"/>
  <c r="AG10" i="3"/>
  <c r="AG31" i="3"/>
  <c r="AG28" i="3"/>
  <c r="AH13" i="3"/>
  <c r="AH41" i="3"/>
  <c r="AH24" i="3"/>
  <c r="AH26" i="3"/>
  <c r="AH10" i="3"/>
  <c r="AG37" i="3"/>
  <c r="AG35" i="3"/>
  <c r="AG13" i="3"/>
  <c r="AH25" i="3"/>
  <c r="O23" i="3"/>
  <c r="O26" i="3"/>
  <c r="O13" i="3"/>
  <c r="O33" i="3"/>
  <c r="O28" i="3"/>
  <c r="P48" i="3"/>
  <c r="O10" i="3"/>
  <c r="O27" i="3"/>
  <c r="O31" i="3"/>
  <c r="P50" i="3"/>
  <c r="P9" i="3"/>
  <c r="P10" i="3"/>
  <c r="P43" i="3"/>
  <c r="O12" i="3"/>
  <c r="P25" i="3"/>
  <c r="P27" i="3"/>
  <c r="P40" i="3"/>
  <c r="O21" i="3"/>
  <c r="O42" i="3"/>
  <c r="O44" i="3"/>
  <c r="O14" i="3"/>
  <c r="P11" i="3"/>
  <c r="O682" i="3"/>
  <c r="O24" i="3"/>
  <c r="O40" i="3"/>
  <c r="P33" i="3"/>
  <c r="P38" i="3"/>
  <c r="P12" i="3"/>
  <c r="P15" i="3"/>
  <c r="P17" i="3"/>
  <c r="P14" i="3"/>
  <c r="P39" i="3"/>
  <c r="O30" i="3"/>
  <c r="P21" i="3"/>
  <c r="P42" i="3"/>
  <c r="O39" i="3"/>
  <c r="P36" i="3"/>
  <c r="P28" i="3"/>
  <c r="P35" i="3"/>
  <c r="P37" i="3"/>
  <c r="P41" i="3"/>
  <c r="A684" i="3"/>
  <c r="O34" i="3"/>
  <c r="P30" i="3"/>
  <c r="P16" i="3"/>
  <c r="P45" i="3"/>
  <c r="O22" i="3"/>
  <c r="P23" i="3"/>
  <c r="O32" i="3"/>
  <c r="O38" i="3"/>
  <c r="O16" i="3"/>
  <c r="O29" i="3"/>
  <c r="O43" i="3"/>
  <c r="O35" i="3"/>
  <c r="P26" i="3"/>
  <c r="O17" i="3"/>
  <c r="P32" i="3"/>
  <c r="P31" i="3"/>
  <c r="P49" i="3"/>
  <c r="O9" i="3"/>
  <c r="P44" i="3"/>
  <c r="P29" i="3"/>
  <c r="P19" i="3"/>
  <c r="P682" i="3"/>
  <c r="P13" i="3"/>
  <c r="F74" i="1"/>
  <c r="O15" i="3"/>
  <c r="P34" i="3"/>
  <c r="P18" i="3"/>
  <c r="P22" i="3"/>
  <c r="O20" i="3"/>
  <c r="O11" i="3"/>
  <c r="P20" i="3"/>
  <c r="O37" i="3"/>
  <c r="O36" i="3"/>
  <c r="O18" i="3"/>
  <c r="P683" i="3"/>
  <c r="O25" i="3"/>
  <c r="O683" i="3"/>
  <c r="P24" i="3"/>
  <c r="O41" i="3"/>
  <c r="P46" i="3"/>
  <c r="P47" i="3"/>
  <c r="O19" i="3"/>
  <c r="O45" i="3"/>
  <c r="O46" i="3"/>
  <c r="O47" i="3"/>
  <c r="AG30" i="3"/>
  <c r="AH11" i="3"/>
  <c r="AG43" i="3"/>
  <c r="AG45" i="3"/>
  <c r="AH31" i="3"/>
  <c r="AG11" i="3"/>
  <c r="AG40" i="3"/>
  <c r="AG27" i="3"/>
  <c r="AG18" i="3"/>
  <c r="AH32" i="3"/>
  <c r="AW33" i="3" l="1"/>
  <c r="AG49" i="3"/>
  <c r="BN49" i="3"/>
  <c r="AW28" i="3"/>
  <c r="AT21" i="3"/>
  <c r="AW23" i="3"/>
  <c r="Y48" i="3"/>
  <c r="Z48" i="3" s="1"/>
  <c r="Y15" i="3"/>
  <c r="Z15" i="3" s="1"/>
  <c r="AW10" i="3"/>
  <c r="Y34" i="3"/>
  <c r="Z34" i="3" s="1"/>
  <c r="Y47" i="3"/>
  <c r="Z47" i="3" s="1"/>
  <c r="X45" i="3"/>
  <c r="AW34" i="3"/>
  <c r="Y40" i="3"/>
  <c r="Z40" i="3" s="1"/>
  <c r="X34" i="3"/>
  <c r="AW40" i="3"/>
  <c r="X24" i="3"/>
  <c r="X46" i="3"/>
  <c r="X683" i="3"/>
  <c r="AT23" i="3"/>
  <c r="Y29" i="3"/>
  <c r="Z29" i="3" s="1"/>
  <c r="AW44" i="3"/>
  <c r="AU23" i="3"/>
  <c r="AW19" i="3"/>
  <c r="Y30" i="3"/>
  <c r="Z30" i="3" s="1"/>
  <c r="Y31" i="3"/>
  <c r="Z31" i="3" s="1"/>
  <c r="X22" i="3"/>
  <c r="AX21" i="3"/>
  <c r="AW42" i="3"/>
  <c r="Y33" i="3"/>
  <c r="Z33" i="3" s="1"/>
  <c r="Y32" i="3"/>
  <c r="Z32" i="3" s="1"/>
  <c r="AW37" i="3"/>
  <c r="AW12" i="3"/>
  <c r="Y44" i="3"/>
  <c r="Z44" i="3" s="1"/>
  <c r="X25" i="3"/>
  <c r="X18" i="3"/>
  <c r="AW24" i="3"/>
  <c r="AW35" i="3"/>
  <c r="Y39" i="3"/>
  <c r="Z39" i="3" s="1"/>
  <c r="Y35" i="3"/>
  <c r="Z35" i="3" s="1"/>
  <c r="AW45" i="3"/>
  <c r="AW43" i="3"/>
  <c r="AW31" i="3"/>
  <c r="AW17" i="3"/>
  <c r="AW30" i="3"/>
  <c r="AX30" i="3"/>
  <c r="AT30" i="3"/>
  <c r="AU30" i="3"/>
  <c r="AT13" i="3"/>
  <c r="AX13" i="3"/>
  <c r="AU13" i="3"/>
  <c r="AT683" i="3"/>
  <c r="AX683" i="3"/>
  <c r="AU683" i="3"/>
  <c r="AU16" i="3"/>
  <c r="AT16" i="3"/>
  <c r="AX16" i="3"/>
  <c r="AT9" i="3"/>
  <c r="AX9" i="3"/>
  <c r="AU9" i="3"/>
  <c r="AU3" i="3" s="1"/>
  <c r="AU4" i="3" s="1"/>
  <c r="AW48" i="3"/>
  <c r="AU48" i="3"/>
  <c r="AT48" i="3"/>
  <c r="AT28" i="3"/>
  <c r="AU28" i="3"/>
  <c r="AX28" i="3"/>
  <c r="Y18" i="3"/>
  <c r="Z18" i="3" s="1"/>
  <c r="AX14" i="3"/>
  <c r="AT14" i="3"/>
  <c r="AU14" i="3"/>
  <c r="AW21" i="3"/>
  <c r="AU21" i="3"/>
  <c r="AX48" i="3"/>
  <c r="AH49" i="3"/>
  <c r="AD685" i="3"/>
  <c r="F685" i="3"/>
  <c r="R685" i="3"/>
  <c r="Q685" i="3"/>
  <c r="AQ685" i="3"/>
  <c r="B685" i="3"/>
  <c r="P685" i="3"/>
  <c r="G685" i="3"/>
  <c r="H685" i="3" s="1"/>
  <c r="S685" i="3"/>
  <c r="O685" i="3"/>
  <c r="AR685" i="3"/>
  <c r="D685" i="3"/>
  <c r="C685" i="3"/>
  <c r="T685" i="3"/>
  <c r="V685" i="3"/>
  <c r="M685" i="3"/>
  <c r="AF685" i="3"/>
  <c r="AK685" i="3"/>
  <c r="AM685" i="3"/>
  <c r="AE685" i="3"/>
  <c r="U685" i="3"/>
  <c r="AW18" i="3"/>
  <c r="AT18" i="3"/>
  <c r="AU18" i="3"/>
  <c r="AX18" i="3"/>
  <c r="X44" i="3"/>
  <c r="AU29" i="3"/>
  <c r="AX29" i="3"/>
  <c r="AT29" i="3"/>
  <c r="AU17" i="3"/>
  <c r="AT17" i="3"/>
  <c r="AX17" i="3"/>
  <c r="Y46" i="3"/>
  <c r="Z46" i="3" s="1"/>
  <c r="X15" i="3"/>
  <c r="X13" i="3"/>
  <c r="X12" i="3"/>
  <c r="AW15" i="3"/>
  <c r="AT15" i="3"/>
  <c r="AX15" i="3"/>
  <c r="AU15" i="3"/>
  <c r="AT19" i="3"/>
  <c r="AX19" i="3"/>
  <c r="AU19" i="3"/>
  <c r="AX47" i="3"/>
  <c r="AT47" i="3"/>
  <c r="AU47" i="3"/>
  <c r="X27" i="3"/>
  <c r="X38" i="3"/>
  <c r="Y19" i="3"/>
  <c r="Z19" i="3" s="1"/>
  <c r="X32" i="3"/>
  <c r="AW26" i="3"/>
  <c r="X49" i="3"/>
  <c r="AU44" i="3"/>
  <c r="AT44" i="3"/>
  <c r="AX44" i="3"/>
  <c r="AX37" i="3"/>
  <c r="AU37" i="3"/>
  <c r="AT37" i="3"/>
  <c r="Y13" i="3"/>
  <c r="Z13" i="3" s="1"/>
  <c r="Y9" i="3"/>
  <c r="Z9" i="3" s="1"/>
  <c r="Y26" i="3"/>
  <c r="Z26" i="3" s="1"/>
  <c r="AU46" i="3"/>
  <c r="AX46" i="3"/>
  <c r="AT46" i="3"/>
  <c r="Y11" i="3"/>
  <c r="Z11" i="3" s="1"/>
  <c r="X47" i="3"/>
  <c r="X42" i="3"/>
  <c r="X26" i="3"/>
  <c r="X14" i="3"/>
  <c r="AT43" i="3"/>
  <c r="AU43" i="3"/>
  <c r="AX43" i="3"/>
  <c r="AT20" i="3"/>
  <c r="AU20" i="3"/>
  <c r="AX20" i="3"/>
  <c r="X682" i="3"/>
  <c r="Y16" i="3"/>
  <c r="Z16" i="3" s="1"/>
  <c r="X30" i="3"/>
  <c r="Y41" i="3"/>
  <c r="Z41" i="3" s="1"/>
  <c r="Y25" i="3"/>
  <c r="Z25" i="3" s="1"/>
  <c r="AW29" i="3"/>
  <c r="AW20" i="3"/>
  <c r="Y12" i="3"/>
  <c r="Z12" i="3" s="1"/>
  <c r="Y14" i="3"/>
  <c r="Z14" i="3" s="1"/>
  <c r="Y23" i="3"/>
  <c r="Z23" i="3" s="1"/>
  <c r="X9" i="3"/>
  <c r="X23" i="3"/>
  <c r="AT32" i="3"/>
  <c r="AU32" i="3"/>
  <c r="AX32" i="3"/>
  <c r="AW46" i="3"/>
  <c r="AW16" i="3"/>
  <c r="Y37" i="3"/>
  <c r="Z37" i="3" s="1"/>
  <c r="AX36" i="3"/>
  <c r="AU36" i="3"/>
  <c r="AT36" i="3"/>
  <c r="Y27" i="3"/>
  <c r="Z27" i="3" s="1"/>
  <c r="Y22" i="3"/>
  <c r="Z22" i="3" s="1"/>
  <c r="X21" i="3"/>
  <c r="X33" i="3"/>
  <c r="AT27" i="3"/>
  <c r="AW27" i="3"/>
  <c r="AW39" i="3"/>
  <c r="AT39" i="3"/>
  <c r="AU39" i="3"/>
  <c r="AX39" i="3"/>
  <c r="AT45" i="3"/>
  <c r="AX45" i="3"/>
  <c r="AU45" i="3"/>
  <c r="X43" i="3"/>
  <c r="X16" i="3"/>
  <c r="X40" i="3"/>
  <c r="Y49" i="3"/>
  <c r="Z49" i="3" s="1"/>
  <c r="AF684" i="3"/>
  <c r="G684" i="3"/>
  <c r="H684" i="3" s="1"/>
  <c r="B684" i="3"/>
  <c r="AR684" i="3"/>
  <c r="R684" i="3"/>
  <c r="AQ684" i="3"/>
  <c r="U684" i="3"/>
  <c r="V684" i="3"/>
  <c r="O684" i="3"/>
  <c r="Q684" i="3"/>
  <c r="T684" i="3"/>
  <c r="S684" i="3"/>
  <c r="P684" i="3"/>
  <c r="D684" i="3"/>
  <c r="C684" i="3"/>
  <c r="F684" i="3"/>
  <c r="AD684" i="3"/>
  <c r="AM684" i="3"/>
  <c r="AE684" i="3"/>
  <c r="M684" i="3"/>
  <c r="AK684" i="3"/>
  <c r="Y28" i="3"/>
  <c r="Z28" i="3" s="1"/>
  <c r="AT25" i="3"/>
  <c r="AX25" i="3"/>
  <c r="AU25" i="3"/>
  <c r="AW36" i="3"/>
  <c r="AX27" i="3"/>
  <c r="AU27" i="3"/>
  <c r="Y683" i="3"/>
  <c r="Z683" i="3" s="1"/>
  <c r="X41" i="3"/>
  <c r="AW14" i="3"/>
  <c r="AQ50" i="3"/>
  <c r="B50" i="3"/>
  <c r="A51" i="3"/>
  <c r="AR50" i="3"/>
  <c r="C50" i="3"/>
  <c r="D50" i="3"/>
  <c r="F50" i="3"/>
  <c r="BM50" i="3" s="1"/>
  <c r="G50" i="3"/>
  <c r="H50" i="3" s="1"/>
  <c r="BN50" i="3" s="1"/>
  <c r="Q50" i="3"/>
  <c r="S50" i="3"/>
  <c r="O50" i="3"/>
  <c r="U50" i="3"/>
  <c r="AD50" i="3"/>
  <c r="AF50" i="3"/>
  <c r="AM50" i="3"/>
  <c r="AK50" i="3"/>
  <c r="AE50" i="3"/>
  <c r="M50" i="3"/>
  <c r="AW11" i="3"/>
  <c r="Y36" i="3"/>
  <c r="Z36" i="3" s="1"/>
  <c r="AW13" i="3"/>
  <c r="AW38" i="3"/>
  <c r="AT12" i="3"/>
  <c r="AX12" i="3"/>
  <c r="AU12" i="3"/>
  <c r="Y43" i="3"/>
  <c r="Z43" i="3" s="1"/>
  <c r="Y38" i="3"/>
  <c r="Z38" i="3" s="1"/>
  <c r="X11" i="3"/>
  <c r="AT33" i="3"/>
  <c r="AU33" i="3"/>
  <c r="AX33" i="3"/>
  <c r="AW47" i="3"/>
  <c r="AX35" i="3"/>
  <c r="AX31" i="3"/>
  <c r="AU31" i="3"/>
  <c r="AT31" i="3"/>
  <c r="AW683" i="3"/>
  <c r="AU38" i="3"/>
  <c r="AX38" i="3"/>
  <c r="AT38" i="3"/>
  <c r="S687" i="3"/>
  <c r="Q687" i="3"/>
  <c r="D687" i="3"/>
  <c r="P687" i="3"/>
  <c r="C687" i="3"/>
  <c r="V687" i="3"/>
  <c r="G687" i="3"/>
  <c r="H687" i="3" s="1"/>
  <c r="T687" i="3"/>
  <c r="B687" i="3"/>
  <c r="AR687" i="3"/>
  <c r="U687" i="3"/>
  <c r="F687" i="3"/>
  <c r="O687" i="3"/>
  <c r="R687" i="3"/>
  <c r="AQ687" i="3"/>
  <c r="AF687" i="3"/>
  <c r="AM687" i="3"/>
  <c r="AD687" i="3"/>
  <c r="AK687" i="3"/>
  <c r="M687" i="3"/>
  <c r="AE687" i="3"/>
  <c r="X36" i="3"/>
  <c r="X37" i="3"/>
  <c r="X29" i="3"/>
  <c r="AW41" i="3"/>
  <c r="T50" i="3"/>
  <c r="AW25" i="3"/>
  <c r="AT35" i="3"/>
  <c r="AW32" i="3"/>
  <c r="Y17" i="3"/>
  <c r="Z17" i="3" s="1"/>
  <c r="X19" i="3"/>
  <c r="X28" i="3"/>
  <c r="Y20" i="3"/>
  <c r="Z20" i="3" s="1"/>
  <c r="S686" i="3"/>
  <c r="AR686" i="3"/>
  <c r="B686" i="3"/>
  <c r="R686" i="3"/>
  <c r="Q686" i="3"/>
  <c r="D686" i="3"/>
  <c r="G686" i="3"/>
  <c r="H686" i="3" s="1"/>
  <c r="P686" i="3"/>
  <c r="AQ686" i="3"/>
  <c r="O686" i="3"/>
  <c r="C686" i="3"/>
  <c r="F686" i="3"/>
  <c r="T686" i="3"/>
  <c r="U686" i="3"/>
  <c r="V686" i="3"/>
  <c r="AE686" i="3"/>
  <c r="AD686" i="3"/>
  <c r="M686" i="3"/>
  <c r="AF686" i="3"/>
  <c r="AM686" i="3"/>
  <c r="AK686" i="3"/>
  <c r="AU35" i="3"/>
  <c r="AX10" i="3"/>
  <c r="AU10" i="3"/>
  <c r="AT10" i="3"/>
  <c r="AW22" i="3"/>
  <c r="X20" i="3"/>
  <c r="Y10" i="3"/>
  <c r="Z10" i="3" s="1"/>
  <c r="X31" i="3"/>
  <c r="X17" i="3"/>
  <c r="AT11" i="3"/>
  <c r="AX11" i="3"/>
  <c r="AU11" i="3"/>
  <c r="AT26" i="3"/>
  <c r="AX26" i="3"/>
  <c r="AU26" i="3"/>
  <c r="AI9" i="3"/>
  <c r="AW9" i="3"/>
  <c r="Y24" i="3"/>
  <c r="Z24" i="3" s="1"/>
  <c r="Y21" i="3"/>
  <c r="Z21" i="3" s="1"/>
  <c r="X35" i="3"/>
  <c r="X39" i="3"/>
  <c r="AX42" i="3"/>
  <c r="AT42" i="3"/>
  <c r="AU42" i="3"/>
  <c r="Y682" i="3"/>
  <c r="Z682" i="3" s="1"/>
  <c r="AX24" i="3"/>
  <c r="AT24" i="3"/>
  <c r="AU24" i="3"/>
  <c r="AT682" i="3"/>
  <c r="AU682" i="3"/>
  <c r="AX682" i="3"/>
  <c r="Y45" i="3"/>
  <c r="Z45" i="3" s="1"/>
  <c r="Y42" i="3"/>
  <c r="Z42" i="3" s="1"/>
  <c r="AT22" i="3"/>
  <c r="AU22" i="3"/>
  <c r="AX22" i="3"/>
  <c r="AW682" i="3"/>
  <c r="AX41" i="3"/>
  <c r="AU41" i="3"/>
  <c r="AT41" i="3"/>
  <c r="AX40" i="3"/>
  <c r="AT40" i="3"/>
  <c r="AU40" i="3"/>
  <c r="AT34" i="3"/>
  <c r="AX34" i="3"/>
  <c r="AU34" i="3"/>
  <c r="X10" i="3"/>
  <c r="AX23" i="3"/>
  <c r="AN685" i="3" l="1"/>
  <c r="AY23" i="3"/>
  <c r="AY34" i="3"/>
  <c r="AY33" i="3"/>
  <c r="AX49" i="3"/>
  <c r="AY22" i="3"/>
  <c r="AY10" i="3"/>
  <c r="AY13" i="3"/>
  <c r="AV27" i="3"/>
  <c r="AY17" i="3"/>
  <c r="AY28" i="3"/>
  <c r="AY44" i="3"/>
  <c r="AY45" i="3"/>
  <c r="AY41" i="3"/>
  <c r="AY38" i="3"/>
  <c r="AY11" i="3"/>
  <c r="AY35" i="3"/>
  <c r="AY40" i="3"/>
  <c r="AY43" i="3"/>
  <c r="AY46" i="3"/>
  <c r="AV23" i="3"/>
  <c r="AN687" i="3"/>
  <c r="AY9" i="3"/>
  <c r="AG50" i="3"/>
  <c r="AN50" i="3"/>
  <c r="AY19" i="3"/>
  <c r="AY47" i="3"/>
  <c r="BA21" i="3"/>
  <c r="BF21" i="3" s="1"/>
  <c r="AY37" i="3"/>
  <c r="AY20" i="3"/>
  <c r="AY21" i="3"/>
  <c r="AY25" i="3"/>
  <c r="Y685" i="3"/>
  <c r="Z685" i="3" s="1"/>
  <c r="AW49" i="3"/>
  <c r="AO684" i="3"/>
  <c r="AT49" i="3"/>
  <c r="AY16" i="3"/>
  <c r="X687" i="3"/>
  <c r="AY24" i="3"/>
  <c r="AG687" i="3"/>
  <c r="AY30" i="3"/>
  <c r="AY42" i="3"/>
  <c r="AY683" i="3"/>
  <c r="AN686" i="3"/>
  <c r="AU49" i="3"/>
  <c r="AY12" i="3"/>
  <c r="AY31" i="3"/>
  <c r="AH685" i="3"/>
  <c r="AG684" i="3"/>
  <c r="AY15" i="3"/>
  <c r="AG685" i="3"/>
  <c r="AT3" i="3"/>
  <c r="AT4" i="3" s="1"/>
  <c r="BA9" i="3"/>
  <c r="AV9" i="3"/>
  <c r="AH684" i="3"/>
  <c r="AO685" i="3"/>
  <c r="AY48" i="3"/>
  <c r="AV11" i="3"/>
  <c r="BA11" i="3"/>
  <c r="AV15" i="3"/>
  <c r="BA15" i="3"/>
  <c r="AV20" i="3"/>
  <c r="BA20" i="3"/>
  <c r="AV44" i="3"/>
  <c r="BA44" i="3"/>
  <c r="BA16" i="3"/>
  <c r="AV16" i="3"/>
  <c r="X684" i="3"/>
  <c r="BA34" i="3"/>
  <c r="AV34" i="3"/>
  <c r="AV10" i="3"/>
  <c r="BA10" i="3"/>
  <c r="Y687" i="3"/>
  <c r="Z687" i="3" s="1"/>
  <c r="BA12" i="3"/>
  <c r="AV12" i="3"/>
  <c r="AQ51" i="3"/>
  <c r="AR51" i="3"/>
  <c r="A52" i="3"/>
  <c r="B51" i="3"/>
  <c r="D51" i="3"/>
  <c r="C51" i="3"/>
  <c r="F51" i="3"/>
  <c r="BM51" i="3" s="1"/>
  <c r="G51" i="3"/>
  <c r="H51" i="3" s="1"/>
  <c r="Q51" i="3"/>
  <c r="S51" i="3"/>
  <c r="O51" i="3"/>
  <c r="U51" i="3"/>
  <c r="AD51" i="3"/>
  <c r="M51" i="3"/>
  <c r="AE51" i="3"/>
  <c r="AK51" i="3"/>
  <c r="AM51" i="3"/>
  <c r="AF51" i="3"/>
  <c r="R51" i="3"/>
  <c r="P51" i="3"/>
  <c r="T51" i="3"/>
  <c r="V51" i="3"/>
  <c r="Y684" i="3"/>
  <c r="Z684" i="3" s="1"/>
  <c r="BA43" i="3"/>
  <c r="AV43" i="3"/>
  <c r="AY26" i="3"/>
  <c r="AV17" i="3"/>
  <c r="BA17" i="3"/>
  <c r="BA14" i="3"/>
  <c r="AV14" i="3"/>
  <c r="AV35" i="3"/>
  <c r="BA35" i="3"/>
  <c r="BA45" i="3"/>
  <c r="AV45" i="3"/>
  <c r="AV32" i="3"/>
  <c r="BA32" i="3"/>
  <c r="X685" i="3"/>
  <c r="AY14" i="3"/>
  <c r="BA38" i="3"/>
  <c r="AV38" i="3"/>
  <c r="AY39" i="3"/>
  <c r="AV29" i="3"/>
  <c r="BA29" i="3"/>
  <c r="AV683" i="3"/>
  <c r="BA683" i="3"/>
  <c r="BA42" i="3"/>
  <c r="AV42" i="3"/>
  <c r="AV40" i="3"/>
  <c r="BA40" i="3"/>
  <c r="AO687" i="3"/>
  <c r="AV21" i="3"/>
  <c r="BA37" i="3"/>
  <c r="AV37" i="3"/>
  <c r="BA33" i="3"/>
  <c r="AV33" i="3"/>
  <c r="BA41" i="3"/>
  <c r="AV41" i="3"/>
  <c r="AO686" i="3"/>
  <c r="AH687" i="3"/>
  <c r="AV39" i="3"/>
  <c r="BA39" i="3"/>
  <c r="BA682" i="3"/>
  <c r="AV682" i="3"/>
  <c r="AV31" i="3"/>
  <c r="BA31" i="3"/>
  <c r="AO50" i="3"/>
  <c r="AY27" i="3"/>
  <c r="BA46" i="3"/>
  <c r="AV46" i="3"/>
  <c r="AV47" i="3"/>
  <c r="BA47" i="3"/>
  <c r="Y50" i="3"/>
  <c r="Z50" i="3" s="1"/>
  <c r="AN684" i="3"/>
  <c r="BA24" i="3"/>
  <c r="AV24" i="3"/>
  <c r="BA13" i="3"/>
  <c r="AV13" i="3"/>
  <c r="AY36" i="3"/>
  <c r="BA27" i="3"/>
  <c r="AH686" i="3"/>
  <c r="AH50" i="3"/>
  <c r="AY29" i="3"/>
  <c r="BA23" i="3"/>
  <c r="BA28" i="3"/>
  <c r="AV28" i="3"/>
  <c r="BC28" i="3" s="1"/>
  <c r="BA30" i="3"/>
  <c r="AV30" i="3"/>
  <c r="AY682" i="3"/>
  <c r="AG686" i="3"/>
  <c r="AY18" i="3"/>
  <c r="AV36" i="3"/>
  <c r="BA36" i="3"/>
  <c r="BA22" i="3"/>
  <c r="AV22" i="3"/>
  <c r="AV26" i="3"/>
  <c r="BA26" i="3"/>
  <c r="Y686" i="3"/>
  <c r="Z686" i="3" s="1"/>
  <c r="X50" i="3"/>
  <c r="BA25" i="3"/>
  <c r="AV25" i="3"/>
  <c r="BA19" i="3"/>
  <c r="AV19" i="3"/>
  <c r="AV48" i="3"/>
  <c r="BA48" i="3"/>
  <c r="X686" i="3"/>
  <c r="AY32" i="3"/>
  <c r="BA18" i="3"/>
  <c r="AV18" i="3"/>
  <c r="BC17" i="3" l="1"/>
  <c r="BG17" i="3" s="1"/>
  <c r="BH17" i="3" s="1"/>
  <c r="BI17" i="3" s="1"/>
  <c r="BC46" i="3"/>
  <c r="BC40" i="3"/>
  <c r="BD40" i="3" s="1"/>
  <c r="BC23" i="3"/>
  <c r="BD23" i="3" s="1"/>
  <c r="BC27" i="3"/>
  <c r="BC43" i="3"/>
  <c r="BD43" i="3" s="1"/>
  <c r="AY49" i="3"/>
  <c r="BC13" i="3"/>
  <c r="BD13" i="3" s="1"/>
  <c r="BC33" i="3"/>
  <c r="BD33" i="3" s="1"/>
  <c r="BC34" i="3"/>
  <c r="BC35" i="3"/>
  <c r="BD35" i="3" s="1"/>
  <c r="BC11" i="3"/>
  <c r="BD11" i="3" s="1"/>
  <c r="BC10" i="3"/>
  <c r="BD10" i="3" s="1"/>
  <c r="BC22" i="3"/>
  <c r="BD22" i="3" s="1"/>
  <c r="BC45" i="3"/>
  <c r="BG45" i="3" s="1"/>
  <c r="BH45" i="3" s="1"/>
  <c r="BI45" i="3" s="1"/>
  <c r="BQ21" i="3"/>
  <c r="BC38" i="3"/>
  <c r="BG38" i="3" s="1"/>
  <c r="BH38" i="3" s="1"/>
  <c r="BI38" i="3" s="1"/>
  <c r="BC41" i="3"/>
  <c r="BD41" i="3" s="1"/>
  <c r="BC44" i="3"/>
  <c r="BD44" i="3" s="1"/>
  <c r="BC37" i="3"/>
  <c r="BD37" i="3" s="1"/>
  <c r="AN51" i="3"/>
  <c r="BC47" i="3"/>
  <c r="BD47" i="3" s="1"/>
  <c r="BB21" i="3"/>
  <c r="BC9" i="3"/>
  <c r="BD9" i="3" s="1"/>
  <c r="BC21" i="3"/>
  <c r="BD21" i="3" s="1"/>
  <c r="AW50" i="3"/>
  <c r="BC25" i="3"/>
  <c r="BD25" i="3" s="1"/>
  <c r="AU686" i="3"/>
  <c r="BC31" i="3"/>
  <c r="BD31" i="3" s="1"/>
  <c r="BC19" i="3"/>
  <c r="BD19" i="3" s="1"/>
  <c r="X51" i="3"/>
  <c r="BC16" i="3"/>
  <c r="BD16" i="3" s="1"/>
  <c r="AT685" i="3"/>
  <c r="BC18" i="3"/>
  <c r="BG18" i="3" s="1"/>
  <c r="BH18" i="3" s="1"/>
  <c r="BI18" i="3" s="1"/>
  <c r="BC683" i="3"/>
  <c r="BG683" i="3" s="1"/>
  <c r="BH683" i="3" s="1"/>
  <c r="BI683" i="3" s="1"/>
  <c r="BC42" i="3"/>
  <c r="BD42" i="3" s="1"/>
  <c r="BC20" i="3"/>
  <c r="BG20" i="3" s="1"/>
  <c r="BH20" i="3" s="1"/>
  <c r="BI20" i="3" s="1"/>
  <c r="BC24" i="3"/>
  <c r="BD24" i="3" s="1"/>
  <c r="BA49" i="3"/>
  <c r="BF49" i="3" s="1"/>
  <c r="AW687" i="3"/>
  <c r="BC12" i="3"/>
  <c r="BG12" i="3" s="1"/>
  <c r="BH12" i="3" s="1"/>
  <c r="BI12" i="3" s="1"/>
  <c r="BC15" i="3"/>
  <c r="BD15" i="3" s="1"/>
  <c r="AU687" i="3"/>
  <c r="BC36" i="3"/>
  <c r="BG36" i="3" s="1"/>
  <c r="BH36" i="3" s="1"/>
  <c r="BI36" i="3" s="1"/>
  <c r="AV49" i="3"/>
  <c r="BC29" i="3"/>
  <c r="BD29" i="3" s="1"/>
  <c r="AU685" i="3"/>
  <c r="BC26" i="3"/>
  <c r="BG26" i="3" s="1"/>
  <c r="BH26" i="3" s="1"/>
  <c r="BI26" i="3" s="1"/>
  <c r="AT687" i="3"/>
  <c r="AX685" i="3"/>
  <c r="AU50" i="3"/>
  <c r="BC30" i="3"/>
  <c r="BD30" i="3" s="1"/>
  <c r="BF38" i="3"/>
  <c r="BB38" i="3"/>
  <c r="BQ38" i="3"/>
  <c r="BG13" i="3"/>
  <c r="BH13" i="3" s="1"/>
  <c r="BI13" i="3" s="1"/>
  <c r="A53" i="3"/>
  <c r="AR52" i="3"/>
  <c r="B52" i="3"/>
  <c r="AQ52" i="3"/>
  <c r="D52" i="3"/>
  <c r="C52" i="3"/>
  <c r="F52" i="3"/>
  <c r="BM52" i="3" s="1"/>
  <c r="G52" i="3"/>
  <c r="H52" i="3" s="1"/>
  <c r="BN52" i="3" s="1"/>
  <c r="Q52" i="3"/>
  <c r="S52" i="3"/>
  <c r="O52" i="3"/>
  <c r="U52" i="3"/>
  <c r="AD52" i="3"/>
  <c r="M52" i="3"/>
  <c r="AE52" i="3"/>
  <c r="AM52" i="3"/>
  <c r="AF52" i="3"/>
  <c r="AK52" i="3"/>
  <c r="AO52" i="3" s="1"/>
  <c r="T52" i="3"/>
  <c r="V52" i="3"/>
  <c r="P52" i="3"/>
  <c r="R52" i="3"/>
  <c r="AX684" i="3"/>
  <c r="AW686" i="3"/>
  <c r="AO51" i="3"/>
  <c r="BQ10" i="3"/>
  <c r="BB10" i="3"/>
  <c r="BF10" i="3"/>
  <c r="BC32" i="3"/>
  <c r="BG28" i="3"/>
  <c r="BH28" i="3" s="1"/>
  <c r="BI28" i="3" s="1"/>
  <c r="BD28" i="3"/>
  <c r="AG51" i="3"/>
  <c r="BB32" i="3"/>
  <c r="BQ32" i="3"/>
  <c r="BF32" i="3"/>
  <c r="BD27" i="3"/>
  <c r="BG27" i="3"/>
  <c r="BH27" i="3" s="1"/>
  <c r="BI27" i="3" s="1"/>
  <c r="BF35" i="3"/>
  <c r="BB35" i="3"/>
  <c r="BQ35" i="3"/>
  <c r="BD34" i="3"/>
  <c r="BG34" i="3"/>
  <c r="BH34" i="3" s="1"/>
  <c r="BI34" i="3" s="1"/>
  <c r="BF9" i="3"/>
  <c r="BB9" i="3"/>
  <c r="BQ9" i="3"/>
  <c r="BQ46" i="3"/>
  <c r="BB46" i="3"/>
  <c r="BF46" i="3"/>
  <c r="BQ23" i="3"/>
  <c r="BB23" i="3"/>
  <c r="BF23" i="3"/>
  <c r="BQ40" i="3"/>
  <c r="BF40" i="3"/>
  <c r="BB40" i="3"/>
  <c r="BG35" i="3"/>
  <c r="BH35" i="3" s="1"/>
  <c r="BI35" i="3" s="1"/>
  <c r="AH51" i="3"/>
  <c r="BQ34" i="3"/>
  <c r="BB34" i="3"/>
  <c r="BF34" i="3"/>
  <c r="BF41" i="3"/>
  <c r="BQ41" i="3"/>
  <c r="BB41" i="3"/>
  <c r="BC48" i="3"/>
  <c r="BQ15" i="3"/>
  <c r="BF15" i="3"/>
  <c r="BB15" i="3"/>
  <c r="BF48" i="3"/>
  <c r="BQ48" i="3"/>
  <c r="BB48" i="3"/>
  <c r="BB30" i="3"/>
  <c r="BQ30" i="3"/>
  <c r="BF30" i="3"/>
  <c r="BQ19" i="3"/>
  <c r="BB19" i="3"/>
  <c r="BF19" i="3"/>
  <c r="BQ25" i="3"/>
  <c r="BB25" i="3"/>
  <c r="BF25" i="3"/>
  <c r="AX50" i="3"/>
  <c r="BB14" i="3"/>
  <c r="BQ14" i="3"/>
  <c r="BF14" i="3"/>
  <c r="AW685" i="3"/>
  <c r="BB47" i="3"/>
  <c r="BQ47" i="3"/>
  <c r="BF47" i="3"/>
  <c r="BQ45" i="3"/>
  <c r="BF45" i="3"/>
  <c r="BB45" i="3"/>
  <c r="BC682" i="3"/>
  <c r="BQ42" i="3"/>
  <c r="BB42" i="3"/>
  <c r="BF42" i="3"/>
  <c r="BB17" i="3"/>
  <c r="BQ17" i="3"/>
  <c r="BF17" i="3"/>
  <c r="BF16" i="3"/>
  <c r="BB16" i="3"/>
  <c r="BQ16" i="3"/>
  <c r="BQ11" i="3"/>
  <c r="BF11" i="3"/>
  <c r="BB11" i="3"/>
  <c r="BF18" i="3"/>
  <c r="BB18" i="3"/>
  <c r="BQ18" i="3"/>
  <c r="BB12" i="3"/>
  <c r="BQ12" i="3"/>
  <c r="BF12" i="3"/>
  <c r="BG46" i="3"/>
  <c r="BH46" i="3" s="1"/>
  <c r="BI46" i="3" s="1"/>
  <c r="BD46" i="3"/>
  <c r="BF26" i="3"/>
  <c r="BQ26" i="3"/>
  <c r="BB26" i="3"/>
  <c r="BF682" i="3"/>
  <c r="BB682" i="3"/>
  <c r="AT50" i="3"/>
  <c r="BQ44" i="3"/>
  <c r="BB44" i="3"/>
  <c r="BF44" i="3"/>
  <c r="AT684" i="3"/>
  <c r="AW684" i="3"/>
  <c r="BB36" i="3"/>
  <c r="BQ36" i="3"/>
  <c r="BF36" i="3"/>
  <c r="Y51" i="3"/>
  <c r="Z51" i="3" s="1"/>
  <c r="AT686" i="3"/>
  <c r="BB31" i="3"/>
  <c r="BQ31" i="3"/>
  <c r="BF31" i="3"/>
  <c r="BF27" i="3"/>
  <c r="BQ27" i="3"/>
  <c r="BB27" i="3"/>
  <c r="BQ39" i="3"/>
  <c r="BF39" i="3"/>
  <c r="BB39" i="3"/>
  <c r="BB683" i="3"/>
  <c r="BF683" i="3"/>
  <c r="BN51" i="3"/>
  <c r="BQ33" i="3"/>
  <c r="BB33" i="3"/>
  <c r="BF33" i="3"/>
  <c r="BQ37" i="3"/>
  <c r="BB37" i="3"/>
  <c r="BF37" i="3"/>
  <c r="BQ28" i="3"/>
  <c r="BF28" i="3"/>
  <c r="BB28" i="3"/>
  <c r="BC14" i="3"/>
  <c r="AX686" i="3"/>
  <c r="AU684" i="3"/>
  <c r="BC39" i="3"/>
  <c r="BG43" i="3"/>
  <c r="BH43" i="3" s="1"/>
  <c r="BI43" i="3" s="1"/>
  <c r="BF20" i="3"/>
  <c r="BJ20" i="3" s="1"/>
  <c r="BK20" i="3" s="1"/>
  <c r="BQ20" i="3"/>
  <c r="BB20" i="3"/>
  <c r="BB13" i="3"/>
  <c r="BQ13" i="3"/>
  <c r="BF13" i="3"/>
  <c r="BB24" i="3"/>
  <c r="BF24" i="3"/>
  <c r="BQ24" i="3"/>
  <c r="BG40" i="3"/>
  <c r="BH40" i="3" s="1"/>
  <c r="BI40" i="3" s="1"/>
  <c r="BQ22" i="3"/>
  <c r="BB22" i="3"/>
  <c r="BF22" i="3"/>
  <c r="BJ21" i="3" s="1"/>
  <c r="BK21" i="3" s="1"/>
  <c r="AX687" i="3"/>
  <c r="BB29" i="3"/>
  <c r="BQ29" i="3"/>
  <c r="BF29" i="3"/>
  <c r="BF43" i="3"/>
  <c r="BB43" i="3"/>
  <c r="BQ43" i="3"/>
  <c r="BD17" i="3" l="1"/>
  <c r="BG22" i="3"/>
  <c r="BH22" i="3" s="1"/>
  <c r="BI22" i="3" s="1"/>
  <c r="BG10" i="3"/>
  <c r="BH10" i="3" s="1"/>
  <c r="BI10" i="3" s="1"/>
  <c r="BJ30" i="3"/>
  <c r="BK30" i="3" s="1"/>
  <c r="BG33" i="3"/>
  <c r="BH33" i="3" s="1"/>
  <c r="BI33" i="3" s="1"/>
  <c r="BC49" i="3"/>
  <c r="BD49" i="3" s="1"/>
  <c r="BG11" i="3"/>
  <c r="BH11" i="3" s="1"/>
  <c r="BI11" i="3" s="1"/>
  <c r="BG23" i="3"/>
  <c r="BH23" i="3" s="1"/>
  <c r="BI23" i="3" s="1"/>
  <c r="BD38" i="3"/>
  <c r="BG41" i="3"/>
  <c r="BH41" i="3" s="1"/>
  <c r="BI41" i="3" s="1"/>
  <c r="BG47" i="3"/>
  <c r="BH47" i="3" s="1"/>
  <c r="BI47" i="3" s="1"/>
  <c r="BG9" i="3"/>
  <c r="BH9" i="3" s="1"/>
  <c r="BI9" i="3" s="1"/>
  <c r="BG31" i="3"/>
  <c r="BH31" i="3" s="1"/>
  <c r="BI31" i="3" s="1"/>
  <c r="BG21" i="3"/>
  <c r="BH21" i="3" s="1"/>
  <c r="BI21" i="3" s="1"/>
  <c r="AY50" i="3"/>
  <c r="BG25" i="3"/>
  <c r="BH25" i="3" s="1"/>
  <c r="BI25" i="3" s="1"/>
  <c r="BD45" i="3"/>
  <c r="AV684" i="3"/>
  <c r="BG19" i="3"/>
  <c r="BH19" i="3" s="1"/>
  <c r="BI19" i="3" s="1"/>
  <c r="BG37" i="3"/>
  <c r="BH37" i="3" s="1"/>
  <c r="BI37" i="3" s="1"/>
  <c r="BJ44" i="3"/>
  <c r="BK44" i="3" s="1"/>
  <c r="BG44" i="3"/>
  <c r="BH44" i="3" s="1"/>
  <c r="BI44" i="3" s="1"/>
  <c r="BG42" i="3"/>
  <c r="BH42" i="3" s="1"/>
  <c r="BI42" i="3" s="1"/>
  <c r="BD18" i="3"/>
  <c r="BD20" i="3"/>
  <c r="BD683" i="3"/>
  <c r="BD12" i="3"/>
  <c r="BG24" i="3"/>
  <c r="BH24" i="3" s="1"/>
  <c r="BI24" i="3" s="1"/>
  <c r="BJ38" i="3"/>
  <c r="BK38" i="3" s="1"/>
  <c r="AT51" i="3"/>
  <c r="AY687" i="3"/>
  <c r="BA685" i="3"/>
  <c r="BF685" i="3" s="1"/>
  <c r="BG16" i="3"/>
  <c r="BH16" i="3" s="1"/>
  <c r="BI16" i="3" s="1"/>
  <c r="BJ40" i="3"/>
  <c r="BK40" i="3" s="1"/>
  <c r="AY684" i="3"/>
  <c r="BJ33" i="3"/>
  <c r="BK33" i="3" s="1"/>
  <c r="BJ10" i="3"/>
  <c r="BK10" i="3" s="1"/>
  <c r="AV687" i="3"/>
  <c r="BD36" i="3"/>
  <c r="AV685" i="3"/>
  <c r="BD26" i="3"/>
  <c r="BG29" i="3"/>
  <c r="BH29" i="3" s="1"/>
  <c r="BI29" i="3" s="1"/>
  <c r="BG15" i="3"/>
  <c r="BH15" i="3" s="1"/>
  <c r="BI15" i="3" s="1"/>
  <c r="AY685" i="3"/>
  <c r="BB49" i="3"/>
  <c r="BQ49" i="3"/>
  <c r="AH52" i="3"/>
  <c r="BA687" i="3"/>
  <c r="BB687" i="3" s="1"/>
  <c r="BJ41" i="3"/>
  <c r="BK41" i="3" s="1"/>
  <c r="X52" i="3"/>
  <c r="BJ45" i="3"/>
  <c r="BK45" i="3" s="1"/>
  <c r="BG30" i="3"/>
  <c r="BH30" i="3" s="1"/>
  <c r="BI30" i="3" s="1"/>
  <c r="BJ35" i="3"/>
  <c r="BK35" i="3" s="1"/>
  <c r="BJ11" i="3"/>
  <c r="BK11" i="3" s="1"/>
  <c r="BJ31" i="3"/>
  <c r="BK31" i="3" s="1"/>
  <c r="BJ14" i="3"/>
  <c r="BK14" i="3" s="1"/>
  <c r="BJ23" i="3"/>
  <c r="BK23" i="3" s="1"/>
  <c r="BJ27" i="3"/>
  <c r="BK27" i="3" s="1"/>
  <c r="BJ43" i="3"/>
  <c r="BK43" i="3" s="1"/>
  <c r="BJ17" i="3"/>
  <c r="BK17" i="3" s="1"/>
  <c r="AY686" i="3"/>
  <c r="BD39" i="3"/>
  <c r="BG39" i="3"/>
  <c r="BH39" i="3" s="1"/>
  <c r="BI39" i="3" s="1"/>
  <c r="BD14" i="3"/>
  <c r="BG14" i="3"/>
  <c r="BH14" i="3" s="1"/>
  <c r="BI14" i="3" s="1"/>
  <c r="BA684" i="3"/>
  <c r="BJ46" i="3"/>
  <c r="BK46" i="3" s="1"/>
  <c r="BJ24" i="3"/>
  <c r="BK24" i="3" s="1"/>
  <c r="BJ18" i="3"/>
  <c r="BK18" i="3" s="1"/>
  <c r="AW51" i="3"/>
  <c r="AR53" i="3"/>
  <c r="A54" i="3"/>
  <c r="B53" i="3"/>
  <c r="D53" i="3"/>
  <c r="AQ53" i="3"/>
  <c r="C53" i="3"/>
  <c r="G53" i="3"/>
  <c r="H53" i="3" s="1"/>
  <c r="BN53" i="3" s="1"/>
  <c r="F53" i="3"/>
  <c r="BM53" i="3" s="1"/>
  <c r="S53" i="3"/>
  <c r="Q53" i="3"/>
  <c r="O53" i="3"/>
  <c r="U53" i="3"/>
  <c r="AD53" i="3"/>
  <c r="AE53" i="3"/>
  <c r="M53" i="3"/>
  <c r="AK53" i="3"/>
  <c r="AF53" i="3"/>
  <c r="AM53" i="3"/>
  <c r="AN53" i="3" s="1"/>
  <c r="T53" i="3"/>
  <c r="V53" i="3"/>
  <c r="R53" i="3"/>
  <c r="P53" i="3"/>
  <c r="AV50" i="3"/>
  <c r="BA50" i="3"/>
  <c r="BJ29" i="3"/>
  <c r="BK29" i="3" s="1"/>
  <c r="AX51" i="3"/>
  <c r="BD32" i="3"/>
  <c r="BG32" i="3"/>
  <c r="BH32" i="3" s="1"/>
  <c r="BI32" i="3" s="1"/>
  <c r="Y52" i="3"/>
  <c r="Z52" i="3" s="1"/>
  <c r="BJ32" i="3"/>
  <c r="BK32" i="3" s="1"/>
  <c r="BJ26" i="3"/>
  <c r="BK26" i="3" s="1"/>
  <c r="BJ25" i="3"/>
  <c r="BK25" i="3" s="1"/>
  <c r="BA686" i="3"/>
  <c r="AV686" i="3"/>
  <c r="AU51" i="3"/>
  <c r="BJ13" i="3"/>
  <c r="BK13" i="3" s="1"/>
  <c r="BJ12" i="3"/>
  <c r="BK12" i="3" s="1"/>
  <c r="BJ15" i="3"/>
  <c r="BK15" i="3" s="1"/>
  <c r="BD682" i="3"/>
  <c r="BG682" i="3"/>
  <c r="BH682" i="3" s="1"/>
  <c r="BI682" i="3" s="1"/>
  <c r="BJ36" i="3"/>
  <c r="BK36" i="3" s="1"/>
  <c r="BJ42" i="3"/>
  <c r="BK42" i="3" s="1"/>
  <c r="BJ19" i="3"/>
  <c r="BK19" i="3" s="1"/>
  <c r="BJ16" i="3"/>
  <c r="BK16" i="3" s="1"/>
  <c r="BJ39" i="3"/>
  <c r="BK39" i="3" s="1"/>
  <c r="BJ48" i="3"/>
  <c r="BK48" i="3" s="1"/>
  <c r="AN52" i="3"/>
  <c r="BD48" i="3"/>
  <c r="BG48" i="3"/>
  <c r="BH48" i="3" s="1"/>
  <c r="BI48" i="3" s="1"/>
  <c r="BJ47" i="3"/>
  <c r="BK47" i="3" s="1"/>
  <c r="BJ34" i="3"/>
  <c r="BK34" i="3" s="1"/>
  <c r="BJ9" i="3"/>
  <c r="AG52" i="3"/>
  <c r="BJ28" i="3"/>
  <c r="BK28" i="3" s="1"/>
  <c r="BJ22" i="3"/>
  <c r="BK22" i="3" s="1"/>
  <c r="BJ37" i="3"/>
  <c r="BK37" i="3" s="1"/>
  <c r="BG49" i="3" l="1"/>
  <c r="BH49" i="3" s="1"/>
  <c r="BI49" i="3" s="1"/>
  <c r="BC50" i="3"/>
  <c r="BG50" i="3" s="1"/>
  <c r="BH50" i="3" s="1"/>
  <c r="BI50" i="3" s="1"/>
  <c r="BB685" i="3"/>
  <c r="BC684" i="3"/>
  <c r="BC687" i="3"/>
  <c r="AX52" i="3"/>
  <c r="BF687" i="3"/>
  <c r="BC685" i="3"/>
  <c r="Y53" i="3"/>
  <c r="Z53" i="3" s="1"/>
  <c r="BC686" i="3"/>
  <c r="BA51" i="3"/>
  <c r="BB51" i="3" s="1"/>
  <c r="AW52" i="3"/>
  <c r="AT52" i="3"/>
  <c r="AV51" i="3"/>
  <c r="AG53" i="3"/>
  <c r="BD686" i="3"/>
  <c r="BG686" i="3"/>
  <c r="BH686" i="3" s="1"/>
  <c r="BI686" i="3" s="1"/>
  <c r="BK9" i="3"/>
  <c r="BF684" i="3"/>
  <c r="BB684" i="3"/>
  <c r="AH53" i="3"/>
  <c r="AQ54" i="3"/>
  <c r="A55" i="3"/>
  <c r="AR54" i="3"/>
  <c r="B54" i="3"/>
  <c r="C54" i="3"/>
  <c r="D54" i="3"/>
  <c r="F54" i="3"/>
  <c r="G54" i="3"/>
  <c r="H54" i="3" s="1"/>
  <c r="BN54" i="3" s="1"/>
  <c r="Q54" i="3"/>
  <c r="S54" i="3"/>
  <c r="O54" i="3"/>
  <c r="U54" i="3"/>
  <c r="M54" i="3"/>
  <c r="AE54" i="3"/>
  <c r="AD54" i="3"/>
  <c r="AK54" i="3"/>
  <c r="AF54" i="3"/>
  <c r="AM54" i="3"/>
  <c r="V54" i="3"/>
  <c r="R54" i="3"/>
  <c r="T54" i="3"/>
  <c r="P54" i="3"/>
  <c r="X53" i="3"/>
  <c r="BF50" i="3"/>
  <c r="BJ49" i="3" s="1"/>
  <c r="BK49" i="3" s="1"/>
  <c r="BB50" i="3"/>
  <c r="BQ50" i="3"/>
  <c r="AU52" i="3"/>
  <c r="AO53" i="3"/>
  <c r="BB686" i="3"/>
  <c r="BF686" i="3"/>
  <c r="BD687" i="3"/>
  <c r="BG687" i="3"/>
  <c r="BH687" i="3" s="1"/>
  <c r="BI687" i="3" s="1"/>
  <c r="AY51" i="3"/>
  <c r="BD684" i="3"/>
  <c r="BG684" i="3"/>
  <c r="BH684" i="3" s="1"/>
  <c r="BI684" i="3" s="1"/>
  <c r="AN54" i="3" l="1"/>
  <c r="BF51" i="3"/>
  <c r="BQ51" i="3"/>
  <c r="BD50" i="3"/>
  <c r="AX53" i="3"/>
  <c r="AY52" i="3"/>
  <c r="BD685" i="3"/>
  <c r="BG685" i="3"/>
  <c r="BH685" i="3" s="1"/>
  <c r="BI685" i="3" s="1"/>
  <c r="X54" i="3"/>
  <c r="BA52" i="3"/>
  <c r="AV52" i="3"/>
  <c r="AQ55" i="3"/>
  <c r="AR55" i="3"/>
  <c r="A56" i="3"/>
  <c r="B55" i="3"/>
  <c r="D55" i="3"/>
  <c r="C55" i="3"/>
  <c r="G55" i="3"/>
  <c r="H55" i="3" s="1"/>
  <c r="BN55" i="3" s="1"/>
  <c r="F55" i="3"/>
  <c r="BM55" i="3" s="1"/>
  <c r="S55" i="3"/>
  <c r="Q55" i="3"/>
  <c r="O55" i="3"/>
  <c r="U55" i="3"/>
  <c r="M55" i="3"/>
  <c r="AD55" i="3"/>
  <c r="AE55" i="3"/>
  <c r="AM55" i="3"/>
  <c r="AF55" i="3"/>
  <c r="AK55" i="3"/>
  <c r="V55" i="3"/>
  <c r="T55" i="3"/>
  <c r="P55" i="3"/>
  <c r="R55" i="3"/>
  <c r="AO54" i="3"/>
  <c r="AT53" i="3"/>
  <c r="AW53" i="3"/>
  <c r="AY53" i="3" s="1"/>
  <c r="BJ50" i="3"/>
  <c r="BK50" i="3" s="1"/>
  <c r="AG54" i="3"/>
  <c r="AU53" i="3"/>
  <c r="BM54" i="3"/>
  <c r="Y54" i="3"/>
  <c r="Z54" i="3" s="1"/>
  <c r="AH54" i="3"/>
  <c r="BC51" i="3"/>
  <c r="AX54" i="3" l="1"/>
  <c r="BC52" i="3"/>
  <c r="BG52" i="3" s="1"/>
  <c r="BH52" i="3" s="1"/>
  <c r="BI52" i="3" s="1"/>
  <c r="AG55" i="3"/>
  <c r="AO55" i="3"/>
  <c r="BD51" i="3"/>
  <c r="BG51" i="3"/>
  <c r="BH51" i="3" s="1"/>
  <c r="BI51" i="3" s="1"/>
  <c r="AV53" i="3"/>
  <c r="BC53" i="3" s="1"/>
  <c r="BA53" i="3"/>
  <c r="AR56" i="3"/>
  <c r="B56" i="3"/>
  <c r="AQ56" i="3"/>
  <c r="A57" i="3"/>
  <c r="C56" i="3"/>
  <c r="D56" i="3"/>
  <c r="G56" i="3"/>
  <c r="H56" i="3" s="1"/>
  <c r="BN56" i="3" s="1"/>
  <c r="F56" i="3"/>
  <c r="BM56" i="3" s="1"/>
  <c r="Q56" i="3"/>
  <c r="S56" i="3"/>
  <c r="O56" i="3"/>
  <c r="U56" i="3"/>
  <c r="AF56" i="3"/>
  <c r="M56" i="3"/>
  <c r="AE56" i="3"/>
  <c r="AK56" i="3"/>
  <c r="AM56" i="3"/>
  <c r="AD56" i="3"/>
  <c r="V56" i="3"/>
  <c r="R56" i="3"/>
  <c r="P56" i="3"/>
  <c r="T56" i="3"/>
  <c r="AW54" i="3"/>
  <c r="BQ52" i="3"/>
  <c r="BB52" i="3"/>
  <c r="BF52" i="3"/>
  <c r="BJ51" i="3" s="1"/>
  <c r="BK51" i="3" s="1"/>
  <c r="X55" i="3"/>
  <c r="AT54" i="3"/>
  <c r="Y55" i="3"/>
  <c r="Z55" i="3" s="1"/>
  <c r="AH55" i="3"/>
  <c r="AU54" i="3"/>
  <c r="AN55" i="3"/>
  <c r="AY54" i="3" l="1"/>
  <c r="BD52" i="3"/>
  <c r="AN56" i="3"/>
  <c r="AO56" i="3"/>
  <c r="AX55" i="3"/>
  <c r="AU55" i="3"/>
  <c r="X56" i="3"/>
  <c r="A58" i="3"/>
  <c r="AR57" i="3"/>
  <c r="B57" i="3"/>
  <c r="AQ57" i="3"/>
  <c r="C57" i="3"/>
  <c r="D57" i="3"/>
  <c r="G57" i="3"/>
  <c r="H57" i="3" s="1"/>
  <c r="BN57" i="3" s="1"/>
  <c r="F57" i="3"/>
  <c r="BM57" i="3" s="1"/>
  <c r="Q57" i="3"/>
  <c r="S57" i="3"/>
  <c r="O57" i="3"/>
  <c r="U57" i="3"/>
  <c r="M57" i="3"/>
  <c r="AD57" i="3"/>
  <c r="AE57" i="3"/>
  <c r="AK57" i="3"/>
  <c r="AM57" i="3"/>
  <c r="AF57" i="3"/>
  <c r="R57" i="3"/>
  <c r="P57" i="3"/>
  <c r="V57" i="3"/>
  <c r="T57" i="3"/>
  <c r="BB53" i="3"/>
  <c r="BQ53" i="3"/>
  <c r="BF53" i="3"/>
  <c r="BJ52" i="3" s="1"/>
  <c r="BK52" i="3" s="1"/>
  <c r="BD53" i="3"/>
  <c r="BG53" i="3"/>
  <c r="BH53" i="3" s="1"/>
  <c r="BI53" i="3" s="1"/>
  <c r="AG56" i="3"/>
  <c r="AW55" i="3"/>
  <c r="AY55" i="3" s="1"/>
  <c r="BA54" i="3"/>
  <c r="AV54" i="3"/>
  <c r="AT55" i="3"/>
  <c r="Y56" i="3"/>
  <c r="Z56" i="3" s="1"/>
  <c r="AH56" i="3"/>
  <c r="BC54" i="3" l="1"/>
  <c r="AX56" i="3"/>
  <c r="AG57" i="3"/>
  <c r="BA55" i="3"/>
  <c r="AN57" i="3"/>
  <c r="AO57" i="3"/>
  <c r="BB54" i="3"/>
  <c r="BF54" i="3"/>
  <c r="BQ54" i="3"/>
  <c r="AW56" i="3"/>
  <c r="AY56" i="3" s="1"/>
  <c r="BF55" i="3"/>
  <c r="BQ55" i="3"/>
  <c r="BB55" i="3"/>
  <c r="AV55" i="3"/>
  <c r="BC55" i="3" s="1"/>
  <c r="AQ58" i="3"/>
  <c r="B58" i="3"/>
  <c r="A59" i="3"/>
  <c r="AR58" i="3"/>
  <c r="D58" i="3"/>
  <c r="C58" i="3"/>
  <c r="F58" i="3"/>
  <c r="BM58" i="3" s="1"/>
  <c r="G58" i="3"/>
  <c r="H58" i="3" s="1"/>
  <c r="S58" i="3"/>
  <c r="Q58" i="3"/>
  <c r="O58" i="3"/>
  <c r="U58" i="3"/>
  <c r="AE58" i="3"/>
  <c r="AD58" i="3"/>
  <c r="M58" i="3"/>
  <c r="AF58" i="3"/>
  <c r="AM58" i="3"/>
  <c r="AK58" i="3"/>
  <c r="V58" i="3"/>
  <c r="P58" i="3"/>
  <c r="T58" i="3"/>
  <c r="R58" i="3"/>
  <c r="X57" i="3"/>
  <c r="Y57" i="3"/>
  <c r="Z57" i="3" s="1"/>
  <c r="AT56" i="3"/>
  <c r="BD54" i="3"/>
  <c r="BG54" i="3"/>
  <c r="BH54" i="3" s="1"/>
  <c r="BI54" i="3" s="1"/>
  <c r="AU56" i="3"/>
  <c r="AH57" i="3"/>
  <c r="AU57" i="3" l="1"/>
  <c r="AW57" i="3"/>
  <c r="AX57" i="3"/>
  <c r="BN58" i="3"/>
  <c r="AO58" i="3"/>
  <c r="Y58" i="3"/>
  <c r="Z58" i="3" s="1"/>
  <c r="AQ59" i="3"/>
  <c r="A60" i="3"/>
  <c r="B59" i="3"/>
  <c r="AR59" i="3"/>
  <c r="D59" i="3"/>
  <c r="C59" i="3"/>
  <c r="F59" i="3"/>
  <c r="BM59" i="3" s="1"/>
  <c r="G59" i="3"/>
  <c r="H59" i="3" s="1"/>
  <c r="BN59" i="3" s="1"/>
  <c r="Q59" i="3"/>
  <c r="S59" i="3"/>
  <c r="O59" i="3"/>
  <c r="U59" i="3"/>
  <c r="AE59" i="3"/>
  <c r="AD59" i="3"/>
  <c r="M59" i="3"/>
  <c r="AK59" i="3"/>
  <c r="AM59" i="3"/>
  <c r="AF59" i="3"/>
  <c r="R59" i="3"/>
  <c r="T59" i="3"/>
  <c r="V59" i="3"/>
  <c r="P59" i="3"/>
  <c r="AV56" i="3"/>
  <c r="BC56" i="3" s="1"/>
  <c r="BA56" i="3"/>
  <c r="BD55" i="3"/>
  <c r="BG55" i="3"/>
  <c r="BH55" i="3" s="1"/>
  <c r="BI55" i="3" s="1"/>
  <c r="AH58" i="3"/>
  <c r="X58" i="3"/>
  <c r="BJ54" i="3"/>
  <c r="BK54" i="3" s="1"/>
  <c r="BJ53" i="3"/>
  <c r="AN58" i="3"/>
  <c r="AG58" i="3"/>
  <c r="AT57" i="3"/>
  <c r="AY57" i="3" l="1"/>
  <c r="AW58" i="3"/>
  <c r="AN59" i="3"/>
  <c r="AV57" i="3"/>
  <c r="BC57" i="3" s="1"/>
  <c r="BA57" i="3"/>
  <c r="AH59" i="3"/>
  <c r="BK53" i="3"/>
  <c r="AX58" i="3"/>
  <c r="AU58" i="3"/>
  <c r="X59" i="3"/>
  <c r="BQ56" i="3"/>
  <c r="BB56" i="3"/>
  <c r="BF56" i="3"/>
  <c r="BJ55" i="3" s="1"/>
  <c r="BK55" i="3" s="1"/>
  <c r="AR60" i="3"/>
  <c r="B60" i="3"/>
  <c r="AQ60" i="3"/>
  <c r="A61" i="3"/>
  <c r="D60" i="3"/>
  <c r="C60" i="3"/>
  <c r="G60" i="3"/>
  <c r="H60" i="3" s="1"/>
  <c r="BN60" i="3" s="1"/>
  <c r="F60" i="3"/>
  <c r="BM60" i="3" s="1"/>
  <c r="Q60" i="3"/>
  <c r="S60" i="3"/>
  <c r="O60" i="3"/>
  <c r="U60" i="3"/>
  <c r="AD60" i="3"/>
  <c r="M60" i="3"/>
  <c r="AM60" i="3"/>
  <c r="AE60" i="3"/>
  <c r="AF60" i="3"/>
  <c r="AK60" i="3"/>
  <c r="V60" i="3"/>
  <c r="T60" i="3"/>
  <c r="R60" i="3"/>
  <c r="P60" i="3"/>
  <c r="AG59" i="3"/>
  <c r="AU59" i="3" s="1"/>
  <c r="AT58" i="3"/>
  <c r="Y59" i="3"/>
  <c r="Z59" i="3" s="1"/>
  <c r="AO59" i="3"/>
  <c r="BD56" i="3"/>
  <c r="BG56" i="3"/>
  <c r="BH56" i="3" s="1"/>
  <c r="BI56" i="3" s="1"/>
  <c r="AY58" i="3" l="1"/>
  <c r="AO60" i="3"/>
  <c r="AW59" i="3"/>
  <c r="BA58" i="3"/>
  <c r="AV58" i="3"/>
  <c r="BC58" i="3" s="1"/>
  <c r="AQ61" i="3"/>
  <c r="AR61" i="3"/>
  <c r="A62" i="3"/>
  <c r="B61" i="3"/>
  <c r="D61" i="3"/>
  <c r="C61" i="3"/>
  <c r="F61" i="3"/>
  <c r="BM61" i="3" s="1"/>
  <c r="G61" i="3"/>
  <c r="H61" i="3" s="1"/>
  <c r="BN61" i="3" s="1"/>
  <c r="Q61" i="3"/>
  <c r="S61" i="3"/>
  <c r="O61" i="3"/>
  <c r="U61" i="3"/>
  <c r="AD61" i="3"/>
  <c r="AE61" i="3"/>
  <c r="M61" i="3"/>
  <c r="AK61" i="3"/>
  <c r="AO61" i="3" s="1"/>
  <c r="AF61" i="3"/>
  <c r="AM61" i="3"/>
  <c r="R61" i="3"/>
  <c r="T61" i="3"/>
  <c r="V61" i="3"/>
  <c r="P61" i="3"/>
  <c r="AT59" i="3"/>
  <c r="Y60" i="3"/>
  <c r="Z60" i="3" s="1"/>
  <c r="AX59" i="3"/>
  <c r="AG60" i="3"/>
  <c r="AH60" i="3"/>
  <c r="AN60" i="3"/>
  <c r="BB57" i="3"/>
  <c r="BQ57" i="3"/>
  <c r="BF57" i="3"/>
  <c r="BJ56" i="3" s="1"/>
  <c r="BK56" i="3" s="1"/>
  <c r="X60" i="3"/>
  <c r="BD57" i="3"/>
  <c r="BG57" i="3"/>
  <c r="BH57" i="3" s="1"/>
  <c r="BI57" i="3" s="1"/>
  <c r="AY59" i="3" l="1"/>
  <c r="AG61" i="3"/>
  <c r="AX60" i="3"/>
  <c r="AT60" i="3"/>
  <c r="AW60" i="3"/>
  <c r="AY60" i="3" s="1"/>
  <c r="AU60" i="3"/>
  <c r="BD58" i="3"/>
  <c r="BG58" i="3"/>
  <c r="BH58" i="3" s="1"/>
  <c r="BI58" i="3" s="1"/>
  <c r="AH61" i="3"/>
  <c r="AV59" i="3"/>
  <c r="BA59" i="3"/>
  <c r="Y61" i="3"/>
  <c r="Z61" i="3" s="1"/>
  <c r="BB58" i="3"/>
  <c r="BQ58" i="3"/>
  <c r="BF58" i="3"/>
  <c r="BJ57" i="3" s="1"/>
  <c r="BK57" i="3" s="1"/>
  <c r="X61" i="3"/>
  <c r="AR62" i="3"/>
  <c r="B62" i="3"/>
  <c r="AQ62" i="3"/>
  <c r="A63" i="3"/>
  <c r="C62" i="3"/>
  <c r="D62" i="3"/>
  <c r="G62" i="3"/>
  <c r="H62" i="3" s="1"/>
  <c r="BN62" i="3" s="1"/>
  <c r="F62" i="3"/>
  <c r="Q62" i="3"/>
  <c r="S62" i="3"/>
  <c r="O62" i="3"/>
  <c r="U62" i="3"/>
  <c r="M62" i="3"/>
  <c r="AE62" i="3"/>
  <c r="AD62" i="3"/>
  <c r="AM62" i="3"/>
  <c r="AK62" i="3"/>
  <c r="AO62" i="3" s="1"/>
  <c r="AF62" i="3"/>
  <c r="P62" i="3"/>
  <c r="T62" i="3"/>
  <c r="R62" i="3"/>
  <c r="V62" i="3"/>
  <c r="AN61" i="3"/>
  <c r="BC59" i="3" l="1"/>
  <c r="BD59" i="3" s="1"/>
  <c r="BM62" i="3"/>
  <c r="AN62" i="3"/>
  <c r="AH62" i="3"/>
  <c r="AX61" i="3"/>
  <c r="Y62" i="3"/>
  <c r="Z62" i="3" s="1"/>
  <c r="AG62" i="3"/>
  <c r="AW62" i="3" s="1"/>
  <c r="BQ59" i="3"/>
  <c r="BB59" i="3"/>
  <c r="BF59" i="3"/>
  <c r="BJ58" i="3" s="1"/>
  <c r="BK58" i="3" s="1"/>
  <c r="X62" i="3"/>
  <c r="AV60" i="3"/>
  <c r="BC60" i="3" s="1"/>
  <c r="BA60" i="3"/>
  <c r="AT61" i="3"/>
  <c r="AU61" i="3"/>
  <c r="AQ63" i="3"/>
  <c r="AR63" i="3"/>
  <c r="A64" i="3"/>
  <c r="B63" i="3"/>
  <c r="C63" i="3"/>
  <c r="D63" i="3"/>
  <c r="F63" i="3"/>
  <c r="BM63" i="3" s="1"/>
  <c r="G63" i="3"/>
  <c r="H63" i="3" s="1"/>
  <c r="BN63" i="3" s="1"/>
  <c r="Q63" i="3"/>
  <c r="S63" i="3"/>
  <c r="O63" i="3"/>
  <c r="U63" i="3"/>
  <c r="AE63" i="3"/>
  <c r="AD63" i="3"/>
  <c r="AK63" i="3"/>
  <c r="M63" i="3"/>
  <c r="AF63" i="3"/>
  <c r="AM63" i="3"/>
  <c r="AN63" i="3" s="1"/>
  <c r="R63" i="3"/>
  <c r="V63" i="3"/>
  <c r="P63" i="3"/>
  <c r="T63" i="3"/>
  <c r="AW61" i="3"/>
  <c r="AY61" i="3" s="1"/>
  <c r="BG59" i="3" l="1"/>
  <c r="BH59" i="3" s="1"/>
  <c r="BI59" i="3" s="1"/>
  <c r="Y63" i="3"/>
  <c r="Z63" i="3" s="1"/>
  <c r="AT62" i="3"/>
  <c r="B64" i="3"/>
  <c r="A65" i="3"/>
  <c r="AR64" i="3"/>
  <c r="AQ64" i="3"/>
  <c r="D64" i="3"/>
  <c r="C64" i="3"/>
  <c r="G64" i="3"/>
  <c r="H64" i="3" s="1"/>
  <c r="BN64" i="3" s="1"/>
  <c r="F64" i="3"/>
  <c r="BM64" i="3" s="1"/>
  <c r="Q64" i="3"/>
  <c r="S64" i="3"/>
  <c r="O64" i="3"/>
  <c r="U64" i="3"/>
  <c r="AE64" i="3"/>
  <c r="AD64" i="3"/>
  <c r="M64" i="3"/>
  <c r="AK64" i="3"/>
  <c r="AM64" i="3"/>
  <c r="AF64" i="3"/>
  <c r="T64" i="3"/>
  <c r="V64" i="3"/>
  <c r="R64" i="3"/>
  <c r="P64" i="3"/>
  <c r="BQ60" i="3"/>
  <c r="BB60" i="3"/>
  <c r="BF60" i="3"/>
  <c r="BJ59" i="3" s="1"/>
  <c r="BK59" i="3" s="1"/>
  <c r="AG63" i="3"/>
  <c r="AO63" i="3"/>
  <c r="BD60" i="3"/>
  <c r="BG60" i="3"/>
  <c r="BH60" i="3" s="1"/>
  <c r="BI60" i="3" s="1"/>
  <c r="BA61" i="3"/>
  <c r="AV61" i="3"/>
  <c r="BC61" i="3" s="1"/>
  <c r="AH63" i="3"/>
  <c r="AX63" i="3" s="1"/>
  <c r="AU62" i="3"/>
  <c r="X63" i="3"/>
  <c r="AV62" i="3"/>
  <c r="AX62" i="3"/>
  <c r="AY62" i="3" s="1"/>
  <c r="AO64" i="3" l="1"/>
  <c r="BA62" i="3"/>
  <c r="BB62" i="3" s="1"/>
  <c r="AN64" i="3"/>
  <c r="BC62" i="3"/>
  <c r="BQ62" i="3"/>
  <c r="BF62" i="3"/>
  <c r="AG64" i="3"/>
  <c r="AW63" i="3"/>
  <c r="AY63" i="3" s="1"/>
  <c r="BD62" i="3"/>
  <c r="BG62" i="3"/>
  <c r="BH62" i="3" s="1"/>
  <c r="BI62" i="3" s="1"/>
  <c r="AH64" i="3"/>
  <c r="AX64" i="3" s="1"/>
  <c r="BD61" i="3"/>
  <c r="BG61" i="3"/>
  <c r="BH61" i="3" s="1"/>
  <c r="BI61" i="3" s="1"/>
  <c r="AQ65" i="3"/>
  <c r="AR65" i="3"/>
  <c r="A66" i="3"/>
  <c r="B65" i="3"/>
  <c r="D65" i="3"/>
  <c r="C65" i="3"/>
  <c r="F65" i="3"/>
  <c r="G65" i="3"/>
  <c r="H65" i="3" s="1"/>
  <c r="Q65" i="3"/>
  <c r="S65" i="3"/>
  <c r="O65" i="3"/>
  <c r="U65" i="3"/>
  <c r="AE65" i="3"/>
  <c r="AD65" i="3"/>
  <c r="M65" i="3"/>
  <c r="AM65" i="3"/>
  <c r="AK65" i="3"/>
  <c r="AO65" i="3" s="1"/>
  <c r="AF65" i="3"/>
  <c r="R65" i="3"/>
  <c r="P65" i="3"/>
  <c r="V65" i="3"/>
  <c r="T65" i="3"/>
  <c r="X64" i="3"/>
  <c r="AU64" i="3"/>
  <c r="AU63" i="3"/>
  <c r="BB61" i="3"/>
  <c r="BQ61" i="3"/>
  <c r="BF61" i="3"/>
  <c r="BJ60" i="3" s="1"/>
  <c r="BK60" i="3" s="1"/>
  <c r="Y64" i="3"/>
  <c r="Z64" i="3" s="1"/>
  <c r="AT63" i="3"/>
  <c r="BN65" i="3" l="1"/>
  <c r="BM65" i="3"/>
  <c r="X65" i="3"/>
  <c r="AH65" i="3"/>
  <c r="AT64" i="3"/>
  <c r="AW64" i="3"/>
  <c r="AY64" i="3" s="1"/>
  <c r="Y65" i="3"/>
  <c r="Z65" i="3" s="1"/>
  <c r="BJ61" i="3"/>
  <c r="BK61" i="3" s="1"/>
  <c r="AQ66" i="3"/>
  <c r="B66" i="3"/>
  <c r="A67" i="3"/>
  <c r="AR66" i="3"/>
  <c r="C66" i="3"/>
  <c r="D66" i="3"/>
  <c r="G66" i="3"/>
  <c r="H66" i="3" s="1"/>
  <c r="BN66" i="3" s="1"/>
  <c r="F66" i="3"/>
  <c r="BM66" i="3" s="1"/>
  <c r="Q66" i="3"/>
  <c r="S66" i="3"/>
  <c r="O66" i="3"/>
  <c r="U66" i="3"/>
  <c r="AD66" i="3"/>
  <c r="AE66" i="3"/>
  <c r="AF66" i="3"/>
  <c r="AM66" i="3"/>
  <c r="M66" i="3"/>
  <c r="AK66" i="3"/>
  <c r="AO66" i="3" s="1"/>
  <c r="V66" i="3"/>
  <c r="R66" i="3"/>
  <c r="P66" i="3"/>
  <c r="T66" i="3"/>
  <c r="AN65" i="3"/>
  <c r="AG65" i="3"/>
  <c r="AV63" i="3"/>
  <c r="BC63" i="3" s="1"/>
  <c r="BA63" i="3"/>
  <c r="AW65" i="3" l="1"/>
  <c r="AH66" i="3"/>
  <c r="BD63" i="3"/>
  <c r="BG63" i="3"/>
  <c r="BH63" i="3" s="1"/>
  <c r="BI63" i="3" s="1"/>
  <c r="BF63" i="3"/>
  <c r="BJ62" i="3" s="1"/>
  <c r="BK62" i="3" s="1"/>
  <c r="BB63" i="3"/>
  <c r="BQ63" i="3"/>
  <c r="B67" i="3"/>
  <c r="AR67" i="3"/>
  <c r="AQ67" i="3"/>
  <c r="A68" i="3"/>
  <c r="C67" i="3"/>
  <c r="D67" i="3"/>
  <c r="F67" i="3"/>
  <c r="BM67" i="3" s="1"/>
  <c r="G67" i="3"/>
  <c r="H67" i="3" s="1"/>
  <c r="BN67" i="3" s="1"/>
  <c r="Q67" i="3"/>
  <c r="S67" i="3"/>
  <c r="O67" i="3"/>
  <c r="U67" i="3"/>
  <c r="AD67" i="3"/>
  <c r="AE67" i="3"/>
  <c r="M67" i="3"/>
  <c r="AF67" i="3"/>
  <c r="AM67" i="3"/>
  <c r="AK67" i="3"/>
  <c r="AO67" i="3" s="1"/>
  <c r="R67" i="3"/>
  <c r="V67" i="3"/>
  <c r="T67" i="3"/>
  <c r="P67" i="3"/>
  <c r="BA64" i="3"/>
  <c r="AV64" i="3"/>
  <c r="BC64" i="3" s="1"/>
  <c r="AU65" i="3"/>
  <c r="Y66" i="3"/>
  <c r="Z66" i="3" s="1"/>
  <c r="AN66" i="3"/>
  <c r="AT65" i="3"/>
  <c r="AX65" i="3"/>
  <c r="AY65" i="3" s="1"/>
  <c r="X66" i="3"/>
  <c r="AG66" i="3"/>
  <c r="AT66" i="3" s="1"/>
  <c r="AX66" i="3" l="1"/>
  <c r="AU66" i="3"/>
  <c r="AV65" i="3"/>
  <c r="BC65" i="3" s="1"/>
  <c r="BA65" i="3"/>
  <c r="AV66" i="3"/>
  <c r="AQ68" i="3"/>
  <c r="B68" i="3"/>
  <c r="A69" i="3"/>
  <c r="AR68" i="3"/>
  <c r="D68" i="3"/>
  <c r="C68" i="3"/>
  <c r="F68" i="3"/>
  <c r="BM68" i="3" s="1"/>
  <c r="G68" i="3"/>
  <c r="H68" i="3" s="1"/>
  <c r="BN68" i="3" s="1"/>
  <c r="Q68" i="3"/>
  <c r="S68" i="3"/>
  <c r="O68" i="3"/>
  <c r="U68" i="3"/>
  <c r="M68" i="3"/>
  <c r="AD68" i="3"/>
  <c r="AE68" i="3"/>
  <c r="AK68" i="3"/>
  <c r="AM68" i="3"/>
  <c r="AN68" i="3" s="1"/>
  <c r="AF68" i="3"/>
  <c r="R68" i="3"/>
  <c r="T68" i="3"/>
  <c r="V68" i="3"/>
  <c r="P68" i="3"/>
  <c r="BF64" i="3"/>
  <c r="BJ63" i="3" s="1"/>
  <c r="BK63" i="3" s="1"/>
  <c r="BB64" i="3"/>
  <c r="BQ64" i="3"/>
  <c r="Y67" i="3"/>
  <c r="Z67" i="3" s="1"/>
  <c r="X67" i="3"/>
  <c r="AH67" i="3"/>
  <c r="AN67" i="3"/>
  <c r="BG64" i="3"/>
  <c r="BH64" i="3" s="1"/>
  <c r="BI64" i="3" s="1"/>
  <c r="BD64" i="3"/>
  <c r="AW66" i="3"/>
  <c r="AY66" i="3" s="1"/>
  <c r="AG67" i="3"/>
  <c r="AH68" i="3" l="1"/>
  <c r="AX67" i="3"/>
  <c r="AR69" i="3"/>
  <c r="A70" i="3"/>
  <c r="B69" i="3"/>
  <c r="C69" i="3"/>
  <c r="AQ69" i="3"/>
  <c r="D69" i="3"/>
  <c r="G69" i="3"/>
  <c r="H69" i="3" s="1"/>
  <c r="BN69" i="3" s="1"/>
  <c r="F69" i="3"/>
  <c r="BM69" i="3" s="1"/>
  <c r="Q69" i="3"/>
  <c r="S69" i="3"/>
  <c r="O69" i="3"/>
  <c r="U69" i="3"/>
  <c r="AE69" i="3"/>
  <c r="M69" i="3"/>
  <c r="AF69" i="3"/>
  <c r="AD69" i="3"/>
  <c r="AM69" i="3"/>
  <c r="AK69" i="3"/>
  <c r="R69" i="3"/>
  <c r="P69" i="3"/>
  <c r="T69" i="3"/>
  <c r="V69" i="3"/>
  <c r="X68" i="3"/>
  <c r="BC66" i="3"/>
  <c r="BB65" i="3"/>
  <c r="BQ65" i="3"/>
  <c r="BF65" i="3"/>
  <c r="BA66" i="3"/>
  <c r="AO68" i="3"/>
  <c r="BG65" i="3"/>
  <c r="BH65" i="3" s="1"/>
  <c r="BI65" i="3" s="1"/>
  <c r="BD65" i="3"/>
  <c r="AT67" i="3"/>
  <c r="AU67" i="3"/>
  <c r="Y68" i="3"/>
  <c r="Z68" i="3" s="1"/>
  <c r="AW67" i="3"/>
  <c r="AG68" i="3"/>
  <c r="AO69" i="3" l="1"/>
  <c r="AN69" i="3"/>
  <c r="AT68" i="3"/>
  <c r="AU68" i="3"/>
  <c r="X69" i="3"/>
  <c r="AH69" i="3"/>
  <c r="AG69" i="3"/>
  <c r="AQ70" i="3"/>
  <c r="B70" i="3"/>
  <c r="A71" i="3"/>
  <c r="AR70" i="3"/>
  <c r="D70" i="3"/>
  <c r="C70" i="3"/>
  <c r="G70" i="3"/>
  <c r="H70" i="3" s="1"/>
  <c r="BN70" i="3" s="1"/>
  <c r="F70" i="3"/>
  <c r="BM70" i="3" s="1"/>
  <c r="Q70" i="3"/>
  <c r="S70" i="3"/>
  <c r="O70" i="3"/>
  <c r="U70" i="3"/>
  <c r="AD70" i="3"/>
  <c r="AE70" i="3"/>
  <c r="AK70" i="3"/>
  <c r="M70" i="3"/>
  <c r="AF70" i="3"/>
  <c r="AM70" i="3"/>
  <c r="P70" i="3"/>
  <c r="R70" i="3"/>
  <c r="V70" i="3"/>
  <c r="T70" i="3"/>
  <c r="BF66" i="3"/>
  <c r="BQ66" i="3"/>
  <c r="BB66" i="3"/>
  <c r="AV68" i="3"/>
  <c r="AT69" i="3"/>
  <c r="AU69" i="3"/>
  <c r="AY67" i="3"/>
  <c r="BA67" i="3"/>
  <c r="AV67" i="3"/>
  <c r="BJ65" i="3"/>
  <c r="BK65" i="3" s="1"/>
  <c r="BJ64" i="3"/>
  <c r="BK64" i="3" s="1"/>
  <c r="BD66" i="3"/>
  <c r="BG66" i="3"/>
  <c r="BH66" i="3" s="1"/>
  <c r="BI66" i="3" s="1"/>
  <c r="Y69" i="3"/>
  <c r="Z69" i="3" s="1"/>
  <c r="AW68" i="3"/>
  <c r="AX68" i="3"/>
  <c r="BA68" i="3" l="1"/>
  <c r="AO70" i="3"/>
  <c r="AW69" i="3"/>
  <c r="BC67" i="3"/>
  <c r="BB67" i="3"/>
  <c r="BQ67" i="3"/>
  <c r="BF67" i="3"/>
  <c r="BJ66" i="3" s="1"/>
  <c r="BK66" i="3" s="1"/>
  <c r="AH70" i="3"/>
  <c r="AV69" i="3"/>
  <c r="AQ71" i="3"/>
  <c r="AR71" i="3"/>
  <c r="A72" i="3"/>
  <c r="B71" i="3"/>
  <c r="C71" i="3"/>
  <c r="D71" i="3"/>
  <c r="F71" i="3"/>
  <c r="BM71" i="3" s="1"/>
  <c r="G71" i="3"/>
  <c r="H71" i="3" s="1"/>
  <c r="BN71" i="3" s="1"/>
  <c r="Q71" i="3"/>
  <c r="S71" i="3"/>
  <c r="O71" i="3"/>
  <c r="U71" i="3"/>
  <c r="AE71" i="3"/>
  <c r="M71" i="3"/>
  <c r="AD71" i="3"/>
  <c r="AM71" i="3"/>
  <c r="AF71" i="3"/>
  <c r="AK71" i="3"/>
  <c r="V71" i="3"/>
  <c r="R71" i="3"/>
  <c r="P71" i="3"/>
  <c r="T71" i="3"/>
  <c r="BQ68" i="3"/>
  <c r="BB68" i="3"/>
  <c r="BF68" i="3"/>
  <c r="BJ67" i="3" s="1"/>
  <c r="BK67" i="3" s="1"/>
  <c r="Y70" i="3"/>
  <c r="Z70" i="3" s="1"/>
  <c r="AG70" i="3"/>
  <c r="BD67" i="3"/>
  <c r="BG67" i="3"/>
  <c r="BH67" i="3" s="1"/>
  <c r="BI67" i="3" s="1"/>
  <c r="AY68" i="3"/>
  <c r="BC68" i="3" s="1"/>
  <c r="AX69" i="3"/>
  <c r="AY69" i="3" s="1"/>
  <c r="X70" i="3"/>
  <c r="AN70" i="3"/>
  <c r="AG71" i="3" l="1"/>
  <c r="AO71" i="3"/>
  <c r="AW70" i="3"/>
  <c r="X71" i="3"/>
  <c r="BA69" i="3"/>
  <c r="BB69" i="3" s="1"/>
  <c r="BC69" i="3"/>
  <c r="BD68" i="3"/>
  <c r="BG68" i="3"/>
  <c r="BH68" i="3" s="1"/>
  <c r="BI68" i="3" s="1"/>
  <c r="BF69" i="3"/>
  <c r="BJ68" i="3" s="1"/>
  <c r="BK68" i="3" s="1"/>
  <c r="BQ69" i="3"/>
  <c r="BD69" i="3"/>
  <c r="BG69" i="3"/>
  <c r="BH69" i="3" s="1"/>
  <c r="BI69" i="3" s="1"/>
  <c r="AU70" i="3"/>
  <c r="AX70" i="3"/>
  <c r="AY70" i="3" s="1"/>
  <c r="AN71" i="3"/>
  <c r="AT70" i="3"/>
  <c r="A73" i="3"/>
  <c r="AR72" i="3"/>
  <c r="AQ72" i="3"/>
  <c r="B72" i="3"/>
  <c r="D72" i="3"/>
  <c r="C72" i="3"/>
  <c r="G72" i="3"/>
  <c r="H72" i="3" s="1"/>
  <c r="F72" i="3"/>
  <c r="BM72" i="3" s="1"/>
  <c r="Q72" i="3"/>
  <c r="S72" i="3"/>
  <c r="O72" i="3"/>
  <c r="U72" i="3"/>
  <c r="M72" i="3"/>
  <c r="AE72" i="3"/>
  <c r="AM72" i="3"/>
  <c r="AK72" i="3"/>
  <c r="AD72" i="3"/>
  <c r="AF72" i="3"/>
  <c r="T72" i="3"/>
  <c r="V72" i="3"/>
  <c r="R72" i="3"/>
  <c r="P72" i="3"/>
  <c r="AH71" i="3"/>
  <c r="Y71" i="3"/>
  <c r="Z71" i="3" s="1"/>
  <c r="AO72" i="3" l="1"/>
  <c r="AN72" i="3"/>
  <c r="X72" i="3"/>
  <c r="AH72" i="3"/>
  <c r="AW71" i="3"/>
  <c r="AX71" i="3"/>
  <c r="AQ73" i="3"/>
  <c r="AR73" i="3"/>
  <c r="A74" i="3"/>
  <c r="B73" i="3"/>
  <c r="C73" i="3"/>
  <c r="D73" i="3"/>
  <c r="F73" i="3"/>
  <c r="BM73" i="3" s="1"/>
  <c r="G73" i="3"/>
  <c r="H73" i="3" s="1"/>
  <c r="BN73" i="3" s="1"/>
  <c r="Q73" i="3"/>
  <c r="S73" i="3"/>
  <c r="O73" i="3"/>
  <c r="U73" i="3"/>
  <c r="AD73" i="3"/>
  <c r="M73" i="3"/>
  <c r="AF73" i="3"/>
  <c r="AM73" i="3"/>
  <c r="AK73" i="3"/>
  <c r="AE73" i="3"/>
  <c r="T73" i="3"/>
  <c r="R73" i="3"/>
  <c r="P73" i="3"/>
  <c r="V73" i="3"/>
  <c r="AT71" i="3"/>
  <c r="AG72" i="3"/>
  <c r="AW72" i="3" s="1"/>
  <c r="AU71" i="3"/>
  <c r="AV70" i="3"/>
  <c r="BC70" i="3" s="1"/>
  <c r="BA70" i="3"/>
  <c r="Y72" i="3"/>
  <c r="Z72" i="3" s="1"/>
  <c r="BN72" i="3"/>
  <c r="AY71" i="3" l="1"/>
  <c r="AX72" i="3"/>
  <c r="AN73" i="3"/>
  <c r="AG73" i="3"/>
  <c r="AO73" i="3"/>
  <c r="AU72" i="3"/>
  <c r="AQ74" i="3"/>
  <c r="B74" i="3"/>
  <c r="A75" i="3"/>
  <c r="AR74" i="3"/>
  <c r="D74" i="3"/>
  <c r="C74" i="3"/>
  <c r="F74" i="3"/>
  <c r="BM74" i="3" s="1"/>
  <c r="G74" i="3"/>
  <c r="H74" i="3" s="1"/>
  <c r="BN74" i="3" s="1"/>
  <c r="Q74" i="3"/>
  <c r="S74" i="3"/>
  <c r="O74" i="3"/>
  <c r="U74" i="3"/>
  <c r="AE74" i="3"/>
  <c r="M74" i="3"/>
  <c r="AD74" i="3"/>
  <c r="AK74" i="3"/>
  <c r="AF74" i="3"/>
  <c r="AM74" i="3"/>
  <c r="R74" i="3"/>
  <c r="T74" i="3"/>
  <c r="P74" i="3"/>
  <c r="V74" i="3"/>
  <c r="BD70" i="3"/>
  <c r="BG70" i="3"/>
  <c r="BH70" i="3" s="1"/>
  <c r="BI70" i="3" s="1"/>
  <c r="X73" i="3"/>
  <c r="BB70" i="3"/>
  <c r="BQ70" i="3"/>
  <c r="BF70" i="3"/>
  <c r="BJ69" i="3" s="1"/>
  <c r="BK69" i="3" s="1"/>
  <c r="AY72" i="3"/>
  <c r="BA71" i="3"/>
  <c r="AV71" i="3"/>
  <c r="BC71" i="3" s="1"/>
  <c r="AT72" i="3"/>
  <c r="AH73" i="3"/>
  <c r="AX73" i="3" s="1"/>
  <c r="Y73" i="3"/>
  <c r="Z73" i="3" s="1"/>
  <c r="AO74" i="3" l="1"/>
  <c r="AU73" i="3"/>
  <c r="BD71" i="3"/>
  <c r="BG71" i="3"/>
  <c r="BH71" i="3" s="1"/>
  <c r="BI71" i="3" s="1"/>
  <c r="BA72" i="3"/>
  <c r="AV72" i="3"/>
  <c r="BC72" i="3" s="1"/>
  <c r="X74" i="3"/>
  <c r="A76" i="3"/>
  <c r="AQ75" i="3"/>
  <c r="B75" i="3"/>
  <c r="AR75" i="3"/>
  <c r="C75" i="3"/>
  <c r="D75" i="3"/>
  <c r="F75" i="3"/>
  <c r="BM75" i="3" s="1"/>
  <c r="G75" i="3"/>
  <c r="H75" i="3" s="1"/>
  <c r="BN75" i="3" s="1"/>
  <c r="Q75" i="3"/>
  <c r="S75" i="3"/>
  <c r="O75" i="3"/>
  <c r="U75" i="3"/>
  <c r="AD75" i="3"/>
  <c r="AH75" i="3" s="1"/>
  <c r="M75" i="3"/>
  <c r="AE75" i="3"/>
  <c r="AM75" i="3"/>
  <c r="AF75" i="3"/>
  <c r="AK75" i="3"/>
  <c r="V75" i="3"/>
  <c r="R75" i="3"/>
  <c r="T75" i="3"/>
  <c r="P75" i="3"/>
  <c r="AG74" i="3"/>
  <c r="AW73" i="3"/>
  <c r="AY73" i="3" s="1"/>
  <c r="AH74" i="3"/>
  <c r="BB71" i="3"/>
  <c r="BF71" i="3"/>
  <c r="BJ70" i="3" s="1"/>
  <c r="BK70" i="3" s="1"/>
  <c r="BQ71" i="3"/>
  <c r="AT73" i="3"/>
  <c r="Y74" i="3"/>
  <c r="Z74" i="3" s="1"/>
  <c r="AN74" i="3"/>
  <c r="AU74" i="3" l="1"/>
  <c r="AO75" i="3"/>
  <c r="BA73" i="3"/>
  <c r="AV73" i="3"/>
  <c r="BC73" i="3" s="1"/>
  <c r="Y75" i="3"/>
  <c r="Z75" i="3" s="1"/>
  <c r="AW74" i="3"/>
  <c r="A77" i="3"/>
  <c r="AQ76" i="3"/>
  <c r="B76" i="3"/>
  <c r="AR76" i="3"/>
  <c r="C76" i="3"/>
  <c r="D76" i="3"/>
  <c r="G76" i="3"/>
  <c r="H76" i="3" s="1"/>
  <c r="BN76" i="3" s="1"/>
  <c r="F76" i="3"/>
  <c r="BM76" i="3" s="1"/>
  <c r="Q76" i="3"/>
  <c r="S76" i="3"/>
  <c r="O76" i="3"/>
  <c r="U76" i="3"/>
  <c r="AE76" i="3"/>
  <c r="AD76" i="3"/>
  <c r="AK76" i="3"/>
  <c r="AM76" i="3"/>
  <c r="M76" i="3"/>
  <c r="AF76" i="3"/>
  <c r="P76" i="3"/>
  <c r="T76" i="3"/>
  <c r="V76" i="3"/>
  <c r="R76" i="3"/>
  <c r="AT74" i="3"/>
  <c r="BD72" i="3"/>
  <c r="BG72" i="3"/>
  <c r="BH72" i="3" s="1"/>
  <c r="BI72" i="3" s="1"/>
  <c r="X75" i="3"/>
  <c r="BF72" i="3"/>
  <c r="BB72" i="3"/>
  <c r="BQ72" i="3"/>
  <c r="AG75" i="3"/>
  <c r="AX74" i="3"/>
  <c r="AN75" i="3"/>
  <c r="AX75" i="3" l="1"/>
  <c r="X76" i="3"/>
  <c r="AG76" i="3"/>
  <c r="AN76" i="3"/>
  <c r="AO76" i="3"/>
  <c r="Y76" i="3"/>
  <c r="Z76" i="3" s="1"/>
  <c r="AY74" i="3"/>
  <c r="AW75" i="3"/>
  <c r="AY75" i="3" s="1"/>
  <c r="AT75" i="3"/>
  <c r="AU75" i="3"/>
  <c r="BG73" i="3"/>
  <c r="BH73" i="3" s="1"/>
  <c r="BI73" i="3" s="1"/>
  <c r="BD73" i="3"/>
  <c r="BJ71" i="3"/>
  <c r="BK71" i="3" s="1"/>
  <c r="BA74" i="3"/>
  <c r="AV74" i="3"/>
  <c r="BC74" i="3" s="1"/>
  <c r="AQ77" i="3"/>
  <c r="A78" i="3"/>
  <c r="AR77" i="3"/>
  <c r="B77" i="3"/>
  <c r="C77" i="3"/>
  <c r="D77" i="3"/>
  <c r="G77" i="3"/>
  <c r="H77" i="3" s="1"/>
  <c r="F77" i="3"/>
  <c r="Q77" i="3"/>
  <c r="S77" i="3"/>
  <c r="O77" i="3"/>
  <c r="U77" i="3"/>
  <c r="AE77" i="3"/>
  <c r="AD77" i="3"/>
  <c r="M77" i="3"/>
  <c r="AM77" i="3"/>
  <c r="AF77" i="3"/>
  <c r="AK77" i="3"/>
  <c r="AO77" i="3" s="1"/>
  <c r="P77" i="3"/>
  <c r="V77" i="3"/>
  <c r="T77" i="3"/>
  <c r="R77" i="3"/>
  <c r="AH76" i="3"/>
  <c r="BQ73" i="3"/>
  <c r="BB73" i="3"/>
  <c r="BF73" i="3"/>
  <c r="BJ72" i="3" s="1"/>
  <c r="BK72" i="3" s="1"/>
  <c r="BG74" i="3" l="1"/>
  <c r="BH74" i="3" s="1"/>
  <c r="BI74" i="3" s="1"/>
  <c r="BD74" i="3"/>
  <c r="AW76" i="3"/>
  <c r="AX76" i="3"/>
  <c r="AT76" i="3"/>
  <c r="AV75" i="3"/>
  <c r="BC75" i="3" s="1"/>
  <c r="BA75" i="3"/>
  <c r="Y77" i="3"/>
  <c r="Z77" i="3" s="1"/>
  <c r="BB74" i="3"/>
  <c r="BF74" i="3"/>
  <c r="BJ73" i="3" s="1"/>
  <c r="BK73" i="3" s="1"/>
  <c r="BQ74" i="3"/>
  <c r="AH77" i="3"/>
  <c r="B78" i="3"/>
  <c r="AQ78" i="3"/>
  <c r="AR78" i="3"/>
  <c r="A79" i="3"/>
  <c r="D78" i="3"/>
  <c r="C78" i="3"/>
  <c r="F78" i="3"/>
  <c r="BM78" i="3" s="1"/>
  <c r="G78" i="3"/>
  <c r="H78" i="3" s="1"/>
  <c r="Q78" i="3"/>
  <c r="S78" i="3"/>
  <c r="O78" i="3"/>
  <c r="U78" i="3"/>
  <c r="AD78" i="3"/>
  <c r="M78" i="3"/>
  <c r="AE78" i="3"/>
  <c r="AM78" i="3"/>
  <c r="AF78" i="3"/>
  <c r="AK78" i="3"/>
  <c r="AO78" i="3" s="1"/>
  <c r="V78" i="3"/>
  <c r="R78" i="3"/>
  <c r="P78" i="3"/>
  <c r="T78" i="3"/>
  <c r="AN77" i="3"/>
  <c r="X77" i="3"/>
  <c r="AG77" i="3"/>
  <c r="AW77" i="3" s="1"/>
  <c r="BM77" i="3"/>
  <c r="AU76" i="3"/>
  <c r="BN77" i="3"/>
  <c r="AN78" i="3" l="1"/>
  <c r="Y78" i="3"/>
  <c r="Z78" i="3" s="1"/>
  <c r="AX77" i="3"/>
  <c r="AY77" i="3" s="1"/>
  <c r="AG78" i="3"/>
  <c r="AY76" i="3"/>
  <c r="BD75" i="3"/>
  <c r="BG75" i="3"/>
  <c r="BH75" i="3" s="1"/>
  <c r="BI75" i="3" s="1"/>
  <c r="A80" i="3"/>
  <c r="AQ79" i="3"/>
  <c r="B79" i="3"/>
  <c r="AR79" i="3"/>
  <c r="D79" i="3"/>
  <c r="C79" i="3"/>
  <c r="F79" i="3"/>
  <c r="G79" i="3"/>
  <c r="H79" i="3" s="1"/>
  <c r="BN79" i="3" s="1"/>
  <c r="Q79" i="3"/>
  <c r="S79" i="3"/>
  <c r="O79" i="3"/>
  <c r="U79" i="3"/>
  <c r="AD79" i="3"/>
  <c r="M79" i="3"/>
  <c r="AE79" i="3"/>
  <c r="AM79" i="3"/>
  <c r="AF79" i="3"/>
  <c r="AK79" i="3"/>
  <c r="AO79" i="3" s="1"/>
  <c r="P79" i="3"/>
  <c r="T79" i="3"/>
  <c r="V79" i="3"/>
  <c r="R79" i="3"/>
  <c r="BA76" i="3"/>
  <c r="AV76" i="3"/>
  <c r="BC76" i="3" s="1"/>
  <c r="BN78" i="3"/>
  <c r="BF75" i="3"/>
  <c r="BJ74" i="3" s="1"/>
  <c r="BK74" i="3" s="1"/>
  <c r="BB75" i="3"/>
  <c r="BQ75" i="3"/>
  <c r="X78" i="3"/>
  <c r="AU77" i="3"/>
  <c r="AH78" i="3"/>
  <c r="AX78" i="3" s="1"/>
  <c r="AT77" i="3"/>
  <c r="BM79" i="3" l="1"/>
  <c r="AT78" i="3"/>
  <c r="Y79" i="3"/>
  <c r="Z79" i="3" s="1"/>
  <c r="BD76" i="3"/>
  <c r="BG76" i="3"/>
  <c r="BH76" i="3" s="1"/>
  <c r="BI76" i="3" s="1"/>
  <c r="A81" i="3"/>
  <c r="B80" i="3"/>
  <c r="AR80" i="3"/>
  <c r="AQ80" i="3"/>
  <c r="D80" i="3"/>
  <c r="C80" i="3"/>
  <c r="F80" i="3"/>
  <c r="BM80" i="3" s="1"/>
  <c r="G80" i="3"/>
  <c r="H80" i="3" s="1"/>
  <c r="BN80" i="3" s="1"/>
  <c r="Q80" i="3"/>
  <c r="S80" i="3"/>
  <c r="O80" i="3"/>
  <c r="U80" i="3"/>
  <c r="AD80" i="3"/>
  <c r="M80" i="3"/>
  <c r="AE80" i="3"/>
  <c r="AF80" i="3"/>
  <c r="AM80" i="3"/>
  <c r="AK80" i="3"/>
  <c r="AO80" i="3" s="1"/>
  <c r="T80" i="3"/>
  <c r="V80" i="3"/>
  <c r="R80" i="3"/>
  <c r="P80" i="3"/>
  <c r="BQ76" i="3"/>
  <c r="BF76" i="3"/>
  <c r="BJ75" i="3" s="1"/>
  <c r="BK75" i="3" s="1"/>
  <c r="BB76" i="3"/>
  <c r="AG79" i="3"/>
  <c r="AN79" i="3"/>
  <c r="AW78" i="3"/>
  <c r="AY78" i="3" s="1"/>
  <c r="BA77" i="3"/>
  <c r="AV77" i="3"/>
  <c r="BC77" i="3" s="1"/>
  <c r="AH79" i="3"/>
  <c r="AX79" i="3" s="1"/>
  <c r="X79" i="3"/>
  <c r="AU78" i="3"/>
  <c r="AV78" i="3" s="1"/>
  <c r="BC78" i="3" l="1"/>
  <c r="BG78" i="3" s="1"/>
  <c r="BH78" i="3" s="1"/>
  <c r="BI78" i="3" s="1"/>
  <c r="AN80" i="3"/>
  <c r="AH80" i="3"/>
  <c r="BA78" i="3"/>
  <c r="BQ78" i="3" s="1"/>
  <c r="BF78" i="3"/>
  <c r="X80" i="3"/>
  <c r="BB77" i="3"/>
  <c r="BQ77" i="3"/>
  <c r="BF77" i="3"/>
  <c r="BJ76" i="3" s="1"/>
  <c r="BK76" i="3" s="1"/>
  <c r="AW79" i="3"/>
  <c r="AY79" i="3" s="1"/>
  <c r="AU79" i="3"/>
  <c r="AT79" i="3"/>
  <c r="Y80" i="3"/>
  <c r="Z80" i="3" s="1"/>
  <c r="AU80" i="3"/>
  <c r="AX80" i="3"/>
  <c r="AT80" i="3"/>
  <c r="AR81" i="3"/>
  <c r="B81" i="3"/>
  <c r="AQ81" i="3"/>
  <c r="A82" i="3"/>
  <c r="C81" i="3"/>
  <c r="D81" i="3"/>
  <c r="G81" i="3"/>
  <c r="H81" i="3" s="1"/>
  <c r="BN81" i="3" s="1"/>
  <c r="F81" i="3"/>
  <c r="BM81" i="3" s="1"/>
  <c r="Q81" i="3"/>
  <c r="S81" i="3"/>
  <c r="O81" i="3"/>
  <c r="U81" i="3"/>
  <c r="AD81" i="3"/>
  <c r="AE81" i="3"/>
  <c r="M81" i="3"/>
  <c r="AM81" i="3"/>
  <c r="AF81" i="3"/>
  <c r="AK81" i="3"/>
  <c r="AO81" i="3" s="1"/>
  <c r="R81" i="3"/>
  <c r="V81" i="3"/>
  <c r="P81" i="3"/>
  <c r="T81" i="3"/>
  <c r="BD77" i="3"/>
  <c r="BG77" i="3"/>
  <c r="BH77" i="3" s="1"/>
  <c r="BI77" i="3" s="1"/>
  <c r="AG80" i="3"/>
  <c r="BB78" i="3" l="1"/>
  <c r="AW80" i="3"/>
  <c r="BD78" i="3"/>
  <c r="AG81" i="3"/>
  <c r="AH81" i="3"/>
  <c r="BJ77" i="3"/>
  <c r="BK77" i="3" s="1"/>
  <c r="Y81" i="3"/>
  <c r="Z81" i="3" s="1"/>
  <c r="AN81" i="3"/>
  <c r="BA79" i="3"/>
  <c r="AV79" i="3"/>
  <c r="BC79" i="3" s="1"/>
  <c r="X81" i="3"/>
  <c r="AY80" i="3"/>
  <c r="AV80" i="3"/>
  <c r="BA80" i="3"/>
  <c r="AR82" i="3"/>
  <c r="A83" i="3"/>
  <c r="B82" i="3"/>
  <c r="AQ82" i="3"/>
  <c r="D82" i="3"/>
  <c r="C82" i="3"/>
  <c r="F82" i="3"/>
  <c r="G82" i="3"/>
  <c r="H82" i="3" s="1"/>
  <c r="Q82" i="3"/>
  <c r="S82" i="3"/>
  <c r="O82" i="3"/>
  <c r="U82" i="3"/>
  <c r="AD82" i="3"/>
  <c r="AE82" i="3"/>
  <c r="AM82" i="3"/>
  <c r="M82" i="3"/>
  <c r="AK82" i="3"/>
  <c r="AO82" i="3" s="1"/>
  <c r="AF82" i="3"/>
  <c r="R82" i="3"/>
  <c r="P82" i="3"/>
  <c r="V82" i="3"/>
  <c r="T82" i="3"/>
  <c r="BC80" i="3" l="1"/>
  <c r="BB80" i="3"/>
  <c r="BQ80" i="3"/>
  <c r="BF80" i="3"/>
  <c r="AG82" i="3"/>
  <c r="AH82" i="3"/>
  <c r="AW81" i="3"/>
  <c r="AX81" i="3"/>
  <c r="BD80" i="3"/>
  <c r="BG80" i="3"/>
  <c r="BH80" i="3" s="1"/>
  <c r="BI80" i="3" s="1"/>
  <c r="AT81" i="3"/>
  <c r="Y82" i="3"/>
  <c r="Z82" i="3" s="1"/>
  <c r="AN82" i="3"/>
  <c r="BF79" i="3"/>
  <c r="BJ78" i="3" s="1"/>
  <c r="BK78" i="3" s="1"/>
  <c r="BQ79" i="3"/>
  <c r="BB79" i="3"/>
  <c r="BN82" i="3"/>
  <c r="A84" i="3"/>
  <c r="AQ83" i="3"/>
  <c r="B83" i="3"/>
  <c r="AR83" i="3"/>
  <c r="C83" i="3"/>
  <c r="D83" i="3"/>
  <c r="F83" i="3"/>
  <c r="BM83" i="3" s="1"/>
  <c r="G83" i="3"/>
  <c r="H83" i="3" s="1"/>
  <c r="BN83" i="3" s="1"/>
  <c r="Q83" i="3"/>
  <c r="S83" i="3"/>
  <c r="O83" i="3"/>
  <c r="U83" i="3"/>
  <c r="M83" i="3"/>
  <c r="AE83" i="3"/>
  <c r="AM83" i="3"/>
  <c r="AK83" i="3"/>
  <c r="AD83" i="3"/>
  <c r="AF83" i="3"/>
  <c r="V83" i="3"/>
  <c r="P83" i="3"/>
  <c r="R83" i="3"/>
  <c r="T83" i="3"/>
  <c r="BD79" i="3"/>
  <c r="BG79" i="3"/>
  <c r="BH79" i="3" s="1"/>
  <c r="BI79" i="3" s="1"/>
  <c r="X82" i="3"/>
  <c r="BM82" i="3"/>
  <c r="AU81" i="3"/>
  <c r="AO83" i="3" l="1"/>
  <c r="AT82" i="3"/>
  <c r="AY81" i="3"/>
  <c r="AN83" i="3"/>
  <c r="AV81" i="3"/>
  <c r="BA81" i="3"/>
  <c r="AG83" i="3"/>
  <c r="AW82" i="3"/>
  <c r="AX82" i="3"/>
  <c r="BJ79" i="3"/>
  <c r="BK79" i="3" s="1"/>
  <c r="AH83" i="3"/>
  <c r="AX83" i="3" s="1"/>
  <c r="A85" i="3"/>
  <c r="B84" i="3"/>
  <c r="AR84" i="3"/>
  <c r="AQ84" i="3"/>
  <c r="C84" i="3"/>
  <c r="D84" i="3"/>
  <c r="G84" i="3"/>
  <c r="H84" i="3" s="1"/>
  <c r="BN84" i="3" s="1"/>
  <c r="F84" i="3"/>
  <c r="BM84" i="3" s="1"/>
  <c r="Q84" i="3"/>
  <c r="S84" i="3"/>
  <c r="O84" i="3"/>
  <c r="U84" i="3"/>
  <c r="AE84" i="3"/>
  <c r="AD84" i="3"/>
  <c r="M84" i="3"/>
  <c r="AF84" i="3"/>
  <c r="AM84" i="3"/>
  <c r="AK84" i="3"/>
  <c r="R84" i="3"/>
  <c r="T84" i="3"/>
  <c r="P84" i="3"/>
  <c r="V84" i="3"/>
  <c r="X83" i="3"/>
  <c r="Y83" i="3"/>
  <c r="Z83" i="3" s="1"/>
  <c r="AU83" i="3"/>
  <c r="AU82" i="3"/>
  <c r="AV82" i="3" s="1"/>
  <c r="BC81" i="3" l="1"/>
  <c r="AO84" i="3"/>
  <c r="AY82" i="3"/>
  <c r="BC82" i="3" s="1"/>
  <c r="AT83" i="3"/>
  <c r="BB81" i="3"/>
  <c r="BF81" i="3"/>
  <c r="BJ80" i="3" s="1"/>
  <c r="BK80" i="3" s="1"/>
  <c r="BQ81" i="3"/>
  <c r="AH84" i="3"/>
  <c r="BD81" i="3"/>
  <c r="BG81" i="3"/>
  <c r="BH81" i="3" s="1"/>
  <c r="BI81" i="3" s="1"/>
  <c r="Y84" i="3"/>
  <c r="Z84" i="3" s="1"/>
  <c r="AR85" i="3"/>
  <c r="B85" i="3"/>
  <c r="AQ85" i="3"/>
  <c r="A86" i="3"/>
  <c r="C85" i="3"/>
  <c r="D85" i="3"/>
  <c r="G85" i="3"/>
  <c r="H85" i="3" s="1"/>
  <c r="F85" i="3"/>
  <c r="Q85" i="3"/>
  <c r="S85" i="3"/>
  <c r="O85" i="3"/>
  <c r="U85" i="3"/>
  <c r="M85" i="3"/>
  <c r="AD85" i="3"/>
  <c r="AE85" i="3"/>
  <c r="AF85" i="3"/>
  <c r="AM85" i="3"/>
  <c r="AK85" i="3"/>
  <c r="AO85" i="3" s="1"/>
  <c r="V85" i="3"/>
  <c r="P85" i="3"/>
  <c r="R85" i="3"/>
  <c r="T85" i="3"/>
  <c r="AN84" i="3"/>
  <c r="BA82" i="3"/>
  <c r="X84" i="3"/>
  <c r="AW83" i="3"/>
  <c r="AY83" i="3" s="1"/>
  <c r="AG84" i="3"/>
  <c r="BG82" i="3" l="1"/>
  <c r="BH82" i="3" s="1"/>
  <c r="BI82" i="3" s="1"/>
  <c r="BD82" i="3"/>
  <c r="AX84" i="3"/>
  <c r="BB82" i="3"/>
  <c r="BF82" i="3"/>
  <c r="BJ81" i="3" s="1"/>
  <c r="BK81" i="3" s="1"/>
  <c r="BQ82" i="3"/>
  <c r="X85" i="3"/>
  <c r="A87" i="3"/>
  <c r="B86" i="3"/>
  <c r="AQ86" i="3"/>
  <c r="AR86" i="3"/>
  <c r="D86" i="3"/>
  <c r="C86" i="3"/>
  <c r="F86" i="3"/>
  <c r="BM86" i="3" s="1"/>
  <c r="G86" i="3"/>
  <c r="H86" i="3" s="1"/>
  <c r="BN86" i="3" s="1"/>
  <c r="Q86" i="3"/>
  <c r="S86" i="3"/>
  <c r="O86" i="3"/>
  <c r="U86" i="3"/>
  <c r="AD86" i="3"/>
  <c r="AE86" i="3"/>
  <c r="M86" i="3"/>
  <c r="AM86" i="3"/>
  <c r="AF86" i="3"/>
  <c r="AK86" i="3"/>
  <c r="AO86" i="3" s="1"/>
  <c r="V86" i="3"/>
  <c r="P86" i="3"/>
  <c r="R86" i="3"/>
  <c r="T86" i="3"/>
  <c r="AN85" i="3"/>
  <c r="AH85" i="3"/>
  <c r="Y85" i="3"/>
  <c r="Z85" i="3" s="1"/>
  <c r="AG85" i="3"/>
  <c r="AT84" i="3"/>
  <c r="AV83" i="3"/>
  <c r="BC83" i="3" s="1"/>
  <c r="BA83" i="3"/>
  <c r="AT85" i="3"/>
  <c r="BM85" i="3"/>
  <c r="AU85" i="3"/>
  <c r="AU84" i="3"/>
  <c r="AW84" i="3"/>
  <c r="BN85" i="3"/>
  <c r="AW85" i="3" l="1"/>
  <c r="AY84" i="3"/>
  <c r="B87" i="3"/>
  <c r="AQ87" i="3"/>
  <c r="AR87" i="3"/>
  <c r="A88" i="3"/>
  <c r="D87" i="3"/>
  <c r="C87" i="3"/>
  <c r="F87" i="3"/>
  <c r="BM87" i="3" s="1"/>
  <c r="G87" i="3"/>
  <c r="H87" i="3" s="1"/>
  <c r="BN87" i="3" s="1"/>
  <c r="Q87" i="3"/>
  <c r="S87" i="3"/>
  <c r="O87" i="3"/>
  <c r="U87" i="3"/>
  <c r="AD87" i="3"/>
  <c r="M87" i="3"/>
  <c r="AF87" i="3"/>
  <c r="AK87" i="3"/>
  <c r="AM87" i="3"/>
  <c r="AE87" i="3"/>
  <c r="P87" i="3"/>
  <c r="R87" i="3"/>
  <c r="V87" i="3"/>
  <c r="T87" i="3"/>
  <c r="AV85" i="3"/>
  <c r="BQ83" i="3"/>
  <c r="BB83" i="3"/>
  <c r="BF83" i="3"/>
  <c r="BJ82" i="3" s="1"/>
  <c r="BK82" i="3" s="1"/>
  <c r="AV84" i="3"/>
  <c r="BC84" i="3" s="1"/>
  <c r="BA84" i="3"/>
  <c r="AH86" i="3"/>
  <c r="X86" i="3"/>
  <c r="BD83" i="3"/>
  <c r="BG83" i="3"/>
  <c r="BH83" i="3" s="1"/>
  <c r="BI83" i="3" s="1"/>
  <c r="AX85" i="3"/>
  <c r="AY85" i="3" s="1"/>
  <c r="AG86" i="3"/>
  <c r="AT86" i="3" s="1"/>
  <c r="Y86" i="3"/>
  <c r="Z86" i="3" s="1"/>
  <c r="AN86" i="3"/>
  <c r="AU86" i="3" l="1"/>
  <c r="AV86" i="3" s="1"/>
  <c r="AO87" i="3"/>
  <c r="AH87" i="3"/>
  <c r="AG87" i="3"/>
  <c r="A89" i="3"/>
  <c r="AR88" i="3"/>
  <c r="AQ88" i="3"/>
  <c r="B88" i="3"/>
  <c r="C88" i="3"/>
  <c r="D88" i="3"/>
  <c r="F88" i="3"/>
  <c r="BM88" i="3" s="1"/>
  <c r="G88" i="3"/>
  <c r="H88" i="3" s="1"/>
  <c r="BN88" i="3" s="1"/>
  <c r="Q88" i="3"/>
  <c r="S88" i="3"/>
  <c r="O88" i="3"/>
  <c r="U88" i="3"/>
  <c r="M88" i="3"/>
  <c r="AD88" i="3"/>
  <c r="AE88" i="3"/>
  <c r="AM88" i="3"/>
  <c r="AK88" i="3"/>
  <c r="AF88" i="3"/>
  <c r="P88" i="3"/>
  <c r="R88" i="3"/>
  <c r="V88" i="3"/>
  <c r="T88" i="3"/>
  <c r="AN87" i="3"/>
  <c r="BD84" i="3"/>
  <c r="BG84" i="3"/>
  <c r="BH84" i="3" s="1"/>
  <c r="BI84" i="3" s="1"/>
  <c r="AT87" i="3"/>
  <c r="AW86" i="3"/>
  <c r="AX86" i="3"/>
  <c r="BQ84" i="3"/>
  <c r="BF84" i="3"/>
  <c r="BJ83" i="3" s="1"/>
  <c r="BK83" i="3" s="1"/>
  <c r="BB84" i="3"/>
  <c r="AU87" i="3"/>
  <c r="X87" i="3"/>
  <c r="BC85" i="3"/>
  <c r="BA85" i="3"/>
  <c r="Y87" i="3"/>
  <c r="Z87" i="3" s="1"/>
  <c r="AO88" i="3" l="1"/>
  <c r="AG88" i="3"/>
  <c r="AX87" i="3"/>
  <c r="BA86" i="3"/>
  <c r="BB86" i="3" s="1"/>
  <c r="X88" i="3"/>
  <c r="BF85" i="3"/>
  <c r="BJ84" i="3" s="1"/>
  <c r="BK84" i="3" s="1"/>
  <c r="BB85" i="3"/>
  <c r="BQ85" i="3"/>
  <c r="BD85" i="3"/>
  <c r="BG85" i="3"/>
  <c r="BH85" i="3" s="1"/>
  <c r="BI85" i="3" s="1"/>
  <c r="AH88" i="3"/>
  <c r="AU88" i="3" s="1"/>
  <c r="AV87" i="3"/>
  <c r="AW87" i="3"/>
  <c r="BA87" i="3" s="1"/>
  <c r="AT88" i="3"/>
  <c r="AY86" i="3"/>
  <c r="BC86" i="3" s="1"/>
  <c r="Y88" i="3"/>
  <c r="Z88" i="3" s="1"/>
  <c r="AQ89" i="3"/>
  <c r="AR89" i="3"/>
  <c r="B89" i="3"/>
  <c r="A90" i="3"/>
  <c r="C89" i="3"/>
  <c r="D89" i="3"/>
  <c r="F89" i="3"/>
  <c r="G89" i="3"/>
  <c r="H89" i="3" s="1"/>
  <c r="Q89" i="3"/>
  <c r="S89" i="3"/>
  <c r="O89" i="3"/>
  <c r="U89" i="3"/>
  <c r="M89" i="3"/>
  <c r="AE89" i="3"/>
  <c r="AD89" i="3"/>
  <c r="AK89" i="3"/>
  <c r="AF89" i="3"/>
  <c r="AM89" i="3"/>
  <c r="AN89" i="3" s="1"/>
  <c r="P89" i="3"/>
  <c r="R89" i="3"/>
  <c r="V89" i="3"/>
  <c r="T89" i="3"/>
  <c r="AN88" i="3"/>
  <c r="BN89" i="3" l="1"/>
  <c r="Y89" i="3"/>
  <c r="Z89" i="3" s="1"/>
  <c r="BM89" i="3"/>
  <c r="BF86" i="3"/>
  <c r="BQ86" i="3"/>
  <c r="AO89" i="3"/>
  <c r="AX88" i="3"/>
  <c r="BQ87" i="3"/>
  <c r="BF87" i="3"/>
  <c r="BJ86" i="3" s="1"/>
  <c r="BK86" i="3" s="1"/>
  <c r="BB87" i="3"/>
  <c r="BD86" i="3"/>
  <c r="BG86" i="3"/>
  <c r="BH86" i="3" s="1"/>
  <c r="BI86" i="3" s="1"/>
  <c r="AV88" i="3"/>
  <c r="AW88" i="3"/>
  <c r="BA88" i="3" s="1"/>
  <c r="AY87" i="3"/>
  <c r="BC87" i="3" s="1"/>
  <c r="AH89" i="3"/>
  <c r="B90" i="3"/>
  <c r="AQ90" i="3"/>
  <c r="AR90" i="3"/>
  <c r="A91" i="3"/>
  <c r="C90" i="3"/>
  <c r="D90" i="3"/>
  <c r="G90" i="3"/>
  <c r="H90" i="3" s="1"/>
  <c r="F90" i="3"/>
  <c r="Q90" i="3"/>
  <c r="S90" i="3"/>
  <c r="O90" i="3"/>
  <c r="U90" i="3"/>
  <c r="M90" i="3"/>
  <c r="AD90" i="3"/>
  <c r="AK90" i="3"/>
  <c r="AF90" i="3"/>
  <c r="AM90" i="3"/>
  <c r="AE90" i="3"/>
  <c r="R90" i="3"/>
  <c r="V90" i="3"/>
  <c r="P90" i="3"/>
  <c r="T90" i="3"/>
  <c r="AG89" i="3"/>
  <c r="BJ85" i="3"/>
  <c r="BK85" i="3" s="1"/>
  <c r="X89" i="3"/>
  <c r="AW89" i="3" l="1"/>
  <c r="AG90" i="3"/>
  <c r="BN90" i="3"/>
  <c r="AN90" i="3"/>
  <c r="AT89" i="3"/>
  <c r="BD87" i="3"/>
  <c r="BG87" i="3"/>
  <c r="BH87" i="3" s="1"/>
  <c r="BI87" i="3" s="1"/>
  <c r="BB88" i="3"/>
  <c r="BQ88" i="3"/>
  <c r="BF88" i="3"/>
  <c r="BJ87" i="3" s="1"/>
  <c r="BK87" i="3" s="1"/>
  <c r="AX89" i="3"/>
  <c r="AY89" i="3" s="1"/>
  <c r="AU89" i="3"/>
  <c r="AO90" i="3"/>
  <c r="AY88" i="3"/>
  <c r="BC88" i="3" s="1"/>
  <c r="AH90" i="3"/>
  <c r="AX90" i="3" s="1"/>
  <c r="X90" i="3"/>
  <c r="Y90" i="3"/>
  <c r="Z90" i="3" s="1"/>
  <c r="AR91" i="3"/>
  <c r="A92" i="3"/>
  <c r="B91" i="3"/>
  <c r="AQ91" i="3"/>
  <c r="D91" i="3"/>
  <c r="C91" i="3"/>
  <c r="F91" i="3"/>
  <c r="BM91" i="3" s="1"/>
  <c r="G91" i="3"/>
  <c r="H91" i="3" s="1"/>
  <c r="Q91" i="3"/>
  <c r="S91" i="3"/>
  <c r="O91" i="3"/>
  <c r="U91" i="3"/>
  <c r="M91" i="3"/>
  <c r="AD91" i="3"/>
  <c r="AM91" i="3"/>
  <c r="AE91" i="3"/>
  <c r="AK91" i="3"/>
  <c r="AO91" i="3" s="1"/>
  <c r="AF91" i="3"/>
  <c r="P91" i="3"/>
  <c r="T91" i="3"/>
  <c r="V91" i="3"/>
  <c r="R91" i="3"/>
  <c r="BM90" i="3"/>
  <c r="BA89" i="3" l="1"/>
  <c r="Y91" i="3"/>
  <c r="Z91" i="3" s="1"/>
  <c r="BN91" i="3"/>
  <c r="AV89" i="3"/>
  <c r="BC89" i="3" s="1"/>
  <c r="BD88" i="3"/>
  <c r="BG88" i="3"/>
  <c r="BH88" i="3" s="1"/>
  <c r="BI88" i="3" s="1"/>
  <c r="AT90" i="3"/>
  <c r="AH91" i="3"/>
  <c r="AG91" i="3"/>
  <c r="BQ89" i="3"/>
  <c r="BF89" i="3"/>
  <c r="BJ88" i="3" s="1"/>
  <c r="BK88" i="3" s="1"/>
  <c r="BB89" i="3"/>
  <c r="X91" i="3"/>
  <c r="BD89" i="3"/>
  <c r="BG89" i="3"/>
  <c r="BH89" i="3" s="1"/>
  <c r="BI89" i="3" s="1"/>
  <c r="AW90" i="3"/>
  <c r="AY90" i="3" s="1"/>
  <c r="AU91" i="3"/>
  <c r="AU90" i="3"/>
  <c r="AN91" i="3"/>
  <c r="AR92" i="3"/>
  <c r="B92" i="3"/>
  <c r="AQ92" i="3"/>
  <c r="A93" i="3"/>
  <c r="C92" i="3"/>
  <c r="D92" i="3"/>
  <c r="F92" i="3"/>
  <c r="BM92" i="3" s="1"/>
  <c r="G92" i="3"/>
  <c r="H92" i="3" s="1"/>
  <c r="BN92" i="3" s="1"/>
  <c r="Q92" i="3"/>
  <c r="S92" i="3"/>
  <c r="O92" i="3"/>
  <c r="U92" i="3"/>
  <c r="AD92" i="3"/>
  <c r="AF92" i="3"/>
  <c r="AE92" i="3"/>
  <c r="AK92" i="3"/>
  <c r="AM92" i="3"/>
  <c r="M92" i="3"/>
  <c r="V92" i="3"/>
  <c r="T92" i="3"/>
  <c r="R92" i="3"/>
  <c r="P92" i="3"/>
  <c r="AN92" i="3" l="1"/>
  <c r="AT91" i="3"/>
  <c r="AG92" i="3"/>
  <c r="AV91" i="3"/>
  <c r="Y92" i="3"/>
  <c r="Z92" i="3" s="1"/>
  <c r="AO92" i="3"/>
  <c r="X92" i="3"/>
  <c r="AW91" i="3"/>
  <c r="AX91" i="3"/>
  <c r="AH92" i="3"/>
  <c r="AX92" i="3" s="1"/>
  <c r="AV90" i="3"/>
  <c r="BC90" i="3" s="1"/>
  <c r="BA90" i="3"/>
  <c r="AQ93" i="3"/>
  <c r="B93" i="3"/>
  <c r="A94" i="3"/>
  <c r="C93" i="3"/>
  <c r="AR93" i="3"/>
  <c r="D93" i="3"/>
  <c r="G93" i="3"/>
  <c r="H93" i="3" s="1"/>
  <c r="BN93" i="3" s="1"/>
  <c r="F93" i="3"/>
  <c r="Q93" i="3"/>
  <c r="S93" i="3"/>
  <c r="O93" i="3"/>
  <c r="U93" i="3"/>
  <c r="AE93" i="3"/>
  <c r="M93" i="3"/>
  <c r="AF93" i="3"/>
  <c r="AM93" i="3"/>
  <c r="AD93" i="3"/>
  <c r="AK93" i="3"/>
  <c r="AO93" i="3" s="1"/>
  <c r="T93" i="3"/>
  <c r="V93" i="3"/>
  <c r="R93" i="3"/>
  <c r="P93" i="3"/>
  <c r="AH93" i="3" l="1"/>
  <c r="AY91" i="3"/>
  <c r="BA91" i="3"/>
  <c r="BQ91" i="3" s="1"/>
  <c r="B94" i="3"/>
  <c r="AQ94" i="3"/>
  <c r="AR94" i="3"/>
  <c r="A95" i="3"/>
  <c r="C94" i="3"/>
  <c r="D94" i="3"/>
  <c r="G94" i="3"/>
  <c r="H94" i="3" s="1"/>
  <c r="BN94" i="3" s="1"/>
  <c r="F94" i="3"/>
  <c r="BM94" i="3" s="1"/>
  <c r="Q94" i="3"/>
  <c r="S94" i="3"/>
  <c r="O94" i="3"/>
  <c r="U94" i="3"/>
  <c r="AD94" i="3"/>
  <c r="AE94" i="3"/>
  <c r="AK94" i="3"/>
  <c r="AF94" i="3"/>
  <c r="AM94" i="3"/>
  <c r="M94" i="3"/>
  <c r="R94" i="3"/>
  <c r="P94" i="3"/>
  <c r="V94" i="3"/>
  <c r="T94" i="3"/>
  <c r="BB90" i="3"/>
  <c r="BF90" i="3"/>
  <c r="BJ89" i="3" s="1"/>
  <c r="BK89" i="3" s="1"/>
  <c r="BQ90" i="3"/>
  <c r="AG93" i="3"/>
  <c r="AT93" i="3" s="1"/>
  <c r="AW92" i="3"/>
  <c r="AY92" i="3" s="1"/>
  <c r="AT92" i="3"/>
  <c r="AU92" i="3"/>
  <c r="AN93" i="3"/>
  <c r="BC91" i="3"/>
  <c r="Y93" i="3"/>
  <c r="Z93" i="3" s="1"/>
  <c r="BD90" i="3"/>
  <c r="BG90" i="3"/>
  <c r="BH90" i="3" s="1"/>
  <c r="BI90" i="3" s="1"/>
  <c r="X93" i="3"/>
  <c r="BM93" i="3"/>
  <c r="BF91" i="3" l="1"/>
  <c r="BJ90" i="3" s="1"/>
  <c r="BK90" i="3" s="1"/>
  <c r="AX93" i="3"/>
  <c r="BB91" i="3"/>
  <c r="AU93" i="3"/>
  <c r="AH94" i="3"/>
  <c r="AN94" i="3"/>
  <c r="AV92" i="3"/>
  <c r="BC92" i="3" s="1"/>
  <c r="BA92" i="3"/>
  <c r="AV93" i="3"/>
  <c r="AG94" i="3"/>
  <c r="Y94" i="3"/>
  <c r="Z94" i="3" s="1"/>
  <c r="AO94" i="3"/>
  <c r="B95" i="3"/>
  <c r="AQ95" i="3"/>
  <c r="A96" i="3"/>
  <c r="AR95" i="3"/>
  <c r="D95" i="3"/>
  <c r="C95" i="3"/>
  <c r="G95" i="3"/>
  <c r="H95" i="3" s="1"/>
  <c r="BN95" i="3" s="1"/>
  <c r="F95" i="3"/>
  <c r="BM95" i="3" s="1"/>
  <c r="Q95" i="3"/>
  <c r="S95" i="3"/>
  <c r="O95" i="3"/>
  <c r="U95" i="3"/>
  <c r="M95" i="3"/>
  <c r="AD95" i="3"/>
  <c r="AE95" i="3"/>
  <c r="AK95" i="3"/>
  <c r="AF95" i="3"/>
  <c r="AM95" i="3"/>
  <c r="R95" i="3"/>
  <c r="P95" i="3"/>
  <c r="V95" i="3"/>
  <c r="T95" i="3"/>
  <c r="BD91" i="3"/>
  <c r="BG91" i="3"/>
  <c r="BH91" i="3" s="1"/>
  <c r="BI91" i="3" s="1"/>
  <c r="AW93" i="3"/>
  <c r="AY93" i="3" s="1"/>
  <c r="AT94" i="3"/>
  <c r="X94" i="3"/>
  <c r="AN95" i="3" l="1"/>
  <c r="AU94" i="3"/>
  <c r="AO95" i="3"/>
  <c r="AH95" i="3"/>
  <c r="B96" i="3"/>
  <c r="A97" i="3"/>
  <c r="AR96" i="3"/>
  <c r="AQ96" i="3"/>
  <c r="D96" i="3"/>
  <c r="C96" i="3"/>
  <c r="F96" i="3"/>
  <c r="BM96" i="3" s="1"/>
  <c r="G96" i="3"/>
  <c r="H96" i="3" s="1"/>
  <c r="BN96" i="3" s="1"/>
  <c r="Q96" i="3"/>
  <c r="S96" i="3"/>
  <c r="O96" i="3"/>
  <c r="U96" i="3"/>
  <c r="AD96" i="3"/>
  <c r="AF96" i="3"/>
  <c r="M96" i="3"/>
  <c r="AK96" i="3"/>
  <c r="AE96" i="3"/>
  <c r="AM96" i="3"/>
  <c r="R96" i="3"/>
  <c r="P96" i="3"/>
  <c r="V96" i="3"/>
  <c r="T96" i="3"/>
  <c r="AW94" i="3"/>
  <c r="BC93" i="3"/>
  <c r="AV94" i="3"/>
  <c r="Y95" i="3"/>
  <c r="Z95" i="3" s="1"/>
  <c r="BA93" i="3"/>
  <c r="AG95" i="3"/>
  <c r="AW95" i="3" s="1"/>
  <c r="AX94" i="3"/>
  <c r="BA94" i="3" s="1"/>
  <c r="BB92" i="3"/>
  <c r="BF92" i="3"/>
  <c r="BJ91" i="3" s="1"/>
  <c r="BK91" i="3" s="1"/>
  <c r="BQ92" i="3"/>
  <c r="X95" i="3"/>
  <c r="BG92" i="3"/>
  <c r="BH92" i="3" s="1"/>
  <c r="BI92" i="3" s="1"/>
  <c r="BD92" i="3"/>
  <c r="AG96" i="3" l="1"/>
  <c r="AN96" i="3"/>
  <c r="BB94" i="3"/>
  <c r="BQ94" i="3"/>
  <c r="BF94" i="3"/>
  <c r="AO96" i="3"/>
  <c r="BD93" i="3"/>
  <c r="BG93" i="3"/>
  <c r="BH93" i="3" s="1"/>
  <c r="BI93" i="3" s="1"/>
  <c r="AU95" i="3"/>
  <c r="AH96" i="3"/>
  <c r="AX96" i="3" s="1"/>
  <c r="BF93" i="3"/>
  <c r="BJ92" i="3" s="1"/>
  <c r="BK92" i="3" s="1"/>
  <c r="BB93" i="3"/>
  <c r="BQ93" i="3"/>
  <c r="AW96" i="3"/>
  <c r="AY96" i="3" s="1"/>
  <c r="Y96" i="3"/>
  <c r="Z96" i="3" s="1"/>
  <c r="AU96" i="3"/>
  <c r="X96" i="3"/>
  <c r="AX95" i="3"/>
  <c r="AY95" i="3" s="1"/>
  <c r="AY94" i="3"/>
  <c r="BC94" i="3" s="1"/>
  <c r="AQ97" i="3"/>
  <c r="AR97" i="3"/>
  <c r="B97" i="3"/>
  <c r="A98" i="3"/>
  <c r="C97" i="3"/>
  <c r="D97" i="3"/>
  <c r="G97" i="3"/>
  <c r="H97" i="3" s="1"/>
  <c r="BN97" i="3" s="1"/>
  <c r="F97" i="3"/>
  <c r="BM97" i="3" s="1"/>
  <c r="Q97" i="3"/>
  <c r="S97" i="3"/>
  <c r="O97" i="3"/>
  <c r="U97" i="3"/>
  <c r="AE97" i="3"/>
  <c r="AD97" i="3"/>
  <c r="AF97" i="3"/>
  <c r="AK97" i="3"/>
  <c r="M97" i="3"/>
  <c r="AM97" i="3"/>
  <c r="AN97" i="3" s="1"/>
  <c r="P97" i="3"/>
  <c r="T97" i="3"/>
  <c r="R97" i="3"/>
  <c r="V97" i="3"/>
  <c r="AT95" i="3"/>
  <c r="BD94" i="3" l="1"/>
  <c r="BG94" i="3"/>
  <c r="BH94" i="3" s="1"/>
  <c r="BI94" i="3" s="1"/>
  <c r="AG97" i="3"/>
  <c r="B98" i="3"/>
  <c r="AR98" i="3"/>
  <c r="A99" i="3"/>
  <c r="AQ98" i="3"/>
  <c r="D98" i="3"/>
  <c r="C98" i="3"/>
  <c r="G98" i="3"/>
  <c r="H98" i="3" s="1"/>
  <c r="BN98" i="3" s="1"/>
  <c r="F98" i="3"/>
  <c r="BM98" i="3" s="1"/>
  <c r="Q98" i="3"/>
  <c r="S98" i="3"/>
  <c r="O98" i="3"/>
  <c r="U98" i="3"/>
  <c r="AE98" i="3"/>
  <c r="M98" i="3"/>
  <c r="AD98" i="3"/>
  <c r="AK98" i="3"/>
  <c r="AO98" i="3" s="1"/>
  <c r="AF98" i="3"/>
  <c r="AM98" i="3"/>
  <c r="T98" i="3"/>
  <c r="R98" i="3"/>
  <c r="V98" i="3"/>
  <c r="P98" i="3"/>
  <c r="AH97" i="3"/>
  <c r="AV95" i="3"/>
  <c r="BC95" i="3" s="1"/>
  <c r="BA95" i="3"/>
  <c r="AT97" i="3"/>
  <c r="BJ93" i="3"/>
  <c r="BK93" i="3" s="1"/>
  <c r="AO97" i="3"/>
  <c r="X97" i="3"/>
  <c r="AU97" i="3"/>
  <c r="Y97" i="3"/>
  <c r="Z97" i="3" s="1"/>
  <c r="AT96" i="3"/>
  <c r="AH98" i="3" l="1"/>
  <c r="BD95" i="3"/>
  <c r="BG95" i="3"/>
  <c r="BH95" i="3" s="1"/>
  <c r="BI95" i="3" s="1"/>
  <c r="A100" i="3"/>
  <c r="B99" i="3"/>
  <c r="AQ99" i="3"/>
  <c r="AR99" i="3"/>
  <c r="D99" i="3"/>
  <c r="C99" i="3"/>
  <c r="F99" i="3"/>
  <c r="BM99" i="3" s="1"/>
  <c r="G99" i="3"/>
  <c r="H99" i="3" s="1"/>
  <c r="BN99" i="3" s="1"/>
  <c r="Q99" i="3"/>
  <c r="S99" i="3"/>
  <c r="O99" i="3"/>
  <c r="U99" i="3"/>
  <c r="AD99" i="3"/>
  <c r="AE99" i="3"/>
  <c r="AM99" i="3"/>
  <c r="AF99" i="3"/>
  <c r="AK99" i="3"/>
  <c r="M99" i="3"/>
  <c r="R99" i="3"/>
  <c r="T99" i="3"/>
  <c r="P99" i="3"/>
  <c r="V99" i="3"/>
  <c r="X98" i="3"/>
  <c r="BB95" i="3"/>
  <c r="BQ95" i="3"/>
  <c r="BF95" i="3"/>
  <c r="BJ94" i="3" s="1"/>
  <c r="BK94" i="3" s="1"/>
  <c r="Y98" i="3"/>
  <c r="Z98" i="3" s="1"/>
  <c r="AW97" i="3"/>
  <c r="AV96" i="3"/>
  <c r="BC96" i="3" s="1"/>
  <c r="BA96" i="3"/>
  <c r="AG98" i="3"/>
  <c r="AV97" i="3"/>
  <c r="AX97" i="3"/>
  <c r="AN98" i="3"/>
  <c r="AX98" i="3" s="1"/>
  <c r="AY97" i="3" l="1"/>
  <c r="X99" i="3"/>
  <c r="AO99" i="3"/>
  <c r="AW98" i="3"/>
  <c r="AY98" i="3" s="1"/>
  <c r="AT98" i="3"/>
  <c r="AH99" i="3"/>
  <c r="AN99" i="3"/>
  <c r="BD96" i="3"/>
  <c r="BG96" i="3"/>
  <c r="BH96" i="3" s="1"/>
  <c r="BI96" i="3" s="1"/>
  <c r="BA97" i="3"/>
  <c r="AU98" i="3"/>
  <c r="AG99" i="3"/>
  <c r="AW99" i="3" s="1"/>
  <c r="AR100" i="3"/>
  <c r="B100" i="3"/>
  <c r="A101" i="3"/>
  <c r="AQ100" i="3"/>
  <c r="D100" i="3"/>
  <c r="C100" i="3"/>
  <c r="G100" i="3"/>
  <c r="H100" i="3" s="1"/>
  <c r="BN100" i="3" s="1"/>
  <c r="F100" i="3"/>
  <c r="BM100" i="3" s="1"/>
  <c r="Q100" i="3"/>
  <c r="S100" i="3"/>
  <c r="O100" i="3"/>
  <c r="U100" i="3"/>
  <c r="M100" i="3"/>
  <c r="AE100" i="3"/>
  <c r="AF100" i="3"/>
  <c r="AD100" i="3"/>
  <c r="AM100" i="3"/>
  <c r="AK100" i="3"/>
  <c r="T100" i="3"/>
  <c r="V100" i="3"/>
  <c r="P100" i="3"/>
  <c r="R100" i="3"/>
  <c r="AV98" i="3"/>
  <c r="BA98" i="3"/>
  <c r="AU99" i="3"/>
  <c r="BF96" i="3"/>
  <c r="BJ95" i="3" s="1"/>
  <c r="BK95" i="3" s="1"/>
  <c r="BQ96" i="3"/>
  <c r="BB96" i="3"/>
  <c r="BC97" i="3"/>
  <c r="Y99" i="3"/>
  <c r="Z99" i="3" s="1"/>
  <c r="BC98" i="3" l="1"/>
  <c r="BG98" i="3" s="1"/>
  <c r="BH98" i="3" s="1"/>
  <c r="BI98" i="3" s="1"/>
  <c r="AH100" i="3"/>
  <c r="AN100" i="3"/>
  <c r="BD97" i="3"/>
  <c r="BG97" i="3"/>
  <c r="BH97" i="3" s="1"/>
  <c r="BI97" i="3" s="1"/>
  <c r="C101" i="3"/>
  <c r="AR101" i="3"/>
  <c r="AQ101" i="3"/>
  <c r="B101" i="3"/>
  <c r="A102" i="3"/>
  <c r="D101" i="3"/>
  <c r="G101" i="3"/>
  <c r="H101" i="3" s="1"/>
  <c r="BN101" i="3" s="1"/>
  <c r="F101" i="3"/>
  <c r="BM101" i="3" s="1"/>
  <c r="S101" i="3"/>
  <c r="Q101" i="3"/>
  <c r="O101" i="3"/>
  <c r="U101" i="3"/>
  <c r="AD101" i="3"/>
  <c r="M101" i="3"/>
  <c r="AE101" i="3"/>
  <c r="AK101" i="3"/>
  <c r="AF101" i="3"/>
  <c r="AM101" i="3"/>
  <c r="V101" i="3"/>
  <c r="P101" i="3"/>
  <c r="T101" i="3"/>
  <c r="R101" i="3"/>
  <c r="AO100" i="3"/>
  <c r="BB98" i="3"/>
  <c r="BF98" i="3"/>
  <c r="BQ98" i="3"/>
  <c r="Y100" i="3"/>
  <c r="Z100" i="3" s="1"/>
  <c r="AT99" i="3"/>
  <c r="X100" i="3"/>
  <c r="BB97" i="3"/>
  <c r="BQ97" i="3"/>
  <c r="BF97" i="3"/>
  <c r="AG100" i="3"/>
  <c r="AW100" i="3" s="1"/>
  <c r="AX99" i="3"/>
  <c r="AY99" i="3" s="1"/>
  <c r="BD98" i="3" l="1"/>
  <c r="AO101" i="3"/>
  <c r="AT100" i="3"/>
  <c r="AH101" i="3"/>
  <c r="BA99" i="3"/>
  <c r="AV99" i="3"/>
  <c r="BC99" i="3" s="1"/>
  <c r="AX100" i="3"/>
  <c r="AY100" i="3" s="1"/>
  <c r="BJ97" i="3"/>
  <c r="BK97" i="3" s="1"/>
  <c r="BJ96" i="3"/>
  <c r="BK96" i="3" s="1"/>
  <c r="X101" i="3"/>
  <c r="AG101" i="3"/>
  <c r="Y101" i="3"/>
  <c r="Z101" i="3" s="1"/>
  <c r="B102" i="3"/>
  <c r="AQ102" i="3"/>
  <c r="AR102" i="3"/>
  <c r="A103" i="3"/>
  <c r="C102" i="3"/>
  <c r="D102" i="3"/>
  <c r="F102" i="3"/>
  <c r="G102" i="3"/>
  <c r="H102" i="3" s="1"/>
  <c r="Q102" i="3"/>
  <c r="S102" i="3"/>
  <c r="O102" i="3"/>
  <c r="U102" i="3"/>
  <c r="AD102" i="3"/>
  <c r="AE102" i="3"/>
  <c r="M102" i="3"/>
  <c r="AK102" i="3"/>
  <c r="AM102" i="3"/>
  <c r="AN102" i="3" s="1"/>
  <c r="AF102" i="3"/>
  <c r="V102" i="3"/>
  <c r="T102" i="3"/>
  <c r="R102" i="3"/>
  <c r="P102" i="3"/>
  <c r="AU100" i="3"/>
  <c r="AN101" i="3"/>
  <c r="AO102" i="3" l="1"/>
  <c r="B103" i="3"/>
  <c r="AQ103" i="3"/>
  <c r="AR103" i="3"/>
  <c r="A104" i="3"/>
  <c r="D103" i="3"/>
  <c r="C103" i="3"/>
  <c r="F103" i="3"/>
  <c r="BM103" i="3" s="1"/>
  <c r="G103" i="3"/>
  <c r="H103" i="3" s="1"/>
  <c r="BN103" i="3" s="1"/>
  <c r="Q103" i="3"/>
  <c r="S103" i="3"/>
  <c r="O103" i="3"/>
  <c r="U103" i="3"/>
  <c r="AD103" i="3"/>
  <c r="M103" i="3"/>
  <c r="AF103" i="3"/>
  <c r="AK103" i="3"/>
  <c r="AM103" i="3"/>
  <c r="AE103" i="3"/>
  <c r="AG103" i="3" s="1"/>
  <c r="V103" i="3"/>
  <c r="P103" i="3"/>
  <c r="T103" i="3"/>
  <c r="R103" i="3"/>
  <c r="Y102" i="3"/>
  <c r="Z102" i="3" s="1"/>
  <c r="AW101" i="3"/>
  <c r="AH102" i="3"/>
  <c r="BQ99" i="3"/>
  <c r="BB99" i="3"/>
  <c r="BF99" i="3"/>
  <c r="BJ98" i="3" s="1"/>
  <c r="BK98" i="3" s="1"/>
  <c r="AU101" i="3"/>
  <c r="AG102" i="3"/>
  <c r="AW102" i="3" s="1"/>
  <c r="X102" i="3"/>
  <c r="BN102" i="3"/>
  <c r="AX101" i="3"/>
  <c r="AY101" i="3" s="1"/>
  <c r="AT101" i="3"/>
  <c r="BD99" i="3"/>
  <c r="BG99" i="3"/>
  <c r="BH99" i="3" s="1"/>
  <c r="BI99" i="3" s="1"/>
  <c r="BM102" i="3"/>
  <c r="BA100" i="3"/>
  <c r="AV100" i="3"/>
  <c r="BC100" i="3" s="1"/>
  <c r="AO103" i="3" l="1"/>
  <c r="Y103" i="3"/>
  <c r="Z103" i="3" s="1"/>
  <c r="AH103" i="3"/>
  <c r="BA101" i="3"/>
  <c r="AV101" i="3"/>
  <c r="BC101" i="3" s="1"/>
  <c r="X103" i="3"/>
  <c r="AX102" i="3"/>
  <c r="AY102" i="3" s="1"/>
  <c r="A105" i="3"/>
  <c r="AR104" i="3"/>
  <c r="B104" i="3"/>
  <c r="AQ104" i="3"/>
  <c r="C104" i="3"/>
  <c r="D104" i="3"/>
  <c r="G104" i="3"/>
  <c r="H104" i="3" s="1"/>
  <c r="BN104" i="3" s="1"/>
  <c r="F104" i="3"/>
  <c r="BM104" i="3" s="1"/>
  <c r="Q104" i="3"/>
  <c r="S104" i="3"/>
  <c r="O104" i="3"/>
  <c r="U104" i="3"/>
  <c r="AE104" i="3"/>
  <c r="AG104" i="3" s="1"/>
  <c r="AD104" i="3"/>
  <c r="AM104" i="3"/>
  <c r="AF104" i="3"/>
  <c r="AK104" i="3"/>
  <c r="AO104" i="3" s="1"/>
  <c r="M104" i="3"/>
  <c r="P104" i="3"/>
  <c r="R104" i="3"/>
  <c r="T104" i="3"/>
  <c r="V104" i="3"/>
  <c r="AT103" i="3"/>
  <c r="AN103" i="3"/>
  <c r="AW103" i="3" s="1"/>
  <c r="AT102" i="3"/>
  <c r="AU103" i="3"/>
  <c r="AU102" i="3"/>
  <c r="BD100" i="3"/>
  <c r="BG100" i="3"/>
  <c r="BH100" i="3" s="1"/>
  <c r="BI100" i="3" s="1"/>
  <c r="BQ100" i="3"/>
  <c r="BB100" i="3"/>
  <c r="BF100" i="3"/>
  <c r="BJ99" i="3" s="1"/>
  <c r="BK99" i="3" s="1"/>
  <c r="X104" i="3" l="1"/>
  <c r="AH104" i="3"/>
  <c r="AU104" i="3" s="1"/>
  <c r="Y104" i="3"/>
  <c r="Z104" i="3" s="1"/>
  <c r="AQ105" i="3"/>
  <c r="AR105" i="3"/>
  <c r="B105" i="3"/>
  <c r="A106" i="3"/>
  <c r="D105" i="3"/>
  <c r="C105" i="3"/>
  <c r="F105" i="3"/>
  <c r="BM105" i="3" s="1"/>
  <c r="G105" i="3"/>
  <c r="H105" i="3" s="1"/>
  <c r="BN105" i="3" s="1"/>
  <c r="Q105" i="3"/>
  <c r="S105" i="3"/>
  <c r="O105" i="3"/>
  <c r="U105" i="3"/>
  <c r="M105" i="3"/>
  <c r="AE105" i="3"/>
  <c r="AD105" i="3"/>
  <c r="AF105" i="3"/>
  <c r="AM105" i="3"/>
  <c r="AK105" i="3"/>
  <c r="P105" i="3"/>
  <c r="V105" i="3"/>
  <c r="R105" i="3"/>
  <c r="T105" i="3"/>
  <c r="BD101" i="3"/>
  <c r="BG101" i="3"/>
  <c r="BH101" i="3" s="1"/>
  <c r="BI101" i="3" s="1"/>
  <c r="AT104" i="3"/>
  <c r="BF101" i="3"/>
  <c r="BJ100" i="3" s="1"/>
  <c r="BK100" i="3" s="1"/>
  <c r="BB101" i="3"/>
  <c r="BQ101" i="3"/>
  <c r="AV103" i="3"/>
  <c r="AX103" i="3"/>
  <c r="AY103" i="3" s="1"/>
  <c r="AV102" i="3"/>
  <c r="BC102" i="3" s="1"/>
  <c r="BA102" i="3"/>
  <c r="AN104" i="3"/>
  <c r="AW104" i="3" s="1"/>
  <c r="AG105" i="3" l="1"/>
  <c r="AO105" i="3"/>
  <c r="BA103" i="3"/>
  <c r="X105" i="3"/>
  <c r="BF102" i="3"/>
  <c r="BJ101" i="3" s="1"/>
  <c r="BK101" i="3" s="1"/>
  <c r="BB102" i="3"/>
  <c r="BQ102" i="3"/>
  <c r="BC103" i="3"/>
  <c r="AX104" i="3"/>
  <c r="AY104" i="3" s="1"/>
  <c r="AV104" i="3"/>
  <c r="BD102" i="3"/>
  <c r="BG102" i="3"/>
  <c r="BH102" i="3" s="1"/>
  <c r="BI102" i="3" s="1"/>
  <c r="A107" i="3"/>
  <c r="AQ106" i="3"/>
  <c r="B106" i="3"/>
  <c r="AR106" i="3"/>
  <c r="C106" i="3"/>
  <c r="D106" i="3"/>
  <c r="G106" i="3"/>
  <c r="H106" i="3" s="1"/>
  <c r="BN106" i="3" s="1"/>
  <c r="F106" i="3"/>
  <c r="BM106" i="3" s="1"/>
  <c r="Q106" i="3"/>
  <c r="S106" i="3"/>
  <c r="O106" i="3"/>
  <c r="U106" i="3"/>
  <c r="AD106" i="3"/>
  <c r="M106" i="3"/>
  <c r="AE106" i="3"/>
  <c r="AF106" i="3"/>
  <c r="AK106" i="3"/>
  <c r="AM106" i="3"/>
  <c r="AN106" i="3" s="1"/>
  <c r="T106" i="3"/>
  <c r="P106" i="3"/>
  <c r="V106" i="3"/>
  <c r="R106" i="3"/>
  <c r="Y105" i="3"/>
  <c r="Z105" i="3" s="1"/>
  <c r="AN105" i="3"/>
  <c r="AH105" i="3"/>
  <c r="AT105" i="3" s="1"/>
  <c r="AO106" i="3" l="1"/>
  <c r="AW105" i="3"/>
  <c r="Y106" i="3"/>
  <c r="Z106" i="3" s="1"/>
  <c r="AU105" i="3"/>
  <c r="AG106" i="3"/>
  <c r="A108" i="3"/>
  <c r="B107" i="3"/>
  <c r="AQ107" i="3"/>
  <c r="AR107" i="3"/>
  <c r="D107" i="3"/>
  <c r="C107" i="3"/>
  <c r="G107" i="3"/>
  <c r="H107" i="3" s="1"/>
  <c r="BN107" i="3" s="1"/>
  <c r="F107" i="3"/>
  <c r="BM107" i="3" s="1"/>
  <c r="S107" i="3"/>
  <c r="Q107" i="3"/>
  <c r="O107" i="3"/>
  <c r="U107" i="3"/>
  <c r="M107" i="3"/>
  <c r="AD107" i="3"/>
  <c r="AM107" i="3"/>
  <c r="AE107" i="3"/>
  <c r="AF107" i="3"/>
  <c r="AK107" i="3"/>
  <c r="V107" i="3"/>
  <c r="T107" i="3"/>
  <c r="R107" i="3"/>
  <c r="P107" i="3"/>
  <c r="BG103" i="3"/>
  <c r="BH103" i="3" s="1"/>
  <c r="BI103" i="3" s="1"/>
  <c r="BD103" i="3"/>
  <c r="BA104" i="3"/>
  <c r="AH106" i="3"/>
  <c r="AX106" i="3" s="1"/>
  <c r="BQ103" i="3"/>
  <c r="BF103" i="3"/>
  <c r="BJ102" i="3" s="1"/>
  <c r="BK102" i="3" s="1"/>
  <c r="BB103" i="3"/>
  <c r="BC104" i="3"/>
  <c r="AV105" i="3"/>
  <c r="X106" i="3"/>
  <c r="AX105" i="3"/>
  <c r="AY105" i="3" s="1"/>
  <c r="AH107" i="3" l="1"/>
  <c r="AO107" i="3"/>
  <c r="AG107" i="3"/>
  <c r="AN107" i="3"/>
  <c r="AW106" i="3"/>
  <c r="AY106" i="3" s="1"/>
  <c r="BC105" i="3"/>
  <c r="AT107" i="3"/>
  <c r="AT106" i="3"/>
  <c r="AR108" i="3"/>
  <c r="B108" i="3"/>
  <c r="AQ108" i="3"/>
  <c r="A109" i="3"/>
  <c r="C108" i="3"/>
  <c r="D108" i="3"/>
  <c r="G108" i="3"/>
  <c r="H108" i="3" s="1"/>
  <c r="BN108" i="3" s="1"/>
  <c r="F108" i="3"/>
  <c r="BM108" i="3" s="1"/>
  <c r="Q108" i="3"/>
  <c r="S108" i="3"/>
  <c r="O108" i="3"/>
  <c r="U108" i="3"/>
  <c r="AD108" i="3"/>
  <c r="M108" i="3"/>
  <c r="AF108" i="3"/>
  <c r="AM108" i="3"/>
  <c r="AE108" i="3"/>
  <c r="AK108" i="3"/>
  <c r="AO108" i="3" s="1"/>
  <c r="T108" i="3"/>
  <c r="V108" i="3"/>
  <c r="P108" i="3"/>
  <c r="R108" i="3"/>
  <c r="BA105" i="3"/>
  <c r="BB104" i="3"/>
  <c r="BQ104" i="3"/>
  <c r="BF104" i="3"/>
  <c r="BJ103" i="3" s="1"/>
  <c r="BK103" i="3" s="1"/>
  <c r="AU106" i="3"/>
  <c r="BD104" i="3"/>
  <c r="BG104" i="3"/>
  <c r="BH104" i="3" s="1"/>
  <c r="BI104" i="3" s="1"/>
  <c r="X107" i="3"/>
  <c r="AU107" i="3"/>
  <c r="Y107" i="3"/>
  <c r="Z107" i="3" s="1"/>
  <c r="AG108" i="3" l="1"/>
  <c r="AX107" i="3"/>
  <c r="X108" i="3"/>
  <c r="BB105" i="3"/>
  <c r="BQ105" i="3"/>
  <c r="BF105" i="3"/>
  <c r="BJ104" i="3" s="1"/>
  <c r="BK104" i="3" s="1"/>
  <c r="Y108" i="3"/>
  <c r="Z108" i="3" s="1"/>
  <c r="AQ109" i="3"/>
  <c r="B109" i="3"/>
  <c r="AR109" i="3"/>
  <c r="D109" i="3"/>
  <c r="A110" i="3"/>
  <c r="C109" i="3"/>
  <c r="F109" i="3"/>
  <c r="BM109" i="3" s="1"/>
  <c r="G109" i="3"/>
  <c r="H109" i="3" s="1"/>
  <c r="BN109" i="3" s="1"/>
  <c r="Q109" i="3"/>
  <c r="S109" i="3"/>
  <c r="O109" i="3"/>
  <c r="U109" i="3"/>
  <c r="AD109" i="3"/>
  <c r="M109" i="3"/>
  <c r="AF109" i="3"/>
  <c r="AK109" i="3"/>
  <c r="AE109" i="3"/>
  <c r="AM109" i="3"/>
  <c r="T109" i="3"/>
  <c r="P109" i="3"/>
  <c r="V109" i="3"/>
  <c r="R109" i="3"/>
  <c r="AV106" i="3"/>
  <c r="BC106" i="3" s="1"/>
  <c r="BA106" i="3"/>
  <c r="AN108" i="3"/>
  <c r="AW107" i="3"/>
  <c r="AY107" i="3" s="1"/>
  <c r="AV107" i="3"/>
  <c r="BD105" i="3"/>
  <c r="BG105" i="3"/>
  <c r="BH105" i="3" s="1"/>
  <c r="BI105" i="3" s="1"/>
  <c r="AH108" i="3"/>
  <c r="AX108" i="3" s="1"/>
  <c r="AN109" i="3" l="1"/>
  <c r="AH109" i="3"/>
  <c r="X109" i="3"/>
  <c r="B110" i="3"/>
  <c r="AQ110" i="3"/>
  <c r="AR110" i="3"/>
  <c r="A111" i="3"/>
  <c r="C110" i="3"/>
  <c r="D110" i="3"/>
  <c r="G110" i="3"/>
  <c r="H110" i="3" s="1"/>
  <c r="BN110" i="3" s="1"/>
  <c r="F110" i="3"/>
  <c r="BM110" i="3" s="1"/>
  <c r="Q110" i="3"/>
  <c r="S110" i="3"/>
  <c r="O110" i="3"/>
  <c r="U110" i="3"/>
  <c r="M110" i="3"/>
  <c r="AD110" i="3"/>
  <c r="AK110" i="3"/>
  <c r="AM110" i="3"/>
  <c r="AE110" i="3"/>
  <c r="AF110" i="3"/>
  <c r="P110" i="3"/>
  <c r="T110" i="3"/>
  <c r="R110" i="3"/>
  <c r="V110" i="3"/>
  <c r="BC107" i="3"/>
  <c r="AU108" i="3"/>
  <c r="AT108" i="3"/>
  <c r="BD106" i="3"/>
  <c r="BG106" i="3"/>
  <c r="BH106" i="3" s="1"/>
  <c r="BI106" i="3" s="1"/>
  <c r="BA107" i="3"/>
  <c r="AG109" i="3"/>
  <c r="AT109" i="3" s="1"/>
  <c r="BQ106" i="3"/>
  <c r="BB106" i="3"/>
  <c r="BF106" i="3"/>
  <c r="BJ105" i="3" s="1"/>
  <c r="BK105" i="3" s="1"/>
  <c r="Y109" i="3"/>
  <c r="Z109" i="3" s="1"/>
  <c r="AW108" i="3"/>
  <c r="AY108" i="3" s="1"/>
  <c r="AO109" i="3"/>
  <c r="AX109" i="3" s="1"/>
  <c r="AN110" i="3" l="1"/>
  <c r="AG110" i="3"/>
  <c r="AH110" i="3"/>
  <c r="BQ107" i="3"/>
  <c r="BB107" i="3"/>
  <c r="BF107" i="3"/>
  <c r="BJ106" i="3" s="1"/>
  <c r="BK106" i="3" s="1"/>
  <c r="AO110" i="3"/>
  <c r="BA108" i="3"/>
  <c r="AV108" i="3"/>
  <c r="BC108" i="3" s="1"/>
  <c r="AQ111" i="3"/>
  <c r="AR111" i="3"/>
  <c r="A112" i="3"/>
  <c r="B111" i="3"/>
  <c r="C111" i="3"/>
  <c r="D111" i="3"/>
  <c r="F111" i="3"/>
  <c r="BM111" i="3" s="1"/>
  <c r="G111" i="3"/>
  <c r="H111" i="3" s="1"/>
  <c r="BN111" i="3" s="1"/>
  <c r="Q111" i="3"/>
  <c r="S111" i="3"/>
  <c r="O111" i="3"/>
  <c r="U111" i="3"/>
  <c r="M111" i="3"/>
  <c r="AE111" i="3"/>
  <c r="AF111" i="3"/>
  <c r="AK111" i="3"/>
  <c r="AM111" i="3"/>
  <c r="AD111" i="3"/>
  <c r="R111" i="3"/>
  <c r="T111" i="3"/>
  <c r="P111" i="3"/>
  <c r="V111" i="3"/>
  <c r="AT110" i="3"/>
  <c r="AW109" i="3"/>
  <c r="AY109" i="3" s="1"/>
  <c r="X110" i="3"/>
  <c r="AU110" i="3"/>
  <c r="AU109" i="3"/>
  <c r="AV109" i="3" s="1"/>
  <c r="BG107" i="3"/>
  <c r="BH107" i="3" s="1"/>
  <c r="BI107" i="3" s="1"/>
  <c r="BD107" i="3"/>
  <c r="Y110" i="3"/>
  <c r="Z110" i="3" s="1"/>
  <c r="BC109" i="3" l="1"/>
  <c r="BD109" i="3" s="1"/>
  <c r="AW110" i="3"/>
  <c r="AO111" i="3"/>
  <c r="BD108" i="3"/>
  <c r="BG108" i="3"/>
  <c r="BH108" i="3" s="1"/>
  <c r="BI108" i="3" s="1"/>
  <c r="Y111" i="3"/>
  <c r="Z111" i="3" s="1"/>
  <c r="BQ108" i="3"/>
  <c r="BF108" i="3"/>
  <c r="BJ107" i="3" s="1"/>
  <c r="BK107" i="3" s="1"/>
  <c r="BB108" i="3"/>
  <c r="AG111" i="3"/>
  <c r="A113" i="3"/>
  <c r="AR112" i="3"/>
  <c r="B112" i="3"/>
  <c r="AQ112" i="3"/>
  <c r="C112" i="3"/>
  <c r="D112" i="3"/>
  <c r="F112" i="3"/>
  <c r="BM112" i="3" s="1"/>
  <c r="G112" i="3"/>
  <c r="H112" i="3" s="1"/>
  <c r="Q112" i="3"/>
  <c r="S112" i="3"/>
  <c r="O112" i="3"/>
  <c r="U112" i="3"/>
  <c r="AE112" i="3"/>
  <c r="AD112" i="3"/>
  <c r="M112" i="3"/>
  <c r="AF112" i="3"/>
  <c r="AM112" i="3"/>
  <c r="AK112" i="3"/>
  <c r="T112" i="3"/>
  <c r="V112" i="3"/>
  <c r="R112" i="3"/>
  <c r="P112" i="3"/>
  <c r="AH111" i="3"/>
  <c r="BA109" i="3"/>
  <c r="X111" i="3"/>
  <c r="AV110" i="3"/>
  <c r="AN111" i="3"/>
  <c r="AX110" i="3"/>
  <c r="BA110" i="3" s="1"/>
  <c r="AH112" i="3" l="1"/>
  <c r="AO112" i="3"/>
  <c r="BG109" i="3"/>
  <c r="BH109" i="3" s="1"/>
  <c r="BI109" i="3" s="1"/>
  <c r="AX111" i="3"/>
  <c r="AY110" i="3"/>
  <c r="BC110" i="3" s="1"/>
  <c r="AQ113" i="3"/>
  <c r="AR113" i="3"/>
  <c r="B113" i="3"/>
  <c r="A114" i="3"/>
  <c r="C113" i="3"/>
  <c r="D113" i="3"/>
  <c r="F113" i="3"/>
  <c r="BM113" i="3" s="1"/>
  <c r="G113" i="3"/>
  <c r="H113" i="3" s="1"/>
  <c r="BN113" i="3" s="1"/>
  <c r="Q113" i="3"/>
  <c r="S113" i="3"/>
  <c r="O113" i="3"/>
  <c r="U113" i="3"/>
  <c r="M113" i="3"/>
  <c r="AD113" i="3"/>
  <c r="AE113" i="3"/>
  <c r="AK113" i="3"/>
  <c r="AF113" i="3"/>
  <c r="AM113" i="3"/>
  <c r="T113" i="3"/>
  <c r="V113" i="3"/>
  <c r="P113" i="3"/>
  <c r="R113" i="3"/>
  <c r="AW111" i="3"/>
  <c r="BQ110" i="3"/>
  <c r="BF110" i="3"/>
  <c r="BB110" i="3"/>
  <c r="AG112" i="3"/>
  <c r="AT112" i="3" s="1"/>
  <c r="X112" i="3"/>
  <c r="AN112" i="3"/>
  <c r="AT111" i="3"/>
  <c r="BF109" i="3"/>
  <c r="BJ108" i="3" s="1"/>
  <c r="BK108" i="3" s="1"/>
  <c r="BQ109" i="3"/>
  <c r="BB109" i="3"/>
  <c r="Y112" i="3"/>
  <c r="Z112" i="3" s="1"/>
  <c r="AU111" i="3"/>
  <c r="BN112" i="3"/>
  <c r="AX112" i="3" l="1"/>
  <c r="AY111" i="3"/>
  <c r="AG113" i="3"/>
  <c r="AN113" i="3"/>
  <c r="X113" i="3"/>
  <c r="BA111" i="3"/>
  <c r="AV111" i="3"/>
  <c r="AU112" i="3"/>
  <c r="AW112" i="3"/>
  <c r="AY112" i="3" s="1"/>
  <c r="AO113" i="3"/>
  <c r="BJ109" i="3"/>
  <c r="BK109" i="3" s="1"/>
  <c r="AH113" i="3"/>
  <c r="AX113" i="3" s="1"/>
  <c r="B114" i="3"/>
  <c r="AQ114" i="3"/>
  <c r="A115" i="3"/>
  <c r="D114" i="3"/>
  <c r="AR114" i="3"/>
  <c r="C114" i="3"/>
  <c r="G114" i="3"/>
  <c r="H114" i="3" s="1"/>
  <c r="F114" i="3"/>
  <c r="Q114" i="3"/>
  <c r="S114" i="3"/>
  <c r="O114" i="3"/>
  <c r="U114" i="3"/>
  <c r="AE114" i="3"/>
  <c r="AD114" i="3"/>
  <c r="AK114" i="3"/>
  <c r="AM114" i="3"/>
  <c r="AN114" i="3" s="1"/>
  <c r="AF114" i="3"/>
  <c r="M114" i="3"/>
  <c r="R114" i="3"/>
  <c r="V114" i="3"/>
  <c r="T114" i="3"/>
  <c r="P114" i="3"/>
  <c r="BD110" i="3"/>
  <c r="BG110" i="3"/>
  <c r="BH110" i="3" s="1"/>
  <c r="BI110" i="3" s="1"/>
  <c r="Y113" i="3"/>
  <c r="Z113" i="3" s="1"/>
  <c r="BC111" i="3" l="1"/>
  <c r="BA112" i="3"/>
  <c r="BF112" i="3" s="1"/>
  <c r="Y114" i="3"/>
  <c r="Z114" i="3" s="1"/>
  <c r="AR115" i="3"/>
  <c r="A116" i="3"/>
  <c r="B115" i="3"/>
  <c r="AQ115" i="3"/>
  <c r="C115" i="3"/>
  <c r="D115" i="3"/>
  <c r="F115" i="3"/>
  <c r="BM115" i="3" s="1"/>
  <c r="G115" i="3"/>
  <c r="H115" i="3" s="1"/>
  <c r="BN115" i="3" s="1"/>
  <c r="Q115" i="3"/>
  <c r="S115" i="3"/>
  <c r="O115" i="3"/>
  <c r="U115" i="3"/>
  <c r="M115" i="3"/>
  <c r="AD115" i="3"/>
  <c r="AF115" i="3"/>
  <c r="AE115" i="3"/>
  <c r="AM115" i="3"/>
  <c r="AK115" i="3"/>
  <c r="T115" i="3"/>
  <c r="R115" i="3"/>
  <c r="V115" i="3"/>
  <c r="P115" i="3"/>
  <c r="AO114" i="3"/>
  <c r="BD111" i="3"/>
  <c r="BG111" i="3"/>
  <c r="BH111" i="3" s="1"/>
  <c r="BI111" i="3" s="1"/>
  <c r="AU113" i="3"/>
  <c r="AT113" i="3"/>
  <c r="X114" i="3"/>
  <c r="AW113" i="3"/>
  <c r="AY113" i="3" s="1"/>
  <c r="AG114" i="3"/>
  <c r="BM114" i="3"/>
  <c r="AV112" i="3"/>
  <c r="BC112" i="3" s="1"/>
  <c r="AH114" i="3"/>
  <c r="AX114" i="3" s="1"/>
  <c r="BF111" i="3"/>
  <c r="BJ110" i="3" s="1"/>
  <c r="BK110" i="3" s="1"/>
  <c r="BQ111" i="3"/>
  <c r="BB111" i="3"/>
  <c r="BN114" i="3"/>
  <c r="BQ112" i="3" l="1"/>
  <c r="BB112" i="3"/>
  <c r="AO115" i="3"/>
  <c r="BD112" i="3"/>
  <c r="BG112" i="3"/>
  <c r="BH112" i="3" s="1"/>
  <c r="BI112" i="3" s="1"/>
  <c r="AH115" i="3"/>
  <c r="AW114" i="3"/>
  <c r="AY114" i="3" s="1"/>
  <c r="AU114" i="3"/>
  <c r="AT114" i="3"/>
  <c r="X115" i="3"/>
  <c r="BA113" i="3"/>
  <c r="AV113" i="3"/>
  <c r="BC113" i="3" s="1"/>
  <c r="AR116" i="3"/>
  <c r="B116" i="3"/>
  <c r="AQ116" i="3"/>
  <c r="A117" i="3"/>
  <c r="C116" i="3"/>
  <c r="D116" i="3"/>
  <c r="G116" i="3"/>
  <c r="H116" i="3" s="1"/>
  <c r="BN116" i="3" s="1"/>
  <c r="F116" i="3"/>
  <c r="BM116" i="3" s="1"/>
  <c r="Q116" i="3"/>
  <c r="S116" i="3"/>
  <c r="O116" i="3"/>
  <c r="U116" i="3"/>
  <c r="M116" i="3"/>
  <c r="AD116" i="3"/>
  <c r="AE116" i="3"/>
  <c r="AF116" i="3"/>
  <c r="AK116" i="3"/>
  <c r="AM116" i="3"/>
  <c r="V116" i="3"/>
  <c r="P116" i="3"/>
  <c r="R116" i="3"/>
  <c r="T116" i="3"/>
  <c r="AN115" i="3"/>
  <c r="Y115" i="3"/>
  <c r="Z115" i="3" s="1"/>
  <c r="AG115" i="3"/>
  <c r="AU115" i="3" s="1"/>
  <c r="BJ111" i="3"/>
  <c r="BK111" i="3" s="1"/>
  <c r="AT115" i="3" l="1"/>
  <c r="AV115" i="3" s="1"/>
  <c r="AN116" i="3"/>
  <c r="AH116" i="3"/>
  <c r="B117" i="3"/>
  <c r="A118" i="3"/>
  <c r="C117" i="3"/>
  <c r="AQ117" i="3"/>
  <c r="AR117" i="3"/>
  <c r="D117" i="3"/>
  <c r="G117" i="3"/>
  <c r="H117" i="3" s="1"/>
  <c r="BN117" i="3" s="1"/>
  <c r="F117" i="3"/>
  <c r="BM117" i="3" s="1"/>
  <c r="S117" i="3"/>
  <c r="Q117" i="3"/>
  <c r="O117" i="3"/>
  <c r="U117" i="3"/>
  <c r="AD117" i="3"/>
  <c r="AE117" i="3"/>
  <c r="AM117" i="3"/>
  <c r="AK117" i="3"/>
  <c r="AF117" i="3"/>
  <c r="M117" i="3"/>
  <c r="R117" i="3"/>
  <c r="V117" i="3"/>
  <c r="T117" i="3"/>
  <c r="P117" i="3"/>
  <c r="BD113" i="3"/>
  <c r="BG113" i="3"/>
  <c r="BH113" i="3" s="1"/>
  <c r="BI113" i="3" s="1"/>
  <c r="Y116" i="3"/>
  <c r="Z116" i="3" s="1"/>
  <c r="AG116" i="3"/>
  <c r="AT116" i="3" s="1"/>
  <c r="BF113" i="3"/>
  <c r="BQ113" i="3"/>
  <c r="BB113" i="3"/>
  <c r="X116" i="3"/>
  <c r="BA114" i="3"/>
  <c r="AV114" i="3"/>
  <c r="BC114" i="3" s="1"/>
  <c r="AO116" i="3"/>
  <c r="AW115" i="3"/>
  <c r="AX115" i="3"/>
  <c r="AO117" i="3" l="1"/>
  <c r="AG117" i="3"/>
  <c r="BA115" i="3"/>
  <c r="BQ115" i="3" s="1"/>
  <c r="AN117" i="3"/>
  <c r="BD114" i="3"/>
  <c r="BG114" i="3"/>
  <c r="BH114" i="3" s="1"/>
  <c r="BI114" i="3" s="1"/>
  <c r="B118" i="3"/>
  <c r="AQ118" i="3"/>
  <c r="AR118" i="3"/>
  <c r="A119" i="3"/>
  <c r="D118" i="3"/>
  <c r="C118" i="3"/>
  <c r="G118" i="3"/>
  <c r="H118" i="3" s="1"/>
  <c r="BN118" i="3" s="1"/>
  <c r="F118" i="3"/>
  <c r="BM118" i="3" s="1"/>
  <c r="Q118" i="3"/>
  <c r="S118" i="3"/>
  <c r="O118" i="3"/>
  <c r="U118" i="3"/>
  <c r="AD118" i="3"/>
  <c r="AM118" i="3"/>
  <c r="AK118" i="3"/>
  <c r="M118" i="3"/>
  <c r="AF118" i="3"/>
  <c r="AE118" i="3"/>
  <c r="R118" i="3"/>
  <c r="P118" i="3"/>
  <c r="T118" i="3"/>
  <c r="V118" i="3"/>
  <c r="X117" i="3"/>
  <c r="BJ112" i="3"/>
  <c r="BK112" i="3" s="1"/>
  <c r="AW116" i="3"/>
  <c r="AH117" i="3"/>
  <c r="AX116" i="3"/>
  <c r="BQ114" i="3"/>
  <c r="BB114" i="3"/>
  <c r="BF114" i="3"/>
  <c r="BJ113" i="3" s="1"/>
  <c r="BK113" i="3" s="1"/>
  <c r="Y117" i="3"/>
  <c r="Z117" i="3" s="1"/>
  <c r="AU116" i="3"/>
  <c r="AV116" i="3" s="1"/>
  <c r="AY115" i="3"/>
  <c r="BC115" i="3" s="1"/>
  <c r="AX117" i="3" l="1"/>
  <c r="BB115" i="3"/>
  <c r="BF115" i="3"/>
  <c r="BJ114" i="3" s="1"/>
  <c r="BK114" i="3" s="1"/>
  <c r="AO118" i="3"/>
  <c r="AY116" i="3"/>
  <c r="BC116" i="3" s="1"/>
  <c r="BA116" i="3"/>
  <c r="BQ116" i="3" s="1"/>
  <c r="AG118" i="3"/>
  <c r="AN118" i="3"/>
  <c r="BD115" i="3"/>
  <c r="BG115" i="3"/>
  <c r="BH115" i="3" s="1"/>
  <c r="BI115" i="3" s="1"/>
  <c r="Y118" i="3"/>
  <c r="Z118" i="3" s="1"/>
  <c r="X118" i="3"/>
  <c r="B119" i="3"/>
  <c r="AQ119" i="3"/>
  <c r="A120" i="3"/>
  <c r="AR119" i="3"/>
  <c r="D119" i="3"/>
  <c r="C119" i="3"/>
  <c r="F119" i="3"/>
  <c r="G119" i="3"/>
  <c r="H119" i="3" s="1"/>
  <c r="Q119" i="3"/>
  <c r="S119" i="3"/>
  <c r="O119" i="3"/>
  <c r="U119" i="3"/>
  <c r="AD119" i="3"/>
  <c r="AE119" i="3"/>
  <c r="AK119" i="3"/>
  <c r="AF119" i="3"/>
  <c r="AM119" i="3"/>
  <c r="AN119" i="3" s="1"/>
  <c r="M119" i="3"/>
  <c r="V119" i="3"/>
  <c r="T119" i="3"/>
  <c r="P119" i="3"/>
  <c r="R119" i="3"/>
  <c r="AW117" i="3"/>
  <c r="AY117" i="3" s="1"/>
  <c r="AU117" i="3"/>
  <c r="AT117" i="3"/>
  <c r="AH118" i="3"/>
  <c r="AU118" i="3" s="1"/>
  <c r="AT118" i="3" l="1"/>
  <c r="BF116" i="3"/>
  <c r="BJ115" i="3" s="1"/>
  <c r="BK115" i="3" s="1"/>
  <c r="BB116" i="3"/>
  <c r="AW118" i="3"/>
  <c r="BN119" i="3"/>
  <c r="BM119" i="3"/>
  <c r="AX118" i="3"/>
  <c r="AY118" i="3" s="1"/>
  <c r="AV117" i="3"/>
  <c r="BC117" i="3" s="1"/>
  <c r="BA117" i="3"/>
  <c r="AG119" i="3"/>
  <c r="BD116" i="3"/>
  <c r="BG116" i="3"/>
  <c r="BH116" i="3" s="1"/>
  <c r="BI116" i="3" s="1"/>
  <c r="AH119" i="3"/>
  <c r="X119" i="3"/>
  <c r="Y119" i="3"/>
  <c r="Z119" i="3" s="1"/>
  <c r="AO119" i="3"/>
  <c r="B120" i="3"/>
  <c r="A121" i="3"/>
  <c r="AR120" i="3"/>
  <c r="AQ120" i="3"/>
  <c r="D120" i="3"/>
  <c r="C120" i="3"/>
  <c r="F120" i="3"/>
  <c r="BM120" i="3" s="1"/>
  <c r="G120" i="3"/>
  <c r="H120" i="3" s="1"/>
  <c r="BN120" i="3" s="1"/>
  <c r="Q120" i="3"/>
  <c r="S120" i="3"/>
  <c r="O120" i="3"/>
  <c r="U120" i="3"/>
  <c r="AD120" i="3"/>
  <c r="M120" i="3"/>
  <c r="AK120" i="3"/>
  <c r="AF120" i="3"/>
  <c r="AM120" i="3"/>
  <c r="AN120" i="3" s="1"/>
  <c r="AE120" i="3"/>
  <c r="P120" i="3"/>
  <c r="V120" i="3"/>
  <c r="R120" i="3"/>
  <c r="T120" i="3"/>
  <c r="BA118" i="3"/>
  <c r="AV118" i="3"/>
  <c r="AG120" i="3" l="1"/>
  <c r="BC118" i="3"/>
  <c r="AO120" i="3"/>
  <c r="AX119" i="3"/>
  <c r="BD118" i="3"/>
  <c r="BG118" i="3"/>
  <c r="BH118" i="3" s="1"/>
  <c r="BI118" i="3" s="1"/>
  <c r="X120" i="3"/>
  <c r="BQ118" i="3"/>
  <c r="BB118" i="3"/>
  <c r="BF118" i="3"/>
  <c r="AT119" i="3"/>
  <c r="AH120" i="3"/>
  <c r="AX120" i="3" s="1"/>
  <c r="BB117" i="3"/>
  <c r="BF117" i="3"/>
  <c r="BJ116" i="3" s="1"/>
  <c r="BK116" i="3" s="1"/>
  <c r="BQ117" i="3"/>
  <c r="AU120" i="3"/>
  <c r="BD117" i="3"/>
  <c r="BG117" i="3"/>
  <c r="BH117" i="3" s="1"/>
  <c r="BI117" i="3" s="1"/>
  <c r="Y120" i="3"/>
  <c r="Z120" i="3" s="1"/>
  <c r="AQ121" i="3"/>
  <c r="AR121" i="3"/>
  <c r="B121" i="3"/>
  <c r="A122" i="3"/>
  <c r="D121" i="3"/>
  <c r="C121" i="3"/>
  <c r="G121" i="3"/>
  <c r="H121" i="3" s="1"/>
  <c r="BN121" i="3" s="1"/>
  <c r="F121" i="3"/>
  <c r="BM121" i="3" s="1"/>
  <c r="Q121" i="3"/>
  <c r="S121" i="3"/>
  <c r="O121" i="3"/>
  <c r="U121" i="3"/>
  <c r="AD121" i="3"/>
  <c r="M121" i="3"/>
  <c r="AE121" i="3"/>
  <c r="AM121" i="3"/>
  <c r="AF121" i="3"/>
  <c r="AK121" i="3"/>
  <c r="T121" i="3"/>
  <c r="V121" i="3"/>
  <c r="R121" i="3"/>
  <c r="P121" i="3"/>
  <c r="AW119" i="3"/>
  <c r="AU119" i="3"/>
  <c r="AO121" i="3" l="1"/>
  <c r="AN121" i="3"/>
  <c r="AY119" i="3"/>
  <c r="X121" i="3"/>
  <c r="BJ117" i="3"/>
  <c r="BK117" i="3" s="1"/>
  <c r="AG121" i="3"/>
  <c r="AH121" i="3"/>
  <c r="AX121" i="3" s="1"/>
  <c r="AW120" i="3"/>
  <c r="AY120" i="3" s="1"/>
  <c r="Y121" i="3"/>
  <c r="Z121" i="3" s="1"/>
  <c r="B122" i="3"/>
  <c r="AR122" i="3"/>
  <c r="A123" i="3"/>
  <c r="D122" i="3"/>
  <c r="AQ122" i="3"/>
  <c r="C122" i="3"/>
  <c r="G122" i="3"/>
  <c r="H122" i="3" s="1"/>
  <c r="BN122" i="3" s="1"/>
  <c r="F122" i="3"/>
  <c r="BM122" i="3" s="1"/>
  <c r="Q122" i="3"/>
  <c r="S122" i="3"/>
  <c r="O122" i="3"/>
  <c r="U122" i="3"/>
  <c r="AD122" i="3"/>
  <c r="M122" i="3"/>
  <c r="AK122" i="3"/>
  <c r="AE122" i="3"/>
  <c r="AF122" i="3"/>
  <c r="AM122" i="3"/>
  <c r="AN122" i="3" s="1"/>
  <c r="V122" i="3"/>
  <c r="P122" i="3"/>
  <c r="T122" i="3"/>
  <c r="R122" i="3"/>
  <c r="AU121" i="3"/>
  <c r="BA119" i="3"/>
  <c r="AV119" i="3"/>
  <c r="BC119" i="3" s="1"/>
  <c r="AT120" i="3"/>
  <c r="AH122" i="3" l="1"/>
  <c r="BF119" i="3"/>
  <c r="BJ118" i="3" s="1"/>
  <c r="BK118" i="3" s="1"/>
  <c r="BB119" i="3"/>
  <c r="BQ119" i="3"/>
  <c r="BA120" i="3"/>
  <c r="AV120" i="3"/>
  <c r="BC120" i="3" s="1"/>
  <c r="BD119" i="3"/>
  <c r="BG119" i="3"/>
  <c r="BH119" i="3" s="1"/>
  <c r="BI119" i="3" s="1"/>
  <c r="X122" i="3"/>
  <c r="A124" i="3"/>
  <c r="B123" i="3"/>
  <c r="AQ123" i="3"/>
  <c r="AR123" i="3"/>
  <c r="C123" i="3"/>
  <c r="D123" i="3"/>
  <c r="F123" i="3"/>
  <c r="BM123" i="3" s="1"/>
  <c r="G123" i="3"/>
  <c r="H123" i="3" s="1"/>
  <c r="BN123" i="3" s="1"/>
  <c r="Q123" i="3"/>
  <c r="S123" i="3"/>
  <c r="O123" i="3"/>
  <c r="U123" i="3"/>
  <c r="M123" i="3"/>
  <c r="AE123" i="3"/>
  <c r="AF123" i="3"/>
  <c r="AK123" i="3"/>
  <c r="AM123" i="3"/>
  <c r="AD123" i="3"/>
  <c r="V123" i="3"/>
  <c r="R123" i="3"/>
  <c r="P123" i="3"/>
  <c r="T123" i="3"/>
  <c r="AG122" i="3"/>
  <c r="AT121" i="3"/>
  <c r="Y122" i="3"/>
  <c r="Z122" i="3" s="1"/>
  <c r="AO122" i="3"/>
  <c r="AX122" i="3" s="1"/>
  <c r="AT122" i="3"/>
  <c r="AW121" i="3"/>
  <c r="AY121" i="3" s="1"/>
  <c r="AN123" i="3" l="1"/>
  <c r="AO123" i="3"/>
  <c r="BA121" i="3"/>
  <c r="AV121" i="3"/>
  <c r="BC121" i="3" s="1"/>
  <c r="X123" i="3"/>
  <c r="AW122" i="3"/>
  <c r="AY122" i="3" s="1"/>
  <c r="BB120" i="3"/>
  <c r="BF120" i="3"/>
  <c r="BJ119" i="3" s="1"/>
  <c r="BK119" i="3" s="1"/>
  <c r="BQ120" i="3"/>
  <c r="AU122" i="3"/>
  <c r="AG123" i="3"/>
  <c r="BG120" i="3"/>
  <c r="BH120" i="3" s="1"/>
  <c r="BI120" i="3" s="1"/>
  <c r="BD120" i="3"/>
  <c r="A125" i="3"/>
  <c r="AR124" i="3"/>
  <c r="B124" i="3"/>
  <c r="AQ124" i="3"/>
  <c r="D124" i="3"/>
  <c r="C124" i="3"/>
  <c r="G124" i="3"/>
  <c r="H124" i="3" s="1"/>
  <c r="BN124" i="3" s="1"/>
  <c r="F124" i="3"/>
  <c r="BM124" i="3" s="1"/>
  <c r="Q124" i="3"/>
  <c r="S124" i="3"/>
  <c r="O124" i="3"/>
  <c r="U124" i="3"/>
  <c r="AD124" i="3"/>
  <c r="M124" i="3"/>
  <c r="AM124" i="3"/>
  <c r="AE124" i="3"/>
  <c r="AK124" i="3"/>
  <c r="AF124" i="3"/>
  <c r="R124" i="3"/>
  <c r="P124" i="3"/>
  <c r="V124" i="3"/>
  <c r="T124" i="3"/>
  <c r="Y123" i="3"/>
  <c r="Z123" i="3" s="1"/>
  <c r="AH123" i="3"/>
  <c r="AX123" i="3" s="1"/>
  <c r="BA122" i="3" l="1"/>
  <c r="Y124" i="3"/>
  <c r="Z124" i="3" s="1"/>
  <c r="AO124" i="3"/>
  <c r="BF122" i="3"/>
  <c r="BB122" i="3"/>
  <c r="BQ122" i="3"/>
  <c r="AW123" i="3"/>
  <c r="AY123" i="3" s="1"/>
  <c r="A126" i="3"/>
  <c r="B125" i="3"/>
  <c r="AR125" i="3"/>
  <c r="AQ125" i="3"/>
  <c r="D125" i="3"/>
  <c r="C125" i="3"/>
  <c r="F125" i="3"/>
  <c r="BM125" i="3" s="1"/>
  <c r="G125" i="3"/>
  <c r="H125" i="3" s="1"/>
  <c r="BN125" i="3" s="1"/>
  <c r="Q125" i="3"/>
  <c r="S125" i="3"/>
  <c r="O125" i="3"/>
  <c r="U125" i="3"/>
  <c r="AE125" i="3"/>
  <c r="M125" i="3"/>
  <c r="AF125" i="3"/>
  <c r="AD125" i="3"/>
  <c r="AK125" i="3"/>
  <c r="AM125" i="3"/>
  <c r="P125" i="3"/>
  <c r="T125" i="3"/>
  <c r="V125" i="3"/>
  <c r="R125" i="3"/>
  <c r="AG124" i="3"/>
  <c r="AT123" i="3"/>
  <c r="AV122" i="3"/>
  <c r="BC122" i="3" s="1"/>
  <c r="AN124" i="3"/>
  <c r="X124" i="3"/>
  <c r="AH124" i="3"/>
  <c r="BD121" i="3"/>
  <c r="BG121" i="3"/>
  <c r="BH121" i="3" s="1"/>
  <c r="BI121" i="3" s="1"/>
  <c r="AU123" i="3"/>
  <c r="BF121" i="3"/>
  <c r="BJ120" i="3" s="1"/>
  <c r="BK120" i="3" s="1"/>
  <c r="BQ121" i="3"/>
  <c r="BB121" i="3"/>
  <c r="AN125" i="3" l="1"/>
  <c r="AG125" i="3"/>
  <c r="AW124" i="3"/>
  <c r="AX124" i="3"/>
  <c r="AT124" i="3"/>
  <c r="BD122" i="3"/>
  <c r="BG122" i="3"/>
  <c r="BH122" i="3" s="1"/>
  <c r="BI122" i="3" s="1"/>
  <c r="AV123" i="3"/>
  <c r="BC123" i="3" s="1"/>
  <c r="BA123" i="3"/>
  <c r="Y125" i="3"/>
  <c r="Z125" i="3" s="1"/>
  <c r="B126" i="3"/>
  <c r="AQ126" i="3"/>
  <c r="A127" i="3"/>
  <c r="AR126" i="3"/>
  <c r="C126" i="3"/>
  <c r="D126" i="3"/>
  <c r="F126" i="3"/>
  <c r="BM126" i="3" s="1"/>
  <c r="G126" i="3"/>
  <c r="H126" i="3" s="1"/>
  <c r="BN126" i="3" s="1"/>
  <c r="Q126" i="3"/>
  <c r="S126" i="3"/>
  <c r="O126" i="3"/>
  <c r="U126" i="3"/>
  <c r="AD126" i="3"/>
  <c r="M126" i="3"/>
  <c r="AK126" i="3"/>
  <c r="AE126" i="3"/>
  <c r="AM126" i="3"/>
  <c r="AN126" i="3" s="1"/>
  <c r="AF126" i="3"/>
  <c r="T126" i="3"/>
  <c r="R126" i="3"/>
  <c r="P126" i="3"/>
  <c r="V126" i="3"/>
  <c r="AO125" i="3"/>
  <c r="AU124" i="3"/>
  <c r="X125" i="3"/>
  <c r="AH125" i="3"/>
  <c r="AX125" i="3" s="1"/>
  <c r="BJ121" i="3"/>
  <c r="BK121" i="3" s="1"/>
  <c r="AY124" i="3" l="1"/>
  <c r="AG126" i="3"/>
  <c r="BQ123" i="3"/>
  <c r="BB123" i="3"/>
  <c r="BF123" i="3"/>
  <c r="BJ122" i="3" s="1"/>
  <c r="BK122" i="3" s="1"/>
  <c r="B127" i="3"/>
  <c r="AQ127" i="3"/>
  <c r="AR127" i="3"/>
  <c r="A128" i="3"/>
  <c r="C127" i="3"/>
  <c r="D127" i="3"/>
  <c r="F127" i="3"/>
  <c r="BM127" i="3" s="1"/>
  <c r="G127" i="3"/>
  <c r="H127" i="3" s="1"/>
  <c r="BN127" i="3" s="1"/>
  <c r="Q127" i="3"/>
  <c r="S127" i="3"/>
  <c r="O127" i="3"/>
  <c r="U127" i="3"/>
  <c r="AE127" i="3"/>
  <c r="M127" i="3"/>
  <c r="AD127" i="3"/>
  <c r="AM127" i="3"/>
  <c r="AK127" i="3"/>
  <c r="AF127" i="3"/>
  <c r="P127" i="3"/>
  <c r="R127" i="3"/>
  <c r="T127" i="3"/>
  <c r="V127" i="3"/>
  <c r="BD123" i="3"/>
  <c r="BG123" i="3"/>
  <c r="BH123" i="3" s="1"/>
  <c r="BI123" i="3" s="1"/>
  <c r="AU125" i="3"/>
  <c r="AH126" i="3"/>
  <c r="BA124" i="3"/>
  <c r="AV124" i="3"/>
  <c r="BC124" i="3" s="1"/>
  <c r="AT125" i="3"/>
  <c r="AU126" i="3"/>
  <c r="AO126" i="3"/>
  <c r="X126" i="3"/>
  <c r="Y126" i="3"/>
  <c r="Z126" i="3" s="1"/>
  <c r="AW125" i="3"/>
  <c r="AY125" i="3" s="1"/>
  <c r="AH127" i="3" l="1"/>
  <c r="AO127" i="3"/>
  <c r="X127" i="3"/>
  <c r="A129" i="3"/>
  <c r="AR128" i="3"/>
  <c r="B128" i="3"/>
  <c r="AQ128" i="3"/>
  <c r="C128" i="3"/>
  <c r="D128" i="3"/>
  <c r="F128" i="3"/>
  <c r="BM128" i="3" s="1"/>
  <c r="G128" i="3"/>
  <c r="H128" i="3" s="1"/>
  <c r="BN128" i="3" s="1"/>
  <c r="Q128" i="3"/>
  <c r="S128" i="3"/>
  <c r="O128" i="3"/>
  <c r="U128" i="3"/>
  <c r="AE128" i="3"/>
  <c r="AD128" i="3"/>
  <c r="AK128" i="3"/>
  <c r="M128" i="3"/>
  <c r="AF128" i="3"/>
  <c r="AM128" i="3"/>
  <c r="V128" i="3"/>
  <c r="T128" i="3"/>
  <c r="P128" i="3"/>
  <c r="R128" i="3"/>
  <c r="AG127" i="3"/>
  <c r="BA125" i="3"/>
  <c r="AV125" i="3"/>
  <c r="BC125" i="3" s="1"/>
  <c r="BD124" i="3"/>
  <c r="BG124" i="3"/>
  <c r="BH124" i="3" s="1"/>
  <c r="BI124" i="3" s="1"/>
  <c r="AT127" i="3"/>
  <c r="AW126" i="3"/>
  <c r="AX126" i="3"/>
  <c r="AU127" i="3"/>
  <c r="Y127" i="3"/>
  <c r="Z127" i="3" s="1"/>
  <c r="BB124" i="3"/>
  <c r="BQ124" i="3"/>
  <c r="BF124" i="3"/>
  <c r="BJ123" i="3" s="1"/>
  <c r="BK123" i="3" s="1"/>
  <c r="AT126" i="3"/>
  <c r="AN127" i="3"/>
  <c r="AX127" i="3" s="1"/>
  <c r="AY126" i="3" l="1"/>
  <c r="AN128" i="3"/>
  <c r="AG128" i="3"/>
  <c r="AH128" i="3"/>
  <c r="BB125" i="3"/>
  <c r="BF125" i="3"/>
  <c r="BJ124" i="3" s="1"/>
  <c r="BK124" i="3" s="1"/>
  <c r="BQ125" i="3"/>
  <c r="AO128" i="3"/>
  <c r="AV127" i="3"/>
  <c r="BD125" i="3"/>
  <c r="BG125" i="3"/>
  <c r="BH125" i="3" s="1"/>
  <c r="BI125" i="3" s="1"/>
  <c r="AU128" i="3"/>
  <c r="AQ129" i="3"/>
  <c r="AR129" i="3"/>
  <c r="B129" i="3"/>
  <c r="A130" i="3"/>
  <c r="D129" i="3"/>
  <c r="C129" i="3"/>
  <c r="G129" i="3"/>
  <c r="H129" i="3" s="1"/>
  <c r="BN129" i="3" s="1"/>
  <c r="F129" i="3"/>
  <c r="Q129" i="3"/>
  <c r="S129" i="3"/>
  <c r="O129" i="3"/>
  <c r="U129" i="3"/>
  <c r="AD129" i="3"/>
  <c r="AE129" i="3"/>
  <c r="M129" i="3"/>
  <c r="AF129" i="3"/>
  <c r="AK129" i="3"/>
  <c r="AM129" i="3"/>
  <c r="T129" i="3"/>
  <c r="V129" i="3"/>
  <c r="R129" i="3"/>
  <c r="P129" i="3"/>
  <c r="AV126" i="3"/>
  <c r="BC126" i="3" s="1"/>
  <c r="BA126" i="3"/>
  <c r="X128" i="3"/>
  <c r="AW127" i="3"/>
  <c r="AY127" i="3" s="1"/>
  <c r="AT128" i="3"/>
  <c r="Y128" i="3"/>
  <c r="Z128" i="3" s="1"/>
  <c r="X129" i="3" l="1"/>
  <c r="AO129" i="3"/>
  <c r="AH129" i="3"/>
  <c r="A131" i="3"/>
  <c r="C130" i="3"/>
  <c r="AQ130" i="3"/>
  <c r="B130" i="3"/>
  <c r="AR130" i="3"/>
  <c r="D130" i="3"/>
  <c r="G130" i="3"/>
  <c r="H130" i="3" s="1"/>
  <c r="BN130" i="3" s="1"/>
  <c r="F130" i="3"/>
  <c r="BM130" i="3" s="1"/>
  <c r="S130" i="3"/>
  <c r="Q130" i="3"/>
  <c r="O130" i="3"/>
  <c r="U130" i="3"/>
  <c r="AE130" i="3"/>
  <c r="AD130" i="3"/>
  <c r="M130" i="3"/>
  <c r="AF130" i="3"/>
  <c r="AK130" i="3"/>
  <c r="AM130" i="3"/>
  <c r="P130" i="3"/>
  <c r="R130" i="3"/>
  <c r="V130" i="3"/>
  <c r="T130" i="3"/>
  <c r="BD126" i="3"/>
  <c r="BG126" i="3"/>
  <c r="BH126" i="3" s="1"/>
  <c r="BI126" i="3" s="1"/>
  <c r="Y129" i="3"/>
  <c r="Z129" i="3" s="1"/>
  <c r="AN129" i="3"/>
  <c r="AG129" i="3"/>
  <c r="BA127" i="3"/>
  <c r="AX128" i="3"/>
  <c r="AV128" i="3"/>
  <c r="BQ126" i="3"/>
  <c r="BF126" i="3"/>
  <c r="BJ125" i="3" s="1"/>
  <c r="BK125" i="3" s="1"/>
  <c r="BB126" i="3"/>
  <c r="AW128" i="3"/>
  <c r="BA128" i="3" s="1"/>
  <c r="BC127" i="3"/>
  <c r="BM129" i="3"/>
  <c r="AW129" i="3" l="1"/>
  <c r="AT129" i="3"/>
  <c r="AH130" i="3"/>
  <c r="AX129" i="3"/>
  <c r="AN130" i="3"/>
  <c r="BB128" i="3"/>
  <c r="BQ128" i="3"/>
  <c r="BF128" i="3"/>
  <c r="BD127" i="3"/>
  <c r="BG127" i="3"/>
  <c r="BH127" i="3" s="1"/>
  <c r="BI127" i="3" s="1"/>
  <c r="AO130" i="3"/>
  <c r="BB127" i="3"/>
  <c r="BQ127" i="3"/>
  <c r="BF127" i="3"/>
  <c r="BJ126" i="3" s="1"/>
  <c r="BK126" i="3" s="1"/>
  <c r="BA129" i="3"/>
  <c r="AV129" i="3"/>
  <c r="X130" i="3"/>
  <c r="AY129" i="3"/>
  <c r="AU130" i="3"/>
  <c r="AX130" i="3"/>
  <c r="AY128" i="3"/>
  <c r="BC128" i="3" s="1"/>
  <c r="AQ131" i="3"/>
  <c r="A132" i="3"/>
  <c r="B131" i="3"/>
  <c r="AR131" i="3"/>
  <c r="D131" i="3"/>
  <c r="C131" i="3"/>
  <c r="F131" i="3"/>
  <c r="BM131" i="3" s="1"/>
  <c r="G131" i="3"/>
  <c r="H131" i="3" s="1"/>
  <c r="BN131" i="3" s="1"/>
  <c r="Q131" i="3"/>
  <c r="S131" i="3"/>
  <c r="O131" i="3"/>
  <c r="U131" i="3"/>
  <c r="M131" i="3"/>
  <c r="AD131" i="3"/>
  <c r="AE131" i="3"/>
  <c r="AM131" i="3"/>
  <c r="AF131" i="3"/>
  <c r="AK131" i="3"/>
  <c r="AO131" i="3" s="1"/>
  <c r="V131" i="3"/>
  <c r="T131" i="3"/>
  <c r="R131" i="3"/>
  <c r="P131" i="3"/>
  <c r="AG130" i="3"/>
  <c r="Y130" i="3"/>
  <c r="Z130" i="3" s="1"/>
  <c r="AU129" i="3"/>
  <c r="AT130" i="3" l="1"/>
  <c r="AG131" i="3"/>
  <c r="BD128" i="3"/>
  <c r="BG128" i="3"/>
  <c r="BH128" i="3" s="1"/>
  <c r="BI128" i="3" s="1"/>
  <c r="AV130" i="3"/>
  <c r="BQ129" i="3"/>
  <c r="BB129" i="3"/>
  <c r="BF129" i="3"/>
  <c r="BJ128" i="3" s="1"/>
  <c r="BK128" i="3" s="1"/>
  <c r="AN131" i="3"/>
  <c r="X131" i="3"/>
  <c r="BC129" i="3"/>
  <c r="Y131" i="3"/>
  <c r="Z131" i="3" s="1"/>
  <c r="BJ127" i="3"/>
  <c r="BK127" i="3" s="1"/>
  <c r="A133" i="3"/>
  <c r="B132" i="3"/>
  <c r="AR132" i="3"/>
  <c r="AQ132" i="3"/>
  <c r="D132" i="3"/>
  <c r="C132" i="3"/>
  <c r="F132" i="3"/>
  <c r="G132" i="3"/>
  <c r="H132" i="3" s="1"/>
  <c r="Q132" i="3"/>
  <c r="S132" i="3"/>
  <c r="O132" i="3"/>
  <c r="U132" i="3"/>
  <c r="M132" i="3"/>
  <c r="AE132" i="3"/>
  <c r="AF132" i="3"/>
  <c r="AM132" i="3"/>
  <c r="AK132" i="3"/>
  <c r="AD132" i="3"/>
  <c r="R132" i="3"/>
  <c r="P132" i="3"/>
  <c r="V132" i="3"/>
  <c r="T132" i="3"/>
  <c r="AH131" i="3"/>
  <c r="AX131" i="3" s="1"/>
  <c r="AW130" i="3"/>
  <c r="BA130" i="3" s="1"/>
  <c r="AO132" i="3" l="1"/>
  <c r="BM132" i="3"/>
  <c r="BN132" i="3"/>
  <c r="AH132" i="3"/>
  <c r="AN132" i="3"/>
  <c r="AY130" i="3"/>
  <c r="BC130" i="3" s="1"/>
  <c r="BD129" i="3"/>
  <c r="BG129" i="3"/>
  <c r="BH129" i="3" s="1"/>
  <c r="BI129" i="3" s="1"/>
  <c r="AW131" i="3"/>
  <c r="AY131" i="3" s="1"/>
  <c r="AU131" i="3"/>
  <c r="AT131" i="3"/>
  <c r="AR133" i="3"/>
  <c r="B133" i="3"/>
  <c r="A134" i="3"/>
  <c r="C133" i="3"/>
  <c r="AQ133" i="3"/>
  <c r="D133" i="3"/>
  <c r="G133" i="3"/>
  <c r="H133" i="3" s="1"/>
  <c r="BN133" i="3" s="1"/>
  <c r="F133" i="3"/>
  <c r="BM133" i="3" s="1"/>
  <c r="Q133" i="3"/>
  <c r="S133" i="3"/>
  <c r="O133" i="3"/>
  <c r="U133" i="3"/>
  <c r="AD133" i="3"/>
  <c r="M133" i="3"/>
  <c r="AK133" i="3"/>
  <c r="AM133" i="3"/>
  <c r="AN133" i="3" s="1"/>
  <c r="AF133" i="3"/>
  <c r="AE133" i="3"/>
  <c r="T133" i="3"/>
  <c r="R133" i="3"/>
  <c r="V133" i="3"/>
  <c r="P133" i="3"/>
  <c r="AG132" i="3"/>
  <c r="AW132" i="3" s="1"/>
  <c r="Y132" i="3"/>
  <c r="Z132" i="3" s="1"/>
  <c r="X132" i="3"/>
  <c r="BB130" i="3"/>
  <c r="BF130" i="3"/>
  <c r="BJ129" i="3" s="1"/>
  <c r="BK129" i="3" s="1"/>
  <c r="BQ130" i="3"/>
  <c r="AG133" i="3" l="1"/>
  <c r="BA131" i="3"/>
  <c r="AV131" i="3"/>
  <c r="BC131" i="3" s="1"/>
  <c r="A135" i="3"/>
  <c r="AR134" i="3"/>
  <c r="B134" i="3"/>
  <c r="AQ134" i="3"/>
  <c r="C134" i="3"/>
  <c r="D134" i="3"/>
  <c r="G134" i="3"/>
  <c r="H134" i="3" s="1"/>
  <c r="BN134" i="3" s="1"/>
  <c r="F134" i="3"/>
  <c r="BM134" i="3" s="1"/>
  <c r="Q134" i="3"/>
  <c r="S134" i="3"/>
  <c r="O134" i="3"/>
  <c r="U134" i="3"/>
  <c r="AD134" i="3"/>
  <c r="AF134" i="3"/>
  <c r="AK134" i="3"/>
  <c r="AE134" i="3"/>
  <c r="AM134" i="3"/>
  <c r="M134" i="3"/>
  <c r="T134" i="3"/>
  <c r="V134" i="3"/>
  <c r="P134" i="3"/>
  <c r="R134" i="3"/>
  <c r="AU132" i="3"/>
  <c r="AO133" i="3"/>
  <c r="BD130" i="3"/>
  <c r="BG130" i="3"/>
  <c r="BH130" i="3" s="1"/>
  <c r="BI130" i="3" s="1"/>
  <c r="Y133" i="3"/>
  <c r="Z133" i="3" s="1"/>
  <c r="AH133" i="3"/>
  <c r="AX133" i="3" s="1"/>
  <c r="AT132" i="3"/>
  <c r="X133" i="3"/>
  <c r="AX132" i="3"/>
  <c r="AY132" i="3" s="1"/>
  <c r="X134" i="3" l="1"/>
  <c r="AT133" i="3"/>
  <c r="AO134" i="3"/>
  <c r="B135" i="3"/>
  <c r="A136" i="3"/>
  <c r="AR135" i="3"/>
  <c r="AQ135" i="3"/>
  <c r="C135" i="3"/>
  <c r="D135" i="3"/>
  <c r="G135" i="3"/>
  <c r="H135" i="3" s="1"/>
  <c r="BN135" i="3" s="1"/>
  <c r="F135" i="3"/>
  <c r="BM135" i="3" s="1"/>
  <c r="Q135" i="3"/>
  <c r="S135" i="3"/>
  <c r="O135" i="3"/>
  <c r="U135" i="3"/>
  <c r="AE135" i="3"/>
  <c r="M135" i="3"/>
  <c r="AD135" i="3"/>
  <c r="AM135" i="3"/>
  <c r="AF135" i="3"/>
  <c r="AK135" i="3"/>
  <c r="R135" i="3"/>
  <c r="P135" i="3"/>
  <c r="V135" i="3"/>
  <c r="T135" i="3"/>
  <c r="AG134" i="3"/>
  <c r="AV132" i="3"/>
  <c r="BC132" i="3" s="1"/>
  <c r="BA132" i="3"/>
  <c r="BD131" i="3"/>
  <c r="BG131" i="3"/>
  <c r="BH131" i="3" s="1"/>
  <c r="BI131" i="3" s="1"/>
  <c r="Y134" i="3"/>
  <c r="Z134" i="3" s="1"/>
  <c r="BB131" i="3"/>
  <c r="BQ131" i="3"/>
  <c r="BF131" i="3"/>
  <c r="BJ130" i="3" s="1"/>
  <c r="BK130" i="3" s="1"/>
  <c r="AH134" i="3"/>
  <c r="AW133" i="3"/>
  <c r="AY133" i="3" s="1"/>
  <c r="AN134" i="3"/>
  <c r="AU133" i="3"/>
  <c r="BA133" i="3" l="1"/>
  <c r="AO135" i="3"/>
  <c r="X135" i="3"/>
  <c r="BQ133" i="3"/>
  <c r="BF133" i="3"/>
  <c r="BB133" i="3"/>
  <c r="AX134" i="3"/>
  <c r="AG135" i="3"/>
  <c r="BD132" i="3"/>
  <c r="BG132" i="3"/>
  <c r="BH132" i="3" s="1"/>
  <c r="BI132" i="3" s="1"/>
  <c r="BB132" i="3"/>
  <c r="BQ132" i="3"/>
  <c r="BF132" i="3"/>
  <c r="BJ131" i="3" s="1"/>
  <c r="BK131" i="3" s="1"/>
  <c r="Y135" i="3"/>
  <c r="Z135" i="3" s="1"/>
  <c r="AV133" i="3"/>
  <c r="BC133" i="3" s="1"/>
  <c r="B136" i="3"/>
  <c r="AQ136" i="3"/>
  <c r="A137" i="3"/>
  <c r="AR136" i="3"/>
  <c r="C136" i="3"/>
  <c r="D136" i="3"/>
  <c r="F136" i="3"/>
  <c r="G136" i="3"/>
  <c r="H136" i="3" s="1"/>
  <c r="BN136" i="3" s="1"/>
  <c r="Q136" i="3"/>
  <c r="S136" i="3"/>
  <c r="O136" i="3"/>
  <c r="U136" i="3"/>
  <c r="AE136" i="3"/>
  <c r="M136" i="3"/>
  <c r="AD136" i="3"/>
  <c r="AF136" i="3"/>
  <c r="AK136" i="3"/>
  <c r="AM136" i="3"/>
  <c r="T136" i="3"/>
  <c r="V136" i="3"/>
  <c r="R136" i="3"/>
  <c r="P136" i="3"/>
  <c r="AH135" i="3"/>
  <c r="AN135" i="3"/>
  <c r="AU134" i="3"/>
  <c r="AW134" i="3"/>
  <c r="AT134" i="3"/>
  <c r="AN136" i="3" l="1"/>
  <c r="AX135" i="3"/>
  <c r="AG136" i="3"/>
  <c r="AO136" i="3"/>
  <c r="AR137" i="3"/>
  <c r="B137" i="3"/>
  <c r="AQ137" i="3"/>
  <c r="A138" i="3"/>
  <c r="C137" i="3"/>
  <c r="D137" i="3"/>
  <c r="F137" i="3"/>
  <c r="BM137" i="3" s="1"/>
  <c r="G137" i="3"/>
  <c r="H137" i="3" s="1"/>
  <c r="BN137" i="3" s="1"/>
  <c r="Q137" i="3"/>
  <c r="S137" i="3"/>
  <c r="O137" i="3"/>
  <c r="U137" i="3"/>
  <c r="AD137" i="3"/>
  <c r="AK137" i="3"/>
  <c r="AE137" i="3"/>
  <c r="AF137" i="3"/>
  <c r="AM137" i="3"/>
  <c r="M137" i="3"/>
  <c r="R137" i="3"/>
  <c r="T137" i="3"/>
  <c r="V137" i="3"/>
  <c r="P137" i="3"/>
  <c r="X136" i="3"/>
  <c r="AW135" i="3"/>
  <c r="AY135" i="3" s="1"/>
  <c r="AT135" i="3"/>
  <c r="Y136" i="3"/>
  <c r="Z136" i="3" s="1"/>
  <c r="BD133" i="3"/>
  <c r="BG133" i="3"/>
  <c r="BH133" i="3" s="1"/>
  <c r="BI133" i="3" s="1"/>
  <c r="AH136" i="3"/>
  <c r="AX136" i="3" s="1"/>
  <c r="BM136" i="3"/>
  <c r="BJ132" i="3"/>
  <c r="BK132" i="3" s="1"/>
  <c r="AU135" i="3"/>
  <c r="AV134" i="3"/>
  <c r="BA134" i="3"/>
  <c r="AY134" i="3"/>
  <c r="AU136" i="3" l="1"/>
  <c r="AG137" i="3"/>
  <c r="AO137" i="3"/>
  <c r="AN137" i="3"/>
  <c r="AR138" i="3"/>
  <c r="AQ138" i="3"/>
  <c r="A139" i="3"/>
  <c r="D138" i="3"/>
  <c r="B138" i="3"/>
  <c r="C138" i="3"/>
  <c r="F138" i="3"/>
  <c r="BM138" i="3" s="1"/>
  <c r="G138" i="3"/>
  <c r="H138" i="3" s="1"/>
  <c r="BN138" i="3" s="1"/>
  <c r="Q138" i="3"/>
  <c r="S138" i="3"/>
  <c r="O138" i="3"/>
  <c r="U138" i="3"/>
  <c r="M138" i="3"/>
  <c r="AD138" i="3"/>
  <c r="AF138" i="3"/>
  <c r="AM138" i="3"/>
  <c r="AN138" i="3" s="1"/>
  <c r="AE138" i="3"/>
  <c r="AK138" i="3"/>
  <c r="T138" i="3"/>
  <c r="R138" i="3"/>
  <c r="V138" i="3"/>
  <c r="P138" i="3"/>
  <c r="AH137" i="3"/>
  <c r="AX137" i="3" s="1"/>
  <c r="BC134" i="3"/>
  <c r="X137" i="3"/>
  <c r="Y137" i="3"/>
  <c r="Z137" i="3" s="1"/>
  <c r="AW136" i="3"/>
  <c r="AY136" i="3" s="1"/>
  <c r="BQ134" i="3"/>
  <c r="BF134" i="3"/>
  <c r="BJ133" i="3" s="1"/>
  <c r="BK133" i="3" s="1"/>
  <c r="BB134" i="3"/>
  <c r="BA135" i="3"/>
  <c r="AV135" i="3"/>
  <c r="BC135" i="3" s="1"/>
  <c r="AT136" i="3"/>
  <c r="AU137" i="3"/>
  <c r="AG138" i="3" l="1"/>
  <c r="AT137" i="3"/>
  <c r="AV136" i="3"/>
  <c r="BC136" i="3" s="1"/>
  <c r="BA136" i="3"/>
  <c r="AV137" i="3"/>
  <c r="BD135" i="3"/>
  <c r="BG135" i="3"/>
  <c r="BH135" i="3" s="1"/>
  <c r="BI135" i="3" s="1"/>
  <c r="A140" i="3"/>
  <c r="B139" i="3"/>
  <c r="AR139" i="3"/>
  <c r="AQ139" i="3"/>
  <c r="D139" i="3"/>
  <c r="C139" i="3"/>
  <c r="G139" i="3"/>
  <c r="H139" i="3" s="1"/>
  <c r="BN139" i="3" s="1"/>
  <c r="F139" i="3"/>
  <c r="BM139" i="3" s="1"/>
  <c r="Q139" i="3"/>
  <c r="S139" i="3"/>
  <c r="O139" i="3"/>
  <c r="U139" i="3"/>
  <c r="AE139" i="3"/>
  <c r="AD139" i="3"/>
  <c r="M139" i="3"/>
  <c r="AM139" i="3"/>
  <c r="AF139" i="3"/>
  <c r="AK139" i="3"/>
  <c r="AO139" i="3" s="1"/>
  <c r="R139" i="3"/>
  <c r="V139" i="3"/>
  <c r="T139" i="3"/>
  <c r="P139" i="3"/>
  <c r="AO138" i="3"/>
  <c r="BQ135" i="3"/>
  <c r="BF135" i="3"/>
  <c r="BJ134" i="3" s="1"/>
  <c r="BK134" i="3" s="1"/>
  <c r="BB135" i="3"/>
  <c r="X138" i="3"/>
  <c r="AH138" i="3"/>
  <c r="BG134" i="3"/>
  <c r="BH134" i="3" s="1"/>
  <c r="BI134" i="3" s="1"/>
  <c r="BD134" i="3"/>
  <c r="AW137" i="3"/>
  <c r="AY137" i="3" s="1"/>
  <c r="Y138" i="3"/>
  <c r="Z138" i="3" s="1"/>
  <c r="AH139" i="3" l="1"/>
  <c r="X139" i="3"/>
  <c r="AG139" i="3"/>
  <c r="AW138" i="3"/>
  <c r="AX138" i="3"/>
  <c r="AT138" i="3"/>
  <c r="BA137" i="3"/>
  <c r="AT139" i="3"/>
  <c r="A141" i="3"/>
  <c r="B140" i="3"/>
  <c r="AR140" i="3"/>
  <c r="AQ140" i="3"/>
  <c r="D140" i="3"/>
  <c r="C140" i="3"/>
  <c r="G140" i="3"/>
  <c r="H140" i="3" s="1"/>
  <c r="BN140" i="3" s="1"/>
  <c r="F140" i="3"/>
  <c r="BM140" i="3" s="1"/>
  <c r="S140" i="3"/>
  <c r="Q140" i="3"/>
  <c r="O140" i="3"/>
  <c r="U140" i="3"/>
  <c r="AE140" i="3"/>
  <c r="AD140" i="3"/>
  <c r="M140" i="3"/>
  <c r="AF140" i="3"/>
  <c r="AM140" i="3"/>
  <c r="AK140" i="3"/>
  <c r="P140" i="3"/>
  <c r="R140" i="3"/>
  <c r="V140" i="3"/>
  <c r="T140" i="3"/>
  <c r="BC137" i="3"/>
  <c r="AU139" i="3"/>
  <c r="AN139" i="3"/>
  <c r="AX139" i="3" s="1"/>
  <c r="BF136" i="3"/>
  <c r="BJ135" i="3" s="1"/>
  <c r="BK135" i="3" s="1"/>
  <c r="BQ136" i="3"/>
  <c r="BB136" i="3"/>
  <c r="AU138" i="3"/>
  <c r="Y139" i="3"/>
  <c r="Z139" i="3" s="1"/>
  <c r="BD136" i="3"/>
  <c r="BG136" i="3"/>
  <c r="BH136" i="3" s="1"/>
  <c r="BI136" i="3" s="1"/>
  <c r="X140" i="3" l="1"/>
  <c r="AN140" i="3"/>
  <c r="AH140" i="3"/>
  <c r="AV139" i="3"/>
  <c r="Y140" i="3"/>
  <c r="Z140" i="3" s="1"/>
  <c r="BD137" i="3"/>
  <c r="BG137" i="3"/>
  <c r="BH137" i="3" s="1"/>
  <c r="BI137" i="3" s="1"/>
  <c r="AW139" i="3"/>
  <c r="AY139" i="3" s="1"/>
  <c r="BB137" i="3"/>
  <c r="BF137" i="3"/>
  <c r="BJ136" i="3" s="1"/>
  <c r="BK136" i="3" s="1"/>
  <c r="BQ137" i="3"/>
  <c r="AY138" i="3"/>
  <c r="AR141" i="3"/>
  <c r="AQ141" i="3"/>
  <c r="A142" i="3"/>
  <c r="D141" i="3"/>
  <c r="B141" i="3"/>
  <c r="C141" i="3"/>
  <c r="G141" i="3"/>
  <c r="H141" i="3" s="1"/>
  <c r="F141" i="3"/>
  <c r="Q141" i="3"/>
  <c r="S141" i="3"/>
  <c r="O141" i="3"/>
  <c r="U141" i="3"/>
  <c r="M141" i="3"/>
  <c r="AD141" i="3"/>
  <c r="AF141" i="3"/>
  <c r="AK141" i="3"/>
  <c r="AM141" i="3"/>
  <c r="AE141" i="3"/>
  <c r="AG141" i="3" s="1"/>
  <c r="R141" i="3"/>
  <c r="V141" i="3"/>
  <c r="T141" i="3"/>
  <c r="P141" i="3"/>
  <c r="AO140" i="3"/>
  <c r="AV138" i="3"/>
  <c r="BC138" i="3" s="1"/>
  <c r="BA138" i="3"/>
  <c r="AG140" i="3"/>
  <c r="AW140" i="3" l="1"/>
  <c r="AN141" i="3"/>
  <c r="BF138" i="3"/>
  <c r="BJ137" i="3" s="1"/>
  <c r="BK137" i="3" s="1"/>
  <c r="BQ138" i="3"/>
  <c r="BB138" i="3"/>
  <c r="AH141" i="3"/>
  <c r="AU141" i="3" s="1"/>
  <c r="BD138" i="3"/>
  <c r="BG138" i="3"/>
  <c r="BH138" i="3" s="1"/>
  <c r="BI138" i="3" s="1"/>
  <c r="AT141" i="3"/>
  <c r="AO141" i="3"/>
  <c r="X141" i="3"/>
  <c r="AU140" i="3"/>
  <c r="Y141" i="3"/>
  <c r="Z141" i="3" s="1"/>
  <c r="AW141" i="3"/>
  <c r="AX140" i="3"/>
  <c r="AY140" i="3" s="1"/>
  <c r="BC139" i="3"/>
  <c r="BM141" i="3"/>
  <c r="BA139" i="3"/>
  <c r="AR142" i="3"/>
  <c r="B142" i="3"/>
  <c r="AQ142" i="3"/>
  <c r="A143" i="3"/>
  <c r="C142" i="3"/>
  <c r="D142" i="3"/>
  <c r="F142" i="3"/>
  <c r="BM142" i="3" s="1"/>
  <c r="G142" i="3"/>
  <c r="H142" i="3" s="1"/>
  <c r="BN142" i="3" s="1"/>
  <c r="Q142" i="3"/>
  <c r="S142" i="3"/>
  <c r="O142" i="3"/>
  <c r="U142" i="3"/>
  <c r="AE142" i="3"/>
  <c r="M142" i="3"/>
  <c r="AD142" i="3"/>
  <c r="AK142" i="3"/>
  <c r="AF142" i="3"/>
  <c r="AM142" i="3"/>
  <c r="P142" i="3"/>
  <c r="R142" i="3"/>
  <c r="V142" i="3"/>
  <c r="T142" i="3"/>
  <c r="BN141" i="3"/>
  <c r="AT140" i="3"/>
  <c r="AN142" i="3" l="1"/>
  <c r="AH142" i="3"/>
  <c r="BD139" i="3"/>
  <c r="BG139" i="3"/>
  <c r="BH139" i="3" s="1"/>
  <c r="BI139" i="3" s="1"/>
  <c r="Y142" i="3"/>
  <c r="Z142" i="3" s="1"/>
  <c r="AO142" i="3"/>
  <c r="X142" i="3"/>
  <c r="AV141" i="3"/>
  <c r="AV140" i="3"/>
  <c r="BC140" i="3" s="1"/>
  <c r="BA140" i="3"/>
  <c r="AQ143" i="3"/>
  <c r="B143" i="3"/>
  <c r="A144" i="3"/>
  <c r="AR143" i="3"/>
  <c r="D143" i="3"/>
  <c r="C143" i="3"/>
  <c r="G143" i="3"/>
  <c r="H143" i="3" s="1"/>
  <c r="BN143" i="3" s="1"/>
  <c r="F143" i="3"/>
  <c r="Q143" i="3"/>
  <c r="S143" i="3"/>
  <c r="O143" i="3"/>
  <c r="U143" i="3"/>
  <c r="AE143" i="3"/>
  <c r="AD143" i="3"/>
  <c r="M143" i="3"/>
  <c r="AM143" i="3"/>
  <c r="AF143" i="3"/>
  <c r="AK143" i="3"/>
  <c r="AO143" i="3" s="1"/>
  <c r="T143" i="3"/>
  <c r="V143" i="3"/>
  <c r="R143" i="3"/>
  <c r="P143" i="3"/>
  <c r="BB139" i="3"/>
  <c r="BF139" i="3"/>
  <c r="BJ138" i="3" s="1"/>
  <c r="BK138" i="3" s="1"/>
  <c r="BQ139" i="3"/>
  <c r="AG142" i="3"/>
  <c r="AW142" i="3" s="1"/>
  <c r="AX141" i="3"/>
  <c r="BA141" i="3" s="1"/>
  <c r="AY141" i="3" l="1"/>
  <c r="AU142" i="3"/>
  <c r="AQ144" i="3"/>
  <c r="B144" i="3"/>
  <c r="A145" i="3"/>
  <c r="AR144" i="3"/>
  <c r="D144" i="3"/>
  <c r="C144" i="3"/>
  <c r="F144" i="3"/>
  <c r="BM144" i="3" s="1"/>
  <c r="G144" i="3"/>
  <c r="H144" i="3" s="1"/>
  <c r="BN144" i="3" s="1"/>
  <c r="Q144" i="3"/>
  <c r="S144" i="3"/>
  <c r="O144" i="3"/>
  <c r="U144" i="3"/>
  <c r="AE144" i="3"/>
  <c r="AD144" i="3"/>
  <c r="M144" i="3"/>
  <c r="AM144" i="3"/>
  <c r="AF144" i="3"/>
  <c r="AK144" i="3"/>
  <c r="P144" i="3"/>
  <c r="R144" i="3"/>
  <c r="V144" i="3"/>
  <c r="T144" i="3"/>
  <c r="BD140" i="3"/>
  <c r="BG140" i="3"/>
  <c r="BH140" i="3" s="1"/>
  <c r="BI140" i="3" s="1"/>
  <c r="AH143" i="3"/>
  <c r="Y143" i="3"/>
  <c r="Z143" i="3" s="1"/>
  <c r="AN143" i="3"/>
  <c r="AT142" i="3"/>
  <c r="BB141" i="3"/>
  <c r="BF141" i="3"/>
  <c r="BQ141" i="3"/>
  <c r="BQ140" i="3"/>
  <c r="BF140" i="3"/>
  <c r="BJ139" i="3" s="1"/>
  <c r="BK139" i="3" s="1"/>
  <c r="BB140" i="3"/>
  <c r="AG143" i="3"/>
  <c r="AW143" i="3" s="1"/>
  <c r="BC141" i="3"/>
  <c r="X143" i="3"/>
  <c r="BM143" i="3"/>
  <c r="AX142" i="3"/>
  <c r="AY142" i="3" s="1"/>
  <c r="AH144" i="3" l="1"/>
  <c r="AG144" i="3"/>
  <c r="AN144" i="3"/>
  <c r="BJ140" i="3"/>
  <c r="BK140" i="3" s="1"/>
  <c r="AT144" i="3"/>
  <c r="AX143" i="3"/>
  <c r="AY143" i="3" s="1"/>
  <c r="AU144" i="3"/>
  <c r="X144" i="3"/>
  <c r="AV142" i="3"/>
  <c r="BC142" i="3" s="1"/>
  <c r="BA142" i="3"/>
  <c r="AT143" i="3"/>
  <c r="AO144" i="3"/>
  <c r="AW144" i="3" s="1"/>
  <c r="Y144" i="3"/>
  <c r="Z144" i="3" s="1"/>
  <c r="AR145" i="3"/>
  <c r="B145" i="3"/>
  <c r="A146" i="3"/>
  <c r="AQ145" i="3"/>
  <c r="D145" i="3"/>
  <c r="C145" i="3"/>
  <c r="F145" i="3"/>
  <c r="G145" i="3"/>
  <c r="H145" i="3" s="1"/>
  <c r="Q145" i="3"/>
  <c r="S145" i="3"/>
  <c r="O145" i="3"/>
  <c r="U145" i="3"/>
  <c r="AD145" i="3"/>
  <c r="AE145" i="3"/>
  <c r="M145" i="3"/>
  <c r="AF145" i="3"/>
  <c r="AM145" i="3"/>
  <c r="AK145" i="3"/>
  <c r="V145" i="3"/>
  <c r="T145" i="3"/>
  <c r="R145" i="3"/>
  <c r="P145" i="3"/>
  <c r="BD141" i="3"/>
  <c r="BG141" i="3"/>
  <c r="BH141" i="3" s="1"/>
  <c r="BI141" i="3" s="1"/>
  <c r="AU143" i="3"/>
  <c r="AX144" i="3" l="1"/>
  <c r="AH145" i="3"/>
  <c r="BM145" i="3"/>
  <c r="AN145" i="3"/>
  <c r="Y145" i="3"/>
  <c r="Z145" i="3" s="1"/>
  <c r="B146" i="3"/>
  <c r="AQ146" i="3"/>
  <c r="A147" i="3"/>
  <c r="D146" i="3"/>
  <c r="AR146" i="3"/>
  <c r="C146" i="3"/>
  <c r="G146" i="3"/>
  <c r="H146" i="3" s="1"/>
  <c r="BN146" i="3" s="1"/>
  <c r="F146" i="3"/>
  <c r="BM146" i="3" s="1"/>
  <c r="Q146" i="3"/>
  <c r="S146" i="3"/>
  <c r="O146" i="3"/>
  <c r="U146" i="3"/>
  <c r="AE146" i="3"/>
  <c r="AD146" i="3"/>
  <c r="M146" i="3"/>
  <c r="AF146" i="3"/>
  <c r="AM146" i="3"/>
  <c r="AK146" i="3"/>
  <c r="T146" i="3"/>
  <c r="R146" i="3"/>
  <c r="V146" i="3"/>
  <c r="P146" i="3"/>
  <c r="BB142" i="3"/>
  <c r="BF142" i="3"/>
  <c r="BJ141" i="3" s="1"/>
  <c r="BK141" i="3" s="1"/>
  <c r="BQ142" i="3"/>
  <c r="BD142" i="3"/>
  <c r="BG142" i="3"/>
  <c r="BH142" i="3" s="1"/>
  <c r="BI142" i="3" s="1"/>
  <c r="AO145" i="3"/>
  <c r="AG145" i="3"/>
  <c r="X145" i="3"/>
  <c r="AV144" i="3"/>
  <c r="BA144" i="3"/>
  <c r="AY144" i="3"/>
  <c r="AV143" i="3"/>
  <c r="BC143" i="3" s="1"/>
  <c r="BA143" i="3"/>
  <c r="BN145" i="3"/>
  <c r="AW145" i="3" l="1"/>
  <c r="AN146" i="3"/>
  <c r="BQ143" i="3"/>
  <c r="BF143" i="3"/>
  <c r="BJ142" i="3" s="1"/>
  <c r="BK142" i="3" s="1"/>
  <c r="BB143" i="3"/>
  <c r="AG146" i="3"/>
  <c r="BD143" i="3"/>
  <c r="BG143" i="3"/>
  <c r="BH143" i="3" s="1"/>
  <c r="BI143" i="3" s="1"/>
  <c r="BC144" i="3"/>
  <c r="BF144" i="3"/>
  <c r="BJ143" i="3" s="1"/>
  <c r="BK143" i="3" s="1"/>
  <c r="BQ144" i="3"/>
  <c r="BB144" i="3"/>
  <c r="AQ147" i="3"/>
  <c r="B147" i="3"/>
  <c r="AR147" i="3"/>
  <c r="A148" i="3"/>
  <c r="C147" i="3"/>
  <c r="D147" i="3"/>
  <c r="F147" i="3"/>
  <c r="BM147" i="3" s="1"/>
  <c r="G147" i="3"/>
  <c r="H147" i="3" s="1"/>
  <c r="BN147" i="3" s="1"/>
  <c r="Q147" i="3"/>
  <c r="S147" i="3"/>
  <c r="O147" i="3"/>
  <c r="U147" i="3"/>
  <c r="M147" i="3"/>
  <c r="AD147" i="3"/>
  <c r="AM147" i="3"/>
  <c r="AF147" i="3"/>
  <c r="AK147" i="3"/>
  <c r="AO147" i="3" s="1"/>
  <c r="AE147" i="3"/>
  <c r="T147" i="3"/>
  <c r="P147" i="3"/>
  <c r="R147" i="3"/>
  <c r="V147" i="3"/>
  <c r="AX145" i="3"/>
  <c r="AY145" i="3" s="1"/>
  <c r="AT145" i="3"/>
  <c r="AH146" i="3"/>
  <c r="AU145" i="3"/>
  <c r="X146" i="3"/>
  <c r="Y146" i="3"/>
  <c r="Z146" i="3" s="1"/>
  <c r="AO146" i="3"/>
  <c r="AG147" i="3" l="1"/>
  <c r="AX146" i="3"/>
  <c r="A149" i="3"/>
  <c r="B148" i="3"/>
  <c r="AR148" i="3"/>
  <c r="AQ148" i="3"/>
  <c r="C148" i="3"/>
  <c r="D148" i="3"/>
  <c r="G148" i="3"/>
  <c r="H148" i="3" s="1"/>
  <c r="BN148" i="3" s="1"/>
  <c r="F148" i="3"/>
  <c r="BM148" i="3" s="1"/>
  <c r="Q148" i="3"/>
  <c r="S148" i="3"/>
  <c r="O148" i="3"/>
  <c r="U148" i="3"/>
  <c r="M148" i="3"/>
  <c r="AE148" i="3"/>
  <c r="AD148" i="3"/>
  <c r="AF148" i="3"/>
  <c r="AK148" i="3"/>
  <c r="AM148" i="3"/>
  <c r="R148" i="3"/>
  <c r="P148" i="3"/>
  <c r="T148" i="3"/>
  <c r="V148" i="3"/>
  <c r="BD144" i="3"/>
  <c r="BG144" i="3"/>
  <c r="BH144" i="3" s="1"/>
  <c r="BI144" i="3" s="1"/>
  <c r="AW146" i="3"/>
  <c r="AY146" i="3" s="1"/>
  <c r="AN147" i="3"/>
  <c r="AV145" i="3"/>
  <c r="BC145" i="3" s="1"/>
  <c r="BA145" i="3"/>
  <c r="AT146" i="3"/>
  <c r="AH147" i="3"/>
  <c r="AX147" i="3" s="1"/>
  <c r="X147" i="3"/>
  <c r="AU146" i="3"/>
  <c r="Y147" i="3"/>
  <c r="Z147" i="3" s="1"/>
  <c r="AN148" i="3" l="1"/>
  <c r="AH148" i="3"/>
  <c r="AV146" i="3"/>
  <c r="BC146" i="3" s="1"/>
  <c r="BA146" i="3"/>
  <c r="BD145" i="3"/>
  <c r="BG145" i="3"/>
  <c r="BH145" i="3" s="1"/>
  <c r="BI145" i="3" s="1"/>
  <c r="AT147" i="3"/>
  <c r="X148" i="3"/>
  <c r="Y148" i="3"/>
  <c r="Z148" i="3" s="1"/>
  <c r="AU147" i="3"/>
  <c r="AW147" i="3"/>
  <c r="AY147" i="3" s="1"/>
  <c r="AO148" i="3"/>
  <c r="BB145" i="3"/>
  <c r="BQ145" i="3"/>
  <c r="BF145" i="3"/>
  <c r="BJ144" i="3" s="1"/>
  <c r="BK144" i="3" s="1"/>
  <c r="AQ149" i="3"/>
  <c r="A150" i="3"/>
  <c r="D149" i="3"/>
  <c r="AR149" i="3"/>
  <c r="B149" i="3"/>
  <c r="C149" i="3"/>
  <c r="F149" i="3"/>
  <c r="BM149" i="3" s="1"/>
  <c r="G149" i="3"/>
  <c r="H149" i="3" s="1"/>
  <c r="S149" i="3"/>
  <c r="Q149" i="3"/>
  <c r="O149" i="3"/>
  <c r="U149" i="3"/>
  <c r="M149" i="3"/>
  <c r="AE149" i="3"/>
  <c r="AD149" i="3"/>
  <c r="AM149" i="3"/>
  <c r="AF149" i="3"/>
  <c r="AK149" i="3"/>
  <c r="AO149" i="3" s="1"/>
  <c r="R149" i="3"/>
  <c r="P149" i="3"/>
  <c r="V149" i="3"/>
  <c r="T149" i="3"/>
  <c r="AG148" i="3"/>
  <c r="AW148" i="3" s="1"/>
  <c r="Y149" i="3" l="1"/>
  <c r="Z149" i="3" s="1"/>
  <c r="AT148" i="3"/>
  <c r="B150" i="3"/>
  <c r="A151" i="3"/>
  <c r="AR150" i="3"/>
  <c r="AQ150" i="3"/>
  <c r="D150" i="3"/>
  <c r="C150" i="3"/>
  <c r="G150" i="3"/>
  <c r="H150" i="3" s="1"/>
  <c r="BN150" i="3" s="1"/>
  <c r="F150" i="3"/>
  <c r="BM150" i="3" s="1"/>
  <c r="Q150" i="3"/>
  <c r="S150" i="3"/>
  <c r="O150" i="3"/>
  <c r="U150" i="3"/>
  <c r="M150" i="3"/>
  <c r="AD150" i="3"/>
  <c r="AE150" i="3"/>
  <c r="AK150" i="3"/>
  <c r="AF150" i="3"/>
  <c r="AM150" i="3"/>
  <c r="V150" i="3"/>
  <c r="P150" i="3"/>
  <c r="T150" i="3"/>
  <c r="R150" i="3"/>
  <c r="AN149" i="3"/>
  <c r="AV147" i="3"/>
  <c r="BC147" i="3" s="1"/>
  <c r="BA147" i="3"/>
  <c r="AG149" i="3"/>
  <c r="X149" i="3"/>
  <c r="BF146" i="3"/>
  <c r="BJ145" i="3" s="1"/>
  <c r="BK145" i="3" s="1"/>
  <c r="BB146" i="3"/>
  <c r="BQ146" i="3"/>
  <c r="AH149" i="3"/>
  <c r="AX149" i="3" s="1"/>
  <c r="AU148" i="3"/>
  <c r="BD146" i="3"/>
  <c r="BG146" i="3"/>
  <c r="BH146" i="3" s="1"/>
  <c r="BI146" i="3" s="1"/>
  <c r="BN149" i="3"/>
  <c r="AX148" i="3"/>
  <c r="AY148" i="3" s="1"/>
  <c r="AN150" i="3" l="1"/>
  <c r="AH150" i="3"/>
  <c r="AO150" i="3"/>
  <c r="AW149" i="3"/>
  <c r="AY149" i="3" s="1"/>
  <c r="BB147" i="3"/>
  <c r="BQ147" i="3"/>
  <c r="BF147" i="3"/>
  <c r="BJ146" i="3" s="1"/>
  <c r="BK146" i="3" s="1"/>
  <c r="BD147" i="3"/>
  <c r="BG147" i="3"/>
  <c r="BH147" i="3" s="1"/>
  <c r="BI147" i="3" s="1"/>
  <c r="AQ151" i="3"/>
  <c r="B151" i="3"/>
  <c r="A152" i="3"/>
  <c r="AR151" i="3"/>
  <c r="D151" i="3"/>
  <c r="C151" i="3"/>
  <c r="G151" i="3"/>
  <c r="H151" i="3" s="1"/>
  <c r="BN151" i="3" s="1"/>
  <c r="F151" i="3"/>
  <c r="BM151" i="3" s="1"/>
  <c r="Q151" i="3"/>
  <c r="S151" i="3"/>
  <c r="O151" i="3"/>
  <c r="U151" i="3"/>
  <c r="AD151" i="3"/>
  <c r="AE151" i="3"/>
  <c r="M151" i="3"/>
  <c r="AM151" i="3"/>
  <c r="AK151" i="3"/>
  <c r="AF151" i="3"/>
  <c r="T151" i="3"/>
  <c r="R151" i="3"/>
  <c r="V151" i="3"/>
  <c r="P151" i="3"/>
  <c r="AT149" i="3"/>
  <c r="AG150" i="3"/>
  <c r="AT150" i="3" s="1"/>
  <c r="AU149" i="3"/>
  <c r="X150" i="3"/>
  <c r="Y150" i="3"/>
  <c r="Z150" i="3" s="1"/>
  <c r="BA148" i="3"/>
  <c r="AV148" i="3"/>
  <c r="BC148" i="3" s="1"/>
  <c r="AN151" i="3" l="1"/>
  <c r="BQ148" i="3"/>
  <c r="BF148" i="3"/>
  <c r="BJ147" i="3" s="1"/>
  <c r="BK147" i="3" s="1"/>
  <c r="BB148" i="3"/>
  <c r="BD148" i="3"/>
  <c r="BG148" i="3"/>
  <c r="BH148" i="3" s="1"/>
  <c r="BI148" i="3" s="1"/>
  <c r="AX150" i="3"/>
  <c r="AW150" i="3"/>
  <c r="AO151" i="3"/>
  <c r="BA149" i="3"/>
  <c r="AV149" i="3"/>
  <c r="BC149" i="3" s="1"/>
  <c r="AU150" i="3"/>
  <c r="AH151" i="3"/>
  <c r="A153" i="3"/>
  <c r="AR152" i="3"/>
  <c r="AQ152" i="3"/>
  <c r="B152" i="3"/>
  <c r="C152" i="3"/>
  <c r="D152" i="3"/>
  <c r="F152" i="3"/>
  <c r="BM152" i="3" s="1"/>
  <c r="G152" i="3"/>
  <c r="H152" i="3" s="1"/>
  <c r="Q152" i="3"/>
  <c r="S152" i="3"/>
  <c r="O152" i="3"/>
  <c r="U152" i="3"/>
  <c r="AD152" i="3"/>
  <c r="AE152" i="3"/>
  <c r="AK152" i="3"/>
  <c r="AF152" i="3"/>
  <c r="M152" i="3"/>
  <c r="AM152" i="3"/>
  <c r="P152" i="3"/>
  <c r="R152" i="3"/>
  <c r="T152" i="3"/>
  <c r="V152" i="3"/>
  <c r="Y151" i="3"/>
  <c r="Z151" i="3" s="1"/>
  <c r="AG151" i="3"/>
  <c r="X151" i="3"/>
  <c r="AN152" i="3" l="1"/>
  <c r="BA150" i="3"/>
  <c r="Y152" i="3"/>
  <c r="Z152" i="3" s="1"/>
  <c r="BN152" i="3"/>
  <c r="AH152" i="3"/>
  <c r="AX151" i="3"/>
  <c r="BQ150" i="3"/>
  <c r="BB150" i="3"/>
  <c r="BF150" i="3"/>
  <c r="BF149" i="3"/>
  <c r="BJ148" i="3" s="1"/>
  <c r="BK148" i="3" s="1"/>
  <c r="BQ149" i="3"/>
  <c r="BB149" i="3"/>
  <c r="AG152" i="3"/>
  <c r="AU152" i="3" s="1"/>
  <c r="AU151" i="3"/>
  <c r="A154" i="3"/>
  <c r="B153" i="3"/>
  <c r="AQ153" i="3"/>
  <c r="AR153" i="3"/>
  <c r="D153" i="3"/>
  <c r="C153" i="3"/>
  <c r="F153" i="3"/>
  <c r="BM153" i="3" s="1"/>
  <c r="G153" i="3"/>
  <c r="H153" i="3" s="1"/>
  <c r="BN153" i="3" s="1"/>
  <c r="Q153" i="3"/>
  <c r="S153" i="3"/>
  <c r="O153" i="3"/>
  <c r="U153" i="3"/>
  <c r="AE153" i="3"/>
  <c r="M153" i="3"/>
  <c r="AD153" i="3"/>
  <c r="AM153" i="3"/>
  <c r="AF153" i="3"/>
  <c r="AK153" i="3"/>
  <c r="V153" i="3"/>
  <c r="T153" i="3"/>
  <c r="R153" i="3"/>
  <c r="P153" i="3"/>
  <c r="AV150" i="3"/>
  <c r="AT152" i="3"/>
  <c r="BD149" i="3"/>
  <c r="BG149" i="3"/>
  <c r="BH149" i="3" s="1"/>
  <c r="BI149" i="3" s="1"/>
  <c r="AY150" i="3"/>
  <c r="AT151" i="3"/>
  <c r="AO152" i="3"/>
  <c r="X152" i="3"/>
  <c r="AW151" i="3"/>
  <c r="AO153" i="3" l="1"/>
  <c r="AX152" i="3"/>
  <c r="AY151" i="3"/>
  <c r="AV152" i="3"/>
  <c r="B154" i="3"/>
  <c r="AQ154" i="3"/>
  <c r="A155" i="3"/>
  <c r="AR154" i="3"/>
  <c r="C154" i="3"/>
  <c r="D154" i="3"/>
  <c r="F154" i="3"/>
  <c r="BM154" i="3" s="1"/>
  <c r="G154" i="3"/>
  <c r="H154" i="3" s="1"/>
  <c r="BN154" i="3" s="1"/>
  <c r="Q154" i="3"/>
  <c r="S154" i="3"/>
  <c r="O154" i="3"/>
  <c r="U154" i="3"/>
  <c r="AE154" i="3"/>
  <c r="M154" i="3"/>
  <c r="AD154" i="3"/>
  <c r="AF154" i="3"/>
  <c r="AK154" i="3"/>
  <c r="AM154" i="3"/>
  <c r="T154" i="3"/>
  <c r="V154" i="3"/>
  <c r="R154" i="3"/>
  <c r="P154" i="3"/>
  <c r="AN153" i="3"/>
  <c r="AW152" i="3"/>
  <c r="AY152" i="3" s="1"/>
  <c r="BJ149" i="3"/>
  <c r="BK149" i="3" s="1"/>
  <c r="BC150" i="3"/>
  <c r="AH153" i="3"/>
  <c r="AG153" i="3"/>
  <c r="AV151" i="3"/>
  <c r="BC151" i="3" s="1"/>
  <c r="BA151" i="3"/>
  <c r="Y153" i="3"/>
  <c r="Z153" i="3" s="1"/>
  <c r="X153" i="3"/>
  <c r="AW153" i="3" l="1"/>
  <c r="AN154" i="3"/>
  <c r="AO154" i="3"/>
  <c r="BD151" i="3"/>
  <c r="BG151" i="3"/>
  <c r="BH151" i="3" s="1"/>
  <c r="BI151" i="3" s="1"/>
  <c r="AX153" i="3"/>
  <c r="AY153" i="3" s="1"/>
  <c r="BD150" i="3"/>
  <c r="BG150" i="3"/>
  <c r="BH150" i="3" s="1"/>
  <c r="BI150" i="3" s="1"/>
  <c r="Y154" i="3"/>
  <c r="Z154" i="3" s="1"/>
  <c r="AH154" i="3"/>
  <c r="BQ151" i="3"/>
  <c r="BB151" i="3"/>
  <c r="BF151" i="3"/>
  <c r="BJ150" i="3" s="1"/>
  <c r="BK150" i="3" s="1"/>
  <c r="AG154" i="3"/>
  <c r="AW154" i="3" s="1"/>
  <c r="AQ155" i="3"/>
  <c r="A156" i="3"/>
  <c r="AR155" i="3"/>
  <c r="B155" i="3"/>
  <c r="D155" i="3"/>
  <c r="C155" i="3"/>
  <c r="F155" i="3"/>
  <c r="BM155" i="3" s="1"/>
  <c r="G155" i="3"/>
  <c r="H155" i="3" s="1"/>
  <c r="Q155" i="3"/>
  <c r="S155" i="3"/>
  <c r="O155" i="3"/>
  <c r="U155" i="3"/>
  <c r="AD155" i="3"/>
  <c r="AK155" i="3"/>
  <c r="AM155" i="3"/>
  <c r="M155" i="3"/>
  <c r="AF155" i="3"/>
  <c r="AE155" i="3"/>
  <c r="R155" i="3"/>
  <c r="T155" i="3"/>
  <c r="V155" i="3"/>
  <c r="P155" i="3"/>
  <c r="X154" i="3"/>
  <c r="BA152" i="3"/>
  <c r="AU153" i="3"/>
  <c r="AT153" i="3"/>
  <c r="BC152" i="3"/>
  <c r="AG155" i="3" l="1"/>
  <c r="AU154" i="3"/>
  <c r="AN155" i="3"/>
  <c r="AX154" i="3"/>
  <c r="AY154" i="3" s="1"/>
  <c r="X155" i="3"/>
  <c r="AH155" i="3"/>
  <c r="AO155" i="3"/>
  <c r="Y155" i="3"/>
  <c r="Z155" i="3" s="1"/>
  <c r="AT154" i="3"/>
  <c r="BD152" i="3"/>
  <c r="BG152" i="3"/>
  <c r="BH152" i="3" s="1"/>
  <c r="BI152" i="3" s="1"/>
  <c r="BF152" i="3"/>
  <c r="BJ151" i="3" s="1"/>
  <c r="BK151" i="3" s="1"/>
  <c r="BB152" i="3"/>
  <c r="BQ152" i="3"/>
  <c r="A157" i="3"/>
  <c r="B156" i="3"/>
  <c r="AR156" i="3"/>
  <c r="AQ156" i="3"/>
  <c r="D156" i="3"/>
  <c r="C156" i="3"/>
  <c r="G156" i="3"/>
  <c r="H156" i="3" s="1"/>
  <c r="BN156" i="3" s="1"/>
  <c r="F156" i="3"/>
  <c r="BM156" i="3" s="1"/>
  <c r="Q156" i="3"/>
  <c r="S156" i="3"/>
  <c r="O156" i="3"/>
  <c r="U156" i="3"/>
  <c r="AD156" i="3"/>
  <c r="M156" i="3"/>
  <c r="AE156" i="3"/>
  <c r="AK156" i="3"/>
  <c r="AM156" i="3"/>
  <c r="AF156" i="3"/>
  <c r="R156" i="3"/>
  <c r="T156" i="3"/>
  <c r="P156" i="3"/>
  <c r="V156" i="3"/>
  <c r="BN155" i="3"/>
  <c r="AV153" i="3"/>
  <c r="BC153" i="3" s="1"/>
  <c r="BA153" i="3"/>
  <c r="AN156" i="3" l="1"/>
  <c r="Y156" i="3"/>
  <c r="Z156" i="3" s="1"/>
  <c r="AO156" i="3"/>
  <c r="AW155" i="3"/>
  <c r="AH156" i="3"/>
  <c r="AG156" i="3"/>
  <c r="AW156" i="3" s="1"/>
  <c r="BA154" i="3"/>
  <c r="AV154" i="3"/>
  <c r="BC154" i="3" s="1"/>
  <c r="AT155" i="3"/>
  <c r="X156" i="3"/>
  <c r="AU155" i="3"/>
  <c r="BD153" i="3"/>
  <c r="BG153" i="3"/>
  <c r="BH153" i="3" s="1"/>
  <c r="BI153" i="3" s="1"/>
  <c r="AT156" i="3"/>
  <c r="B157" i="3"/>
  <c r="AQ157" i="3"/>
  <c r="AR157" i="3"/>
  <c r="A158" i="3"/>
  <c r="C157" i="3"/>
  <c r="D157" i="3"/>
  <c r="G157" i="3"/>
  <c r="H157" i="3" s="1"/>
  <c r="BN157" i="3" s="1"/>
  <c r="F157" i="3"/>
  <c r="Q157" i="3"/>
  <c r="S157" i="3"/>
  <c r="O157" i="3"/>
  <c r="U157" i="3"/>
  <c r="AE157" i="3"/>
  <c r="AD157" i="3"/>
  <c r="AM157" i="3"/>
  <c r="M157" i="3"/>
  <c r="AF157" i="3"/>
  <c r="AK157" i="3"/>
  <c r="AO157" i="3" s="1"/>
  <c r="R157" i="3"/>
  <c r="V157" i="3"/>
  <c r="P157" i="3"/>
  <c r="T157" i="3"/>
  <c r="AX155" i="3"/>
  <c r="AY155" i="3" s="1"/>
  <c r="BF153" i="3"/>
  <c r="BJ152" i="3" s="1"/>
  <c r="BK152" i="3" s="1"/>
  <c r="BQ153" i="3"/>
  <c r="BB153" i="3"/>
  <c r="BM157" i="3" l="1"/>
  <c r="Y157" i="3"/>
  <c r="Z157" i="3" s="1"/>
  <c r="BD154" i="3"/>
  <c r="BG154" i="3"/>
  <c r="BH154" i="3" s="1"/>
  <c r="BI154" i="3" s="1"/>
  <c r="AV155" i="3"/>
  <c r="BC155" i="3" s="1"/>
  <c r="BA155" i="3"/>
  <c r="BQ154" i="3"/>
  <c r="BB154" i="3"/>
  <c r="BF154" i="3"/>
  <c r="BJ153" i="3" s="1"/>
  <c r="BK153" i="3" s="1"/>
  <c r="AQ158" i="3"/>
  <c r="AR158" i="3"/>
  <c r="B158" i="3"/>
  <c r="A159" i="3"/>
  <c r="C158" i="3"/>
  <c r="D158" i="3"/>
  <c r="G158" i="3"/>
  <c r="H158" i="3" s="1"/>
  <c r="F158" i="3"/>
  <c r="Q158" i="3"/>
  <c r="S158" i="3"/>
  <c r="O158" i="3"/>
  <c r="U158" i="3"/>
  <c r="AD158" i="3"/>
  <c r="AE158" i="3"/>
  <c r="AF158" i="3"/>
  <c r="M158" i="3"/>
  <c r="AM158" i="3"/>
  <c r="AK158" i="3"/>
  <c r="P158" i="3"/>
  <c r="T158" i="3"/>
  <c r="V158" i="3"/>
  <c r="R158" i="3"/>
  <c r="AN157" i="3"/>
  <c r="AG157" i="3"/>
  <c r="AU156" i="3"/>
  <c r="AH157" i="3"/>
  <c r="X157" i="3"/>
  <c r="AX156" i="3"/>
  <c r="AY156" i="3" s="1"/>
  <c r="AX157" i="3" l="1"/>
  <c r="AO158" i="3"/>
  <c r="AG158" i="3"/>
  <c r="AN158" i="3"/>
  <c r="BA156" i="3"/>
  <c r="BB156" i="3" s="1"/>
  <c r="AQ159" i="3"/>
  <c r="B159" i="3"/>
  <c r="A160" i="3"/>
  <c r="AR159" i="3"/>
  <c r="D159" i="3"/>
  <c r="C159" i="3"/>
  <c r="G159" i="3"/>
  <c r="H159" i="3" s="1"/>
  <c r="BN159" i="3" s="1"/>
  <c r="F159" i="3"/>
  <c r="BM159" i="3" s="1"/>
  <c r="S159" i="3"/>
  <c r="Q159" i="3"/>
  <c r="O159" i="3"/>
  <c r="U159" i="3"/>
  <c r="AE159" i="3"/>
  <c r="AD159" i="3"/>
  <c r="AK159" i="3"/>
  <c r="AF159" i="3"/>
  <c r="M159" i="3"/>
  <c r="AM159" i="3"/>
  <c r="T159" i="3"/>
  <c r="R159" i="3"/>
  <c r="V159" i="3"/>
  <c r="P159" i="3"/>
  <c r="BB155" i="3"/>
  <c r="BQ155" i="3"/>
  <c r="BF155" i="3"/>
  <c r="BJ154" i="3" s="1"/>
  <c r="BK154" i="3" s="1"/>
  <c r="BD155" i="3"/>
  <c r="BG155" i="3"/>
  <c r="BH155" i="3" s="1"/>
  <c r="BI155" i="3" s="1"/>
  <c r="X158" i="3"/>
  <c r="AT157" i="3"/>
  <c r="AV156" i="3"/>
  <c r="BC156" i="3" s="1"/>
  <c r="AW157" i="3"/>
  <c r="AY157" i="3" s="1"/>
  <c r="Y158" i="3"/>
  <c r="Z158" i="3" s="1"/>
  <c r="AH158" i="3"/>
  <c r="AX158" i="3" s="1"/>
  <c r="AU157" i="3"/>
  <c r="BN158" i="3"/>
  <c r="BM158" i="3"/>
  <c r="BF156" i="3" l="1"/>
  <c r="BQ156" i="3"/>
  <c r="AW158" i="3"/>
  <c r="AY158" i="3" s="1"/>
  <c r="AO159" i="3"/>
  <c r="AU158" i="3"/>
  <c r="BD156" i="3"/>
  <c r="BG156" i="3"/>
  <c r="BH156" i="3" s="1"/>
  <c r="BI156" i="3" s="1"/>
  <c r="AV157" i="3"/>
  <c r="BC157" i="3" s="1"/>
  <c r="BA157" i="3"/>
  <c r="AT158" i="3"/>
  <c r="AH159" i="3"/>
  <c r="AG159" i="3"/>
  <c r="A161" i="3"/>
  <c r="AR160" i="3"/>
  <c r="AQ160" i="3"/>
  <c r="B160" i="3"/>
  <c r="C160" i="3"/>
  <c r="D160" i="3"/>
  <c r="F160" i="3"/>
  <c r="BM160" i="3" s="1"/>
  <c r="G160" i="3"/>
  <c r="H160" i="3" s="1"/>
  <c r="BN160" i="3" s="1"/>
  <c r="Q160" i="3"/>
  <c r="S160" i="3"/>
  <c r="O160" i="3"/>
  <c r="U160" i="3"/>
  <c r="AD160" i="3"/>
  <c r="AE160" i="3"/>
  <c r="M160" i="3"/>
  <c r="AM160" i="3"/>
  <c r="AF160" i="3"/>
  <c r="AK160" i="3"/>
  <c r="T160" i="3"/>
  <c r="V160" i="3"/>
  <c r="R160" i="3"/>
  <c r="P160" i="3"/>
  <c r="BJ155" i="3"/>
  <c r="BK155" i="3" s="1"/>
  <c r="X159" i="3"/>
  <c r="Y159" i="3"/>
  <c r="Z159" i="3" s="1"/>
  <c r="AN159" i="3"/>
  <c r="AO160" i="3" l="1"/>
  <c r="AU159" i="3"/>
  <c r="AR161" i="3"/>
  <c r="B161" i="3"/>
  <c r="AQ161" i="3"/>
  <c r="A162" i="3"/>
  <c r="D161" i="3"/>
  <c r="C161" i="3"/>
  <c r="F161" i="3"/>
  <c r="BM161" i="3" s="1"/>
  <c r="G161" i="3"/>
  <c r="H161" i="3" s="1"/>
  <c r="BN161" i="3" s="1"/>
  <c r="Q161" i="3"/>
  <c r="S161" i="3"/>
  <c r="O161" i="3"/>
  <c r="U161" i="3"/>
  <c r="M161" i="3"/>
  <c r="AD161" i="3"/>
  <c r="AM161" i="3"/>
  <c r="AE161" i="3"/>
  <c r="AF161" i="3"/>
  <c r="AK161" i="3"/>
  <c r="AO161" i="3" s="1"/>
  <c r="T161" i="3"/>
  <c r="R161" i="3"/>
  <c r="V161" i="3"/>
  <c r="P161" i="3"/>
  <c r="Y160" i="3"/>
  <c r="Z160" i="3" s="1"/>
  <c r="BF157" i="3"/>
  <c r="BJ156" i="3" s="1"/>
  <c r="BK156" i="3" s="1"/>
  <c r="BQ157" i="3"/>
  <c r="BB157" i="3"/>
  <c r="AW159" i="3"/>
  <c r="AG160" i="3"/>
  <c r="AH160" i="3"/>
  <c r="AN160" i="3"/>
  <c r="BG157" i="3"/>
  <c r="BH157" i="3" s="1"/>
  <c r="BI157" i="3" s="1"/>
  <c r="BD157" i="3"/>
  <c r="X160" i="3"/>
  <c r="AT159" i="3"/>
  <c r="AX159" i="3"/>
  <c r="AV158" i="3"/>
  <c r="BC158" i="3" s="1"/>
  <c r="BA158" i="3"/>
  <c r="AU160" i="3" l="1"/>
  <c r="BB158" i="3"/>
  <c r="BQ158" i="3"/>
  <c r="BF158" i="3"/>
  <c r="BJ157" i="3" s="1"/>
  <c r="BK157" i="3" s="1"/>
  <c r="BD158" i="3"/>
  <c r="BG158" i="3"/>
  <c r="BH158" i="3" s="1"/>
  <c r="BI158" i="3" s="1"/>
  <c r="AH161" i="3"/>
  <c r="AT160" i="3"/>
  <c r="AY159" i="3"/>
  <c r="AG161" i="3"/>
  <c r="B162" i="3"/>
  <c r="AQ162" i="3"/>
  <c r="AR162" i="3"/>
  <c r="A163" i="3"/>
  <c r="D162" i="3"/>
  <c r="C162" i="3"/>
  <c r="F162" i="3"/>
  <c r="BM162" i="3" s="1"/>
  <c r="G162" i="3"/>
  <c r="H162" i="3" s="1"/>
  <c r="BN162" i="3" s="1"/>
  <c r="Q162" i="3"/>
  <c r="S162" i="3"/>
  <c r="O162" i="3"/>
  <c r="U162" i="3"/>
  <c r="AD162" i="3"/>
  <c r="AK162" i="3"/>
  <c r="AF162" i="3"/>
  <c r="AE162" i="3"/>
  <c r="M162" i="3"/>
  <c r="AM162" i="3"/>
  <c r="AN162" i="3" s="1"/>
  <c r="V162" i="3"/>
  <c r="P162" i="3"/>
  <c r="T162" i="3"/>
  <c r="R162" i="3"/>
  <c r="AU161" i="3"/>
  <c r="BA159" i="3"/>
  <c r="AV159" i="3"/>
  <c r="BC159" i="3" s="1"/>
  <c r="X161" i="3"/>
  <c r="AN161" i="3"/>
  <c r="AW160" i="3"/>
  <c r="AX160" i="3"/>
  <c r="Y161" i="3"/>
  <c r="Z161" i="3" s="1"/>
  <c r="AG162" i="3" l="1"/>
  <c r="X162" i="3"/>
  <c r="BF159" i="3"/>
  <c r="BQ159" i="3"/>
  <c r="BB159" i="3"/>
  <c r="AR163" i="3"/>
  <c r="B163" i="3"/>
  <c r="AQ163" i="3"/>
  <c r="A164" i="3"/>
  <c r="D163" i="3"/>
  <c r="C163" i="3"/>
  <c r="F163" i="3"/>
  <c r="BM163" i="3" s="1"/>
  <c r="G163" i="3"/>
  <c r="H163" i="3" s="1"/>
  <c r="BN163" i="3" s="1"/>
  <c r="Q163" i="3"/>
  <c r="S163" i="3"/>
  <c r="O163" i="3"/>
  <c r="U163" i="3"/>
  <c r="AE163" i="3"/>
  <c r="AD163" i="3"/>
  <c r="M163" i="3"/>
  <c r="AF163" i="3"/>
  <c r="AM163" i="3"/>
  <c r="AK163" i="3"/>
  <c r="V163" i="3"/>
  <c r="R163" i="3"/>
  <c r="P163" i="3"/>
  <c r="T163" i="3"/>
  <c r="Y162" i="3"/>
  <c r="Z162" i="3" s="1"/>
  <c r="AX161" i="3"/>
  <c r="AY160" i="3"/>
  <c r="BD159" i="3"/>
  <c r="BG159" i="3"/>
  <c r="BH159" i="3" s="1"/>
  <c r="BI159" i="3" s="1"/>
  <c r="AW161" i="3"/>
  <c r="AO162" i="3"/>
  <c r="BA160" i="3"/>
  <c r="AV160" i="3"/>
  <c r="BC160" i="3" s="1"/>
  <c r="AH162" i="3"/>
  <c r="AX162" i="3" s="1"/>
  <c r="AT161" i="3"/>
  <c r="AO163" i="3" l="1"/>
  <c r="AH163" i="3"/>
  <c r="BD160" i="3"/>
  <c r="BG160" i="3"/>
  <c r="BH160" i="3" s="1"/>
  <c r="BI160" i="3" s="1"/>
  <c r="AG163" i="3"/>
  <c r="AT162" i="3"/>
  <c r="AT163" i="3"/>
  <c r="AU162" i="3"/>
  <c r="AY161" i="3"/>
  <c r="Y163" i="3"/>
  <c r="Z163" i="3" s="1"/>
  <c r="BF160" i="3"/>
  <c r="BB160" i="3"/>
  <c r="BQ160" i="3"/>
  <c r="AW162" i="3"/>
  <c r="AY162" i="3" s="1"/>
  <c r="A165" i="3"/>
  <c r="B164" i="3"/>
  <c r="AQ164" i="3"/>
  <c r="AR164" i="3"/>
  <c r="D164" i="3"/>
  <c r="C164" i="3"/>
  <c r="F164" i="3"/>
  <c r="BM164" i="3" s="1"/>
  <c r="G164" i="3"/>
  <c r="H164" i="3" s="1"/>
  <c r="Q164" i="3"/>
  <c r="S164" i="3"/>
  <c r="O164" i="3"/>
  <c r="U164" i="3"/>
  <c r="M164" i="3"/>
  <c r="AD164" i="3"/>
  <c r="AE164" i="3"/>
  <c r="AK164" i="3"/>
  <c r="AM164" i="3"/>
  <c r="AF164" i="3"/>
  <c r="P164" i="3"/>
  <c r="R164" i="3"/>
  <c r="T164" i="3"/>
  <c r="V164" i="3"/>
  <c r="BJ159" i="3"/>
  <c r="BK159" i="3" s="1"/>
  <c r="BJ158" i="3"/>
  <c r="BK158" i="3" s="1"/>
  <c r="X163" i="3"/>
  <c r="AV161" i="3"/>
  <c r="BA161" i="3"/>
  <c r="AN163" i="3"/>
  <c r="AN164" i="3" l="1"/>
  <c r="AO164" i="3"/>
  <c r="AX163" i="3"/>
  <c r="B165" i="3"/>
  <c r="AQ165" i="3"/>
  <c r="A166" i="3"/>
  <c r="C165" i="3"/>
  <c r="AR165" i="3"/>
  <c r="D165" i="3"/>
  <c r="F165" i="3"/>
  <c r="BM165" i="3" s="1"/>
  <c r="G165" i="3"/>
  <c r="H165" i="3" s="1"/>
  <c r="BN165" i="3" s="1"/>
  <c r="Q165" i="3"/>
  <c r="S165" i="3"/>
  <c r="O165" i="3"/>
  <c r="U165" i="3"/>
  <c r="M165" i="3"/>
  <c r="AE165" i="3"/>
  <c r="AD165" i="3"/>
  <c r="AK165" i="3"/>
  <c r="AM165" i="3"/>
  <c r="AF165" i="3"/>
  <c r="V165" i="3"/>
  <c r="P165" i="3"/>
  <c r="T165" i="3"/>
  <c r="R165" i="3"/>
  <c r="Y164" i="3"/>
  <c r="Z164" i="3" s="1"/>
  <c r="X164" i="3"/>
  <c r="AG164" i="3"/>
  <c r="AV162" i="3"/>
  <c r="BC162" i="3" s="1"/>
  <c r="BA162" i="3"/>
  <c r="AW163" i="3"/>
  <c r="AY163" i="3" s="1"/>
  <c r="BN164" i="3"/>
  <c r="AH164" i="3"/>
  <c r="AX164" i="3" s="1"/>
  <c r="BF161" i="3"/>
  <c r="BJ160" i="3" s="1"/>
  <c r="BK160" i="3" s="1"/>
  <c r="BB161" i="3"/>
  <c r="BQ161" i="3"/>
  <c r="BC161" i="3"/>
  <c r="AU163" i="3"/>
  <c r="BA163" i="3" l="1"/>
  <c r="AN165" i="3"/>
  <c r="BF163" i="3"/>
  <c r="BQ163" i="3"/>
  <c r="BB163" i="3"/>
  <c r="BD161" i="3"/>
  <c r="BG161" i="3"/>
  <c r="BH161" i="3" s="1"/>
  <c r="BI161" i="3" s="1"/>
  <c r="AH165" i="3"/>
  <c r="AW164" i="3"/>
  <c r="AY164" i="3" s="1"/>
  <c r="BQ162" i="3"/>
  <c r="BF162" i="3"/>
  <c r="BJ161" i="3" s="1"/>
  <c r="BK161" i="3" s="1"/>
  <c r="BB162" i="3"/>
  <c r="AV163" i="3"/>
  <c r="BC163" i="3" s="1"/>
  <c r="X165" i="3"/>
  <c r="AO165" i="3"/>
  <c r="AU164" i="3"/>
  <c r="AG165" i="3"/>
  <c r="BD162" i="3"/>
  <c r="BG162" i="3"/>
  <c r="BH162" i="3" s="1"/>
  <c r="BI162" i="3" s="1"/>
  <c r="AR166" i="3"/>
  <c r="B166" i="3"/>
  <c r="A167" i="3"/>
  <c r="AQ166" i="3"/>
  <c r="C166" i="3"/>
  <c r="D166" i="3"/>
  <c r="G166" i="3"/>
  <c r="H166" i="3" s="1"/>
  <c r="BN166" i="3" s="1"/>
  <c r="F166" i="3"/>
  <c r="BM166" i="3" s="1"/>
  <c r="Q166" i="3"/>
  <c r="S166" i="3"/>
  <c r="O166" i="3"/>
  <c r="U166" i="3"/>
  <c r="AE166" i="3"/>
  <c r="AD166" i="3"/>
  <c r="M166" i="3"/>
  <c r="AM166" i="3"/>
  <c r="AF166" i="3"/>
  <c r="AK166" i="3"/>
  <c r="R166" i="3"/>
  <c r="T166" i="3"/>
  <c r="P166" i="3"/>
  <c r="V166" i="3"/>
  <c r="Y165" i="3"/>
  <c r="Z165" i="3" s="1"/>
  <c r="AT164" i="3"/>
  <c r="AW165" i="3" l="1"/>
  <c r="AT165" i="3"/>
  <c r="AN166" i="3"/>
  <c r="X166" i="3"/>
  <c r="AH166" i="3"/>
  <c r="AO166" i="3"/>
  <c r="AX165" i="3"/>
  <c r="AG166" i="3"/>
  <c r="AW166" i="3" s="1"/>
  <c r="BD163" i="3"/>
  <c r="BG163" i="3"/>
  <c r="BH163" i="3" s="1"/>
  <c r="BI163" i="3" s="1"/>
  <c r="AU165" i="3"/>
  <c r="AV165" i="3" s="1"/>
  <c r="AU166" i="3"/>
  <c r="AT166" i="3"/>
  <c r="AV164" i="3"/>
  <c r="BC164" i="3" s="1"/>
  <c r="BA164" i="3"/>
  <c r="AQ167" i="3"/>
  <c r="B167" i="3"/>
  <c r="A168" i="3"/>
  <c r="AR167" i="3"/>
  <c r="D167" i="3"/>
  <c r="C167" i="3"/>
  <c r="F167" i="3"/>
  <c r="BM167" i="3" s="1"/>
  <c r="G167" i="3"/>
  <c r="H167" i="3" s="1"/>
  <c r="S167" i="3"/>
  <c r="Q167" i="3"/>
  <c r="O167" i="3"/>
  <c r="U167" i="3"/>
  <c r="AD167" i="3"/>
  <c r="M167" i="3"/>
  <c r="AE167" i="3"/>
  <c r="AF167" i="3"/>
  <c r="AM167" i="3"/>
  <c r="AK167" i="3"/>
  <c r="AO167" i="3" s="1"/>
  <c r="V167" i="3"/>
  <c r="T167" i="3"/>
  <c r="R167" i="3"/>
  <c r="P167" i="3"/>
  <c r="AY165" i="3"/>
  <c r="Y166" i="3"/>
  <c r="Z166" i="3" s="1"/>
  <c r="BJ162" i="3"/>
  <c r="BK162" i="3" s="1"/>
  <c r="AG167" i="3" l="1"/>
  <c r="BC165" i="3"/>
  <c r="BG165" i="3" s="1"/>
  <c r="BH165" i="3" s="1"/>
  <c r="BI165" i="3" s="1"/>
  <c r="BD164" i="3"/>
  <c r="BG164" i="3"/>
  <c r="BH164" i="3" s="1"/>
  <c r="BI164" i="3" s="1"/>
  <c r="AV166" i="3"/>
  <c r="AR168" i="3"/>
  <c r="AQ168" i="3"/>
  <c r="A169" i="3"/>
  <c r="B168" i="3"/>
  <c r="D168" i="3"/>
  <c r="C168" i="3"/>
  <c r="F168" i="3"/>
  <c r="BM168" i="3" s="1"/>
  <c r="G168" i="3"/>
  <c r="H168" i="3" s="1"/>
  <c r="BN168" i="3" s="1"/>
  <c r="Q168" i="3"/>
  <c r="S168" i="3"/>
  <c r="O168" i="3"/>
  <c r="U168" i="3"/>
  <c r="M168" i="3"/>
  <c r="AE168" i="3"/>
  <c r="AD168" i="3"/>
  <c r="AK168" i="3"/>
  <c r="AM168" i="3"/>
  <c r="AN168" i="3" s="1"/>
  <c r="AF168" i="3"/>
  <c r="R168" i="3"/>
  <c r="P168" i="3"/>
  <c r="T168" i="3"/>
  <c r="V168" i="3"/>
  <c r="Y167" i="3"/>
  <c r="Z167" i="3" s="1"/>
  <c r="AX166" i="3"/>
  <c r="BA166" i="3" s="1"/>
  <c r="BF164" i="3"/>
  <c r="BJ163" i="3" s="1"/>
  <c r="BK163" i="3" s="1"/>
  <c r="BB164" i="3"/>
  <c r="BQ164" i="3"/>
  <c r="BA165" i="3"/>
  <c r="AN167" i="3"/>
  <c r="AH167" i="3"/>
  <c r="AT167" i="3" s="1"/>
  <c r="X167" i="3"/>
  <c r="BN167" i="3"/>
  <c r="BD165" i="3" l="1"/>
  <c r="AU167" i="3"/>
  <c r="AV167" i="3" s="1"/>
  <c r="BQ166" i="3"/>
  <c r="BF166" i="3"/>
  <c r="BB166" i="3"/>
  <c r="AY166" i="3"/>
  <c r="X168" i="3"/>
  <c r="Y168" i="3"/>
  <c r="Z168" i="3" s="1"/>
  <c r="BC166" i="3"/>
  <c r="AH168" i="3"/>
  <c r="BF165" i="3"/>
  <c r="BJ164" i="3" s="1"/>
  <c r="BK164" i="3" s="1"/>
  <c r="BQ165" i="3"/>
  <c r="BB165" i="3"/>
  <c r="AG168" i="3"/>
  <c r="AW167" i="3"/>
  <c r="AR169" i="3"/>
  <c r="AQ169" i="3"/>
  <c r="B169" i="3"/>
  <c r="A170" i="3"/>
  <c r="C169" i="3"/>
  <c r="D169" i="3"/>
  <c r="F169" i="3"/>
  <c r="G169" i="3"/>
  <c r="H169" i="3" s="1"/>
  <c r="BN169" i="3" s="1"/>
  <c r="Q169" i="3"/>
  <c r="S169" i="3"/>
  <c r="O169" i="3"/>
  <c r="U169" i="3"/>
  <c r="M169" i="3"/>
  <c r="AD169" i="3"/>
  <c r="AF169" i="3"/>
  <c r="AK169" i="3"/>
  <c r="AM169" i="3"/>
  <c r="AE169" i="3"/>
  <c r="V169" i="3"/>
  <c r="T169" i="3"/>
  <c r="R169" i="3"/>
  <c r="P169" i="3"/>
  <c r="AU168" i="3"/>
  <c r="AO168" i="3"/>
  <c r="AX167" i="3"/>
  <c r="AN169" i="3" l="1"/>
  <c r="AG169" i="3"/>
  <c r="BM169" i="3"/>
  <c r="AY167" i="3"/>
  <c r="AW168" i="3"/>
  <c r="AO169" i="3"/>
  <c r="Y169" i="3"/>
  <c r="Z169" i="3" s="1"/>
  <c r="BD166" i="3"/>
  <c r="BG166" i="3"/>
  <c r="BH166" i="3" s="1"/>
  <c r="BI166" i="3" s="1"/>
  <c r="AH169" i="3"/>
  <c r="AX169" i="3" s="1"/>
  <c r="X169" i="3"/>
  <c r="BJ165" i="3"/>
  <c r="BK165" i="3" s="1"/>
  <c r="AX168" i="3"/>
  <c r="AY168" i="3" s="1"/>
  <c r="AT169" i="3"/>
  <c r="BA167" i="3"/>
  <c r="AU169" i="3"/>
  <c r="AT168" i="3"/>
  <c r="AR170" i="3"/>
  <c r="B170" i="3"/>
  <c r="AQ170" i="3"/>
  <c r="A171" i="3"/>
  <c r="C170" i="3"/>
  <c r="D170" i="3"/>
  <c r="G170" i="3"/>
  <c r="H170" i="3" s="1"/>
  <c r="F170" i="3"/>
  <c r="Q170" i="3"/>
  <c r="S170" i="3"/>
  <c r="O170" i="3"/>
  <c r="U170" i="3"/>
  <c r="AE170" i="3"/>
  <c r="M170" i="3"/>
  <c r="AD170" i="3"/>
  <c r="AF170" i="3"/>
  <c r="AK170" i="3"/>
  <c r="AM170" i="3"/>
  <c r="V170" i="3"/>
  <c r="T170" i="3"/>
  <c r="R170" i="3"/>
  <c r="P170" i="3"/>
  <c r="BC167" i="3"/>
  <c r="AW169" i="3" l="1"/>
  <c r="AO170" i="3"/>
  <c r="Y170" i="3"/>
  <c r="Z170" i="3" s="1"/>
  <c r="BA168" i="3"/>
  <c r="AV168" i="3"/>
  <c r="BC168" i="3" s="1"/>
  <c r="AV169" i="3"/>
  <c r="BA169" i="3"/>
  <c r="AY169" i="3"/>
  <c r="BB167" i="3"/>
  <c r="BQ167" i="3"/>
  <c r="BF167" i="3"/>
  <c r="BJ166" i="3" s="1"/>
  <c r="BK166" i="3" s="1"/>
  <c r="AG170" i="3"/>
  <c r="AH170" i="3"/>
  <c r="AQ171" i="3"/>
  <c r="A172" i="3"/>
  <c r="AR171" i="3"/>
  <c r="B171" i="3"/>
  <c r="D171" i="3"/>
  <c r="C171" i="3"/>
  <c r="G171" i="3"/>
  <c r="H171" i="3" s="1"/>
  <c r="F171" i="3"/>
  <c r="Q171" i="3"/>
  <c r="S171" i="3"/>
  <c r="O171" i="3"/>
  <c r="U171" i="3"/>
  <c r="AE171" i="3"/>
  <c r="AD171" i="3"/>
  <c r="AF171" i="3"/>
  <c r="AK171" i="3"/>
  <c r="M171" i="3"/>
  <c r="AM171" i="3"/>
  <c r="R171" i="3"/>
  <c r="P171" i="3"/>
  <c r="V171" i="3"/>
  <c r="T171" i="3"/>
  <c r="AN170" i="3"/>
  <c r="X170" i="3"/>
  <c r="BD167" i="3"/>
  <c r="BG167" i="3"/>
  <c r="BH167" i="3" s="1"/>
  <c r="BI167" i="3" s="1"/>
  <c r="BM170" i="3"/>
  <c r="BN170" i="3"/>
  <c r="AN171" i="3" l="1"/>
  <c r="BC169" i="3"/>
  <c r="X171" i="3"/>
  <c r="AX170" i="3"/>
  <c r="BD169" i="3"/>
  <c r="BG169" i="3"/>
  <c r="BH169" i="3" s="1"/>
  <c r="BI169" i="3" s="1"/>
  <c r="AO171" i="3"/>
  <c r="BD168" i="3"/>
  <c r="BG168" i="3"/>
  <c r="BH168" i="3" s="1"/>
  <c r="BI168" i="3" s="1"/>
  <c r="AQ172" i="3"/>
  <c r="A173" i="3"/>
  <c r="B172" i="3"/>
  <c r="AR172" i="3"/>
  <c r="D172" i="3"/>
  <c r="C172" i="3"/>
  <c r="F172" i="3"/>
  <c r="BM172" i="3" s="1"/>
  <c r="G172" i="3"/>
  <c r="H172" i="3" s="1"/>
  <c r="BN172" i="3" s="1"/>
  <c r="Q172" i="3"/>
  <c r="S172" i="3"/>
  <c r="O172" i="3"/>
  <c r="U172" i="3"/>
  <c r="AE172" i="3"/>
  <c r="M172" i="3"/>
  <c r="AD172" i="3"/>
  <c r="AM172" i="3"/>
  <c r="AF172" i="3"/>
  <c r="AK172" i="3"/>
  <c r="AO172" i="3" s="1"/>
  <c r="R172" i="3"/>
  <c r="V172" i="3"/>
  <c r="P172" i="3"/>
  <c r="T172" i="3"/>
  <c r="AW170" i="3"/>
  <c r="AY170" i="3" s="1"/>
  <c r="BQ168" i="3"/>
  <c r="BB168" i="3"/>
  <c r="BF168" i="3"/>
  <c r="BJ167" i="3" s="1"/>
  <c r="BK167" i="3" s="1"/>
  <c r="Y171" i="3"/>
  <c r="Z171" i="3" s="1"/>
  <c r="BQ169" i="3"/>
  <c r="BB169" i="3"/>
  <c r="BF169" i="3"/>
  <c r="AT170" i="3"/>
  <c r="AH171" i="3"/>
  <c r="BM171" i="3"/>
  <c r="AG171" i="3"/>
  <c r="BN171" i="3"/>
  <c r="AU170" i="3"/>
  <c r="AX171" i="3" l="1"/>
  <c r="BJ168" i="3"/>
  <c r="BK168" i="3" s="1"/>
  <c r="X172" i="3"/>
  <c r="AG172" i="3"/>
  <c r="B173" i="3"/>
  <c r="AQ173" i="3"/>
  <c r="A174" i="3"/>
  <c r="AR173" i="3"/>
  <c r="C173" i="3"/>
  <c r="D173" i="3"/>
  <c r="G173" i="3"/>
  <c r="H173" i="3" s="1"/>
  <c r="BN173" i="3" s="1"/>
  <c r="F173" i="3"/>
  <c r="BM173" i="3" s="1"/>
  <c r="Q173" i="3"/>
  <c r="S173" i="3"/>
  <c r="O173" i="3"/>
  <c r="U173" i="3"/>
  <c r="AD173" i="3"/>
  <c r="AE173" i="3"/>
  <c r="M173" i="3"/>
  <c r="AF173" i="3"/>
  <c r="AK173" i="3"/>
  <c r="AM173" i="3"/>
  <c r="T173" i="3"/>
  <c r="R173" i="3"/>
  <c r="V173" i="3"/>
  <c r="P173" i="3"/>
  <c r="Y172" i="3"/>
  <c r="Z172" i="3" s="1"/>
  <c r="AN172" i="3"/>
  <c r="AV170" i="3"/>
  <c r="BC170" i="3" s="1"/>
  <c r="BA170" i="3"/>
  <c r="AU171" i="3"/>
  <c r="AW171" i="3"/>
  <c r="AY171" i="3" s="1"/>
  <c r="AH172" i="3"/>
  <c r="AX172" i="3" s="1"/>
  <c r="AT171" i="3"/>
  <c r="AO173" i="3" l="1"/>
  <c r="AG173" i="3"/>
  <c r="X173" i="3"/>
  <c r="AR174" i="3"/>
  <c r="AQ174" i="3"/>
  <c r="A175" i="3"/>
  <c r="B174" i="3"/>
  <c r="D174" i="3"/>
  <c r="C174" i="3"/>
  <c r="F174" i="3"/>
  <c r="BM174" i="3" s="1"/>
  <c r="G174" i="3"/>
  <c r="H174" i="3" s="1"/>
  <c r="BN174" i="3" s="1"/>
  <c r="Q174" i="3"/>
  <c r="S174" i="3"/>
  <c r="O174" i="3"/>
  <c r="U174" i="3"/>
  <c r="M174" i="3"/>
  <c r="AF174" i="3"/>
  <c r="AD174" i="3"/>
  <c r="AK174" i="3"/>
  <c r="AM174" i="3"/>
  <c r="AE174" i="3"/>
  <c r="V174" i="3"/>
  <c r="P174" i="3"/>
  <c r="T174" i="3"/>
  <c r="R174" i="3"/>
  <c r="AV171" i="3"/>
  <c r="BC171" i="3" s="1"/>
  <c r="BA171" i="3"/>
  <c r="AW172" i="3"/>
  <c r="AY172" i="3" s="1"/>
  <c r="AN173" i="3"/>
  <c r="AH173" i="3"/>
  <c r="AT172" i="3"/>
  <c r="BB170" i="3"/>
  <c r="BQ170" i="3"/>
  <c r="BF170" i="3"/>
  <c r="BJ169" i="3" s="1"/>
  <c r="BK169" i="3" s="1"/>
  <c r="BD170" i="3"/>
  <c r="BG170" i="3"/>
  <c r="BH170" i="3" s="1"/>
  <c r="BI170" i="3" s="1"/>
  <c r="AU172" i="3"/>
  <c r="Y173" i="3"/>
  <c r="Z173" i="3" s="1"/>
  <c r="AO174" i="3" l="1"/>
  <c r="AH174" i="3"/>
  <c r="AX173" i="3"/>
  <c r="AU173" i="3"/>
  <c r="AT173" i="3"/>
  <c r="BD171" i="3"/>
  <c r="BG171" i="3"/>
  <c r="BH171" i="3" s="1"/>
  <c r="BI171" i="3" s="1"/>
  <c r="Y174" i="3"/>
  <c r="Z174" i="3" s="1"/>
  <c r="BF171" i="3"/>
  <c r="BJ170" i="3" s="1"/>
  <c r="BK170" i="3" s="1"/>
  <c r="BB171" i="3"/>
  <c r="BQ171" i="3"/>
  <c r="AG174" i="3"/>
  <c r="X174" i="3"/>
  <c r="AV172" i="3"/>
  <c r="BC172" i="3" s="1"/>
  <c r="BA172" i="3"/>
  <c r="AQ175" i="3"/>
  <c r="B175" i="3"/>
  <c r="A176" i="3"/>
  <c r="AR175" i="3"/>
  <c r="D175" i="3"/>
  <c r="C175" i="3"/>
  <c r="G175" i="3"/>
  <c r="H175" i="3" s="1"/>
  <c r="F175" i="3"/>
  <c r="BM175" i="3" s="1"/>
  <c r="S175" i="3"/>
  <c r="Q175" i="3"/>
  <c r="O175" i="3"/>
  <c r="U175" i="3"/>
  <c r="AE175" i="3"/>
  <c r="AD175" i="3"/>
  <c r="AM175" i="3"/>
  <c r="M175" i="3"/>
  <c r="AF175" i="3"/>
  <c r="AK175" i="3"/>
  <c r="V175" i="3"/>
  <c r="T175" i="3"/>
  <c r="P175" i="3"/>
  <c r="R175" i="3"/>
  <c r="AN174" i="3"/>
  <c r="AX174" i="3" s="1"/>
  <c r="AW173" i="3"/>
  <c r="AY173" i="3" s="1"/>
  <c r="AO175" i="3" l="1"/>
  <c r="BN175" i="3"/>
  <c r="BD172" i="3"/>
  <c r="BG172" i="3"/>
  <c r="BH172" i="3" s="1"/>
  <c r="BI172" i="3" s="1"/>
  <c r="AW174" i="3"/>
  <c r="AY174" i="3" s="1"/>
  <c r="B176" i="3"/>
  <c r="AR176" i="3"/>
  <c r="A177" i="3"/>
  <c r="AQ176" i="3"/>
  <c r="D176" i="3"/>
  <c r="C176" i="3"/>
  <c r="F176" i="3"/>
  <c r="BM176" i="3" s="1"/>
  <c r="G176" i="3"/>
  <c r="H176" i="3" s="1"/>
  <c r="BN176" i="3" s="1"/>
  <c r="Q176" i="3"/>
  <c r="S176" i="3"/>
  <c r="O176" i="3"/>
  <c r="U176" i="3"/>
  <c r="AD176" i="3"/>
  <c r="M176" i="3"/>
  <c r="AE176" i="3"/>
  <c r="AF176" i="3"/>
  <c r="AM176" i="3"/>
  <c r="AK176" i="3"/>
  <c r="R176" i="3"/>
  <c r="V176" i="3"/>
  <c r="T176" i="3"/>
  <c r="P176" i="3"/>
  <c r="BF172" i="3"/>
  <c r="BJ171" i="3" s="1"/>
  <c r="BK171" i="3" s="1"/>
  <c r="BB172" i="3"/>
  <c r="BQ172" i="3"/>
  <c r="AN175" i="3"/>
  <c r="BA173" i="3"/>
  <c r="AV173" i="3"/>
  <c r="BC173" i="3" s="1"/>
  <c r="Y175" i="3"/>
  <c r="Z175" i="3" s="1"/>
  <c r="AG175" i="3"/>
  <c r="AT174" i="3"/>
  <c r="AH175" i="3"/>
  <c r="AX175" i="3" s="1"/>
  <c r="X175" i="3"/>
  <c r="AU174" i="3"/>
  <c r="AG176" i="3" l="1"/>
  <c r="AO176" i="3"/>
  <c r="AV174" i="3"/>
  <c r="BC174" i="3" s="1"/>
  <c r="BA174" i="3"/>
  <c r="AW175" i="3"/>
  <c r="AY175" i="3" s="1"/>
  <c r="X176" i="3"/>
  <c r="AQ177" i="3"/>
  <c r="B177" i="3"/>
  <c r="A178" i="3"/>
  <c r="AR177" i="3"/>
  <c r="D177" i="3"/>
  <c r="C177" i="3"/>
  <c r="F177" i="3"/>
  <c r="BM177" i="3" s="1"/>
  <c r="G177" i="3"/>
  <c r="H177" i="3" s="1"/>
  <c r="BN177" i="3" s="1"/>
  <c r="Q177" i="3"/>
  <c r="S177" i="3"/>
  <c r="O177" i="3"/>
  <c r="U177" i="3"/>
  <c r="M177" i="3"/>
  <c r="AE177" i="3"/>
  <c r="AG177" i="3" s="1"/>
  <c r="AD177" i="3"/>
  <c r="AK177" i="3"/>
  <c r="AM177" i="3"/>
  <c r="AF177" i="3"/>
  <c r="P177" i="3"/>
  <c r="V177" i="3"/>
  <c r="T177" i="3"/>
  <c r="R177" i="3"/>
  <c r="AH176" i="3"/>
  <c r="AU176" i="3" s="1"/>
  <c r="AU175" i="3"/>
  <c r="BD173" i="3"/>
  <c r="BG173" i="3"/>
  <c r="BH173" i="3" s="1"/>
  <c r="BI173" i="3" s="1"/>
  <c r="Y176" i="3"/>
  <c r="Z176" i="3" s="1"/>
  <c r="AN176" i="3"/>
  <c r="AT175" i="3"/>
  <c r="BB173" i="3"/>
  <c r="BQ173" i="3"/>
  <c r="BF173" i="3"/>
  <c r="BJ172" i="3" s="1"/>
  <c r="BK172" i="3" s="1"/>
  <c r="AT176" i="3"/>
  <c r="AN177" i="3" l="1"/>
  <c r="AH177" i="3"/>
  <c r="X177" i="3"/>
  <c r="Y177" i="3"/>
  <c r="Z177" i="3" s="1"/>
  <c r="AV176" i="3"/>
  <c r="BA175" i="3"/>
  <c r="AV175" i="3"/>
  <c r="BC175" i="3" s="1"/>
  <c r="AT177" i="3"/>
  <c r="AU177" i="3"/>
  <c r="BF174" i="3"/>
  <c r="BJ173" i="3" s="1"/>
  <c r="BK173" i="3" s="1"/>
  <c r="BQ174" i="3"/>
  <c r="BB174" i="3"/>
  <c r="AR178" i="3"/>
  <c r="B178" i="3"/>
  <c r="AQ178" i="3"/>
  <c r="D178" i="3"/>
  <c r="A179" i="3"/>
  <c r="C178" i="3"/>
  <c r="G178" i="3"/>
  <c r="H178" i="3" s="1"/>
  <c r="F178" i="3"/>
  <c r="Q178" i="3"/>
  <c r="S178" i="3"/>
  <c r="O178" i="3"/>
  <c r="U178" i="3"/>
  <c r="M178" i="3"/>
  <c r="AE178" i="3"/>
  <c r="AM178" i="3"/>
  <c r="AK178" i="3"/>
  <c r="AF178" i="3"/>
  <c r="AD178" i="3"/>
  <c r="T178" i="3"/>
  <c r="V178" i="3"/>
  <c r="P178" i="3"/>
  <c r="R178" i="3"/>
  <c r="BD174" i="3"/>
  <c r="BG174" i="3"/>
  <c r="BH174" i="3" s="1"/>
  <c r="BI174" i="3" s="1"/>
  <c r="AX176" i="3"/>
  <c r="AO177" i="3"/>
  <c r="AX177" i="3" s="1"/>
  <c r="AW176" i="3"/>
  <c r="AH178" i="3" l="1"/>
  <c r="BA176" i="3"/>
  <c r="AN178" i="3"/>
  <c r="BB176" i="3"/>
  <c r="BF176" i="3"/>
  <c r="BQ176" i="3"/>
  <c r="B179" i="3"/>
  <c r="A180" i="3"/>
  <c r="AR179" i="3"/>
  <c r="AQ179" i="3"/>
  <c r="C179" i="3"/>
  <c r="D179" i="3"/>
  <c r="F179" i="3"/>
  <c r="BM179" i="3" s="1"/>
  <c r="G179" i="3"/>
  <c r="H179" i="3" s="1"/>
  <c r="BN179" i="3" s="1"/>
  <c r="S179" i="3"/>
  <c r="Q179" i="3"/>
  <c r="O179" i="3"/>
  <c r="U179" i="3"/>
  <c r="M179" i="3"/>
  <c r="AD179" i="3"/>
  <c r="AM179" i="3"/>
  <c r="AE179" i="3"/>
  <c r="AF179" i="3"/>
  <c r="AK179" i="3"/>
  <c r="T179" i="3"/>
  <c r="R179" i="3"/>
  <c r="P179" i="3"/>
  <c r="V179" i="3"/>
  <c r="Y178" i="3"/>
  <c r="Z178" i="3" s="1"/>
  <c r="BC176" i="3"/>
  <c r="AO178" i="3"/>
  <c r="X178" i="3"/>
  <c r="BA177" i="3"/>
  <c r="AV177" i="3"/>
  <c r="BC177" i="3" s="1"/>
  <c r="BF175" i="3"/>
  <c r="BJ174" i="3" s="1"/>
  <c r="BK174" i="3" s="1"/>
  <c r="BQ175" i="3"/>
  <c r="BB175" i="3"/>
  <c r="AG178" i="3"/>
  <c r="AU178" i="3" s="1"/>
  <c r="BD175" i="3"/>
  <c r="BG175" i="3"/>
  <c r="BH175" i="3" s="1"/>
  <c r="BI175" i="3" s="1"/>
  <c r="BM178" i="3"/>
  <c r="AW177" i="3"/>
  <c r="AY177" i="3" s="1"/>
  <c r="AY176" i="3"/>
  <c r="BN178" i="3"/>
  <c r="AN179" i="3" l="1"/>
  <c r="AH179" i="3"/>
  <c r="AT178" i="3"/>
  <c r="BB177" i="3"/>
  <c r="BQ177" i="3"/>
  <c r="BF177" i="3"/>
  <c r="BJ176" i="3" s="1"/>
  <c r="BK176" i="3" s="1"/>
  <c r="AX178" i="3"/>
  <c r="A181" i="3"/>
  <c r="B180" i="3"/>
  <c r="AR180" i="3"/>
  <c r="AQ180" i="3"/>
  <c r="C180" i="3"/>
  <c r="D180" i="3"/>
  <c r="F180" i="3"/>
  <c r="BM180" i="3" s="1"/>
  <c r="G180" i="3"/>
  <c r="H180" i="3" s="1"/>
  <c r="BN180" i="3" s="1"/>
  <c r="Q180" i="3"/>
  <c r="S180" i="3"/>
  <c r="O180" i="3"/>
  <c r="U180" i="3"/>
  <c r="AE180" i="3"/>
  <c r="AG180" i="3" s="1"/>
  <c r="AD180" i="3"/>
  <c r="M180" i="3"/>
  <c r="AF180" i="3"/>
  <c r="AM180" i="3"/>
  <c r="AK180" i="3"/>
  <c r="T180" i="3"/>
  <c r="R180" i="3"/>
  <c r="P180" i="3"/>
  <c r="V180" i="3"/>
  <c r="AW178" i="3"/>
  <c r="AG179" i="3"/>
  <c r="X179" i="3"/>
  <c r="BD176" i="3"/>
  <c r="BG176" i="3"/>
  <c r="BH176" i="3" s="1"/>
  <c r="BI176" i="3" s="1"/>
  <c r="BJ175" i="3"/>
  <c r="BK175" i="3" s="1"/>
  <c r="BD177" i="3"/>
  <c r="BG177" i="3"/>
  <c r="BH177" i="3" s="1"/>
  <c r="BI177" i="3" s="1"/>
  <c r="AU179" i="3"/>
  <c r="Y179" i="3"/>
  <c r="Z179" i="3" s="1"/>
  <c r="AO179" i="3"/>
  <c r="X180" i="3" l="1"/>
  <c r="AY178" i="3"/>
  <c r="AO180" i="3"/>
  <c r="AH180" i="3"/>
  <c r="AX179" i="3"/>
  <c r="AW179" i="3"/>
  <c r="Y180" i="3"/>
  <c r="Z180" i="3" s="1"/>
  <c r="AN180" i="3"/>
  <c r="AU180" i="3"/>
  <c r="AR181" i="3"/>
  <c r="B181" i="3"/>
  <c r="AQ181" i="3"/>
  <c r="A182" i="3"/>
  <c r="D181" i="3"/>
  <c r="C181" i="3"/>
  <c r="F181" i="3"/>
  <c r="BM181" i="3" s="1"/>
  <c r="G181" i="3"/>
  <c r="H181" i="3" s="1"/>
  <c r="BN181" i="3" s="1"/>
  <c r="Q181" i="3"/>
  <c r="S181" i="3"/>
  <c r="O181" i="3"/>
  <c r="U181" i="3"/>
  <c r="AE181" i="3"/>
  <c r="AD181" i="3"/>
  <c r="AM181" i="3"/>
  <c r="M181" i="3"/>
  <c r="AF181" i="3"/>
  <c r="AH181" i="3" s="1"/>
  <c r="AK181" i="3"/>
  <c r="AO181" i="3" s="1"/>
  <c r="R181" i="3"/>
  <c r="V181" i="3"/>
  <c r="P181" i="3"/>
  <c r="T181" i="3"/>
  <c r="AT179" i="3"/>
  <c r="BA178" i="3"/>
  <c r="AV178" i="3"/>
  <c r="BC178" i="3" s="1"/>
  <c r="AY179" i="3" l="1"/>
  <c r="BD178" i="3"/>
  <c r="BG178" i="3"/>
  <c r="BH178" i="3" s="1"/>
  <c r="BI178" i="3" s="1"/>
  <c r="AV179" i="3"/>
  <c r="BC179" i="3" s="1"/>
  <c r="BA179" i="3"/>
  <c r="Y181" i="3"/>
  <c r="Z181" i="3" s="1"/>
  <c r="AX180" i="3"/>
  <c r="BQ178" i="3"/>
  <c r="BB178" i="3"/>
  <c r="BF178" i="3"/>
  <c r="BJ177" i="3" s="1"/>
  <c r="BK177" i="3" s="1"/>
  <c r="AW180" i="3"/>
  <c r="X181" i="3"/>
  <c r="AQ182" i="3"/>
  <c r="A183" i="3"/>
  <c r="AR182" i="3"/>
  <c r="B182" i="3"/>
  <c r="C182" i="3"/>
  <c r="D182" i="3"/>
  <c r="G182" i="3"/>
  <c r="H182" i="3" s="1"/>
  <c r="BN182" i="3" s="1"/>
  <c r="F182" i="3"/>
  <c r="Q182" i="3"/>
  <c r="S182" i="3"/>
  <c r="O182" i="3"/>
  <c r="U182" i="3"/>
  <c r="AD182" i="3"/>
  <c r="M182" i="3"/>
  <c r="AE182" i="3"/>
  <c r="AF182" i="3"/>
  <c r="AM182" i="3"/>
  <c r="AK182" i="3"/>
  <c r="P182" i="3"/>
  <c r="V182" i="3"/>
  <c r="R182" i="3"/>
  <c r="T182" i="3"/>
  <c r="AN181" i="3"/>
  <c r="AG181" i="3"/>
  <c r="AT180" i="3"/>
  <c r="AW181" i="3" l="1"/>
  <c r="AO182" i="3"/>
  <c r="AG182" i="3"/>
  <c r="AX181" i="3"/>
  <c r="AY181" i="3" s="1"/>
  <c r="AN182" i="3"/>
  <c r="BA180" i="3"/>
  <c r="AV180" i="3"/>
  <c r="AH182" i="3"/>
  <c r="AX182" i="3" s="1"/>
  <c r="AY180" i="3"/>
  <c r="BQ179" i="3"/>
  <c r="BB179" i="3"/>
  <c r="BF179" i="3"/>
  <c r="BJ178" i="3" s="1"/>
  <c r="BK178" i="3" s="1"/>
  <c r="X182" i="3"/>
  <c r="BD179" i="3"/>
  <c r="BG179" i="3"/>
  <c r="BH179" i="3" s="1"/>
  <c r="BI179" i="3" s="1"/>
  <c r="AQ183" i="3"/>
  <c r="A184" i="3"/>
  <c r="B183" i="3"/>
  <c r="AR183" i="3"/>
  <c r="D183" i="3"/>
  <c r="C183" i="3"/>
  <c r="F183" i="3"/>
  <c r="BM183" i="3" s="1"/>
  <c r="G183" i="3"/>
  <c r="H183" i="3" s="1"/>
  <c r="Q183" i="3"/>
  <c r="S183" i="3"/>
  <c r="O183" i="3"/>
  <c r="U183" i="3"/>
  <c r="AE183" i="3"/>
  <c r="AD183" i="3"/>
  <c r="M183" i="3"/>
  <c r="AK183" i="3"/>
  <c r="AM183" i="3"/>
  <c r="AF183" i="3"/>
  <c r="T183" i="3"/>
  <c r="R183" i="3"/>
  <c r="P183" i="3"/>
  <c r="V183" i="3"/>
  <c r="BM182" i="3"/>
  <c r="AT181" i="3"/>
  <c r="AT182" i="3"/>
  <c r="AU181" i="3"/>
  <c r="Y182" i="3"/>
  <c r="Z182" i="3" s="1"/>
  <c r="BN183" i="3" l="1"/>
  <c r="AO183" i="3"/>
  <c r="A185" i="3"/>
  <c r="B184" i="3"/>
  <c r="AR184" i="3"/>
  <c r="AQ184" i="3"/>
  <c r="D184" i="3"/>
  <c r="C184" i="3"/>
  <c r="F184" i="3"/>
  <c r="BM184" i="3" s="1"/>
  <c r="G184" i="3"/>
  <c r="H184" i="3" s="1"/>
  <c r="BN184" i="3" s="1"/>
  <c r="Q184" i="3"/>
  <c r="S184" i="3"/>
  <c r="O184" i="3"/>
  <c r="U184" i="3"/>
  <c r="M184" i="3"/>
  <c r="AD184" i="3"/>
  <c r="AF184" i="3"/>
  <c r="AK184" i="3"/>
  <c r="AM184" i="3"/>
  <c r="AN184" i="3" s="1"/>
  <c r="AE184" i="3"/>
  <c r="T184" i="3"/>
  <c r="V184" i="3"/>
  <c r="P184" i="3"/>
  <c r="R184" i="3"/>
  <c r="AH183" i="3"/>
  <c r="AV181" i="3"/>
  <c r="BC181" i="3" s="1"/>
  <c r="BA181" i="3"/>
  <c r="X183" i="3"/>
  <c r="Y183" i="3"/>
  <c r="Z183" i="3" s="1"/>
  <c r="AN183" i="3"/>
  <c r="AW182" i="3"/>
  <c r="AY182" i="3" s="1"/>
  <c r="AG183" i="3"/>
  <c r="AW183" i="3" s="1"/>
  <c r="AU182" i="3"/>
  <c r="AV182" i="3" s="1"/>
  <c r="BC180" i="3"/>
  <c r="BQ180" i="3"/>
  <c r="BB180" i="3"/>
  <c r="BF180" i="3"/>
  <c r="BJ179" i="3" s="1"/>
  <c r="BK179" i="3" s="1"/>
  <c r="BC182" i="3" l="1"/>
  <c r="AT183" i="3"/>
  <c r="BD182" i="3"/>
  <c r="BG182" i="3"/>
  <c r="BH182" i="3" s="1"/>
  <c r="BI182" i="3" s="1"/>
  <c r="X184" i="3"/>
  <c r="AU183" i="3"/>
  <c r="AV183" i="3" s="1"/>
  <c r="BD181" i="3"/>
  <c r="BG181" i="3"/>
  <c r="BH181" i="3" s="1"/>
  <c r="BI181" i="3" s="1"/>
  <c r="AH184" i="3"/>
  <c r="AR185" i="3"/>
  <c r="B185" i="3"/>
  <c r="A186" i="3"/>
  <c r="AQ185" i="3"/>
  <c r="C185" i="3"/>
  <c r="D185" i="3"/>
  <c r="G185" i="3"/>
  <c r="H185" i="3" s="1"/>
  <c r="BN185" i="3" s="1"/>
  <c r="F185" i="3"/>
  <c r="BM185" i="3" s="1"/>
  <c r="Q185" i="3"/>
  <c r="S185" i="3"/>
  <c r="O185" i="3"/>
  <c r="U185" i="3"/>
  <c r="M185" i="3"/>
  <c r="AE185" i="3"/>
  <c r="AD185" i="3"/>
  <c r="AK185" i="3"/>
  <c r="AM185" i="3"/>
  <c r="AF185" i="3"/>
  <c r="T185" i="3"/>
  <c r="R185" i="3"/>
  <c r="V185" i="3"/>
  <c r="P185" i="3"/>
  <c r="Y184" i="3"/>
  <c r="Z184" i="3" s="1"/>
  <c r="BF181" i="3"/>
  <c r="BJ180" i="3" s="1"/>
  <c r="BK180" i="3" s="1"/>
  <c r="BB181" i="3"/>
  <c r="BQ181" i="3"/>
  <c r="AX183" i="3"/>
  <c r="AY183" i="3" s="1"/>
  <c r="BA182" i="3"/>
  <c r="AO184" i="3"/>
  <c r="BD180" i="3"/>
  <c r="BG180" i="3"/>
  <c r="BH180" i="3" s="1"/>
  <c r="BI180" i="3" s="1"/>
  <c r="AG184" i="3"/>
  <c r="AN185" i="3" l="1"/>
  <c r="AU184" i="3"/>
  <c r="AX184" i="3"/>
  <c r="AO185" i="3"/>
  <c r="BC183" i="3"/>
  <c r="BF182" i="3"/>
  <c r="BJ181" i="3" s="1"/>
  <c r="BK181" i="3" s="1"/>
  <c r="BB182" i="3"/>
  <c r="BQ182" i="3"/>
  <c r="Y185" i="3"/>
  <c r="Z185" i="3" s="1"/>
  <c r="AR186" i="3"/>
  <c r="C186" i="3"/>
  <c r="B186" i="3"/>
  <c r="AQ186" i="3"/>
  <c r="A187" i="3"/>
  <c r="D186" i="3"/>
  <c r="G186" i="3"/>
  <c r="H186" i="3" s="1"/>
  <c r="BN186" i="3" s="1"/>
  <c r="F186" i="3"/>
  <c r="BM186" i="3" s="1"/>
  <c r="Q186" i="3"/>
  <c r="S186" i="3"/>
  <c r="O186" i="3"/>
  <c r="U186" i="3"/>
  <c r="M186" i="3"/>
  <c r="AD186" i="3"/>
  <c r="AF186" i="3"/>
  <c r="AK186" i="3"/>
  <c r="AE186" i="3"/>
  <c r="AM186" i="3"/>
  <c r="AN186" i="3" s="1"/>
  <c r="V186" i="3"/>
  <c r="T186" i="3"/>
  <c r="P186" i="3"/>
  <c r="R186" i="3"/>
  <c r="AH185" i="3"/>
  <c r="AT184" i="3"/>
  <c r="BA183" i="3"/>
  <c r="AG185" i="3"/>
  <c r="X185" i="3"/>
  <c r="AW184" i="3"/>
  <c r="AY184" i="3" l="1"/>
  <c r="AW185" i="3"/>
  <c r="AT185" i="3"/>
  <c r="AX185" i="3"/>
  <c r="AU185" i="3"/>
  <c r="BQ183" i="3"/>
  <c r="BF183" i="3"/>
  <c r="BJ182" i="3" s="1"/>
  <c r="BK182" i="3" s="1"/>
  <c r="BB183" i="3"/>
  <c r="Y186" i="3"/>
  <c r="Z186" i="3" s="1"/>
  <c r="AY185" i="3"/>
  <c r="AV184" i="3"/>
  <c r="BC184" i="3" s="1"/>
  <c r="BA184" i="3"/>
  <c r="B187" i="3"/>
  <c r="A188" i="3"/>
  <c r="AR187" i="3"/>
  <c r="AQ187" i="3"/>
  <c r="C187" i="3"/>
  <c r="D187" i="3"/>
  <c r="G187" i="3"/>
  <c r="H187" i="3" s="1"/>
  <c r="BN187" i="3" s="1"/>
  <c r="F187" i="3"/>
  <c r="BM187" i="3" s="1"/>
  <c r="S187" i="3"/>
  <c r="Q187" i="3"/>
  <c r="O187" i="3"/>
  <c r="U187" i="3"/>
  <c r="AE187" i="3"/>
  <c r="AD187" i="3"/>
  <c r="M187" i="3"/>
  <c r="AK187" i="3"/>
  <c r="AF187" i="3"/>
  <c r="AM187" i="3"/>
  <c r="AN187" i="3" s="1"/>
  <c r="V187" i="3"/>
  <c r="R187" i="3"/>
  <c r="T187" i="3"/>
  <c r="P187" i="3"/>
  <c r="AG186" i="3"/>
  <c r="X186" i="3"/>
  <c r="AO186" i="3"/>
  <c r="AH186" i="3"/>
  <c r="BD183" i="3"/>
  <c r="BG183" i="3"/>
  <c r="BH183" i="3" s="1"/>
  <c r="BI183" i="3" s="1"/>
  <c r="AX186" i="3" l="1"/>
  <c r="Y187" i="3"/>
  <c r="Z187" i="3" s="1"/>
  <c r="AH187" i="3"/>
  <c r="BD184" i="3"/>
  <c r="BG184" i="3"/>
  <c r="BH184" i="3" s="1"/>
  <c r="BI184" i="3" s="1"/>
  <c r="AG187" i="3"/>
  <c r="AU187" i="3" s="1"/>
  <c r="AT186" i="3"/>
  <c r="BF184" i="3"/>
  <c r="BJ183" i="3" s="1"/>
  <c r="BK183" i="3" s="1"/>
  <c r="BQ184" i="3"/>
  <c r="BB184" i="3"/>
  <c r="X187" i="3"/>
  <c r="AU186" i="3"/>
  <c r="AW186" i="3"/>
  <c r="AY186" i="3" s="1"/>
  <c r="AO187" i="3"/>
  <c r="B188" i="3"/>
  <c r="AQ188" i="3"/>
  <c r="A189" i="3"/>
  <c r="AR188" i="3"/>
  <c r="C188" i="3"/>
  <c r="D188" i="3"/>
  <c r="F188" i="3"/>
  <c r="BM188" i="3" s="1"/>
  <c r="G188" i="3"/>
  <c r="H188" i="3" s="1"/>
  <c r="Q188" i="3"/>
  <c r="S188" i="3"/>
  <c r="O188" i="3"/>
  <c r="U188" i="3"/>
  <c r="AD188" i="3"/>
  <c r="M188" i="3"/>
  <c r="AE188" i="3"/>
  <c r="AK188" i="3"/>
  <c r="AF188" i="3"/>
  <c r="AM188" i="3"/>
  <c r="AN188" i="3" s="1"/>
  <c r="V188" i="3"/>
  <c r="P188" i="3"/>
  <c r="T188" i="3"/>
  <c r="R188" i="3"/>
  <c r="BA185" i="3"/>
  <c r="AV185" i="3"/>
  <c r="BC185" i="3" s="1"/>
  <c r="BN188" i="3" l="1"/>
  <c r="AG188" i="3"/>
  <c r="BQ185" i="3"/>
  <c r="BB185" i="3"/>
  <c r="BF185" i="3"/>
  <c r="BJ184" i="3" s="1"/>
  <c r="BK184" i="3" s="1"/>
  <c r="Y188" i="3"/>
  <c r="Z188" i="3" s="1"/>
  <c r="AX187" i="3"/>
  <c r="AH188" i="3"/>
  <c r="AU188" i="3" s="1"/>
  <c r="AW187" i="3"/>
  <c r="AR189" i="3"/>
  <c r="B189" i="3"/>
  <c r="AQ189" i="3"/>
  <c r="A190" i="3"/>
  <c r="D189" i="3"/>
  <c r="C189" i="3"/>
  <c r="F189" i="3"/>
  <c r="BM189" i="3" s="1"/>
  <c r="G189" i="3"/>
  <c r="H189" i="3" s="1"/>
  <c r="BN189" i="3" s="1"/>
  <c r="S189" i="3"/>
  <c r="Q189" i="3"/>
  <c r="O189" i="3"/>
  <c r="U189" i="3"/>
  <c r="AD189" i="3"/>
  <c r="M189" i="3"/>
  <c r="AK189" i="3"/>
  <c r="AE189" i="3"/>
  <c r="AM189" i="3"/>
  <c r="AN189" i="3" s="1"/>
  <c r="AF189" i="3"/>
  <c r="R189" i="3"/>
  <c r="V189" i="3"/>
  <c r="P189" i="3"/>
  <c r="T189" i="3"/>
  <c r="AO188" i="3"/>
  <c r="BA186" i="3"/>
  <c r="AV186" i="3"/>
  <c r="BC186" i="3" s="1"/>
  <c r="AW188" i="3"/>
  <c r="X188" i="3"/>
  <c r="BD185" i="3"/>
  <c r="BG185" i="3"/>
  <c r="BH185" i="3" s="1"/>
  <c r="BI185" i="3" s="1"/>
  <c r="AT188" i="3"/>
  <c r="AT187" i="3"/>
  <c r="AY187" i="3" l="1"/>
  <c r="AO189" i="3"/>
  <c r="AV188" i="3"/>
  <c r="BA187" i="3"/>
  <c r="AV187" i="3"/>
  <c r="BD186" i="3"/>
  <c r="BG186" i="3"/>
  <c r="BH186" i="3" s="1"/>
  <c r="BI186" i="3" s="1"/>
  <c r="B190" i="3"/>
  <c r="AQ190" i="3"/>
  <c r="AR190" i="3"/>
  <c r="A191" i="3"/>
  <c r="D190" i="3"/>
  <c r="C190" i="3"/>
  <c r="F190" i="3"/>
  <c r="BM190" i="3" s="1"/>
  <c r="G190" i="3"/>
  <c r="H190" i="3" s="1"/>
  <c r="BN190" i="3" s="1"/>
  <c r="Q190" i="3"/>
  <c r="S190" i="3"/>
  <c r="O190" i="3"/>
  <c r="U190" i="3"/>
  <c r="AE190" i="3"/>
  <c r="AD190" i="3"/>
  <c r="M190" i="3"/>
  <c r="AF190" i="3"/>
  <c r="AM190" i="3"/>
  <c r="AK190" i="3"/>
  <c r="R190" i="3"/>
  <c r="P190" i="3"/>
  <c r="T190" i="3"/>
  <c r="V190" i="3"/>
  <c r="BQ186" i="3"/>
  <c r="BB186" i="3"/>
  <c r="BF186" i="3"/>
  <c r="BJ185" i="3" s="1"/>
  <c r="BK185" i="3" s="1"/>
  <c r="AX188" i="3"/>
  <c r="BA188" i="3" s="1"/>
  <c r="AH189" i="3"/>
  <c r="Y189" i="3"/>
  <c r="Z189" i="3" s="1"/>
  <c r="AG189" i="3"/>
  <c r="AW189" i="3" s="1"/>
  <c r="X189" i="3"/>
  <c r="BC187" i="3" l="1"/>
  <c r="AH190" i="3"/>
  <c r="AN190" i="3"/>
  <c r="BF188" i="3"/>
  <c r="BB188" i="3"/>
  <c r="BQ188" i="3"/>
  <c r="AX189" i="3"/>
  <c r="AY189" i="3" s="1"/>
  <c r="A192" i="3"/>
  <c r="AQ191" i="3"/>
  <c r="B191" i="3"/>
  <c r="AR191" i="3"/>
  <c r="C191" i="3"/>
  <c r="D191" i="3"/>
  <c r="G191" i="3"/>
  <c r="H191" i="3" s="1"/>
  <c r="BN191" i="3" s="1"/>
  <c r="F191" i="3"/>
  <c r="BM191" i="3" s="1"/>
  <c r="Q191" i="3"/>
  <c r="S191" i="3"/>
  <c r="O191" i="3"/>
  <c r="U191" i="3"/>
  <c r="AE191" i="3"/>
  <c r="AD191" i="3"/>
  <c r="AM191" i="3"/>
  <c r="AK191" i="3"/>
  <c r="AO191" i="3" s="1"/>
  <c r="AF191" i="3"/>
  <c r="M191" i="3"/>
  <c r="P191" i="3"/>
  <c r="R191" i="3"/>
  <c r="T191" i="3"/>
  <c r="V191" i="3"/>
  <c r="AT189" i="3"/>
  <c r="Y190" i="3"/>
  <c r="Z190" i="3" s="1"/>
  <c r="X190" i="3"/>
  <c r="BF187" i="3"/>
  <c r="BJ186" i="3" s="1"/>
  <c r="BK186" i="3" s="1"/>
  <c r="BB187" i="3"/>
  <c r="BQ187" i="3"/>
  <c r="AY188" i="3"/>
  <c r="BC188" i="3" s="1"/>
  <c r="AG190" i="3"/>
  <c r="AU190" i="3" s="1"/>
  <c r="AO190" i="3"/>
  <c r="AU189" i="3"/>
  <c r="BD187" i="3"/>
  <c r="BG187" i="3"/>
  <c r="BH187" i="3" s="1"/>
  <c r="BI187" i="3" s="1"/>
  <c r="BD188" i="3" l="1"/>
  <c r="BG188" i="3"/>
  <c r="BH188" i="3" s="1"/>
  <c r="BI188" i="3" s="1"/>
  <c r="Y191" i="3"/>
  <c r="Z191" i="3" s="1"/>
  <c r="A193" i="3"/>
  <c r="B192" i="3"/>
  <c r="AR192" i="3"/>
  <c r="AQ192" i="3"/>
  <c r="D192" i="3"/>
  <c r="C192" i="3"/>
  <c r="F192" i="3"/>
  <c r="BM192" i="3" s="1"/>
  <c r="G192" i="3"/>
  <c r="H192" i="3" s="1"/>
  <c r="BN192" i="3" s="1"/>
  <c r="Q192" i="3"/>
  <c r="S192" i="3"/>
  <c r="O192" i="3"/>
  <c r="U192" i="3"/>
  <c r="M192" i="3"/>
  <c r="AD192" i="3"/>
  <c r="AM192" i="3"/>
  <c r="AE192" i="3"/>
  <c r="AK192" i="3"/>
  <c r="AF192" i="3"/>
  <c r="V192" i="3"/>
  <c r="P192" i="3"/>
  <c r="R192" i="3"/>
  <c r="T192" i="3"/>
  <c r="AW190" i="3"/>
  <c r="BA189" i="3"/>
  <c r="AV189" i="3"/>
  <c r="BC189" i="3" s="1"/>
  <c r="AT190" i="3"/>
  <c r="X191" i="3"/>
  <c r="AN191" i="3"/>
  <c r="AX190" i="3"/>
  <c r="AY190" i="3" s="1"/>
  <c r="AG191" i="3"/>
  <c r="AH191" i="3"/>
  <c r="BJ187" i="3"/>
  <c r="BK187" i="3" s="1"/>
  <c r="AO192" i="3" l="1"/>
  <c r="AG192" i="3"/>
  <c r="AX191" i="3"/>
  <c r="AH192" i="3"/>
  <c r="AT192" i="3" s="1"/>
  <c r="AN192" i="3"/>
  <c r="BQ189" i="3"/>
  <c r="BF189" i="3"/>
  <c r="BJ188" i="3" s="1"/>
  <c r="BK188" i="3" s="1"/>
  <c r="BB189" i="3"/>
  <c r="AR193" i="3"/>
  <c r="AQ193" i="3"/>
  <c r="A194" i="3"/>
  <c r="B193" i="3"/>
  <c r="C193" i="3"/>
  <c r="D193" i="3"/>
  <c r="G193" i="3"/>
  <c r="H193" i="3" s="1"/>
  <c r="BN193" i="3" s="1"/>
  <c r="F193" i="3"/>
  <c r="BM193" i="3" s="1"/>
  <c r="Q193" i="3"/>
  <c r="S193" i="3"/>
  <c r="O193" i="3"/>
  <c r="U193" i="3"/>
  <c r="M193" i="3"/>
  <c r="AD193" i="3"/>
  <c r="AE193" i="3"/>
  <c r="AK193" i="3"/>
  <c r="AM193" i="3"/>
  <c r="AN193" i="3" s="1"/>
  <c r="AF193" i="3"/>
  <c r="V193" i="3"/>
  <c r="R193" i="3"/>
  <c r="T193" i="3"/>
  <c r="P193" i="3"/>
  <c r="AW192" i="3"/>
  <c r="X192" i="3"/>
  <c r="AU192" i="3"/>
  <c r="BD189" i="3"/>
  <c r="BG189" i="3"/>
  <c r="BH189" i="3" s="1"/>
  <c r="BI189" i="3" s="1"/>
  <c r="AW191" i="3"/>
  <c r="AY191" i="3" s="1"/>
  <c r="AU191" i="3"/>
  <c r="AT191" i="3"/>
  <c r="BA190" i="3"/>
  <c r="AV190" i="3"/>
  <c r="BC190" i="3" s="1"/>
  <c r="Y192" i="3"/>
  <c r="Z192" i="3" s="1"/>
  <c r="AG193" i="3" l="1"/>
  <c r="BD190" i="3"/>
  <c r="BG190" i="3"/>
  <c r="BH190" i="3" s="1"/>
  <c r="BI190" i="3" s="1"/>
  <c r="AV192" i="3"/>
  <c r="X193" i="3"/>
  <c r="BF190" i="3"/>
  <c r="BJ189" i="3" s="1"/>
  <c r="BK189" i="3" s="1"/>
  <c r="BB190" i="3"/>
  <c r="BQ190" i="3"/>
  <c r="BA191" i="3"/>
  <c r="AV191" i="3"/>
  <c r="BC191" i="3" s="1"/>
  <c r="AR194" i="3"/>
  <c r="B194" i="3"/>
  <c r="AQ194" i="3"/>
  <c r="A195" i="3"/>
  <c r="D194" i="3"/>
  <c r="C194" i="3"/>
  <c r="G194" i="3"/>
  <c r="H194" i="3" s="1"/>
  <c r="BN194" i="3" s="1"/>
  <c r="F194" i="3"/>
  <c r="BM194" i="3" s="1"/>
  <c r="Q194" i="3"/>
  <c r="S194" i="3"/>
  <c r="O194" i="3"/>
  <c r="U194" i="3"/>
  <c r="AE194" i="3"/>
  <c r="M194" i="3"/>
  <c r="AD194" i="3"/>
  <c r="AF194" i="3"/>
  <c r="AM194" i="3"/>
  <c r="AK194" i="3"/>
  <c r="P194" i="3"/>
  <c r="T194" i="3"/>
  <c r="V194" i="3"/>
  <c r="R194" i="3"/>
  <c r="AH193" i="3"/>
  <c r="AT193" i="3" s="1"/>
  <c r="Y193" i="3"/>
  <c r="Z193" i="3" s="1"/>
  <c r="AO193" i="3"/>
  <c r="AX192" i="3"/>
  <c r="BA192" i="3" s="1"/>
  <c r="AO194" i="3" l="1"/>
  <c r="AW193" i="3"/>
  <c r="AY192" i="3"/>
  <c r="BQ192" i="3"/>
  <c r="BB192" i="3"/>
  <c r="BF192" i="3"/>
  <c r="AQ195" i="3"/>
  <c r="B195" i="3"/>
  <c r="A196" i="3"/>
  <c r="AR195" i="3"/>
  <c r="C195" i="3"/>
  <c r="D195" i="3"/>
  <c r="F195" i="3"/>
  <c r="BM195" i="3" s="1"/>
  <c r="G195" i="3"/>
  <c r="H195" i="3" s="1"/>
  <c r="BN195" i="3" s="1"/>
  <c r="Q195" i="3"/>
  <c r="S195" i="3"/>
  <c r="O195" i="3"/>
  <c r="U195" i="3"/>
  <c r="M195" i="3"/>
  <c r="AD195" i="3"/>
  <c r="AK195" i="3"/>
  <c r="AE195" i="3"/>
  <c r="AF195" i="3"/>
  <c r="AM195" i="3"/>
  <c r="T195" i="3"/>
  <c r="R195" i="3"/>
  <c r="V195" i="3"/>
  <c r="P195" i="3"/>
  <c r="AG194" i="3"/>
  <c r="AX193" i="3"/>
  <c r="AY193" i="3" s="1"/>
  <c r="AU193" i="3"/>
  <c r="AN194" i="3"/>
  <c r="AH194" i="3"/>
  <c r="X194" i="3"/>
  <c r="BC192" i="3"/>
  <c r="Y194" i="3"/>
  <c r="Z194" i="3" s="1"/>
  <c r="BQ191" i="3"/>
  <c r="BB191" i="3"/>
  <c r="BF191" i="3"/>
  <c r="BJ190" i="3" s="1"/>
  <c r="BK190" i="3" s="1"/>
  <c r="AV193" i="3"/>
  <c r="BC193" i="3" s="1"/>
  <c r="BD191" i="3"/>
  <c r="BG191" i="3"/>
  <c r="BH191" i="3" s="1"/>
  <c r="BI191" i="3" s="1"/>
  <c r="AX194" i="3" l="1"/>
  <c r="AO195" i="3"/>
  <c r="AG195" i="3"/>
  <c r="BA193" i="3"/>
  <c r="BF193" i="3" s="1"/>
  <c r="BJ192" i="3" s="1"/>
  <c r="BK192" i="3" s="1"/>
  <c r="AH195" i="3"/>
  <c r="AW194" i="3"/>
  <c r="AY194" i="3" s="1"/>
  <c r="AT194" i="3"/>
  <c r="BG192" i="3"/>
  <c r="BH192" i="3" s="1"/>
  <c r="BI192" i="3" s="1"/>
  <c r="BD192" i="3"/>
  <c r="AU194" i="3"/>
  <c r="AU195" i="3"/>
  <c r="X195" i="3"/>
  <c r="Y195" i="3"/>
  <c r="Z195" i="3" s="1"/>
  <c r="AQ196" i="3"/>
  <c r="B196" i="3"/>
  <c r="A197" i="3"/>
  <c r="AR196" i="3"/>
  <c r="C196" i="3"/>
  <c r="D196" i="3"/>
  <c r="F196" i="3"/>
  <c r="BM196" i="3" s="1"/>
  <c r="G196" i="3"/>
  <c r="H196" i="3" s="1"/>
  <c r="Q196" i="3"/>
  <c r="S196" i="3"/>
  <c r="O196" i="3"/>
  <c r="U196" i="3"/>
  <c r="AE196" i="3"/>
  <c r="AD196" i="3"/>
  <c r="AF196" i="3"/>
  <c r="AM196" i="3"/>
  <c r="AK196" i="3"/>
  <c r="M196" i="3"/>
  <c r="V196" i="3"/>
  <c r="R196" i="3"/>
  <c r="P196" i="3"/>
  <c r="T196" i="3"/>
  <c r="BJ191" i="3"/>
  <c r="BK191" i="3" s="1"/>
  <c r="BD193" i="3"/>
  <c r="BG193" i="3"/>
  <c r="BH193" i="3" s="1"/>
  <c r="BI193" i="3" s="1"/>
  <c r="AT195" i="3"/>
  <c r="AN195" i="3"/>
  <c r="AO196" i="3" l="1"/>
  <c r="AH196" i="3"/>
  <c r="BQ193" i="3"/>
  <c r="BB193" i="3"/>
  <c r="AV195" i="3"/>
  <c r="Y196" i="3"/>
  <c r="Z196" i="3" s="1"/>
  <c r="AR197" i="3"/>
  <c r="B197" i="3"/>
  <c r="A198" i="3"/>
  <c r="AQ197" i="3"/>
  <c r="C197" i="3"/>
  <c r="D197" i="3"/>
  <c r="F197" i="3"/>
  <c r="BM197" i="3" s="1"/>
  <c r="G197" i="3"/>
  <c r="H197" i="3" s="1"/>
  <c r="BN197" i="3" s="1"/>
  <c r="Q197" i="3"/>
  <c r="S197" i="3"/>
  <c r="O197" i="3"/>
  <c r="U197" i="3"/>
  <c r="AD197" i="3"/>
  <c r="AE197" i="3"/>
  <c r="M197" i="3"/>
  <c r="AM197" i="3"/>
  <c r="AF197" i="3"/>
  <c r="AK197" i="3"/>
  <c r="V197" i="3"/>
  <c r="P197" i="3"/>
  <c r="R197" i="3"/>
  <c r="T197" i="3"/>
  <c r="AW195" i="3"/>
  <c r="AX195" i="3"/>
  <c r="X196" i="3"/>
  <c r="AV194" i="3"/>
  <c r="BC194" i="3" s="1"/>
  <c r="BA194" i="3"/>
  <c r="AN196" i="3"/>
  <c r="AG196" i="3"/>
  <c r="BN196" i="3"/>
  <c r="AW196" i="3" l="1"/>
  <c r="AO197" i="3"/>
  <c r="BA195" i="3"/>
  <c r="AY195" i="3"/>
  <c r="AG197" i="3"/>
  <c r="AX196" i="3"/>
  <c r="AY196" i="3" s="1"/>
  <c r="BD194" i="3"/>
  <c r="BG194" i="3"/>
  <c r="BH194" i="3" s="1"/>
  <c r="BI194" i="3" s="1"/>
  <c r="BQ195" i="3"/>
  <c r="BF195" i="3"/>
  <c r="BB195" i="3"/>
  <c r="X197" i="3"/>
  <c r="AH197" i="3"/>
  <c r="AU197" i="3" s="1"/>
  <c r="BB194" i="3"/>
  <c r="BQ194" i="3"/>
  <c r="BF194" i="3"/>
  <c r="BJ193" i="3" s="1"/>
  <c r="BK193" i="3" s="1"/>
  <c r="Y197" i="3"/>
  <c r="Z197" i="3" s="1"/>
  <c r="AT197" i="3"/>
  <c r="BC195" i="3"/>
  <c r="AT196" i="3"/>
  <c r="AR198" i="3"/>
  <c r="B198" i="3"/>
  <c r="AQ198" i="3"/>
  <c r="A199" i="3"/>
  <c r="C198" i="3"/>
  <c r="D198" i="3"/>
  <c r="G198" i="3"/>
  <c r="H198" i="3" s="1"/>
  <c r="BN198" i="3" s="1"/>
  <c r="F198" i="3"/>
  <c r="BM198" i="3" s="1"/>
  <c r="Q198" i="3"/>
  <c r="S198" i="3"/>
  <c r="O198" i="3"/>
  <c r="U198" i="3"/>
  <c r="AD198" i="3"/>
  <c r="M198" i="3"/>
  <c r="AK198" i="3"/>
  <c r="AF198" i="3"/>
  <c r="AM198" i="3"/>
  <c r="AE198" i="3"/>
  <c r="P198" i="3"/>
  <c r="V198" i="3"/>
  <c r="T198" i="3"/>
  <c r="R198" i="3"/>
  <c r="AN197" i="3"/>
  <c r="AU196" i="3"/>
  <c r="AG198" i="3" l="1"/>
  <c r="AO198" i="3"/>
  <c r="BD195" i="3"/>
  <c r="BG195" i="3"/>
  <c r="BH195" i="3" s="1"/>
  <c r="BI195" i="3" s="1"/>
  <c r="AV197" i="3"/>
  <c r="Y198" i="3"/>
  <c r="Z198" i="3" s="1"/>
  <c r="AX197" i="3"/>
  <c r="AV196" i="3"/>
  <c r="BC196" i="3" s="1"/>
  <c r="BA196" i="3"/>
  <c r="X198" i="3"/>
  <c r="AW197" i="3"/>
  <c r="AY197" i="3" s="1"/>
  <c r="AN198" i="3"/>
  <c r="AH198" i="3"/>
  <c r="BJ194" i="3"/>
  <c r="BK194" i="3" s="1"/>
  <c r="AQ199" i="3"/>
  <c r="B199" i="3"/>
  <c r="AR199" i="3"/>
  <c r="A200" i="3"/>
  <c r="D199" i="3"/>
  <c r="C199" i="3"/>
  <c r="F199" i="3"/>
  <c r="BM199" i="3" s="1"/>
  <c r="G199" i="3"/>
  <c r="H199" i="3" s="1"/>
  <c r="Q199" i="3"/>
  <c r="S199" i="3"/>
  <c r="O199" i="3"/>
  <c r="U199" i="3"/>
  <c r="AD199" i="3"/>
  <c r="M199" i="3"/>
  <c r="AE199" i="3"/>
  <c r="AM199" i="3"/>
  <c r="AF199" i="3"/>
  <c r="AK199" i="3"/>
  <c r="AO199" i="3" s="1"/>
  <c r="T199" i="3"/>
  <c r="R199" i="3"/>
  <c r="P199" i="3"/>
  <c r="V199" i="3"/>
  <c r="AX198" i="3" l="1"/>
  <c r="AG199" i="3"/>
  <c r="BN199" i="3"/>
  <c r="Y199" i="3"/>
  <c r="Z199" i="3" s="1"/>
  <c r="AN199" i="3"/>
  <c r="X199" i="3"/>
  <c r="AH199" i="3"/>
  <c r="AX199" i="3" s="1"/>
  <c r="AT198" i="3"/>
  <c r="BF196" i="3"/>
  <c r="BJ195" i="3" s="1"/>
  <c r="BK195" i="3" s="1"/>
  <c r="BB196" i="3"/>
  <c r="BQ196" i="3"/>
  <c r="BD196" i="3"/>
  <c r="BG196" i="3"/>
  <c r="BH196" i="3" s="1"/>
  <c r="BI196" i="3" s="1"/>
  <c r="BC197" i="3"/>
  <c r="BA197" i="3"/>
  <c r="AW198" i="3"/>
  <c r="AY198" i="3" s="1"/>
  <c r="A201" i="3"/>
  <c r="B200" i="3"/>
  <c r="AR200" i="3"/>
  <c r="AQ200" i="3"/>
  <c r="C200" i="3"/>
  <c r="D200" i="3"/>
  <c r="G200" i="3"/>
  <c r="H200" i="3" s="1"/>
  <c r="F200" i="3"/>
  <c r="Q200" i="3"/>
  <c r="S200" i="3"/>
  <c r="O200" i="3"/>
  <c r="U200" i="3"/>
  <c r="AD200" i="3"/>
  <c r="M200" i="3"/>
  <c r="AE200" i="3"/>
  <c r="AM200" i="3"/>
  <c r="AK200" i="3"/>
  <c r="AF200" i="3"/>
  <c r="T200" i="3"/>
  <c r="R200" i="3"/>
  <c r="P200" i="3"/>
  <c r="V200" i="3"/>
  <c r="AU198" i="3"/>
  <c r="AU199" i="3" l="1"/>
  <c r="AO200" i="3"/>
  <c r="BQ197" i="3"/>
  <c r="BB197" i="3"/>
  <c r="BF197" i="3"/>
  <c r="BJ196" i="3" s="1"/>
  <c r="BK196" i="3" s="1"/>
  <c r="BD197" i="3"/>
  <c r="BG197" i="3"/>
  <c r="BH197" i="3" s="1"/>
  <c r="BI197" i="3" s="1"/>
  <c r="AH200" i="3"/>
  <c r="AV198" i="3"/>
  <c r="BC198" i="3" s="1"/>
  <c r="BA198" i="3"/>
  <c r="AN200" i="3"/>
  <c r="AT199" i="3"/>
  <c r="AQ201" i="3"/>
  <c r="A202" i="3"/>
  <c r="AR201" i="3"/>
  <c r="B201" i="3"/>
  <c r="D201" i="3"/>
  <c r="C201" i="3"/>
  <c r="G201" i="3"/>
  <c r="H201" i="3" s="1"/>
  <c r="BN201" i="3" s="1"/>
  <c r="F201" i="3"/>
  <c r="BM201" i="3" s="1"/>
  <c r="Q201" i="3"/>
  <c r="S201" i="3"/>
  <c r="O201" i="3"/>
  <c r="U201" i="3"/>
  <c r="AD201" i="3"/>
  <c r="AE201" i="3"/>
  <c r="AK201" i="3"/>
  <c r="M201" i="3"/>
  <c r="AF201" i="3"/>
  <c r="AM201" i="3"/>
  <c r="AN201" i="3" s="1"/>
  <c r="R201" i="3"/>
  <c r="P201" i="3"/>
  <c r="T201" i="3"/>
  <c r="V201" i="3"/>
  <c r="AG200" i="3"/>
  <c r="AW200" i="3" s="1"/>
  <c r="BM200" i="3"/>
  <c r="Y200" i="3"/>
  <c r="Z200" i="3" s="1"/>
  <c r="X200" i="3"/>
  <c r="BN200" i="3"/>
  <c r="AW199" i="3"/>
  <c r="AY199" i="3" s="1"/>
  <c r="AR202" i="3" l="1"/>
  <c r="AQ202" i="3"/>
  <c r="C202" i="3"/>
  <c r="B202" i="3"/>
  <c r="A203" i="3"/>
  <c r="D202" i="3"/>
  <c r="G202" i="3"/>
  <c r="H202" i="3" s="1"/>
  <c r="BN202" i="3" s="1"/>
  <c r="F202" i="3"/>
  <c r="BM202" i="3" s="1"/>
  <c r="S202" i="3"/>
  <c r="Q202" i="3"/>
  <c r="O202" i="3"/>
  <c r="U202" i="3"/>
  <c r="AE202" i="3"/>
  <c r="AD202" i="3"/>
  <c r="M202" i="3"/>
  <c r="AM202" i="3"/>
  <c r="AF202" i="3"/>
  <c r="AK202" i="3"/>
  <c r="R202" i="3"/>
  <c r="P202" i="3"/>
  <c r="V202" i="3"/>
  <c r="T202" i="3"/>
  <c r="AT200" i="3"/>
  <c r="AH201" i="3"/>
  <c r="AO201" i="3"/>
  <c r="BF198" i="3"/>
  <c r="BJ197" i="3" s="1"/>
  <c r="BK197" i="3" s="1"/>
  <c r="BB198" i="3"/>
  <c r="BQ198" i="3"/>
  <c r="AG201" i="3"/>
  <c r="AU201" i="3" s="1"/>
  <c r="AV199" i="3"/>
  <c r="BC199" i="3" s="1"/>
  <c r="BA199" i="3"/>
  <c r="AX200" i="3"/>
  <c r="AY200" i="3" s="1"/>
  <c r="X201" i="3"/>
  <c r="Y201" i="3"/>
  <c r="Z201" i="3" s="1"/>
  <c r="BD198" i="3"/>
  <c r="BG198" i="3"/>
  <c r="BH198" i="3" s="1"/>
  <c r="BI198" i="3" s="1"/>
  <c r="AU200" i="3"/>
  <c r="AO202" i="3" l="1"/>
  <c r="BG199" i="3"/>
  <c r="BH199" i="3" s="1"/>
  <c r="BI199" i="3" s="1"/>
  <c r="BD199" i="3"/>
  <c r="X202" i="3"/>
  <c r="AH202" i="3"/>
  <c r="AW201" i="3"/>
  <c r="AX201" i="3"/>
  <c r="AG202" i="3"/>
  <c r="AT202" i="3" s="1"/>
  <c r="AQ203" i="3"/>
  <c r="B203" i="3"/>
  <c r="A204" i="3"/>
  <c r="AR203" i="3"/>
  <c r="D203" i="3"/>
  <c r="C203" i="3"/>
  <c r="F203" i="3"/>
  <c r="BM203" i="3" s="1"/>
  <c r="G203" i="3"/>
  <c r="H203" i="3" s="1"/>
  <c r="BN203" i="3" s="1"/>
  <c r="Q203" i="3"/>
  <c r="S203" i="3"/>
  <c r="O203" i="3"/>
  <c r="U203" i="3"/>
  <c r="AD203" i="3"/>
  <c r="AE203" i="3"/>
  <c r="M203" i="3"/>
  <c r="AK203" i="3"/>
  <c r="AF203" i="3"/>
  <c r="AM203" i="3"/>
  <c r="AN203" i="3" s="1"/>
  <c r="T203" i="3"/>
  <c r="V203" i="3"/>
  <c r="P203" i="3"/>
  <c r="R203" i="3"/>
  <c r="AN202" i="3"/>
  <c r="BF199" i="3"/>
  <c r="BJ198" i="3" s="1"/>
  <c r="BK198" i="3" s="1"/>
  <c r="BB199" i="3"/>
  <c r="BQ199" i="3"/>
  <c r="Y202" i="3"/>
  <c r="Z202" i="3" s="1"/>
  <c r="AV200" i="3"/>
  <c r="BC200" i="3" s="1"/>
  <c r="BA200" i="3"/>
  <c r="AT201" i="3"/>
  <c r="X203" i="3" l="1"/>
  <c r="AY201" i="3"/>
  <c r="A205" i="3"/>
  <c r="AR204" i="3"/>
  <c r="AQ204" i="3"/>
  <c r="B204" i="3"/>
  <c r="C204" i="3"/>
  <c r="D204" i="3"/>
  <c r="G204" i="3"/>
  <c r="H204" i="3" s="1"/>
  <c r="BN204" i="3" s="1"/>
  <c r="F204" i="3"/>
  <c r="BM204" i="3" s="1"/>
  <c r="Q204" i="3"/>
  <c r="S204" i="3"/>
  <c r="O204" i="3"/>
  <c r="U204" i="3"/>
  <c r="AE204" i="3"/>
  <c r="AD204" i="3"/>
  <c r="M204" i="3"/>
  <c r="AM204" i="3"/>
  <c r="AF204" i="3"/>
  <c r="AK204" i="3"/>
  <c r="V204" i="3"/>
  <c r="R204" i="3"/>
  <c r="T204" i="3"/>
  <c r="P204" i="3"/>
  <c r="BD200" i="3"/>
  <c r="BG200" i="3"/>
  <c r="BH200" i="3" s="1"/>
  <c r="BI200" i="3" s="1"/>
  <c r="AW202" i="3"/>
  <c r="AX202" i="3"/>
  <c r="AV201" i="3"/>
  <c r="BA201" i="3"/>
  <c r="BB200" i="3"/>
  <c r="BF200" i="3"/>
  <c r="BJ199" i="3" s="1"/>
  <c r="BK199" i="3" s="1"/>
  <c r="BQ200" i="3"/>
  <c r="Y203" i="3"/>
  <c r="Z203" i="3" s="1"/>
  <c r="AU202" i="3"/>
  <c r="AV202" i="3" s="1"/>
  <c r="AG203" i="3"/>
  <c r="AO203" i="3"/>
  <c r="AH203" i="3"/>
  <c r="BC201" i="3" l="1"/>
  <c r="BD201" i="3" s="1"/>
  <c r="AO204" i="3"/>
  <c r="AG204" i="3"/>
  <c r="Y204" i="3"/>
  <c r="Z204" i="3" s="1"/>
  <c r="AT203" i="3"/>
  <c r="AN204" i="3"/>
  <c r="AU203" i="3"/>
  <c r="AV203" i="3" s="1"/>
  <c r="AY202" i="3"/>
  <c r="BC202" i="3" s="1"/>
  <c r="AH204" i="3"/>
  <c r="AU204" i="3" s="1"/>
  <c r="BA202" i="3"/>
  <c r="X204" i="3"/>
  <c r="AT204" i="3"/>
  <c r="BF201" i="3"/>
  <c r="BJ200" i="3" s="1"/>
  <c r="BK200" i="3" s="1"/>
  <c r="BB201" i="3"/>
  <c r="BQ201" i="3"/>
  <c r="AW203" i="3"/>
  <c r="AX203" i="3"/>
  <c r="A206" i="3"/>
  <c r="AR205" i="3"/>
  <c r="B205" i="3"/>
  <c r="AQ205" i="3"/>
  <c r="D205" i="3"/>
  <c r="C205" i="3"/>
  <c r="F205" i="3"/>
  <c r="G205" i="3"/>
  <c r="H205" i="3" s="1"/>
  <c r="BN205" i="3" s="1"/>
  <c r="Q205" i="3"/>
  <c r="S205" i="3"/>
  <c r="O205" i="3"/>
  <c r="U205" i="3"/>
  <c r="M205" i="3"/>
  <c r="AD205" i="3"/>
  <c r="AE205" i="3"/>
  <c r="AF205" i="3"/>
  <c r="AM205" i="3"/>
  <c r="AK205" i="3"/>
  <c r="T205" i="3"/>
  <c r="P205" i="3"/>
  <c r="R205" i="3"/>
  <c r="V205" i="3"/>
  <c r="AN205" i="3" l="1"/>
  <c r="BG201" i="3"/>
  <c r="BH201" i="3" s="1"/>
  <c r="BI201" i="3" s="1"/>
  <c r="AY203" i="3"/>
  <c r="BC203" i="3" s="1"/>
  <c r="AG205" i="3"/>
  <c r="BD202" i="3"/>
  <c r="BG202" i="3"/>
  <c r="BH202" i="3" s="1"/>
  <c r="BI202" i="3" s="1"/>
  <c r="AW204" i="3"/>
  <c r="AX204" i="3"/>
  <c r="X205" i="3"/>
  <c r="AR206" i="3"/>
  <c r="B206" i="3"/>
  <c r="AQ206" i="3"/>
  <c r="A207" i="3"/>
  <c r="C206" i="3"/>
  <c r="D206" i="3"/>
  <c r="G206" i="3"/>
  <c r="H206" i="3" s="1"/>
  <c r="BN206" i="3" s="1"/>
  <c r="F206" i="3"/>
  <c r="BM206" i="3" s="1"/>
  <c r="S206" i="3"/>
  <c r="Q206" i="3"/>
  <c r="O206" i="3"/>
  <c r="U206" i="3"/>
  <c r="AE206" i="3"/>
  <c r="AD206" i="3"/>
  <c r="M206" i="3"/>
  <c r="AM206" i="3"/>
  <c r="AK206" i="3"/>
  <c r="AO206" i="3" s="1"/>
  <c r="AF206" i="3"/>
  <c r="T206" i="3"/>
  <c r="V206" i="3"/>
  <c r="R206" i="3"/>
  <c r="P206" i="3"/>
  <c r="BM205" i="3"/>
  <c r="AO205" i="3"/>
  <c r="AV204" i="3"/>
  <c r="BA204" i="3"/>
  <c r="BF202" i="3"/>
  <c r="BJ201" i="3" s="1"/>
  <c r="BK201" i="3" s="1"/>
  <c r="BB202" i="3"/>
  <c r="BQ202" i="3"/>
  <c r="BA203" i="3"/>
  <c r="AH205" i="3"/>
  <c r="AT205" i="3" s="1"/>
  <c r="Y205" i="3"/>
  <c r="Z205" i="3" s="1"/>
  <c r="AW205" i="3" l="1"/>
  <c r="BD203" i="3"/>
  <c r="BG203" i="3"/>
  <c r="BH203" i="3" s="1"/>
  <c r="BI203" i="3" s="1"/>
  <c r="AU205" i="3"/>
  <c r="AY204" i="3"/>
  <c r="BC204" i="3" s="1"/>
  <c r="BQ203" i="3"/>
  <c r="BF203" i="3"/>
  <c r="BJ202" i="3" s="1"/>
  <c r="BK202" i="3" s="1"/>
  <c r="BB203" i="3"/>
  <c r="X206" i="3"/>
  <c r="BQ204" i="3"/>
  <c r="BB204" i="3"/>
  <c r="BF204" i="3"/>
  <c r="BJ203" i="3" s="1"/>
  <c r="BK203" i="3" s="1"/>
  <c r="AQ207" i="3"/>
  <c r="A208" i="3"/>
  <c r="AR207" i="3"/>
  <c r="B207" i="3"/>
  <c r="D207" i="3"/>
  <c r="C207" i="3"/>
  <c r="F207" i="3"/>
  <c r="BM207" i="3" s="1"/>
  <c r="G207" i="3"/>
  <c r="H207" i="3" s="1"/>
  <c r="BN207" i="3" s="1"/>
  <c r="Q207" i="3"/>
  <c r="S207" i="3"/>
  <c r="O207" i="3"/>
  <c r="U207" i="3"/>
  <c r="AE207" i="3"/>
  <c r="AD207" i="3"/>
  <c r="AF207" i="3"/>
  <c r="M207" i="3"/>
  <c r="AK207" i="3"/>
  <c r="AM207" i="3"/>
  <c r="V207" i="3"/>
  <c r="R207" i="3"/>
  <c r="T207" i="3"/>
  <c r="P207" i="3"/>
  <c r="AH206" i="3"/>
  <c r="Y206" i="3"/>
  <c r="Z206" i="3" s="1"/>
  <c r="AN206" i="3"/>
  <c r="AV205" i="3"/>
  <c r="AX205" i="3"/>
  <c r="AY205" i="3" s="1"/>
  <c r="AG206" i="3"/>
  <c r="BD204" i="3" l="1"/>
  <c r="BG204" i="3"/>
  <c r="BH204" i="3" s="1"/>
  <c r="BI204" i="3" s="1"/>
  <c r="AO207" i="3"/>
  <c r="BA205" i="3"/>
  <c r="BF205" i="3" s="1"/>
  <c r="BJ204" i="3" s="1"/>
  <c r="BK204" i="3" s="1"/>
  <c r="AT206" i="3"/>
  <c r="X207" i="3"/>
  <c r="BC205" i="3"/>
  <c r="AU206" i="3"/>
  <c r="Y207" i="3"/>
  <c r="Z207" i="3" s="1"/>
  <c r="A209" i="3"/>
  <c r="B208" i="3"/>
  <c r="AR208" i="3"/>
  <c r="AQ208" i="3"/>
  <c r="C208" i="3"/>
  <c r="D208" i="3"/>
  <c r="G208" i="3"/>
  <c r="H208" i="3" s="1"/>
  <c r="F208" i="3"/>
  <c r="BM208" i="3" s="1"/>
  <c r="Q208" i="3"/>
  <c r="S208" i="3"/>
  <c r="O208" i="3"/>
  <c r="U208" i="3"/>
  <c r="M208" i="3"/>
  <c r="AE208" i="3"/>
  <c r="AD208" i="3"/>
  <c r="AF208" i="3"/>
  <c r="AM208" i="3"/>
  <c r="AK208" i="3"/>
  <c r="R208" i="3"/>
  <c r="T208" i="3"/>
  <c r="V208" i="3"/>
  <c r="P208" i="3"/>
  <c r="AG207" i="3"/>
  <c r="AX206" i="3"/>
  <c r="AN207" i="3"/>
  <c r="AH207" i="3"/>
  <c r="AW206" i="3"/>
  <c r="BQ205" i="3" l="1"/>
  <c r="BB205" i="3"/>
  <c r="AY206" i="3"/>
  <c r="BN208" i="3"/>
  <c r="AO208" i="3"/>
  <c r="BA206" i="3"/>
  <c r="BQ206" i="3" s="1"/>
  <c r="AH208" i="3"/>
  <c r="AW207" i="3"/>
  <c r="AX207" i="3"/>
  <c r="AN208" i="3"/>
  <c r="BD205" i="3"/>
  <c r="BG205" i="3"/>
  <c r="BH205" i="3" s="1"/>
  <c r="BI205" i="3" s="1"/>
  <c r="AG208" i="3"/>
  <c r="AW208" i="3" s="1"/>
  <c r="AV206" i="3"/>
  <c r="BC206" i="3" s="1"/>
  <c r="AT207" i="3"/>
  <c r="Y208" i="3"/>
  <c r="Z208" i="3" s="1"/>
  <c r="B209" i="3"/>
  <c r="AQ209" i="3"/>
  <c r="AR209" i="3"/>
  <c r="A210" i="3"/>
  <c r="D209" i="3"/>
  <c r="C209" i="3"/>
  <c r="G209" i="3"/>
  <c r="H209" i="3" s="1"/>
  <c r="F209" i="3"/>
  <c r="BM209" i="3" s="1"/>
  <c r="Q209" i="3"/>
  <c r="S209" i="3"/>
  <c r="O209" i="3"/>
  <c r="U209" i="3"/>
  <c r="AD209" i="3"/>
  <c r="AE209" i="3"/>
  <c r="M209" i="3"/>
  <c r="AK209" i="3"/>
  <c r="AF209" i="3"/>
  <c r="AM209" i="3"/>
  <c r="AN209" i="3" s="1"/>
  <c r="P209" i="3"/>
  <c r="V209" i="3"/>
  <c r="T209" i="3"/>
  <c r="R209" i="3"/>
  <c r="AU207" i="3"/>
  <c r="X208" i="3"/>
  <c r="BB206" i="3" l="1"/>
  <c r="BF206" i="3"/>
  <c r="BJ205" i="3" s="1"/>
  <c r="BK205" i="3" s="1"/>
  <c r="BN209" i="3"/>
  <c r="Y209" i="3"/>
  <c r="Z209" i="3" s="1"/>
  <c r="AX208" i="3"/>
  <c r="AY208" i="3" s="1"/>
  <c r="BD206" i="3"/>
  <c r="BG206" i="3"/>
  <c r="BH206" i="3" s="1"/>
  <c r="BI206" i="3" s="1"/>
  <c r="D210" i="3"/>
  <c r="AQ210" i="3"/>
  <c r="AR210" i="3"/>
  <c r="B210" i="3"/>
  <c r="A211" i="3"/>
  <c r="C210" i="3"/>
  <c r="G210" i="3"/>
  <c r="H210" i="3" s="1"/>
  <c r="BN210" i="3" s="1"/>
  <c r="F210" i="3"/>
  <c r="BM210" i="3" s="1"/>
  <c r="Q210" i="3"/>
  <c r="S210" i="3"/>
  <c r="O210" i="3"/>
  <c r="U210" i="3"/>
  <c r="M210" i="3"/>
  <c r="AE210" i="3"/>
  <c r="AK210" i="3"/>
  <c r="AF210" i="3"/>
  <c r="AM210" i="3"/>
  <c r="AD210" i="3"/>
  <c r="P210" i="3"/>
  <c r="T210" i="3"/>
  <c r="R210" i="3"/>
  <c r="V210" i="3"/>
  <c r="AO209" i="3"/>
  <c r="AU208" i="3"/>
  <c r="BA207" i="3"/>
  <c r="AV207" i="3"/>
  <c r="AG209" i="3"/>
  <c r="X209" i="3"/>
  <c r="AH209" i="3"/>
  <c r="AX209" i="3" s="1"/>
  <c r="AT208" i="3"/>
  <c r="AY207" i="3"/>
  <c r="X210" i="3" l="1"/>
  <c r="AN210" i="3"/>
  <c r="AW209" i="3"/>
  <c r="AY209" i="3" s="1"/>
  <c r="BA208" i="3"/>
  <c r="AV208" i="3"/>
  <c r="BC208" i="3" s="1"/>
  <c r="Y210" i="3"/>
  <c r="Z210" i="3" s="1"/>
  <c r="AO210" i="3"/>
  <c r="BB207" i="3"/>
  <c r="BQ207" i="3"/>
  <c r="BF207" i="3"/>
  <c r="AT209" i="3"/>
  <c r="AG210" i="3"/>
  <c r="BC207" i="3"/>
  <c r="AQ211" i="3"/>
  <c r="B211" i="3"/>
  <c r="AR211" i="3"/>
  <c r="A212" i="3"/>
  <c r="C211" i="3"/>
  <c r="D211" i="3"/>
  <c r="G211" i="3"/>
  <c r="H211" i="3" s="1"/>
  <c r="F211" i="3"/>
  <c r="Q211" i="3"/>
  <c r="S211" i="3"/>
  <c r="O211" i="3"/>
  <c r="U211" i="3"/>
  <c r="AE211" i="3"/>
  <c r="M211" i="3"/>
  <c r="AD211" i="3"/>
  <c r="AM211" i="3"/>
  <c r="AF211" i="3"/>
  <c r="AK211" i="3"/>
  <c r="AO211" i="3" s="1"/>
  <c r="R211" i="3"/>
  <c r="T211" i="3"/>
  <c r="P211" i="3"/>
  <c r="V211" i="3"/>
  <c r="AH210" i="3"/>
  <c r="AX210" i="3" s="1"/>
  <c r="AU209" i="3"/>
  <c r="B212" i="3" l="1"/>
  <c r="AR212" i="3"/>
  <c r="AQ212" i="3"/>
  <c r="A213" i="3"/>
  <c r="D212" i="3"/>
  <c r="C212" i="3"/>
  <c r="G212" i="3"/>
  <c r="H212" i="3" s="1"/>
  <c r="BN212" i="3" s="1"/>
  <c r="F212" i="3"/>
  <c r="BM212" i="3" s="1"/>
  <c r="Q212" i="3"/>
  <c r="S212" i="3"/>
  <c r="O212" i="3"/>
  <c r="U212" i="3"/>
  <c r="AE212" i="3"/>
  <c r="M212" i="3"/>
  <c r="AM212" i="3"/>
  <c r="AF212" i="3"/>
  <c r="AD212" i="3"/>
  <c r="AK212" i="3"/>
  <c r="P212" i="3"/>
  <c r="T212" i="3"/>
  <c r="V212" i="3"/>
  <c r="R212" i="3"/>
  <c r="BJ206" i="3"/>
  <c r="BK206" i="3" s="1"/>
  <c r="BA209" i="3"/>
  <c r="AV209" i="3"/>
  <c r="BC209" i="3" s="1"/>
  <c r="AU210" i="3"/>
  <c r="AW210" i="3"/>
  <c r="AY210" i="3" s="1"/>
  <c r="AT210" i="3"/>
  <c r="Y211" i="3"/>
  <c r="Z211" i="3" s="1"/>
  <c r="X211" i="3"/>
  <c r="BD208" i="3"/>
  <c r="BG208" i="3"/>
  <c r="BH208" i="3" s="1"/>
  <c r="BI208" i="3" s="1"/>
  <c r="BD207" i="3"/>
  <c r="BG207" i="3"/>
  <c r="BH207" i="3" s="1"/>
  <c r="BI207" i="3" s="1"/>
  <c r="AH211" i="3"/>
  <c r="BM211" i="3"/>
  <c r="BF208" i="3"/>
  <c r="BJ207" i="3" s="1"/>
  <c r="BK207" i="3" s="1"/>
  <c r="BB208" i="3"/>
  <c r="BQ208" i="3"/>
  <c r="AN211" i="3"/>
  <c r="AG211" i="3"/>
  <c r="BN211" i="3"/>
  <c r="AH212" i="3" l="1"/>
  <c r="AX211" i="3"/>
  <c r="AN212" i="3"/>
  <c r="AG212" i="3"/>
  <c r="AV210" i="3"/>
  <c r="BC210" i="3" s="1"/>
  <c r="BA210" i="3"/>
  <c r="X212" i="3"/>
  <c r="AO212" i="3"/>
  <c r="AT211" i="3"/>
  <c r="BD209" i="3"/>
  <c r="BG209" i="3"/>
  <c r="BH209" i="3" s="1"/>
  <c r="BI209" i="3" s="1"/>
  <c r="AW211" i="3"/>
  <c r="AY211" i="3" s="1"/>
  <c r="AR213" i="3"/>
  <c r="B213" i="3"/>
  <c r="AQ213" i="3"/>
  <c r="C213" i="3"/>
  <c r="A214" i="3"/>
  <c r="D213" i="3"/>
  <c r="G213" i="3"/>
  <c r="H213" i="3" s="1"/>
  <c r="BN213" i="3" s="1"/>
  <c r="F213" i="3"/>
  <c r="BM213" i="3" s="1"/>
  <c r="Q213" i="3"/>
  <c r="S213" i="3"/>
  <c r="O213" i="3"/>
  <c r="U213" i="3"/>
  <c r="AE213" i="3"/>
  <c r="M213" i="3"/>
  <c r="AD213" i="3"/>
  <c r="AF213" i="3"/>
  <c r="AK213" i="3"/>
  <c r="AM213" i="3"/>
  <c r="AN213" i="3" s="1"/>
  <c r="V213" i="3"/>
  <c r="P213" i="3"/>
  <c r="T213" i="3"/>
  <c r="R213" i="3"/>
  <c r="BQ209" i="3"/>
  <c r="BF209" i="3"/>
  <c r="BJ208" i="3" s="1"/>
  <c r="BK208" i="3" s="1"/>
  <c r="BB209" i="3"/>
  <c r="AU212" i="3"/>
  <c r="AX212" i="3"/>
  <c r="AT212" i="3"/>
  <c r="AU211" i="3"/>
  <c r="Y212" i="3"/>
  <c r="Z212" i="3" s="1"/>
  <c r="AH213" i="3" l="1"/>
  <c r="AV212" i="3"/>
  <c r="Y213" i="3"/>
  <c r="Z213" i="3" s="1"/>
  <c r="AV211" i="3"/>
  <c r="BC211" i="3" s="1"/>
  <c r="BA211" i="3"/>
  <c r="AO213" i="3"/>
  <c r="BQ210" i="3"/>
  <c r="BF210" i="3"/>
  <c r="BJ209" i="3" s="1"/>
  <c r="BK209" i="3" s="1"/>
  <c r="BB210" i="3"/>
  <c r="X213" i="3"/>
  <c r="BD210" i="3"/>
  <c r="BG210" i="3"/>
  <c r="BH210" i="3" s="1"/>
  <c r="BI210" i="3" s="1"/>
  <c r="AR214" i="3"/>
  <c r="B214" i="3"/>
  <c r="AQ214" i="3"/>
  <c r="A215" i="3"/>
  <c r="C214" i="3"/>
  <c r="D214" i="3"/>
  <c r="G214" i="3"/>
  <c r="H214" i="3" s="1"/>
  <c r="BN214" i="3" s="1"/>
  <c r="F214" i="3"/>
  <c r="BM214" i="3" s="1"/>
  <c r="Q214" i="3"/>
  <c r="S214" i="3"/>
  <c r="O214" i="3"/>
  <c r="U214" i="3"/>
  <c r="M214" i="3"/>
  <c r="AE214" i="3"/>
  <c r="AD214" i="3"/>
  <c r="AF214" i="3"/>
  <c r="AK214" i="3"/>
  <c r="AM214" i="3"/>
  <c r="V214" i="3"/>
  <c r="T214" i="3"/>
  <c r="R214" i="3"/>
  <c r="P214" i="3"/>
  <c r="AG213" i="3"/>
  <c r="AW213" i="3" s="1"/>
  <c r="AW212" i="3"/>
  <c r="BA212" i="3" s="1"/>
  <c r="AN214" i="3" l="1"/>
  <c r="BQ212" i="3"/>
  <c r="BF212" i="3"/>
  <c r="BB212" i="3"/>
  <c r="BD211" i="3"/>
  <c r="BG211" i="3"/>
  <c r="BH211" i="3" s="1"/>
  <c r="BI211" i="3" s="1"/>
  <c r="AO214" i="3"/>
  <c r="AT213" i="3"/>
  <c r="AX213" i="3"/>
  <c r="AY213" i="3" s="1"/>
  <c r="Y214" i="3"/>
  <c r="Z214" i="3" s="1"/>
  <c r="AY212" i="3"/>
  <c r="BC212" i="3" s="1"/>
  <c r="AG214" i="3"/>
  <c r="X214" i="3"/>
  <c r="AH214" i="3"/>
  <c r="AX214" i="3" s="1"/>
  <c r="BB211" i="3"/>
  <c r="BF211" i="3"/>
  <c r="BJ210" i="3" s="1"/>
  <c r="BK210" i="3" s="1"/>
  <c r="BQ211" i="3"/>
  <c r="AU213" i="3"/>
  <c r="A216" i="3"/>
  <c r="AR215" i="3"/>
  <c r="AQ215" i="3"/>
  <c r="B215" i="3"/>
  <c r="D215" i="3"/>
  <c r="C215" i="3"/>
  <c r="G215" i="3"/>
  <c r="H215" i="3" s="1"/>
  <c r="BN215" i="3" s="1"/>
  <c r="F215" i="3"/>
  <c r="BM215" i="3" s="1"/>
  <c r="S215" i="3"/>
  <c r="Q215" i="3"/>
  <c r="O215" i="3"/>
  <c r="U215" i="3"/>
  <c r="AD215" i="3"/>
  <c r="AE215" i="3"/>
  <c r="AK215" i="3"/>
  <c r="M215" i="3"/>
  <c r="AF215" i="3"/>
  <c r="AM215" i="3"/>
  <c r="T215" i="3"/>
  <c r="R215" i="3"/>
  <c r="V215" i="3"/>
  <c r="P215" i="3"/>
  <c r="AN215" i="3" l="1"/>
  <c r="AH215" i="3"/>
  <c r="X215" i="3"/>
  <c r="AW214" i="3"/>
  <c r="AY214" i="3" s="1"/>
  <c r="AU214" i="3"/>
  <c r="AG215" i="3"/>
  <c r="Y215" i="3"/>
  <c r="Z215" i="3" s="1"/>
  <c r="A217" i="3"/>
  <c r="AR216" i="3"/>
  <c r="B216" i="3"/>
  <c r="AQ216" i="3"/>
  <c r="D216" i="3"/>
  <c r="C216" i="3"/>
  <c r="G216" i="3"/>
  <c r="H216" i="3" s="1"/>
  <c r="BN216" i="3" s="1"/>
  <c r="F216" i="3"/>
  <c r="BM216" i="3" s="1"/>
  <c r="Q216" i="3"/>
  <c r="S216" i="3"/>
  <c r="O216" i="3"/>
  <c r="U216" i="3"/>
  <c r="M216" i="3"/>
  <c r="AD216" i="3"/>
  <c r="AM216" i="3"/>
  <c r="AE216" i="3"/>
  <c r="AK216" i="3"/>
  <c r="AO216" i="3" s="1"/>
  <c r="AF216" i="3"/>
  <c r="T216" i="3"/>
  <c r="R216" i="3"/>
  <c r="P216" i="3"/>
  <c r="V216" i="3"/>
  <c r="BD212" i="3"/>
  <c r="BG212" i="3"/>
  <c r="BH212" i="3" s="1"/>
  <c r="BI212" i="3" s="1"/>
  <c r="AV213" i="3"/>
  <c r="BC213" i="3" s="1"/>
  <c r="BA213" i="3"/>
  <c r="AU215" i="3"/>
  <c r="BJ211" i="3"/>
  <c r="BK211" i="3" s="1"/>
  <c r="AO215" i="3"/>
  <c r="AT214" i="3"/>
  <c r="AT215" i="3"/>
  <c r="AH216" i="3" l="1"/>
  <c r="X216" i="3"/>
  <c r="AV214" i="3"/>
  <c r="BC214" i="3" s="1"/>
  <c r="BA214" i="3"/>
  <c r="AR217" i="3"/>
  <c r="B217" i="3"/>
  <c r="AQ217" i="3"/>
  <c r="A218" i="3"/>
  <c r="D217" i="3"/>
  <c r="C217" i="3"/>
  <c r="G217" i="3"/>
  <c r="H217" i="3" s="1"/>
  <c r="BN217" i="3" s="1"/>
  <c r="F217" i="3"/>
  <c r="BM217" i="3" s="1"/>
  <c r="Q217" i="3"/>
  <c r="S217" i="3"/>
  <c r="O217" i="3"/>
  <c r="U217" i="3"/>
  <c r="AE217" i="3"/>
  <c r="AD217" i="3"/>
  <c r="M217" i="3"/>
  <c r="AF217" i="3"/>
  <c r="AK217" i="3"/>
  <c r="AM217" i="3"/>
  <c r="P217" i="3"/>
  <c r="V217" i="3"/>
  <c r="T217" i="3"/>
  <c r="R217" i="3"/>
  <c r="Y216" i="3"/>
  <c r="Z216" i="3" s="1"/>
  <c r="AW215" i="3"/>
  <c r="BB213" i="3"/>
  <c r="BQ213" i="3"/>
  <c r="BF213" i="3"/>
  <c r="BJ212" i="3" s="1"/>
  <c r="BK212" i="3" s="1"/>
  <c r="BD213" i="3"/>
  <c r="BG213" i="3"/>
  <c r="BH213" i="3" s="1"/>
  <c r="BI213" i="3" s="1"/>
  <c r="AG216" i="3"/>
  <c r="AT216" i="3" s="1"/>
  <c r="AV215" i="3"/>
  <c r="AN216" i="3"/>
  <c r="AX216" i="3" s="1"/>
  <c r="AX215" i="3"/>
  <c r="BA215" i="3" s="1"/>
  <c r="AU216" i="3" l="1"/>
  <c r="AV216" i="3" s="1"/>
  <c r="AY215" i="3"/>
  <c r="BC215" i="3" s="1"/>
  <c r="AN217" i="3"/>
  <c r="AG217" i="3"/>
  <c r="AR218" i="3"/>
  <c r="B218" i="3"/>
  <c r="A219" i="3"/>
  <c r="C218" i="3"/>
  <c r="AQ218" i="3"/>
  <c r="D218" i="3"/>
  <c r="G218" i="3"/>
  <c r="H218" i="3" s="1"/>
  <c r="BN218" i="3" s="1"/>
  <c r="F218" i="3"/>
  <c r="BM218" i="3" s="1"/>
  <c r="Q218" i="3"/>
  <c r="S218" i="3"/>
  <c r="O218" i="3"/>
  <c r="U218" i="3"/>
  <c r="AD218" i="3"/>
  <c r="M218" i="3"/>
  <c r="AE218" i="3"/>
  <c r="AF218" i="3"/>
  <c r="AM218" i="3"/>
  <c r="AK218" i="3"/>
  <c r="P218" i="3"/>
  <c r="R218" i="3"/>
  <c r="V218" i="3"/>
  <c r="T218" i="3"/>
  <c r="AH217" i="3"/>
  <c r="BQ215" i="3"/>
  <c r="BB215" i="3"/>
  <c r="BF215" i="3"/>
  <c r="Y217" i="3"/>
  <c r="Z217" i="3" s="1"/>
  <c r="X217" i="3"/>
  <c r="BB214" i="3"/>
  <c r="BF214" i="3"/>
  <c r="BJ213" i="3" s="1"/>
  <c r="BK213" i="3" s="1"/>
  <c r="BQ214" i="3"/>
  <c r="AW216" i="3"/>
  <c r="AY216" i="3" s="1"/>
  <c r="BD214" i="3"/>
  <c r="BG214" i="3"/>
  <c r="BH214" i="3" s="1"/>
  <c r="BI214" i="3" s="1"/>
  <c r="AO217" i="3"/>
  <c r="AO218" i="3" l="1"/>
  <c r="AX217" i="3"/>
  <c r="BG215" i="3"/>
  <c r="BH215" i="3" s="1"/>
  <c r="BI215" i="3" s="1"/>
  <c r="BD215" i="3"/>
  <c r="AH218" i="3"/>
  <c r="X218" i="3"/>
  <c r="BJ214" i="3"/>
  <c r="BK214" i="3" s="1"/>
  <c r="AW217" i="3"/>
  <c r="AY217" i="3" s="1"/>
  <c r="BC216" i="3"/>
  <c r="AG218" i="3"/>
  <c r="Y218" i="3"/>
  <c r="Z218" i="3" s="1"/>
  <c r="AT217" i="3"/>
  <c r="AR219" i="3"/>
  <c r="AQ219" i="3"/>
  <c r="B219" i="3"/>
  <c r="A220" i="3"/>
  <c r="D219" i="3"/>
  <c r="C219" i="3"/>
  <c r="G219" i="3"/>
  <c r="H219" i="3" s="1"/>
  <c r="BN219" i="3" s="1"/>
  <c r="F219" i="3"/>
  <c r="BM219" i="3" s="1"/>
  <c r="Q219" i="3"/>
  <c r="S219" i="3"/>
  <c r="O219" i="3"/>
  <c r="U219" i="3"/>
  <c r="M219" i="3"/>
  <c r="AD219" i="3"/>
  <c r="AE219" i="3"/>
  <c r="AF219" i="3"/>
  <c r="AK219" i="3"/>
  <c r="AM219" i="3"/>
  <c r="P219" i="3"/>
  <c r="V219" i="3"/>
  <c r="T219" i="3"/>
  <c r="R219" i="3"/>
  <c r="AU217" i="3"/>
  <c r="BA216" i="3"/>
  <c r="AN218" i="3"/>
  <c r="AX218" i="3" s="1"/>
  <c r="AN219" i="3" l="1"/>
  <c r="AO219" i="3"/>
  <c r="AG219" i="3"/>
  <c r="B220" i="3"/>
  <c r="AR220" i="3"/>
  <c r="AQ220" i="3"/>
  <c r="A221" i="3"/>
  <c r="D220" i="3"/>
  <c r="C220" i="3"/>
  <c r="G220" i="3"/>
  <c r="H220" i="3" s="1"/>
  <c r="BN220" i="3" s="1"/>
  <c r="F220" i="3"/>
  <c r="BM220" i="3" s="1"/>
  <c r="Q220" i="3"/>
  <c r="S220" i="3"/>
  <c r="O220" i="3"/>
  <c r="U220" i="3"/>
  <c r="AD220" i="3"/>
  <c r="M220" i="3"/>
  <c r="AE220" i="3"/>
  <c r="AK220" i="3"/>
  <c r="AM220" i="3"/>
  <c r="AF220" i="3"/>
  <c r="P220" i="3"/>
  <c r="T220" i="3"/>
  <c r="V220" i="3"/>
  <c r="R220" i="3"/>
  <c r="Y219" i="3"/>
  <c r="Z219" i="3" s="1"/>
  <c r="AW218" i="3"/>
  <c r="AY218" i="3" s="1"/>
  <c r="BD216" i="3"/>
  <c r="BG216" i="3"/>
  <c r="BH216" i="3" s="1"/>
  <c r="BI216" i="3" s="1"/>
  <c r="AT218" i="3"/>
  <c r="BQ216" i="3"/>
  <c r="BF216" i="3"/>
  <c r="BJ215" i="3" s="1"/>
  <c r="BK215" i="3" s="1"/>
  <c r="BB216" i="3"/>
  <c r="AH219" i="3"/>
  <c r="AX219" i="3" s="1"/>
  <c r="X219" i="3"/>
  <c r="AU218" i="3"/>
  <c r="AV217" i="3"/>
  <c r="BC217" i="3" s="1"/>
  <c r="BA217" i="3"/>
  <c r="AN220" i="3" l="1"/>
  <c r="BQ217" i="3"/>
  <c r="BF217" i="3"/>
  <c r="BJ216" i="3" s="1"/>
  <c r="BK216" i="3" s="1"/>
  <c r="BB217" i="3"/>
  <c r="AH220" i="3"/>
  <c r="AT219" i="3"/>
  <c r="AV218" i="3"/>
  <c r="BC218" i="3" s="1"/>
  <c r="BA218" i="3"/>
  <c r="BD217" i="3"/>
  <c r="BG217" i="3"/>
  <c r="BH217" i="3" s="1"/>
  <c r="BI217" i="3" s="1"/>
  <c r="AU219" i="3"/>
  <c r="X220" i="3"/>
  <c r="AW219" i="3"/>
  <c r="AY219" i="3" s="1"/>
  <c r="AO220" i="3"/>
  <c r="B221" i="3"/>
  <c r="A222" i="3"/>
  <c r="D221" i="3"/>
  <c r="C221" i="3"/>
  <c r="AR221" i="3"/>
  <c r="AQ221" i="3"/>
  <c r="F221" i="3"/>
  <c r="G221" i="3"/>
  <c r="H221" i="3" s="1"/>
  <c r="Q221" i="3"/>
  <c r="S221" i="3"/>
  <c r="O221" i="3"/>
  <c r="U221" i="3"/>
  <c r="AD221" i="3"/>
  <c r="M221" i="3"/>
  <c r="AE221" i="3"/>
  <c r="AF221" i="3"/>
  <c r="AM221" i="3"/>
  <c r="AK221" i="3"/>
  <c r="P221" i="3"/>
  <c r="T221" i="3"/>
  <c r="R221" i="3"/>
  <c r="V221" i="3"/>
  <c r="Y220" i="3"/>
  <c r="Z220" i="3" s="1"/>
  <c r="AG220" i="3"/>
  <c r="AW220" i="3" s="1"/>
  <c r="AO221" i="3" l="1"/>
  <c r="AG221" i="3"/>
  <c r="AU220" i="3"/>
  <c r="AN221" i="3"/>
  <c r="BD218" i="3"/>
  <c r="BG218" i="3"/>
  <c r="BH218" i="3" s="1"/>
  <c r="BI218" i="3" s="1"/>
  <c r="AT220" i="3"/>
  <c r="BA219" i="3"/>
  <c r="AV219" i="3"/>
  <c r="BC219" i="3" s="1"/>
  <c r="BF218" i="3"/>
  <c r="BJ217" i="3" s="1"/>
  <c r="BK217" i="3" s="1"/>
  <c r="BQ218" i="3"/>
  <c r="BB218" i="3"/>
  <c r="AX220" i="3"/>
  <c r="AY220" i="3" s="1"/>
  <c r="BN221" i="3"/>
  <c r="Y221" i="3"/>
  <c r="Z221" i="3" s="1"/>
  <c r="AH221" i="3"/>
  <c r="AX221" i="3" s="1"/>
  <c r="AR222" i="3"/>
  <c r="B222" i="3"/>
  <c r="AQ222" i="3"/>
  <c r="C222" i="3"/>
  <c r="D222" i="3"/>
  <c r="A223" i="3"/>
  <c r="F222" i="3"/>
  <c r="G222" i="3"/>
  <c r="H222" i="3" s="1"/>
  <c r="BN222" i="3" s="1"/>
  <c r="Q222" i="3"/>
  <c r="S222" i="3"/>
  <c r="O222" i="3"/>
  <c r="U222" i="3"/>
  <c r="M222" i="3"/>
  <c r="AD222" i="3"/>
  <c r="AE222" i="3"/>
  <c r="AM222" i="3"/>
  <c r="AK222" i="3"/>
  <c r="AF222" i="3"/>
  <c r="P222" i="3"/>
  <c r="V222" i="3"/>
  <c r="T222" i="3"/>
  <c r="R222" i="3"/>
  <c r="X221" i="3"/>
  <c r="BM221" i="3"/>
  <c r="BM222" i="3" l="1"/>
  <c r="AO222" i="3"/>
  <c r="AN222" i="3"/>
  <c r="AW221" i="3"/>
  <c r="AY221" i="3" s="1"/>
  <c r="BQ219" i="3"/>
  <c r="BF219" i="3"/>
  <c r="BJ218" i="3" s="1"/>
  <c r="BK218" i="3" s="1"/>
  <c r="BB219" i="3"/>
  <c r="BD219" i="3"/>
  <c r="BG219" i="3"/>
  <c r="BH219" i="3" s="1"/>
  <c r="BI219" i="3" s="1"/>
  <c r="AT221" i="3"/>
  <c r="AH222" i="3"/>
  <c r="X222" i="3"/>
  <c r="Y222" i="3"/>
  <c r="Z222" i="3" s="1"/>
  <c r="AG222" i="3"/>
  <c r="AW222" i="3" s="1"/>
  <c r="AV220" i="3"/>
  <c r="BC220" i="3" s="1"/>
  <c r="BA220" i="3"/>
  <c r="D223" i="3"/>
  <c r="AR223" i="3"/>
  <c r="AQ223" i="3"/>
  <c r="B223" i="3"/>
  <c r="A224" i="3"/>
  <c r="C223" i="3"/>
  <c r="G223" i="3"/>
  <c r="H223" i="3" s="1"/>
  <c r="F223" i="3"/>
  <c r="BM223" i="3" s="1"/>
  <c r="Q223" i="3"/>
  <c r="S223" i="3"/>
  <c r="O223" i="3"/>
  <c r="U223" i="3"/>
  <c r="AD223" i="3"/>
  <c r="AE223" i="3"/>
  <c r="AF223" i="3"/>
  <c r="M223" i="3"/>
  <c r="AM223" i="3"/>
  <c r="AK223" i="3"/>
  <c r="AO223" i="3" s="1"/>
  <c r="V223" i="3"/>
  <c r="T223" i="3"/>
  <c r="R223" i="3"/>
  <c r="P223" i="3"/>
  <c r="AU221" i="3"/>
  <c r="AU222" i="3"/>
  <c r="AG223" i="3" l="1"/>
  <c r="X223" i="3"/>
  <c r="BB220" i="3"/>
  <c r="BQ220" i="3"/>
  <c r="BF220" i="3"/>
  <c r="BJ219" i="3" s="1"/>
  <c r="BK219" i="3" s="1"/>
  <c r="AH223" i="3"/>
  <c r="AN223" i="3"/>
  <c r="AX222" i="3"/>
  <c r="AY222" i="3" s="1"/>
  <c r="AT222" i="3"/>
  <c r="AW223" i="3"/>
  <c r="AU223" i="3"/>
  <c r="BD220" i="3"/>
  <c r="BG220" i="3"/>
  <c r="BH220" i="3" s="1"/>
  <c r="BI220" i="3" s="1"/>
  <c r="AV221" i="3"/>
  <c r="BC221" i="3" s="1"/>
  <c r="BA221" i="3"/>
  <c r="Y223" i="3"/>
  <c r="Z223" i="3" s="1"/>
  <c r="BN223" i="3"/>
  <c r="A225" i="3"/>
  <c r="B224" i="3"/>
  <c r="AQ224" i="3"/>
  <c r="D224" i="3"/>
  <c r="AR224" i="3"/>
  <c r="C224" i="3"/>
  <c r="G224" i="3"/>
  <c r="H224" i="3" s="1"/>
  <c r="BN224" i="3" s="1"/>
  <c r="F224" i="3"/>
  <c r="BM224" i="3" s="1"/>
  <c r="Q224" i="3"/>
  <c r="S224" i="3"/>
  <c r="O224" i="3"/>
  <c r="U224" i="3"/>
  <c r="AD224" i="3"/>
  <c r="M224" i="3"/>
  <c r="AM224" i="3"/>
  <c r="AE224" i="3"/>
  <c r="AK224" i="3"/>
  <c r="AO224" i="3" s="1"/>
  <c r="AF224" i="3"/>
  <c r="V224" i="3"/>
  <c r="R224" i="3"/>
  <c r="T224" i="3"/>
  <c r="P224" i="3"/>
  <c r="AR225" i="3" l="1"/>
  <c r="B225" i="3"/>
  <c r="AQ225" i="3"/>
  <c r="A226" i="3"/>
  <c r="D225" i="3"/>
  <c r="C225" i="3"/>
  <c r="F225" i="3"/>
  <c r="BM225" i="3" s="1"/>
  <c r="G225" i="3"/>
  <c r="H225" i="3" s="1"/>
  <c r="BN225" i="3" s="1"/>
  <c r="S225" i="3"/>
  <c r="Q225" i="3"/>
  <c r="O225" i="3"/>
  <c r="U225" i="3"/>
  <c r="AD225" i="3"/>
  <c r="M225" i="3"/>
  <c r="AM225" i="3"/>
  <c r="AK225" i="3"/>
  <c r="AF225" i="3"/>
  <c r="AE225" i="3"/>
  <c r="T225" i="3"/>
  <c r="R225" i="3"/>
  <c r="V225" i="3"/>
  <c r="P225" i="3"/>
  <c r="AN224" i="3"/>
  <c r="X224" i="3"/>
  <c r="AG224" i="3"/>
  <c r="AH224" i="3"/>
  <c r="AV222" i="3"/>
  <c r="BC222" i="3" s="1"/>
  <c r="BA222" i="3"/>
  <c r="Y224" i="3"/>
  <c r="Z224" i="3" s="1"/>
  <c r="BD221" i="3"/>
  <c r="BG221" i="3"/>
  <c r="BH221" i="3" s="1"/>
  <c r="BI221" i="3" s="1"/>
  <c r="AX223" i="3"/>
  <c r="AY223" i="3" s="1"/>
  <c r="AT224" i="3"/>
  <c r="BB221" i="3"/>
  <c r="BQ221" i="3"/>
  <c r="BF221" i="3"/>
  <c r="BJ220" i="3" s="1"/>
  <c r="BK220" i="3" s="1"/>
  <c r="AT223" i="3"/>
  <c r="AO225" i="3" l="1"/>
  <c r="AG225" i="3"/>
  <c r="AH225" i="3"/>
  <c r="BF222" i="3"/>
  <c r="BJ221" i="3" s="1"/>
  <c r="BK221" i="3" s="1"/>
  <c r="BB222" i="3"/>
  <c r="BQ222" i="3"/>
  <c r="AW224" i="3"/>
  <c r="AX224" i="3"/>
  <c r="AV223" i="3"/>
  <c r="BC223" i="3" s="1"/>
  <c r="BA223" i="3"/>
  <c r="AN225" i="3"/>
  <c r="AR226" i="3"/>
  <c r="B226" i="3"/>
  <c r="D226" i="3"/>
  <c r="AQ226" i="3"/>
  <c r="A227" i="3"/>
  <c r="C226" i="3"/>
  <c r="G226" i="3"/>
  <c r="H226" i="3" s="1"/>
  <c r="BN226" i="3" s="1"/>
  <c r="F226" i="3"/>
  <c r="BM226" i="3" s="1"/>
  <c r="Q226" i="3"/>
  <c r="S226" i="3"/>
  <c r="O226" i="3"/>
  <c r="U226" i="3"/>
  <c r="M226" i="3"/>
  <c r="AD226" i="3"/>
  <c r="AE226" i="3"/>
  <c r="AF226" i="3"/>
  <c r="AM226" i="3"/>
  <c r="AK226" i="3"/>
  <c r="R226" i="3"/>
  <c r="T226" i="3"/>
  <c r="V226" i="3"/>
  <c r="P226" i="3"/>
  <c r="AU225" i="3"/>
  <c r="BD222" i="3"/>
  <c r="BG222" i="3"/>
  <c r="BH222" i="3" s="1"/>
  <c r="BI222" i="3" s="1"/>
  <c r="X225" i="3"/>
  <c r="AU224" i="3"/>
  <c r="AV224" i="3" s="1"/>
  <c r="Y225" i="3"/>
  <c r="Z225" i="3" s="1"/>
  <c r="AY224" i="3" l="1"/>
  <c r="BC224" i="3" s="1"/>
  <c r="AO226" i="3"/>
  <c r="AG226" i="3"/>
  <c r="AN226" i="3"/>
  <c r="BG223" i="3"/>
  <c r="BH223" i="3" s="1"/>
  <c r="BI223" i="3" s="1"/>
  <c r="BD223" i="3"/>
  <c r="X226" i="3"/>
  <c r="AH226" i="3"/>
  <c r="AX226" i="3" s="1"/>
  <c r="AW225" i="3"/>
  <c r="AX225" i="3"/>
  <c r="AT226" i="3"/>
  <c r="BQ223" i="3"/>
  <c r="BF223" i="3"/>
  <c r="BJ222" i="3" s="1"/>
  <c r="BK222" i="3" s="1"/>
  <c r="BB223" i="3"/>
  <c r="AW226" i="3"/>
  <c r="AY226" i="3" s="1"/>
  <c r="BA224" i="3"/>
  <c r="B227" i="3"/>
  <c r="A228" i="3"/>
  <c r="AR227" i="3"/>
  <c r="C227" i="3"/>
  <c r="AQ227" i="3"/>
  <c r="D227" i="3"/>
  <c r="G227" i="3"/>
  <c r="H227" i="3" s="1"/>
  <c r="BN227" i="3" s="1"/>
  <c r="F227" i="3"/>
  <c r="Q227" i="3"/>
  <c r="S227" i="3"/>
  <c r="O227" i="3"/>
  <c r="U227" i="3"/>
  <c r="AD227" i="3"/>
  <c r="AE227" i="3"/>
  <c r="M227" i="3"/>
  <c r="AK227" i="3"/>
  <c r="AF227" i="3"/>
  <c r="AM227" i="3"/>
  <c r="AN227" i="3" s="1"/>
  <c r="V227" i="3"/>
  <c r="T227" i="3"/>
  <c r="P227" i="3"/>
  <c r="R227" i="3"/>
  <c r="Y226" i="3"/>
  <c r="Z226" i="3" s="1"/>
  <c r="AT225" i="3"/>
  <c r="AY225" i="3" l="1"/>
  <c r="BD224" i="3"/>
  <c r="BG224" i="3"/>
  <c r="BH224" i="3" s="1"/>
  <c r="BI224" i="3" s="1"/>
  <c r="AV225" i="3"/>
  <c r="BC225" i="3" s="1"/>
  <c r="BA225" i="3"/>
  <c r="Y227" i="3"/>
  <c r="Z227" i="3" s="1"/>
  <c r="X227" i="3"/>
  <c r="AU226" i="3"/>
  <c r="BA226" i="3" s="1"/>
  <c r="AH227" i="3"/>
  <c r="AO227" i="3"/>
  <c r="BM227" i="3"/>
  <c r="B228" i="3"/>
  <c r="AR228" i="3"/>
  <c r="AQ228" i="3"/>
  <c r="D228" i="3"/>
  <c r="C228" i="3"/>
  <c r="A229" i="3"/>
  <c r="G228" i="3"/>
  <c r="H228" i="3" s="1"/>
  <c r="BN228" i="3" s="1"/>
  <c r="F228" i="3"/>
  <c r="BM228" i="3" s="1"/>
  <c r="Q228" i="3"/>
  <c r="S228" i="3"/>
  <c r="O228" i="3"/>
  <c r="U228" i="3"/>
  <c r="AD228" i="3"/>
  <c r="AE228" i="3"/>
  <c r="M228" i="3"/>
  <c r="AM228" i="3"/>
  <c r="AF228" i="3"/>
  <c r="AK228" i="3"/>
  <c r="AO228" i="3" s="1"/>
  <c r="V228" i="3"/>
  <c r="T228" i="3"/>
  <c r="P228" i="3"/>
  <c r="R228" i="3"/>
  <c r="BB224" i="3"/>
  <c r="BQ224" i="3"/>
  <c r="BF224" i="3"/>
  <c r="BJ223" i="3" s="1"/>
  <c r="BK223" i="3" s="1"/>
  <c r="AG227" i="3"/>
  <c r="AW227" i="3" s="1"/>
  <c r="AT227" i="3" l="1"/>
  <c r="BF226" i="3"/>
  <c r="BQ226" i="3"/>
  <c r="BB226" i="3"/>
  <c r="AU227" i="3"/>
  <c r="AV227" i="3" s="1"/>
  <c r="AR229" i="3"/>
  <c r="AQ229" i="3"/>
  <c r="A230" i="3"/>
  <c r="B229" i="3"/>
  <c r="C229" i="3"/>
  <c r="D229" i="3"/>
  <c r="F229" i="3"/>
  <c r="BM229" i="3" s="1"/>
  <c r="G229" i="3"/>
  <c r="H229" i="3" s="1"/>
  <c r="BN229" i="3" s="1"/>
  <c r="Q229" i="3"/>
  <c r="S229" i="3"/>
  <c r="O229" i="3"/>
  <c r="U229" i="3"/>
  <c r="AE229" i="3"/>
  <c r="AD229" i="3"/>
  <c r="M229" i="3"/>
  <c r="AK229" i="3"/>
  <c r="AM229" i="3"/>
  <c r="AN229" i="3" s="1"/>
  <c r="AF229" i="3"/>
  <c r="R229" i="3"/>
  <c r="P229" i="3"/>
  <c r="T229" i="3"/>
  <c r="V229" i="3"/>
  <c r="AH228" i="3"/>
  <c r="Y228" i="3"/>
  <c r="Z228" i="3" s="1"/>
  <c r="AV226" i="3"/>
  <c r="BC226" i="3" s="1"/>
  <c r="AN228" i="3"/>
  <c r="BB225" i="3"/>
  <c r="BF225" i="3"/>
  <c r="BJ224" i="3" s="1"/>
  <c r="BK224" i="3" s="1"/>
  <c r="BQ225" i="3"/>
  <c r="AX227" i="3"/>
  <c r="AY227" i="3" s="1"/>
  <c r="AG228" i="3"/>
  <c r="AU228" i="3" s="1"/>
  <c r="X228" i="3"/>
  <c r="BD225" i="3"/>
  <c r="BG225" i="3"/>
  <c r="BH225" i="3" s="1"/>
  <c r="BI225" i="3" s="1"/>
  <c r="X229" i="3" l="1"/>
  <c r="AT228" i="3"/>
  <c r="AO229" i="3"/>
  <c r="AV228" i="3"/>
  <c r="BC227" i="3"/>
  <c r="BD226" i="3"/>
  <c r="BG226" i="3"/>
  <c r="BH226" i="3" s="1"/>
  <c r="BI226" i="3" s="1"/>
  <c r="Y229" i="3"/>
  <c r="Z229" i="3" s="1"/>
  <c r="A231" i="3"/>
  <c r="C230" i="3"/>
  <c r="D230" i="3"/>
  <c r="B230" i="3"/>
  <c r="AR230" i="3"/>
  <c r="AQ230" i="3"/>
  <c r="G230" i="3"/>
  <c r="H230" i="3" s="1"/>
  <c r="BN230" i="3" s="1"/>
  <c r="F230" i="3"/>
  <c r="BM230" i="3" s="1"/>
  <c r="S230" i="3"/>
  <c r="Q230" i="3"/>
  <c r="O230" i="3"/>
  <c r="U230" i="3"/>
  <c r="AD230" i="3"/>
  <c r="M230" i="3"/>
  <c r="AE230" i="3"/>
  <c r="AF230" i="3"/>
  <c r="AK230" i="3"/>
  <c r="AM230" i="3"/>
  <c r="V230" i="3"/>
  <c r="T230" i="3"/>
  <c r="P230" i="3"/>
  <c r="R230" i="3"/>
  <c r="BJ225" i="3"/>
  <c r="BK225" i="3" s="1"/>
  <c r="AX228" i="3"/>
  <c r="AH229" i="3"/>
  <c r="BA227" i="3"/>
  <c r="AW228" i="3"/>
  <c r="AG229" i="3"/>
  <c r="AW229" i="3" s="1"/>
  <c r="AY228" i="3" l="1"/>
  <c r="AG230" i="3"/>
  <c r="AO230" i="3"/>
  <c r="AT229" i="3"/>
  <c r="BF227" i="3"/>
  <c r="BB227" i="3"/>
  <c r="BQ227" i="3"/>
  <c r="AU229" i="3"/>
  <c r="BD227" i="3"/>
  <c r="BG227" i="3"/>
  <c r="BH227" i="3" s="1"/>
  <c r="BI227" i="3" s="1"/>
  <c r="Y230" i="3"/>
  <c r="Z230" i="3" s="1"/>
  <c r="AH230" i="3"/>
  <c r="BA228" i="3"/>
  <c r="AX229" i="3"/>
  <c r="AY229" i="3" s="1"/>
  <c r="B231" i="3"/>
  <c r="AR231" i="3"/>
  <c r="C231" i="3"/>
  <c r="D231" i="3"/>
  <c r="AQ231" i="3"/>
  <c r="A232" i="3"/>
  <c r="F231" i="3"/>
  <c r="G231" i="3"/>
  <c r="H231" i="3" s="1"/>
  <c r="S231" i="3"/>
  <c r="Q231" i="3"/>
  <c r="O231" i="3"/>
  <c r="U231" i="3"/>
  <c r="M231" i="3"/>
  <c r="AD231" i="3"/>
  <c r="AM231" i="3"/>
  <c r="AF231" i="3"/>
  <c r="AK231" i="3"/>
  <c r="AE231" i="3"/>
  <c r="R231" i="3"/>
  <c r="T231" i="3"/>
  <c r="V231" i="3"/>
  <c r="P231" i="3"/>
  <c r="AN230" i="3"/>
  <c r="X230" i="3"/>
  <c r="BC228" i="3"/>
  <c r="AG231" i="3" l="1"/>
  <c r="BN231" i="3"/>
  <c r="AO231" i="3"/>
  <c r="BA229" i="3"/>
  <c r="BQ229" i="3" s="1"/>
  <c r="BF228" i="3"/>
  <c r="BJ227" i="3" s="1"/>
  <c r="BK227" i="3" s="1"/>
  <c r="BQ228" i="3"/>
  <c r="BB228" i="3"/>
  <c r="Y231" i="3"/>
  <c r="Z231" i="3" s="1"/>
  <c r="AX230" i="3"/>
  <c r="X231" i="3"/>
  <c r="AU230" i="3"/>
  <c r="AT230" i="3"/>
  <c r="AV229" i="3"/>
  <c r="BC229" i="3" s="1"/>
  <c r="AN231" i="3"/>
  <c r="AH231" i="3"/>
  <c r="AW230" i="3"/>
  <c r="BM231" i="3"/>
  <c r="A233" i="3"/>
  <c r="B232" i="3"/>
  <c r="AR232" i="3"/>
  <c r="C232" i="3"/>
  <c r="D232" i="3"/>
  <c r="AQ232" i="3"/>
  <c r="F232" i="3"/>
  <c r="BM232" i="3" s="1"/>
  <c r="G232" i="3"/>
  <c r="H232" i="3" s="1"/>
  <c r="BN232" i="3" s="1"/>
  <c r="Q232" i="3"/>
  <c r="S232" i="3"/>
  <c r="O232" i="3"/>
  <c r="U232" i="3"/>
  <c r="M232" i="3"/>
  <c r="AE232" i="3"/>
  <c r="AF232" i="3"/>
  <c r="AD232" i="3"/>
  <c r="AM232" i="3"/>
  <c r="AK232" i="3"/>
  <c r="T232" i="3"/>
  <c r="R232" i="3"/>
  <c r="P232" i="3"/>
  <c r="V232" i="3"/>
  <c r="BJ226" i="3"/>
  <c r="BK226" i="3" s="1"/>
  <c r="BD228" i="3"/>
  <c r="BG228" i="3"/>
  <c r="BH228" i="3" s="1"/>
  <c r="BI228" i="3" s="1"/>
  <c r="BF229" i="3" l="1"/>
  <c r="BJ228" i="3" s="1"/>
  <c r="BK228" i="3" s="1"/>
  <c r="BB229" i="3"/>
  <c r="AN232" i="3"/>
  <c r="AH232" i="3"/>
  <c r="AX231" i="3"/>
  <c r="C233" i="3"/>
  <c r="A234" i="3"/>
  <c r="AR233" i="3"/>
  <c r="B233" i="3"/>
  <c r="AQ233" i="3"/>
  <c r="D233" i="3"/>
  <c r="F233" i="3"/>
  <c r="BM233" i="3" s="1"/>
  <c r="G233" i="3"/>
  <c r="H233" i="3" s="1"/>
  <c r="BN233" i="3" s="1"/>
  <c r="Q233" i="3"/>
  <c r="S233" i="3"/>
  <c r="O233" i="3"/>
  <c r="U233" i="3"/>
  <c r="AD233" i="3"/>
  <c r="AE233" i="3"/>
  <c r="AK233" i="3"/>
  <c r="M233" i="3"/>
  <c r="AM233" i="3"/>
  <c r="AF233" i="3"/>
  <c r="R233" i="3"/>
  <c r="V233" i="3"/>
  <c r="T233" i="3"/>
  <c r="P233" i="3"/>
  <c r="AY230" i="3"/>
  <c r="AU231" i="3"/>
  <c r="AO232" i="3"/>
  <c r="AW231" i="3"/>
  <c r="AY231" i="3" s="1"/>
  <c r="X232" i="3"/>
  <c r="AG232" i="3"/>
  <c r="AW232" i="3" s="1"/>
  <c r="AV230" i="3"/>
  <c r="BC230" i="3" s="1"/>
  <c r="BA230" i="3"/>
  <c r="AT231" i="3"/>
  <c r="AT232" i="3"/>
  <c r="BD229" i="3"/>
  <c r="BG229" i="3"/>
  <c r="BH229" i="3" s="1"/>
  <c r="BI229" i="3" s="1"/>
  <c r="Y232" i="3"/>
  <c r="Z232" i="3" s="1"/>
  <c r="AU232" i="3" l="1"/>
  <c r="Y233" i="3"/>
  <c r="Z233" i="3" s="1"/>
  <c r="AN233" i="3"/>
  <c r="AV231" i="3"/>
  <c r="BC231" i="3" s="1"/>
  <c r="BA231" i="3"/>
  <c r="X233" i="3"/>
  <c r="AH233" i="3"/>
  <c r="AG233" i="3"/>
  <c r="AX232" i="3"/>
  <c r="AY232" i="3" s="1"/>
  <c r="AO233" i="3"/>
  <c r="BQ230" i="3"/>
  <c r="BF230" i="3"/>
  <c r="BJ229" i="3" s="1"/>
  <c r="BK229" i="3" s="1"/>
  <c r="BB230" i="3"/>
  <c r="BD230" i="3"/>
  <c r="BG230" i="3"/>
  <c r="BH230" i="3" s="1"/>
  <c r="BI230" i="3" s="1"/>
  <c r="AR234" i="3"/>
  <c r="B234" i="3"/>
  <c r="A235" i="3"/>
  <c r="C234" i="3"/>
  <c r="AQ234" i="3"/>
  <c r="D234" i="3"/>
  <c r="G234" i="3"/>
  <c r="H234" i="3" s="1"/>
  <c r="F234" i="3"/>
  <c r="Q234" i="3"/>
  <c r="S234" i="3"/>
  <c r="O234" i="3"/>
  <c r="U234" i="3"/>
  <c r="M234" i="3"/>
  <c r="AD234" i="3"/>
  <c r="AE234" i="3"/>
  <c r="AF234" i="3"/>
  <c r="AK234" i="3"/>
  <c r="AM234" i="3"/>
  <c r="AN234" i="3" s="1"/>
  <c r="R234" i="3"/>
  <c r="T234" i="3"/>
  <c r="V234" i="3"/>
  <c r="P234" i="3"/>
  <c r="BA232" i="3"/>
  <c r="AV232" i="3"/>
  <c r="BC232" i="3" s="1"/>
  <c r="AT233" i="3" l="1"/>
  <c r="AU233" i="3"/>
  <c r="AO234" i="3"/>
  <c r="BQ232" i="3"/>
  <c r="BB232" i="3"/>
  <c r="BF232" i="3"/>
  <c r="BD232" i="3"/>
  <c r="BG232" i="3"/>
  <c r="BH232" i="3" s="1"/>
  <c r="BI232" i="3" s="1"/>
  <c r="AG234" i="3"/>
  <c r="AW233" i="3"/>
  <c r="Y234" i="3"/>
  <c r="Z234" i="3" s="1"/>
  <c r="AH234" i="3"/>
  <c r="AX234" i="3" s="1"/>
  <c r="AX233" i="3"/>
  <c r="AQ235" i="3"/>
  <c r="B235" i="3"/>
  <c r="A236" i="3"/>
  <c r="AR235" i="3"/>
  <c r="D235" i="3"/>
  <c r="C235" i="3"/>
  <c r="F235" i="3"/>
  <c r="BM235" i="3" s="1"/>
  <c r="G235" i="3"/>
  <c r="H235" i="3" s="1"/>
  <c r="BN235" i="3" s="1"/>
  <c r="S235" i="3"/>
  <c r="Q235" i="3"/>
  <c r="O235" i="3"/>
  <c r="U235" i="3"/>
  <c r="AE235" i="3"/>
  <c r="M235" i="3"/>
  <c r="AD235" i="3"/>
  <c r="AK235" i="3"/>
  <c r="AM235" i="3"/>
  <c r="AF235" i="3"/>
  <c r="P235" i="3"/>
  <c r="R235" i="3"/>
  <c r="T235" i="3"/>
  <c r="V235" i="3"/>
  <c r="AU234" i="3"/>
  <c r="X234" i="3"/>
  <c r="BM234" i="3"/>
  <c r="BF231" i="3"/>
  <c r="BJ230" i="3" s="1"/>
  <c r="BK230" i="3" s="1"/>
  <c r="BB231" i="3"/>
  <c r="BQ231" i="3"/>
  <c r="AV233" i="3"/>
  <c r="BN234" i="3"/>
  <c r="BD231" i="3"/>
  <c r="BG231" i="3"/>
  <c r="BH231" i="3" s="1"/>
  <c r="BI231" i="3" s="1"/>
  <c r="AN235" i="3" l="1"/>
  <c r="Y235" i="3"/>
  <c r="Z235" i="3" s="1"/>
  <c r="AY233" i="3"/>
  <c r="A237" i="3"/>
  <c r="B236" i="3"/>
  <c r="D236" i="3"/>
  <c r="AR236" i="3"/>
  <c r="AQ236" i="3"/>
  <c r="C236" i="3"/>
  <c r="G236" i="3"/>
  <c r="H236" i="3" s="1"/>
  <c r="BN236" i="3" s="1"/>
  <c r="F236" i="3"/>
  <c r="BM236" i="3" s="1"/>
  <c r="Q236" i="3"/>
  <c r="S236" i="3"/>
  <c r="O236" i="3"/>
  <c r="U236" i="3"/>
  <c r="AE236" i="3"/>
  <c r="M236" i="3"/>
  <c r="AD236" i="3"/>
  <c r="AF236" i="3"/>
  <c r="AM236" i="3"/>
  <c r="AK236" i="3"/>
  <c r="V236" i="3"/>
  <c r="R236" i="3"/>
  <c r="P236" i="3"/>
  <c r="T236" i="3"/>
  <c r="AO235" i="3"/>
  <c r="AT234" i="3"/>
  <c r="BJ231" i="3"/>
  <c r="BK231" i="3" s="1"/>
  <c r="AH235" i="3"/>
  <c r="AG235" i="3"/>
  <c r="AW234" i="3"/>
  <c r="AY234" i="3" s="1"/>
  <c r="X235" i="3"/>
  <c r="BC233" i="3"/>
  <c r="BA233" i="3"/>
  <c r="AO236" i="3" l="1"/>
  <c r="AW235" i="3"/>
  <c r="BD233" i="3"/>
  <c r="BG233" i="3"/>
  <c r="BH233" i="3" s="1"/>
  <c r="BI233" i="3" s="1"/>
  <c r="X236" i="3"/>
  <c r="AX235" i="3"/>
  <c r="AY235" i="3" s="1"/>
  <c r="AT235" i="3"/>
  <c r="AH236" i="3"/>
  <c r="AU235" i="3"/>
  <c r="BA234" i="3"/>
  <c r="AV234" i="3"/>
  <c r="BC234" i="3" s="1"/>
  <c r="BF233" i="3"/>
  <c r="BJ232" i="3" s="1"/>
  <c r="BK232" i="3" s="1"/>
  <c r="BB233" i="3"/>
  <c r="BQ233" i="3"/>
  <c r="AG236" i="3"/>
  <c r="AU236" i="3" s="1"/>
  <c r="B237" i="3"/>
  <c r="AQ237" i="3"/>
  <c r="A238" i="3"/>
  <c r="D237" i="3"/>
  <c r="AR237" i="3"/>
  <c r="C237" i="3"/>
  <c r="G237" i="3"/>
  <c r="H237" i="3" s="1"/>
  <c r="F237" i="3"/>
  <c r="Q237" i="3"/>
  <c r="S237" i="3"/>
  <c r="O237" i="3"/>
  <c r="U237" i="3"/>
  <c r="AD237" i="3"/>
  <c r="M237" i="3"/>
  <c r="AE237" i="3"/>
  <c r="AK237" i="3"/>
  <c r="AM237" i="3"/>
  <c r="AF237" i="3"/>
  <c r="V237" i="3"/>
  <c r="T237" i="3"/>
  <c r="R237" i="3"/>
  <c r="P237" i="3"/>
  <c r="Y236" i="3"/>
  <c r="Z236" i="3" s="1"/>
  <c r="AN236" i="3"/>
  <c r="BM237" i="3" l="1"/>
  <c r="AN237" i="3"/>
  <c r="BN237" i="3"/>
  <c r="AO237" i="3"/>
  <c r="AG237" i="3"/>
  <c r="BD234" i="3"/>
  <c r="BG234" i="3"/>
  <c r="BH234" i="3" s="1"/>
  <c r="BI234" i="3" s="1"/>
  <c r="AT236" i="3"/>
  <c r="BA235" i="3"/>
  <c r="AV235" i="3"/>
  <c r="BC235" i="3" s="1"/>
  <c r="B238" i="3"/>
  <c r="AQ238" i="3"/>
  <c r="A239" i="3"/>
  <c r="C238" i="3"/>
  <c r="D238" i="3"/>
  <c r="AR238" i="3"/>
  <c r="G238" i="3"/>
  <c r="H238" i="3" s="1"/>
  <c r="BN238" i="3" s="1"/>
  <c r="F238" i="3"/>
  <c r="BM238" i="3" s="1"/>
  <c r="Q238" i="3"/>
  <c r="S238" i="3"/>
  <c r="O238" i="3"/>
  <c r="U238" i="3"/>
  <c r="M238" i="3"/>
  <c r="AM238" i="3"/>
  <c r="AF238" i="3"/>
  <c r="AD238" i="3"/>
  <c r="AK238" i="3"/>
  <c r="AE238" i="3"/>
  <c r="P238" i="3"/>
  <c r="V238" i="3"/>
  <c r="T238" i="3"/>
  <c r="R238" i="3"/>
  <c r="BQ234" i="3"/>
  <c r="BF234" i="3"/>
  <c r="BJ233" i="3" s="1"/>
  <c r="BK233" i="3" s="1"/>
  <c r="BB234" i="3"/>
  <c r="AW236" i="3"/>
  <c r="AX236" i="3"/>
  <c r="X237" i="3"/>
  <c r="AH237" i="3"/>
  <c r="AX237" i="3" s="1"/>
  <c r="Y237" i="3"/>
  <c r="Z237" i="3" s="1"/>
  <c r="AG238" i="3" l="1"/>
  <c r="AY236" i="3"/>
  <c r="AT237" i="3"/>
  <c r="AN238" i="3"/>
  <c r="AQ239" i="3"/>
  <c r="A240" i="3"/>
  <c r="AR239" i="3"/>
  <c r="C239" i="3"/>
  <c r="B239" i="3"/>
  <c r="D239" i="3"/>
  <c r="F239" i="3"/>
  <c r="BM239" i="3" s="1"/>
  <c r="G239" i="3"/>
  <c r="H239" i="3" s="1"/>
  <c r="BN239" i="3" s="1"/>
  <c r="Q239" i="3"/>
  <c r="S239" i="3"/>
  <c r="O239" i="3"/>
  <c r="U239" i="3"/>
  <c r="AD239" i="3"/>
  <c r="AE239" i="3"/>
  <c r="AM239" i="3"/>
  <c r="M239" i="3"/>
  <c r="AF239" i="3"/>
  <c r="AK239" i="3"/>
  <c r="P239" i="3"/>
  <c r="V239" i="3"/>
  <c r="T239" i="3"/>
  <c r="R239" i="3"/>
  <c r="BF235" i="3"/>
  <c r="BJ234" i="3" s="1"/>
  <c r="BK234" i="3" s="1"/>
  <c r="BQ235" i="3"/>
  <c r="BB235" i="3"/>
  <c r="BD235" i="3"/>
  <c r="BG235" i="3"/>
  <c r="BH235" i="3" s="1"/>
  <c r="BI235" i="3" s="1"/>
  <c r="AV236" i="3"/>
  <c r="BC236" i="3" s="1"/>
  <c r="BA236" i="3"/>
  <c r="X238" i="3"/>
  <c r="AU237" i="3"/>
  <c r="AH238" i="3"/>
  <c r="Y238" i="3"/>
  <c r="Z238" i="3" s="1"/>
  <c r="AO238" i="3"/>
  <c r="AW237" i="3"/>
  <c r="AY237" i="3" s="1"/>
  <c r="AG239" i="3" l="1"/>
  <c r="AN239" i="3"/>
  <c r="BA237" i="3"/>
  <c r="BB237" i="3" s="1"/>
  <c r="AX238" i="3"/>
  <c r="BD236" i="3"/>
  <c r="BG236" i="3"/>
  <c r="BH236" i="3" s="1"/>
  <c r="BI236" i="3" s="1"/>
  <c r="AW238" i="3"/>
  <c r="X239" i="3"/>
  <c r="Y239" i="3"/>
  <c r="Z239" i="3" s="1"/>
  <c r="AU238" i="3"/>
  <c r="AT238" i="3"/>
  <c r="AH239" i="3"/>
  <c r="BQ236" i="3"/>
  <c r="BF236" i="3"/>
  <c r="BJ235" i="3" s="1"/>
  <c r="BK235" i="3" s="1"/>
  <c r="BB236" i="3"/>
  <c r="AQ240" i="3"/>
  <c r="D240" i="3"/>
  <c r="C240" i="3"/>
  <c r="B240" i="3"/>
  <c r="A241" i="3"/>
  <c r="AR240" i="3"/>
  <c r="F240" i="3"/>
  <c r="G240" i="3"/>
  <c r="H240" i="3" s="1"/>
  <c r="Q240" i="3"/>
  <c r="S240" i="3"/>
  <c r="O240" i="3"/>
  <c r="U240" i="3"/>
  <c r="AD240" i="3"/>
  <c r="AE240" i="3"/>
  <c r="AK240" i="3"/>
  <c r="AM240" i="3"/>
  <c r="AN240" i="3" s="1"/>
  <c r="M240" i="3"/>
  <c r="AF240" i="3"/>
  <c r="V240" i="3"/>
  <c r="R240" i="3"/>
  <c r="T240" i="3"/>
  <c r="P240" i="3"/>
  <c r="AO239" i="3"/>
  <c r="AV237" i="3"/>
  <c r="BC237" i="3" s="1"/>
  <c r="AY238" i="3" l="1"/>
  <c r="BQ237" i="3"/>
  <c r="BM240" i="3"/>
  <c r="BF237" i="3"/>
  <c r="AX239" i="3"/>
  <c r="BA238" i="3"/>
  <c r="AV238" i="3"/>
  <c r="BC238" i="3" s="1"/>
  <c r="Y240" i="3"/>
  <c r="Z240" i="3" s="1"/>
  <c r="AH240" i="3"/>
  <c r="AO240" i="3"/>
  <c r="AW239" i="3"/>
  <c r="AG240" i="3"/>
  <c r="BN240" i="3"/>
  <c r="B241" i="3"/>
  <c r="A242" i="3"/>
  <c r="C241" i="3"/>
  <c r="D241" i="3"/>
  <c r="AR241" i="3"/>
  <c r="AQ241" i="3"/>
  <c r="G241" i="3"/>
  <c r="H241" i="3" s="1"/>
  <c r="BN241" i="3" s="1"/>
  <c r="F241" i="3"/>
  <c r="BM241" i="3" s="1"/>
  <c r="Q241" i="3"/>
  <c r="S241" i="3"/>
  <c r="O241" i="3"/>
  <c r="U241" i="3"/>
  <c r="M241" i="3"/>
  <c r="AD241" i="3"/>
  <c r="AM241" i="3"/>
  <c r="AF241" i="3"/>
  <c r="AE241" i="3"/>
  <c r="AK241" i="3"/>
  <c r="AO241" i="3" s="1"/>
  <c r="R241" i="3"/>
  <c r="T241" i="3"/>
  <c r="V241" i="3"/>
  <c r="P241" i="3"/>
  <c r="AT239" i="3"/>
  <c r="BD237" i="3"/>
  <c r="BG237" i="3"/>
  <c r="BH237" i="3" s="1"/>
  <c r="BI237" i="3" s="1"/>
  <c r="BJ236" i="3"/>
  <c r="BK236" i="3" s="1"/>
  <c r="AY239" i="3"/>
  <c r="X240" i="3"/>
  <c r="AU239" i="3"/>
  <c r="AW240" i="3" l="1"/>
  <c r="AT240" i="3"/>
  <c r="AG241" i="3"/>
  <c r="AX240" i="3"/>
  <c r="AY240" i="3" s="1"/>
  <c r="AV239" i="3"/>
  <c r="BC239" i="3" s="1"/>
  <c r="BA239" i="3"/>
  <c r="AN241" i="3"/>
  <c r="Y241" i="3"/>
  <c r="Z241" i="3" s="1"/>
  <c r="AR242" i="3"/>
  <c r="B242" i="3"/>
  <c r="AQ242" i="3"/>
  <c r="C242" i="3"/>
  <c r="D242" i="3"/>
  <c r="A243" i="3"/>
  <c r="F242" i="3"/>
  <c r="BM242" i="3" s="1"/>
  <c r="G242" i="3"/>
  <c r="H242" i="3" s="1"/>
  <c r="BN242" i="3" s="1"/>
  <c r="Q242" i="3"/>
  <c r="S242" i="3"/>
  <c r="O242" i="3"/>
  <c r="U242" i="3"/>
  <c r="AD242" i="3"/>
  <c r="M242" i="3"/>
  <c r="AE242" i="3"/>
  <c r="AF242" i="3"/>
  <c r="AM242" i="3"/>
  <c r="AK242" i="3"/>
  <c r="AO242" i="3" s="1"/>
  <c r="T242" i="3"/>
  <c r="P242" i="3"/>
  <c r="R242" i="3"/>
  <c r="V242" i="3"/>
  <c r="AU240" i="3"/>
  <c r="BA240" i="3" s="1"/>
  <c r="BD238" i="3"/>
  <c r="BG238" i="3"/>
  <c r="BH238" i="3" s="1"/>
  <c r="BI238" i="3" s="1"/>
  <c r="AH241" i="3"/>
  <c r="AX241" i="3" s="1"/>
  <c r="X241" i="3"/>
  <c r="BB238" i="3"/>
  <c r="BQ238" i="3"/>
  <c r="BF238" i="3"/>
  <c r="BJ237" i="3" s="1"/>
  <c r="BK237" i="3" s="1"/>
  <c r="BB240" i="3" l="1"/>
  <c r="BQ240" i="3"/>
  <c r="BF240" i="3"/>
  <c r="Y242" i="3"/>
  <c r="Z242" i="3" s="1"/>
  <c r="AV240" i="3"/>
  <c r="BC240" i="3" s="1"/>
  <c r="AN242" i="3"/>
  <c r="BQ239" i="3"/>
  <c r="BB239" i="3"/>
  <c r="BF239" i="3"/>
  <c r="BJ238" i="3" s="1"/>
  <c r="BK238" i="3" s="1"/>
  <c r="X242" i="3"/>
  <c r="AU241" i="3"/>
  <c r="AW241" i="3"/>
  <c r="AY241" i="3" s="1"/>
  <c r="AG242" i="3"/>
  <c r="AH242" i="3"/>
  <c r="C243" i="3"/>
  <c r="X243" i="3" s="1"/>
  <c r="AR243" i="3"/>
  <c r="AQ243" i="3"/>
  <c r="B243" i="3"/>
  <c r="A244" i="3"/>
  <c r="D243" i="3"/>
  <c r="G243" i="3"/>
  <c r="H243" i="3" s="1"/>
  <c r="F243" i="3"/>
  <c r="S243" i="3"/>
  <c r="Q243" i="3"/>
  <c r="O243" i="3"/>
  <c r="U243" i="3"/>
  <c r="M243" i="3"/>
  <c r="AD243" i="3"/>
  <c r="AF243" i="3"/>
  <c r="AE243" i="3"/>
  <c r="AM243" i="3"/>
  <c r="AK243" i="3"/>
  <c r="T243" i="3"/>
  <c r="R243" i="3"/>
  <c r="P243" i="3"/>
  <c r="V243" i="3"/>
  <c r="BD239" i="3"/>
  <c r="BG239" i="3"/>
  <c r="BH239" i="3" s="1"/>
  <c r="BI239" i="3" s="1"/>
  <c r="AT241" i="3"/>
  <c r="AX242" i="3" l="1"/>
  <c r="AO243" i="3"/>
  <c r="BN243" i="3"/>
  <c r="AW242" i="3"/>
  <c r="AY242" i="3" s="1"/>
  <c r="BD240" i="3"/>
  <c r="BG240" i="3"/>
  <c r="BH240" i="3" s="1"/>
  <c r="BI240" i="3" s="1"/>
  <c r="AN243" i="3"/>
  <c r="AU242" i="3"/>
  <c r="Y243" i="3"/>
  <c r="Z243" i="3" s="1"/>
  <c r="AH243" i="3"/>
  <c r="AG243" i="3"/>
  <c r="A245" i="3"/>
  <c r="B244" i="3"/>
  <c r="AQ244" i="3"/>
  <c r="C244" i="3"/>
  <c r="AR244" i="3"/>
  <c r="D244" i="3"/>
  <c r="G244" i="3"/>
  <c r="H244" i="3" s="1"/>
  <c r="BN244" i="3" s="1"/>
  <c r="F244" i="3"/>
  <c r="BM244" i="3" s="1"/>
  <c r="S244" i="3"/>
  <c r="Q244" i="3"/>
  <c r="O244" i="3"/>
  <c r="U244" i="3"/>
  <c r="AE244" i="3"/>
  <c r="AD244" i="3"/>
  <c r="M244" i="3"/>
  <c r="AM244" i="3"/>
  <c r="AK244" i="3"/>
  <c r="AF244" i="3"/>
  <c r="P244" i="3"/>
  <c r="T244" i="3"/>
  <c r="R244" i="3"/>
  <c r="V244" i="3"/>
  <c r="BJ239" i="3"/>
  <c r="BK239" i="3" s="1"/>
  <c r="BM243" i="3"/>
  <c r="AT242" i="3"/>
  <c r="BA241" i="3"/>
  <c r="AV241" i="3"/>
  <c r="BC241" i="3" s="1"/>
  <c r="AU243" i="3"/>
  <c r="AW243" i="3" l="1"/>
  <c r="AO244" i="3"/>
  <c r="BD241" i="3"/>
  <c r="BG241" i="3"/>
  <c r="BH241" i="3" s="1"/>
  <c r="BI241" i="3" s="1"/>
  <c r="BA242" i="3"/>
  <c r="AV242" i="3"/>
  <c r="BC242" i="3" s="1"/>
  <c r="Y244" i="3"/>
  <c r="Z244" i="3" s="1"/>
  <c r="BF241" i="3"/>
  <c r="BJ240" i="3" s="1"/>
  <c r="BK240" i="3" s="1"/>
  <c r="BB241" i="3"/>
  <c r="BQ241" i="3"/>
  <c r="AX243" i="3"/>
  <c r="AY243" i="3" s="1"/>
  <c r="AH244" i="3"/>
  <c r="AT243" i="3"/>
  <c r="AR245" i="3"/>
  <c r="B245" i="3"/>
  <c r="AQ245" i="3"/>
  <c r="A246" i="3"/>
  <c r="C245" i="3"/>
  <c r="D245" i="3"/>
  <c r="F245" i="3"/>
  <c r="BM245" i="3" s="1"/>
  <c r="G245" i="3"/>
  <c r="H245" i="3" s="1"/>
  <c r="Q245" i="3"/>
  <c r="S245" i="3"/>
  <c r="O245" i="3"/>
  <c r="U245" i="3"/>
  <c r="M245" i="3"/>
  <c r="AM245" i="3"/>
  <c r="AD245" i="3"/>
  <c r="AF245" i="3"/>
  <c r="AE245" i="3"/>
  <c r="AK245" i="3"/>
  <c r="AO245" i="3" s="1"/>
  <c r="V245" i="3"/>
  <c r="T245" i="3"/>
  <c r="P245" i="3"/>
  <c r="R245" i="3"/>
  <c r="AN244" i="3"/>
  <c r="AG244" i="3"/>
  <c r="X244" i="3"/>
  <c r="AW244" i="3" l="1"/>
  <c r="AG245" i="3"/>
  <c r="BN245" i="3"/>
  <c r="AU244" i="3"/>
  <c r="AV243" i="3"/>
  <c r="BC243" i="3" s="1"/>
  <c r="BA243" i="3"/>
  <c r="AR246" i="3"/>
  <c r="B246" i="3"/>
  <c r="D246" i="3"/>
  <c r="AQ246" i="3"/>
  <c r="A247" i="3"/>
  <c r="C246" i="3"/>
  <c r="F246" i="3"/>
  <c r="BM246" i="3" s="1"/>
  <c r="G246" i="3"/>
  <c r="H246" i="3" s="1"/>
  <c r="BN246" i="3" s="1"/>
  <c r="S246" i="3"/>
  <c r="Q246" i="3"/>
  <c r="O246" i="3"/>
  <c r="U246" i="3"/>
  <c r="AD246" i="3"/>
  <c r="AK246" i="3"/>
  <c r="AO246" i="3" s="1"/>
  <c r="AE246" i="3"/>
  <c r="AF246" i="3"/>
  <c r="M246" i="3"/>
  <c r="AM246" i="3"/>
  <c r="R246" i="3"/>
  <c r="P246" i="3"/>
  <c r="T246" i="3"/>
  <c r="V246" i="3"/>
  <c r="Y245" i="3"/>
  <c r="Z245" i="3" s="1"/>
  <c r="AN245" i="3"/>
  <c r="AX244" i="3"/>
  <c r="BD242" i="3"/>
  <c r="BG242" i="3"/>
  <c r="BH242" i="3" s="1"/>
  <c r="BI242" i="3" s="1"/>
  <c r="BQ242" i="3"/>
  <c r="BF242" i="3"/>
  <c r="BJ241" i="3" s="1"/>
  <c r="BK241" i="3" s="1"/>
  <c r="BB242" i="3"/>
  <c r="AY244" i="3"/>
  <c r="AT244" i="3"/>
  <c r="AH245" i="3"/>
  <c r="AX245" i="3" s="1"/>
  <c r="X245" i="3"/>
  <c r="AG246" i="3" l="1"/>
  <c r="AW245" i="3"/>
  <c r="AY245" i="3" s="1"/>
  <c r="X246" i="3"/>
  <c r="AH246" i="3"/>
  <c r="Y246" i="3"/>
  <c r="Z246" i="3" s="1"/>
  <c r="B247" i="3"/>
  <c r="A248" i="3"/>
  <c r="AR247" i="3"/>
  <c r="C247" i="3"/>
  <c r="AQ247" i="3"/>
  <c r="D247" i="3"/>
  <c r="G247" i="3"/>
  <c r="H247" i="3" s="1"/>
  <c r="BN247" i="3" s="1"/>
  <c r="F247" i="3"/>
  <c r="BM247" i="3" s="1"/>
  <c r="S247" i="3"/>
  <c r="Q247" i="3"/>
  <c r="O247" i="3"/>
  <c r="U247" i="3"/>
  <c r="M247" i="3"/>
  <c r="AD247" i="3"/>
  <c r="AE247" i="3"/>
  <c r="AK247" i="3"/>
  <c r="AF247" i="3"/>
  <c r="AM247" i="3"/>
  <c r="P247" i="3"/>
  <c r="V247" i="3"/>
  <c r="R247" i="3"/>
  <c r="T247" i="3"/>
  <c r="AT246" i="3"/>
  <c r="AU246" i="3"/>
  <c r="BQ243" i="3"/>
  <c r="BB243" i="3"/>
  <c r="BF243" i="3"/>
  <c r="BJ242" i="3" s="1"/>
  <c r="BK242" i="3" s="1"/>
  <c r="BD243" i="3"/>
  <c r="BG243" i="3"/>
  <c r="BH243" i="3" s="1"/>
  <c r="BI243" i="3" s="1"/>
  <c r="AT245" i="3"/>
  <c r="AV244" i="3"/>
  <c r="BC244" i="3" s="1"/>
  <c r="BA244" i="3"/>
  <c r="AN246" i="3"/>
  <c r="AW246" i="3" s="1"/>
  <c r="AU245" i="3"/>
  <c r="AH247" i="3" l="1"/>
  <c r="AG247" i="3"/>
  <c r="AO247" i="3"/>
  <c r="BA245" i="3"/>
  <c r="AV245" i="3"/>
  <c r="BC245" i="3" s="1"/>
  <c r="BF244" i="3"/>
  <c r="BJ243" i="3" s="1"/>
  <c r="BK243" i="3" s="1"/>
  <c r="BQ244" i="3"/>
  <c r="BB244" i="3"/>
  <c r="AT247" i="3"/>
  <c r="X247" i="3"/>
  <c r="B248" i="3"/>
  <c r="AR248" i="3"/>
  <c r="AQ248" i="3"/>
  <c r="D248" i="3"/>
  <c r="C248" i="3"/>
  <c r="A249" i="3"/>
  <c r="G248" i="3"/>
  <c r="H248" i="3" s="1"/>
  <c r="BN248" i="3" s="1"/>
  <c r="F248" i="3"/>
  <c r="BM248" i="3" s="1"/>
  <c r="Q248" i="3"/>
  <c r="S248" i="3"/>
  <c r="O248" i="3"/>
  <c r="U248" i="3"/>
  <c r="M248" i="3"/>
  <c r="AD248" i="3"/>
  <c r="AE248" i="3"/>
  <c r="AM248" i="3"/>
  <c r="AK248" i="3"/>
  <c r="AO248" i="3" s="1"/>
  <c r="AF248" i="3"/>
  <c r="V248" i="3"/>
  <c r="R248" i="3"/>
  <c r="P248" i="3"/>
  <c r="T248" i="3"/>
  <c r="AX246" i="3"/>
  <c r="AY246" i="3" s="1"/>
  <c r="BG244" i="3"/>
  <c r="BH244" i="3" s="1"/>
  <c r="BI244" i="3" s="1"/>
  <c r="BD244" i="3"/>
  <c r="AU247" i="3"/>
  <c r="AV246" i="3"/>
  <c r="Y247" i="3"/>
  <c r="Z247" i="3" s="1"/>
  <c r="AN247" i="3"/>
  <c r="AW247" i="3" s="1"/>
  <c r="BA246" i="3" l="1"/>
  <c r="AX247" i="3"/>
  <c r="AY247" i="3" s="1"/>
  <c r="Y248" i="3"/>
  <c r="Z248" i="3" s="1"/>
  <c r="BB246" i="3"/>
  <c r="BQ246" i="3"/>
  <c r="BF246" i="3"/>
  <c r="AR249" i="3"/>
  <c r="AQ249" i="3"/>
  <c r="A250" i="3"/>
  <c r="C249" i="3"/>
  <c r="D249" i="3"/>
  <c r="B249" i="3"/>
  <c r="G249" i="3"/>
  <c r="H249" i="3" s="1"/>
  <c r="BN249" i="3" s="1"/>
  <c r="F249" i="3"/>
  <c r="BM249" i="3" s="1"/>
  <c r="Q249" i="3"/>
  <c r="S249" i="3"/>
  <c r="O249" i="3"/>
  <c r="U249" i="3"/>
  <c r="AE249" i="3"/>
  <c r="AD249" i="3"/>
  <c r="AK249" i="3"/>
  <c r="M249" i="3"/>
  <c r="AF249" i="3"/>
  <c r="AM249" i="3"/>
  <c r="AN249" i="3" s="1"/>
  <c r="R249" i="3"/>
  <c r="V249" i="3"/>
  <c r="P249" i="3"/>
  <c r="T249" i="3"/>
  <c r="BC246" i="3"/>
  <c r="AH248" i="3"/>
  <c r="BQ245" i="3"/>
  <c r="BF245" i="3"/>
  <c r="BJ244" i="3" s="1"/>
  <c r="BK244" i="3" s="1"/>
  <c r="BB245" i="3"/>
  <c r="AN248" i="3"/>
  <c r="BG245" i="3"/>
  <c r="BH245" i="3" s="1"/>
  <c r="BI245" i="3" s="1"/>
  <c r="BD245" i="3"/>
  <c r="X248" i="3"/>
  <c r="AV247" i="3"/>
  <c r="BA247" i="3"/>
  <c r="AG248" i="3"/>
  <c r="AT248" i="3" s="1"/>
  <c r="AU248" i="3" l="1"/>
  <c r="BC247" i="3"/>
  <c r="AG249" i="3"/>
  <c r="AV248" i="3"/>
  <c r="AH249" i="3"/>
  <c r="Y249" i="3"/>
  <c r="Z249" i="3" s="1"/>
  <c r="AT249" i="3"/>
  <c r="X249" i="3"/>
  <c r="A251" i="3"/>
  <c r="D250" i="3"/>
  <c r="C250" i="3"/>
  <c r="B250" i="3"/>
  <c r="AR250" i="3"/>
  <c r="AQ250" i="3"/>
  <c r="G250" i="3"/>
  <c r="H250" i="3" s="1"/>
  <c r="BN250" i="3" s="1"/>
  <c r="F250" i="3"/>
  <c r="BM250" i="3" s="1"/>
  <c r="Q250" i="3"/>
  <c r="S250" i="3"/>
  <c r="O250" i="3"/>
  <c r="U250" i="3"/>
  <c r="AD250" i="3"/>
  <c r="M250" i="3"/>
  <c r="AE250" i="3"/>
  <c r="AK250" i="3"/>
  <c r="AF250" i="3"/>
  <c r="AM250" i="3"/>
  <c r="AN250" i="3" s="1"/>
  <c r="T250" i="3"/>
  <c r="P250" i="3"/>
  <c r="R250" i="3"/>
  <c r="V250" i="3"/>
  <c r="BJ245" i="3"/>
  <c r="BK245" i="3" s="1"/>
  <c r="AW248" i="3"/>
  <c r="BD247" i="3"/>
  <c r="BG247" i="3"/>
  <c r="BH247" i="3" s="1"/>
  <c r="BI247" i="3" s="1"/>
  <c r="AX248" i="3"/>
  <c r="BD246" i="3"/>
  <c r="BG246" i="3"/>
  <c r="BH246" i="3" s="1"/>
  <c r="BI246" i="3" s="1"/>
  <c r="BF247" i="3"/>
  <c r="BJ246" i="3" s="1"/>
  <c r="BK246" i="3" s="1"/>
  <c r="BB247" i="3"/>
  <c r="BQ247" i="3"/>
  <c r="AO249" i="3"/>
  <c r="AY248" i="3" l="1"/>
  <c r="BA248" i="3"/>
  <c r="AX249" i="3"/>
  <c r="AG250" i="3"/>
  <c r="BB248" i="3"/>
  <c r="BQ248" i="3"/>
  <c r="BF248" i="3"/>
  <c r="BJ247" i="3" s="1"/>
  <c r="BK247" i="3" s="1"/>
  <c r="B251" i="3"/>
  <c r="AR251" i="3"/>
  <c r="D251" i="3"/>
  <c r="C251" i="3"/>
  <c r="AQ251" i="3"/>
  <c r="A252" i="3"/>
  <c r="F251" i="3"/>
  <c r="BM251" i="3" s="1"/>
  <c r="G251" i="3"/>
  <c r="H251" i="3" s="1"/>
  <c r="BN251" i="3" s="1"/>
  <c r="Q251" i="3"/>
  <c r="S251" i="3"/>
  <c r="O251" i="3"/>
  <c r="U251" i="3"/>
  <c r="AD251" i="3"/>
  <c r="AE251" i="3"/>
  <c r="AM251" i="3"/>
  <c r="AF251" i="3"/>
  <c r="M251" i="3"/>
  <c r="AK251" i="3"/>
  <c r="T251" i="3"/>
  <c r="R251" i="3"/>
  <c r="P251" i="3"/>
  <c r="V251" i="3"/>
  <c r="AU249" i="3"/>
  <c r="AV249" i="3" s="1"/>
  <c r="BC248" i="3"/>
  <c r="AO250" i="3"/>
  <c r="AH250" i="3"/>
  <c r="Y250" i="3"/>
  <c r="Z250" i="3" s="1"/>
  <c r="X250" i="3"/>
  <c r="AW249" i="3"/>
  <c r="BA249" i="3" s="1"/>
  <c r="AX250" i="3" l="1"/>
  <c r="AN251" i="3"/>
  <c r="BF249" i="3"/>
  <c r="BJ248" i="3" s="1"/>
  <c r="BK248" i="3" s="1"/>
  <c r="BQ249" i="3"/>
  <c r="BB249" i="3"/>
  <c r="AH251" i="3"/>
  <c r="AW250" i="3"/>
  <c r="AY250" i="3" s="1"/>
  <c r="AG251" i="3"/>
  <c r="Y251" i="3"/>
  <c r="Z251" i="3" s="1"/>
  <c r="AY249" i="3"/>
  <c r="BC249" i="3" s="1"/>
  <c r="A253" i="3"/>
  <c r="B252" i="3"/>
  <c r="AR252" i="3"/>
  <c r="C252" i="3"/>
  <c r="D252" i="3"/>
  <c r="AQ252" i="3"/>
  <c r="G252" i="3"/>
  <c r="H252" i="3" s="1"/>
  <c r="BN252" i="3" s="1"/>
  <c r="F252" i="3"/>
  <c r="BM252" i="3" s="1"/>
  <c r="Q252" i="3"/>
  <c r="S252" i="3"/>
  <c r="O252" i="3"/>
  <c r="U252" i="3"/>
  <c r="AD252" i="3"/>
  <c r="M252" i="3"/>
  <c r="AE252" i="3"/>
  <c r="AF252" i="3"/>
  <c r="AK252" i="3"/>
  <c r="AM252" i="3"/>
  <c r="P252" i="3"/>
  <c r="T252" i="3"/>
  <c r="R252" i="3"/>
  <c r="V252" i="3"/>
  <c r="AU250" i="3"/>
  <c r="X251" i="3"/>
  <c r="BD248" i="3"/>
  <c r="BG248" i="3"/>
  <c r="BH248" i="3" s="1"/>
  <c r="BI248" i="3" s="1"/>
  <c r="AT250" i="3"/>
  <c r="AT251" i="3"/>
  <c r="AU251" i="3"/>
  <c r="AO251" i="3"/>
  <c r="AN252" i="3" l="1"/>
  <c r="BD249" i="3"/>
  <c r="BG249" i="3"/>
  <c r="BH249" i="3" s="1"/>
  <c r="BI249" i="3" s="1"/>
  <c r="AV251" i="3"/>
  <c r="AV250" i="3"/>
  <c r="BC250" i="3" s="1"/>
  <c r="BA250" i="3"/>
  <c r="AW251" i="3"/>
  <c r="AX251" i="3"/>
  <c r="Y252" i="3"/>
  <c r="Z252" i="3" s="1"/>
  <c r="AO252" i="3"/>
  <c r="AG252" i="3"/>
  <c r="AH252" i="3"/>
  <c r="D253" i="3"/>
  <c r="A254" i="3"/>
  <c r="AR253" i="3"/>
  <c r="B253" i="3"/>
  <c r="AQ253" i="3"/>
  <c r="C253" i="3"/>
  <c r="G253" i="3"/>
  <c r="H253" i="3" s="1"/>
  <c r="F253" i="3"/>
  <c r="BM253" i="3" s="1"/>
  <c r="Q253" i="3"/>
  <c r="S253" i="3"/>
  <c r="O253" i="3"/>
  <c r="U253" i="3"/>
  <c r="AE253" i="3"/>
  <c r="AD253" i="3"/>
  <c r="M253" i="3"/>
  <c r="AF253" i="3"/>
  <c r="AM253" i="3"/>
  <c r="AK253" i="3"/>
  <c r="T253" i="3"/>
  <c r="V253" i="3"/>
  <c r="R253" i="3"/>
  <c r="P253" i="3"/>
  <c r="X252" i="3"/>
  <c r="AX252" i="3" l="1"/>
  <c r="BA251" i="3"/>
  <c r="BF251" i="3" s="1"/>
  <c r="AO253" i="3"/>
  <c r="AN253" i="3"/>
  <c r="BQ251" i="3"/>
  <c r="BB251" i="3"/>
  <c r="AU252" i="3"/>
  <c r="AR254" i="3"/>
  <c r="B254" i="3"/>
  <c r="A255" i="3"/>
  <c r="D254" i="3"/>
  <c r="AQ254" i="3"/>
  <c r="C254" i="3"/>
  <c r="F254" i="3"/>
  <c r="BM254" i="3" s="1"/>
  <c r="G254" i="3"/>
  <c r="H254" i="3" s="1"/>
  <c r="BN254" i="3" s="1"/>
  <c r="S254" i="3"/>
  <c r="Q254" i="3"/>
  <c r="O254" i="3"/>
  <c r="U254" i="3"/>
  <c r="AE254" i="3"/>
  <c r="M254" i="3"/>
  <c r="AD254" i="3"/>
  <c r="AF254" i="3"/>
  <c r="AM254" i="3"/>
  <c r="AK254" i="3"/>
  <c r="AO254" i="3" s="1"/>
  <c r="P254" i="3"/>
  <c r="T254" i="3"/>
  <c r="R254" i="3"/>
  <c r="V254" i="3"/>
  <c r="Y253" i="3"/>
  <c r="Z253" i="3" s="1"/>
  <c r="AT252" i="3"/>
  <c r="AW252" i="3"/>
  <c r="AY252" i="3" s="1"/>
  <c r="AG253" i="3"/>
  <c r="AH253" i="3"/>
  <c r="X253" i="3"/>
  <c r="BF250" i="3"/>
  <c r="BJ249" i="3" s="1"/>
  <c r="BK249" i="3" s="1"/>
  <c r="BQ250" i="3"/>
  <c r="BB250" i="3"/>
  <c r="AY251" i="3"/>
  <c r="BC251" i="3" s="1"/>
  <c r="BD250" i="3"/>
  <c r="BG250" i="3"/>
  <c r="BH250" i="3" s="1"/>
  <c r="BI250" i="3" s="1"/>
  <c r="BN253" i="3"/>
  <c r="AX253" i="3" l="1"/>
  <c r="AG254" i="3"/>
  <c r="AH254" i="3"/>
  <c r="BA252" i="3"/>
  <c r="AV252" i="3"/>
  <c r="BC252" i="3" s="1"/>
  <c r="AT254" i="3"/>
  <c r="AW253" i="3"/>
  <c r="AY253" i="3" s="1"/>
  <c r="AU253" i="3"/>
  <c r="X254" i="3"/>
  <c r="AQ255" i="3"/>
  <c r="B255" i="3"/>
  <c r="A256" i="3"/>
  <c r="AR255" i="3"/>
  <c r="D255" i="3"/>
  <c r="C255" i="3"/>
  <c r="F255" i="3"/>
  <c r="BM255" i="3" s="1"/>
  <c r="G255" i="3"/>
  <c r="H255" i="3" s="1"/>
  <c r="BN255" i="3" s="1"/>
  <c r="Q255" i="3"/>
  <c r="S255" i="3"/>
  <c r="O255" i="3"/>
  <c r="U255" i="3"/>
  <c r="AD255" i="3"/>
  <c r="AF255" i="3"/>
  <c r="AK255" i="3"/>
  <c r="AE255" i="3"/>
  <c r="M255" i="3"/>
  <c r="AM255" i="3"/>
  <c r="AN255" i="3" s="1"/>
  <c r="P255" i="3"/>
  <c r="T255" i="3"/>
  <c r="R255" i="3"/>
  <c r="V255" i="3"/>
  <c r="AT253" i="3"/>
  <c r="BD251" i="3"/>
  <c r="BG251" i="3"/>
  <c r="BH251" i="3" s="1"/>
  <c r="BI251" i="3" s="1"/>
  <c r="AU254" i="3"/>
  <c r="Y254" i="3"/>
  <c r="Z254" i="3" s="1"/>
  <c r="AN254" i="3"/>
  <c r="AX254" i="3" s="1"/>
  <c r="BJ250" i="3"/>
  <c r="BK250" i="3" s="1"/>
  <c r="AG255" i="3" l="1"/>
  <c r="Y255" i="3"/>
  <c r="Z255" i="3" s="1"/>
  <c r="A257" i="3"/>
  <c r="B256" i="3"/>
  <c r="D256" i="3"/>
  <c r="AR256" i="3"/>
  <c r="AQ256" i="3"/>
  <c r="C256" i="3"/>
  <c r="F256" i="3"/>
  <c r="BM256" i="3" s="1"/>
  <c r="G256" i="3"/>
  <c r="H256" i="3" s="1"/>
  <c r="BN256" i="3" s="1"/>
  <c r="Q256" i="3"/>
  <c r="S256" i="3"/>
  <c r="O256" i="3"/>
  <c r="U256" i="3"/>
  <c r="AD256" i="3"/>
  <c r="AE256" i="3"/>
  <c r="AK256" i="3"/>
  <c r="AF256" i="3"/>
  <c r="M256" i="3"/>
  <c r="AM256" i="3"/>
  <c r="T256" i="3"/>
  <c r="P256" i="3"/>
  <c r="R256" i="3"/>
  <c r="V256" i="3"/>
  <c r="AO255" i="3"/>
  <c r="BQ252" i="3"/>
  <c r="BB252" i="3"/>
  <c r="BF252" i="3"/>
  <c r="BJ251" i="3" s="1"/>
  <c r="BK251" i="3" s="1"/>
  <c r="AV253" i="3"/>
  <c r="BC253" i="3" s="1"/>
  <c r="BA253" i="3"/>
  <c r="BD252" i="3"/>
  <c r="BG252" i="3"/>
  <c r="BH252" i="3" s="1"/>
  <c r="BI252" i="3" s="1"/>
  <c r="AW254" i="3"/>
  <c r="AY254" i="3" s="1"/>
  <c r="AV254" i="3"/>
  <c r="AH255" i="3"/>
  <c r="AX255" i="3" s="1"/>
  <c r="X255" i="3"/>
  <c r="AO256" i="3" l="1"/>
  <c r="X256" i="3"/>
  <c r="BA254" i="3"/>
  <c r="AH256" i="3"/>
  <c r="BQ253" i="3"/>
  <c r="BF253" i="3"/>
  <c r="BJ252" i="3" s="1"/>
  <c r="BK252" i="3" s="1"/>
  <c r="BB253" i="3"/>
  <c r="AU255" i="3"/>
  <c r="Y256" i="3"/>
  <c r="Z256" i="3" s="1"/>
  <c r="B257" i="3"/>
  <c r="AQ257" i="3"/>
  <c r="A258" i="3"/>
  <c r="C257" i="3"/>
  <c r="D257" i="3"/>
  <c r="AR257" i="3"/>
  <c r="G257" i="3"/>
  <c r="H257" i="3" s="1"/>
  <c r="BN257" i="3" s="1"/>
  <c r="F257" i="3"/>
  <c r="BM257" i="3" s="1"/>
  <c r="Q257" i="3"/>
  <c r="S257" i="3"/>
  <c r="O257" i="3"/>
  <c r="U257" i="3"/>
  <c r="AE257" i="3"/>
  <c r="M257" i="3"/>
  <c r="AD257" i="3"/>
  <c r="AF257" i="3"/>
  <c r="AM257" i="3"/>
  <c r="AK257" i="3"/>
  <c r="R257" i="3"/>
  <c r="T257" i="3"/>
  <c r="P257" i="3"/>
  <c r="V257" i="3"/>
  <c r="AG256" i="3"/>
  <c r="AU256" i="3" s="1"/>
  <c r="AW255" i="3"/>
  <c r="AY255" i="3" s="1"/>
  <c r="BD253" i="3"/>
  <c r="BG253" i="3"/>
  <c r="BH253" i="3" s="1"/>
  <c r="BI253" i="3" s="1"/>
  <c r="AT256" i="3"/>
  <c r="AN256" i="3"/>
  <c r="AT255" i="3"/>
  <c r="BC254" i="3"/>
  <c r="AN257" i="3" l="1"/>
  <c r="BA255" i="3"/>
  <c r="AV255" i="3"/>
  <c r="BC255" i="3" s="1"/>
  <c r="BD254" i="3"/>
  <c r="BG254" i="3"/>
  <c r="BH254" i="3" s="1"/>
  <c r="BI254" i="3" s="1"/>
  <c r="Y257" i="3"/>
  <c r="Z257" i="3" s="1"/>
  <c r="B258" i="3"/>
  <c r="AQ258" i="3"/>
  <c r="A259" i="3"/>
  <c r="D258" i="3"/>
  <c r="C258" i="3"/>
  <c r="AR258" i="3"/>
  <c r="F258" i="3"/>
  <c r="BM258" i="3" s="1"/>
  <c r="G258" i="3"/>
  <c r="H258" i="3" s="1"/>
  <c r="BN258" i="3" s="1"/>
  <c r="Q258" i="3"/>
  <c r="S258" i="3"/>
  <c r="O258" i="3"/>
  <c r="U258" i="3"/>
  <c r="AD258" i="3"/>
  <c r="AH258" i="3" s="1"/>
  <c r="M258" i="3"/>
  <c r="AE258" i="3"/>
  <c r="AF258" i="3"/>
  <c r="AM258" i="3"/>
  <c r="AK258" i="3"/>
  <c r="AO258" i="3" s="1"/>
  <c r="P258" i="3"/>
  <c r="V258" i="3"/>
  <c r="T258" i="3"/>
  <c r="R258" i="3"/>
  <c r="AO257" i="3"/>
  <c r="AW256" i="3"/>
  <c r="AH257" i="3"/>
  <c r="AG257" i="3"/>
  <c r="AX256" i="3"/>
  <c r="AV256" i="3"/>
  <c r="X257" i="3"/>
  <c r="BB254" i="3"/>
  <c r="BQ254" i="3"/>
  <c r="BF254" i="3"/>
  <c r="BJ253" i="3" s="1"/>
  <c r="BK253" i="3" s="1"/>
  <c r="AY256" i="3" l="1"/>
  <c r="AW257" i="3"/>
  <c r="AX257" i="3"/>
  <c r="AN258" i="3"/>
  <c r="BC256" i="3"/>
  <c r="BD256" i="3" s="1"/>
  <c r="BA256" i="3"/>
  <c r="BF256" i="3" s="1"/>
  <c r="BJ255" i="3" s="1"/>
  <c r="BK255" i="3" s="1"/>
  <c r="BG256" i="3"/>
  <c r="BH256" i="3" s="1"/>
  <c r="BI256" i="3" s="1"/>
  <c r="AY257" i="3"/>
  <c r="Y258" i="3"/>
  <c r="Z258" i="3" s="1"/>
  <c r="BQ256" i="3"/>
  <c r="BB256" i="3"/>
  <c r="AU257" i="3"/>
  <c r="AT257" i="3"/>
  <c r="AG258" i="3"/>
  <c r="AW258" i="3" s="1"/>
  <c r="BD255" i="3"/>
  <c r="BG255" i="3"/>
  <c r="BH255" i="3" s="1"/>
  <c r="BI255" i="3" s="1"/>
  <c r="X258" i="3"/>
  <c r="AQ259" i="3"/>
  <c r="A260" i="3"/>
  <c r="AR259" i="3"/>
  <c r="B259" i="3"/>
  <c r="C259" i="3"/>
  <c r="D259" i="3"/>
  <c r="F259" i="3"/>
  <c r="BM259" i="3" s="1"/>
  <c r="G259" i="3"/>
  <c r="H259" i="3" s="1"/>
  <c r="BN259" i="3" s="1"/>
  <c r="Q259" i="3"/>
  <c r="S259" i="3"/>
  <c r="O259" i="3"/>
  <c r="U259" i="3"/>
  <c r="AE259" i="3"/>
  <c r="AD259" i="3"/>
  <c r="M259" i="3"/>
  <c r="AM259" i="3"/>
  <c r="AK259" i="3"/>
  <c r="AF259" i="3"/>
  <c r="R259" i="3"/>
  <c r="T259" i="3"/>
  <c r="P259" i="3"/>
  <c r="V259" i="3"/>
  <c r="BQ255" i="3"/>
  <c r="BF255" i="3"/>
  <c r="BJ254" i="3" s="1"/>
  <c r="BK254" i="3" s="1"/>
  <c r="BB255" i="3"/>
  <c r="AO259" i="3" l="1"/>
  <c r="Y259" i="3"/>
  <c r="Z259" i="3" s="1"/>
  <c r="AQ260" i="3"/>
  <c r="C260" i="3"/>
  <c r="D260" i="3"/>
  <c r="B260" i="3"/>
  <c r="A261" i="3"/>
  <c r="AR260" i="3"/>
  <c r="F260" i="3"/>
  <c r="BM260" i="3" s="1"/>
  <c r="G260" i="3"/>
  <c r="H260" i="3" s="1"/>
  <c r="BN260" i="3" s="1"/>
  <c r="S260" i="3"/>
  <c r="Q260" i="3"/>
  <c r="O260" i="3"/>
  <c r="U260" i="3"/>
  <c r="AD260" i="3"/>
  <c r="M260" i="3"/>
  <c r="AE260" i="3"/>
  <c r="AF260" i="3"/>
  <c r="AM260" i="3"/>
  <c r="AK260" i="3"/>
  <c r="R260" i="3"/>
  <c r="P260" i="3"/>
  <c r="T260" i="3"/>
  <c r="V260" i="3"/>
  <c r="X259" i="3"/>
  <c r="AN259" i="3"/>
  <c r="AU258" i="3"/>
  <c r="AX258" i="3"/>
  <c r="AY258" i="3" s="1"/>
  <c r="BA257" i="3"/>
  <c r="AV257" i="3"/>
  <c r="BC257" i="3" s="1"/>
  <c r="AT258" i="3"/>
  <c r="AH259" i="3"/>
  <c r="AG259" i="3"/>
  <c r="AO260" i="3" l="1"/>
  <c r="AW259" i="3"/>
  <c r="AN260" i="3"/>
  <c r="AG260" i="3"/>
  <c r="BD257" i="3"/>
  <c r="BG257" i="3"/>
  <c r="BH257" i="3" s="1"/>
  <c r="BI257" i="3" s="1"/>
  <c r="AX259" i="3"/>
  <c r="BA258" i="3"/>
  <c r="AV258" i="3"/>
  <c r="BC258" i="3" s="1"/>
  <c r="BF257" i="3"/>
  <c r="BJ256" i="3" s="1"/>
  <c r="BK256" i="3" s="1"/>
  <c r="BB257" i="3"/>
  <c r="BQ257" i="3"/>
  <c r="X260" i="3"/>
  <c r="AU259" i="3"/>
  <c r="Y260" i="3"/>
  <c r="Z260" i="3" s="1"/>
  <c r="AH260" i="3"/>
  <c r="AU260" i="3" s="1"/>
  <c r="B261" i="3"/>
  <c r="A262" i="3"/>
  <c r="C261" i="3"/>
  <c r="D261" i="3"/>
  <c r="AR261" i="3"/>
  <c r="AQ261" i="3"/>
  <c r="F261" i="3"/>
  <c r="G261" i="3"/>
  <c r="H261" i="3" s="1"/>
  <c r="Q261" i="3"/>
  <c r="S261" i="3"/>
  <c r="O261" i="3"/>
  <c r="U261" i="3"/>
  <c r="M261" i="3"/>
  <c r="AE261" i="3"/>
  <c r="AM261" i="3"/>
  <c r="AD261" i="3"/>
  <c r="AK261" i="3"/>
  <c r="AO261" i="3" s="1"/>
  <c r="AF261" i="3"/>
  <c r="P261" i="3"/>
  <c r="R261" i="3"/>
  <c r="V261" i="3"/>
  <c r="T261" i="3"/>
  <c r="AY259" i="3"/>
  <c r="AT259" i="3"/>
  <c r="AW260" i="3" l="1"/>
  <c r="AX260" i="3"/>
  <c r="Y261" i="3"/>
  <c r="Z261" i="3" s="1"/>
  <c r="AT260" i="3"/>
  <c r="BD258" i="3"/>
  <c r="BG258" i="3"/>
  <c r="BH258" i="3" s="1"/>
  <c r="BI258" i="3" s="1"/>
  <c r="AG261" i="3"/>
  <c r="BB258" i="3"/>
  <c r="BQ258" i="3"/>
  <c r="BF258" i="3"/>
  <c r="BJ257" i="3" s="1"/>
  <c r="BK257" i="3" s="1"/>
  <c r="AV259" i="3"/>
  <c r="BC259" i="3" s="1"/>
  <c r="BA259" i="3"/>
  <c r="AH261" i="3"/>
  <c r="AR262" i="3"/>
  <c r="B262" i="3"/>
  <c r="AQ262" i="3"/>
  <c r="C262" i="3"/>
  <c r="D262" i="3"/>
  <c r="A263" i="3"/>
  <c r="G262" i="3"/>
  <c r="H262" i="3" s="1"/>
  <c r="F262" i="3"/>
  <c r="Q262" i="3"/>
  <c r="S262" i="3"/>
  <c r="O262" i="3"/>
  <c r="U262" i="3"/>
  <c r="AD262" i="3"/>
  <c r="AE262" i="3"/>
  <c r="AF262" i="3"/>
  <c r="AK262" i="3"/>
  <c r="AM262" i="3"/>
  <c r="AN262" i="3" s="1"/>
  <c r="M262" i="3"/>
  <c r="R262" i="3"/>
  <c r="T262" i="3"/>
  <c r="V262" i="3"/>
  <c r="P262" i="3"/>
  <c r="AN261" i="3"/>
  <c r="X261" i="3"/>
  <c r="BM261" i="3"/>
  <c r="AT261" i="3"/>
  <c r="BN261" i="3"/>
  <c r="X262" i="3" l="1"/>
  <c r="AY260" i="3"/>
  <c r="AH262" i="3"/>
  <c r="AO262" i="3"/>
  <c r="AG262" i="3"/>
  <c r="AT262" i="3" s="1"/>
  <c r="D263" i="3"/>
  <c r="AR263" i="3"/>
  <c r="AQ263" i="3"/>
  <c r="B263" i="3"/>
  <c r="A264" i="3"/>
  <c r="C263" i="3"/>
  <c r="G263" i="3"/>
  <c r="H263" i="3" s="1"/>
  <c r="BN263" i="3" s="1"/>
  <c r="F263" i="3"/>
  <c r="BM263" i="3" s="1"/>
  <c r="Q263" i="3"/>
  <c r="S263" i="3"/>
  <c r="O263" i="3"/>
  <c r="U263" i="3"/>
  <c r="M263" i="3"/>
  <c r="AE263" i="3"/>
  <c r="AD263" i="3"/>
  <c r="AF263" i="3"/>
  <c r="AM263" i="3"/>
  <c r="AK263" i="3"/>
  <c r="V263" i="3"/>
  <c r="R263" i="3"/>
  <c r="T263" i="3"/>
  <c r="P263" i="3"/>
  <c r="BB259" i="3"/>
  <c r="BF259" i="3"/>
  <c r="BJ258" i="3" s="1"/>
  <c r="BK258" i="3" s="1"/>
  <c r="BQ259" i="3"/>
  <c r="AU262" i="3"/>
  <c r="BD259" i="3"/>
  <c r="BG259" i="3"/>
  <c r="BH259" i="3" s="1"/>
  <c r="BI259" i="3" s="1"/>
  <c r="Y262" i="3"/>
  <c r="Z262" i="3" s="1"/>
  <c r="AW262" i="3"/>
  <c r="AV260" i="3"/>
  <c r="BC260" i="3" s="1"/>
  <c r="BA260" i="3"/>
  <c r="AX261" i="3"/>
  <c r="AW261" i="3"/>
  <c r="AX262" i="3"/>
  <c r="AY262" i="3" s="1"/>
  <c r="BM262" i="3"/>
  <c r="AU261" i="3"/>
  <c r="BN262" i="3"/>
  <c r="AY261" i="3" l="1"/>
  <c r="AV262" i="3"/>
  <c r="AH263" i="3"/>
  <c r="AG263" i="3"/>
  <c r="BA261" i="3"/>
  <c r="BF261" i="3" s="1"/>
  <c r="AO263" i="3"/>
  <c r="BA262" i="3"/>
  <c r="BB260" i="3"/>
  <c r="BQ260" i="3"/>
  <c r="BF260" i="3"/>
  <c r="BJ259" i="3" s="1"/>
  <c r="BK259" i="3" s="1"/>
  <c r="BC262" i="3"/>
  <c r="AT263" i="3"/>
  <c r="BD260" i="3"/>
  <c r="BG260" i="3"/>
  <c r="BH260" i="3" s="1"/>
  <c r="BI260" i="3" s="1"/>
  <c r="A265" i="3"/>
  <c r="B264" i="3"/>
  <c r="AR264" i="3"/>
  <c r="AQ264" i="3"/>
  <c r="D264" i="3"/>
  <c r="C264" i="3"/>
  <c r="F264" i="3"/>
  <c r="G264" i="3"/>
  <c r="H264" i="3" s="1"/>
  <c r="S264" i="3"/>
  <c r="Q264" i="3"/>
  <c r="O264" i="3"/>
  <c r="U264" i="3"/>
  <c r="M264" i="3"/>
  <c r="AD264" i="3"/>
  <c r="AM264" i="3"/>
  <c r="AE264" i="3"/>
  <c r="AF264" i="3"/>
  <c r="AK264" i="3"/>
  <c r="AO264" i="3" s="1"/>
  <c r="V264" i="3"/>
  <c r="T264" i="3"/>
  <c r="R264" i="3"/>
  <c r="P264" i="3"/>
  <c r="AV261" i="3"/>
  <c r="BC261" i="3" s="1"/>
  <c r="AN263" i="3"/>
  <c r="AX263" i="3" s="1"/>
  <c r="X263" i="3"/>
  <c r="Y263" i="3"/>
  <c r="Z263" i="3" s="1"/>
  <c r="AU263" i="3" l="1"/>
  <c r="BQ261" i="3"/>
  <c r="BB261" i="3"/>
  <c r="BD261" i="3"/>
  <c r="BG261" i="3"/>
  <c r="BH261" i="3" s="1"/>
  <c r="BI261" i="3" s="1"/>
  <c r="A266" i="3"/>
  <c r="C265" i="3"/>
  <c r="D265" i="3"/>
  <c r="AR265" i="3"/>
  <c r="B265" i="3"/>
  <c r="AQ265" i="3"/>
  <c r="G265" i="3"/>
  <c r="H265" i="3" s="1"/>
  <c r="BN265" i="3" s="1"/>
  <c r="F265" i="3"/>
  <c r="BM265" i="3" s="1"/>
  <c r="Q265" i="3"/>
  <c r="S265" i="3"/>
  <c r="O265" i="3"/>
  <c r="U265" i="3"/>
  <c r="AD265" i="3"/>
  <c r="AE265" i="3"/>
  <c r="M265" i="3"/>
  <c r="AF265" i="3"/>
  <c r="AM265" i="3"/>
  <c r="AK265" i="3"/>
  <c r="R265" i="3"/>
  <c r="V265" i="3"/>
  <c r="T265" i="3"/>
  <c r="P265" i="3"/>
  <c r="AW263" i="3"/>
  <c r="AY263" i="3" s="1"/>
  <c r="BD262" i="3"/>
  <c r="BG262" i="3"/>
  <c r="BH262" i="3" s="1"/>
  <c r="BI262" i="3" s="1"/>
  <c r="AV263" i="3"/>
  <c r="Y264" i="3"/>
  <c r="Z264" i="3" s="1"/>
  <c r="BQ262" i="3"/>
  <c r="BB262" i="3"/>
  <c r="BF262" i="3"/>
  <c r="BJ261" i="3" s="1"/>
  <c r="BK261" i="3" s="1"/>
  <c r="AG264" i="3"/>
  <c r="AH264" i="3"/>
  <c r="BN264" i="3"/>
  <c r="AN264" i="3"/>
  <c r="X264" i="3"/>
  <c r="BM264" i="3"/>
  <c r="BJ260" i="3"/>
  <c r="BK260" i="3" s="1"/>
  <c r="AN265" i="3" l="1"/>
  <c r="AX264" i="3"/>
  <c r="AH265" i="3"/>
  <c r="BC263" i="3"/>
  <c r="BA263" i="3"/>
  <c r="X265" i="3"/>
  <c r="AW264" i="3"/>
  <c r="AY264" i="3" s="1"/>
  <c r="AR266" i="3"/>
  <c r="B266" i="3"/>
  <c r="AQ266" i="3"/>
  <c r="A267" i="3"/>
  <c r="C266" i="3"/>
  <c r="D266" i="3"/>
  <c r="F266" i="3"/>
  <c r="BM266" i="3" s="1"/>
  <c r="G266" i="3"/>
  <c r="H266" i="3" s="1"/>
  <c r="BN266" i="3" s="1"/>
  <c r="Q266" i="3"/>
  <c r="S266" i="3"/>
  <c r="O266" i="3"/>
  <c r="U266" i="3"/>
  <c r="AD266" i="3"/>
  <c r="AH266" i="3" s="1"/>
  <c r="M266" i="3"/>
  <c r="AE266" i="3"/>
  <c r="AF266" i="3"/>
  <c r="AK266" i="3"/>
  <c r="AM266" i="3"/>
  <c r="AN266" i="3" s="1"/>
  <c r="T266" i="3"/>
  <c r="P266" i="3"/>
  <c r="V266" i="3"/>
  <c r="R266" i="3"/>
  <c r="AT264" i="3"/>
  <c r="AU264" i="3"/>
  <c r="AG265" i="3"/>
  <c r="Y265" i="3"/>
  <c r="Z265" i="3" s="1"/>
  <c r="AO265" i="3"/>
  <c r="AG266" i="3" l="1"/>
  <c r="X266" i="3"/>
  <c r="AW265" i="3"/>
  <c r="AU266" i="3"/>
  <c r="AQ267" i="3"/>
  <c r="B267" i="3"/>
  <c r="A268" i="3"/>
  <c r="AR267" i="3"/>
  <c r="D267" i="3"/>
  <c r="C267" i="3"/>
  <c r="G267" i="3"/>
  <c r="H267" i="3" s="1"/>
  <c r="BN267" i="3" s="1"/>
  <c r="F267" i="3"/>
  <c r="BM267" i="3" s="1"/>
  <c r="Q267" i="3"/>
  <c r="S267" i="3"/>
  <c r="O267" i="3"/>
  <c r="U267" i="3"/>
  <c r="AD267" i="3"/>
  <c r="M267" i="3"/>
  <c r="AK267" i="3"/>
  <c r="AO267" i="3" s="1"/>
  <c r="AF267" i="3"/>
  <c r="AM267" i="3"/>
  <c r="AE267" i="3"/>
  <c r="T267" i="3"/>
  <c r="V267" i="3"/>
  <c r="R267" i="3"/>
  <c r="P267" i="3"/>
  <c r="AT265" i="3"/>
  <c r="Y266" i="3"/>
  <c r="Z266" i="3" s="1"/>
  <c r="BA264" i="3"/>
  <c r="AV264" i="3"/>
  <c r="BC264" i="3" s="1"/>
  <c r="BF263" i="3"/>
  <c r="BJ262" i="3" s="1"/>
  <c r="BK262" i="3" s="1"/>
  <c r="BQ263" i="3"/>
  <c r="BB263" i="3"/>
  <c r="AO266" i="3"/>
  <c r="AW266" i="3" s="1"/>
  <c r="BD263" i="3"/>
  <c r="BG263" i="3"/>
  <c r="BH263" i="3" s="1"/>
  <c r="BI263" i="3" s="1"/>
  <c r="AU265" i="3"/>
  <c r="AT266" i="3"/>
  <c r="AX265" i="3"/>
  <c r="AX266" i="3" l="1"/>
  <c r="AY266" i="3" s="1"/>
  <c r="BD264" i="3"/>
  <c r="BG264" i="3"/>
  <c r="BH264" i="3" s="1"/>
  <c r="BI264" i="3" s="1"/>
  <c r="AV266" i="3"/>
  <c r="BA266" i="3"/>
  <c r="Y267" i="3"/>
  <c r="Z267" i="3" s="1"/>
  <c r="X267" i="3"/>
  <c r="BB264" i="3"/>
  <c r="BF264" i="3"/>
  <c r="BJ263" i="3" s="1"/>
  <c r="BK263" i="3" s="1"/>
  <c r="BQ264" i="3"/>
  <c r="AV265" i="3"/>
  <c r="BA265" i="3"/>
  <c r="AG267" i="3"/>
  <c r="AY265" i="3"/>
  <c r="AH267" i="3"/>
  <c r="C268" i="3"/>
  <c r="A269" i="3"/>
  <c r="B268" i="3"/>
  <c r="AR268" i="3"/>
  <c r="AQ268" i="3"/>
  <c r="D268" i="3"/>
  <c r="F268" i="3"/>
  <c r="G268" i="3"/>
  <c r="H268" i="3" s="1"/>
  <c r="BN268" i="3" s="1"/>
  <c r="Q268" i="3"/>
  <c r="S268" i="3"/>
  <c r="O268" i="3"/>
  <c r="U268" i="3"/>
  <c r="AE268" i="3"/>
  <c r="M268" i="3"/>
  <c r="AD268" i="3"/>
  <c r="AF268" i="3"/>
  <c r="AM268" i="3"/>
  <c r="AK268" i="3"/>
  <c r="AO268" i="3" s="1"/>
  <c r="R268" i="3"/>
  <c r="P268" i="3"/>
  <c r="V268" i="3"/>
  <c r="T268" i="3"/>
  <c r="AN267" i="3"/>
  <c r="AN268" i="3" l="1"/>
  <c r="AX267" i="3"/>
  <c r="BQ265" i="3"/>
  <c r="BF265" i="3"/>
  <c r="BJ264" i="3" s="1"/>
  <c r="BK264" i="3" s="1"/>
  <c r="BB265" i="3"/>
  <c r="AH268" i="3"/>
  <c r="Y268" i="3"/>
  <c r="Z268" i="3" s="1"/>
  <c r="AU267" i="3"/>
  <c r="AW267" i="3"/>
  <c r="AY267" i="3" s="1"/>
  <c r="BC265" i="3"/>
  <c r="X268" i="3"/>
  <c r="BM268" i="3"/>
  <c r="BC266" i="3"/>
  <c r="AT267" i="3"/>
  <c r="AG268" i="3"/>
  <c r="AW268" i="3" s="1"/>
  <c r="BQ266" i="3"/>
  <c r="BF266" i="3"/>
  <c r="BJ265" i="3" s="1"/>
  <c r="BK265" i="3" s="1"/>
  <c r="BB266" i="3"/>
  <c r="AU268" i="3"/>
  <c r="AR269" i="3"/>
  <c r="B269" i="3"/>
  <c r="AQ269" i="3"/>
  <c r="A270" i="3"/>
  <c r="D269" i="3"/>
  <c r="C269" i="3"/>
  <c r="F269" i="3"/>
  <c r="BM269" i="3" s="1"/>
  <c r="G269" i="3"/>
  <c r="H269" i="3" s="1"/>
  <c r="BN269" i="3" s="1"/>
  <c r="Q269" i="3"/>
  <c r="S269" i="3"/>
  <c r="O269" i="3"/>
  <c r="U269" i="3"/>
  <c r="M269" i="3"/>
  <c r="AD269" i="3"/>
  <c r="AE269" i="3"/>
  <c r="AF269" i="3"/>
  <c r="AM269" i="3"/>
  <c r="AK269" i="3"/>
  <c r="R269" i="3"/>
  <c r="T269" i="3"/>
  <c r="V269" i="3"/>
  <c r="P269" i="3"/>
  <c r="AO269" i="3" l="1"/>
  <c r="AG269" i="3"/>
  <c r="X269" i="3"/>
  <c r="AH269" i="3"/>
  <c r="BA267" i="3"/>
  <c r="AV267" i="3"/>
  <c r="BC267" i="3" s="1"/>
  <c r="BD265" i="3"/>
  <c r="BG265" i="3"/>
  <c r="BH265" i="3" s="1"/>
  <c r="BI265" i="3" s="1"/>
  <c r="AX268" i="3"/>
  <c r="AY268" i="3" s="1"/>
  <c r="AN269" i="3"/>
  <c r="AW269" i="3" s="1"/>
  <c r="AT268" i="3"/>
  <c r="BD266" i="3"/>
  <c r="BG266" i="3"/>
  <c r="BH266" i="3" s="1"/>
  <c r="BI266" i="3" s="1"/>
  <c r="AU269" i="3"/>
  <c r="AR270" i="3"/>
  <c r="B270" i="3"/>
  <c r="AQ270" i="3"/>
  <c r="A271" i="3"/>
  <c r="C270" i="3"/>
  <c r="D270" i="3"/>
  <c r="F270" i="3"/>
  <c r="G270" i="3"/>
  <c r="H270" i="3" s="1"/>
  <c r="Q270" i="3"/>
  <c r="S270" i="3"/>
  <c r="O270" i="3"/>
  <c r="U270" i="3"/>
  <c r="M270" i="3"/>
  <c r="AD270" i="3"/>
  <c r="AM270" i="3"/>
  <c r="AE270" i="3"/>
  <c r="AF270" i="3"/>
  <c r="AK270" i="3"/>
  <c r="T270" i="3"/>
  <c r="P270" i="3"/>
  <c r="R270" i="3"/>
  <c r="V270" i="3"/>
  <c r="Y269" i="3"/>
  <c r="Z269" i="3" s="1"/>
  <c r="AT269" i="3"/>
  <c r="AO270" i="3" l="1"/>
  <c r="AX269" i="3"/>
  <c r="BA269" i="3" s="1"/>
  <c r="AG270" i="3"/>
  <c r="AV269" i="3"/>
  <c r="AV268" i="3"/>
  <c r="BC268" i="3" s="1"/>
  <c r="BA268" i="3"/>
  <c r="AY269" i="3"/>
  <c r="AQ271" i="3"/>
  <c r="B271" i="3"/>
  <c r="D271" i="3"/>
  <c r="C271" i="3"/>
  <c r="A272" i="3"/>
  <c r="AR271" i="3"/>
  <c r="G271" i="3"/>
  <c r="H271" i="3" s="1"/>
  <c r="BN271" i="3" s="1"/>
  <c r="F271" i="3"/>
  <c r="BM271" i="3" s="1"/>
  <c r="Q271" i="3"/>
  <c r="S271" i="3"/>
  <c r="O271" i="3"/>
  <c r="U271" i="3"/>
  <c r="AE271" i="3"/>
  <c r="AD271" i="3"/>
  <c r="AM271" i="3"/>
  <c r="AF271" i="3"/>
  <c r="AK271" i="3"/>
  <c r="M271" i="3"/>
  <c r="P271" i="3"/>
  <c r="V271" i="3"/>
  <c r="T271" i="3"/>
  <c r="R271" i="3"/>
  <c r="AH270" i="3"/>
  <c r="AT270" i="3" s="1"/>
  <c r="BD267" i="3"/>
  <c r="BG267" i="3"/>
  <c r="BH267" i="3" s="1"/>
  <c r="BI267" i="3" s="1"/>
  <c r="BN270" i="3"/>
  <c r="BQ267" i="3"/>
  <c r="BB267" i="3"/>
  <c r="BF267" i="3"/>
  <c r="Y270" i="3"/>
  <c r="Z270" i="3" s="1"/>
  <c r="AN270" i="3"/>
  <c r="AW270" i="3" s="1"/>
  <c r="X270" i="3"/>
  <c r="BM270" i="3"/>
  <c r="AU270" i="3" l="1"/>
  <c r="AG271" i="3"/>
  <c r="AO271" i="3"/>
  <c r="X271" i="3"/>
  <c r="AV270" i="3"/>
  <c r="B272" i="3"/>
  <c r="AR272" i="3"/>
  <c r="AQ272" i="3"/>
  <c r="C272" i="3"/>
  <c r="D272" i="3"/>
  <c r="A273" i="3"/>
  <c r="G272" i="3"/>
  <c r="H272" i="3" s="1"/>
  <c r="BN272" i="3" s="1"/>
  <c r="F272" i="3"/>
  <c r="BM272" i="3" s="1"/>
  <c r="Q272" i="3"/>
  <c r="S272" i="3"/>
  <c r="O272" i="3"/>
  <c r="U272" i="3"/>
  <c r="AE272" i="3"/>
  <c r="M272" i="3"/>
  <c r="AD272" i="3"/>
  <c r="AF272" i="3"/>
  <c r="AM272" i="3"/>
  <c r="AK272" i="3"/>
  <c r="V272" i="3"/>
  <c r="P272" i="3"/>
  <c r="T272" i="3"/>
  <c r="R272" i="3"/>
  <c r="Y271" i="3"/>
  <c r="Z271" i="3" s="1"/>
  <c r="BF268" i="3"/>
  <c r="BJ267" i="3" s="1"/>
  <c r="BK267" i="3" s="1"/>
  <c r="BQ268" i="3"/>
  <c r="BB268" i="3"/>
  <c r="BJ266" i="3"/>
  <c r="BK266" i="3" s="1"/>
  <c r="BD268" i="3"/>
  <c r="BG268" i="3"/>
  <c r="BH268" i="3" s="1"/>
  <c r="BI268" i="3" s="1"/>
  <c r="AN271" i="3"/>
  <c r="BC269" i="3"/>
  <c r="AX270" i="3"/>
  <c r="AY270" i="3" s="1"/>
  <c r="AH271" i="3"/>
  <c r="AU271" i="3" s="1"/>
  <c r="BF269" i="3"/>
  <c r="BQ269" i="3"/>
  <c r="BB269" i="3"/>
  <c r="AH272" i="3" l="1"/>
  <c r="AW271" i="3"/>
  <c r="AT271" i="3"/>
  <c r="AN272" i="3"/>
  <c r="BD269" i="3"/>
  <c r="BG269" i="3"/>
  <c r="BH269" i="3" s="1"/>
  <c r="BI269" i="3" s="1"/>
  <c r="AV271" i="3"/>
  <c r="BA270" i="3"/>
  <c r="AG272" i="3"/>
  <c r="BJ268" i="3"/>
  <c r="BK268" i="3" s="1"/>
  <c r="Y272" i="3"/>
  <c r="Z272" i="3" s="1"/>
  <c r="BC270" i="3"/>
  <c r="X272" i="3"/>
  <c r="AR273" i="3"/>
  <c r="B273" i="3"/>
  <c r="AQ273" i="3"/>
  <c r="A274" i="3"/>
  <c r="D273" i="3"/>
  <c r="C273" i="3"/>
  <c r="G273" i="3"/>
  <c r="H273" i="3" s="1"/>
  <c r="F273" i="3"/>
  <c r="Q273" i="3"/>
  <c r="S273" i="3"/>
  <c r="O273" i="3"/>
  <c r="U273" i="3"/>
  <c r="AD273" i="3"/>
  <c r="AE273" i="3"/>
  <c r="M273" i="3"/>
  <c r="AM273" i="3"/>
  <c r="AK273" i="3"/>
  <c r="AO273" i="3" s="1"/>
  <c r="AF273" i="3"/>
  <c r="T273" i="3"/>
  <c r="V273" i="3"/>
  <c r="P273" i="3"/>
  <c r="R273" i="3"/>
  <c r="AX271" i="3"/>
  <c r="AY271" i="3" s="1"/>
  <c r="AO272" i="3"/>
  <c r="BM273" i="3" l="1"/>
  <c r="AX272" i="3"/>
  <c r="AR274" i="3"/>
  <c r="B274" i="3"/>
  <c r="AQ274" i="3"/>
  <c r="A275" i="3"/>
  <c r="C274" i="3"/>
  <c r="D274" i="3"/>
  <c r="F274" i="3"/>
  <c r="BM274" i="3" s="1"/>
  <c r="G274" i="3"/>
  <c r="H274" i="3" s="1"/>
  <c r="BN274" i="3" s="1"/>
  <c r="Q274" i="3"/>
  <c r="S274" i="3"/>
  <c r="O274" i="3"/>
  <c r="U274" i="3"/>
  <c r="AD274" i="3"/>
  <c r="M274" i="3"/>
  <c r="AE274" i="3"/>
  <c r="AK274" i="3"/>
  <c r="AM274" i="3"/>
  <c r="AF274" i="3"/>
  <c r="R274" i="3"/>
  <c r="P274" i="3"/>
  <c r="V274" i="3"/>
  <c r="T274" i="3"/>
  <c r="BD270" i="3"/>
  <c r="BG270" i="3"/>
  <c r="BH270" i="3" s="1"/>
  <c r="BI270" i="3" s="1"/>
  <c r="Y273" i="3"/>
  <c r="Z273" i="3" s="1"/>
  <c r="X273" i="3"/>
  <c r="AU272" i="3"/>
  <c r="AT272" i="3"/>
  <c r="BC271" i="3"/>
  <c r="AG273" i="3"/>
  <c r="BB270" i="3"/>
  <c r="BQ270" i="3"/>
  <c r="BF270" i="3"/>
  <c r="BJ269" i="3" s="1"/>
  <c r="BK269" i="3" s="1"/>
  <c r="BA271" i="3"/>
  <c r="AN273" i="3"/>
  <c r="AW272" i="3"/>
  <c r="AY272" i="3" s="1"/>
  <c r="AH273" i="3"/>
  <c r="AT273" i="3" s="1"/>
  <c r="BN273" i="3"/>
  <c r="AN274" i="3" l="1"/>
  <c r="AU273" i="3"/>
  <c r="BD271" i="3"/>
  <c r="BG271" i="3"/>
  <c r="BH271" i="3" s="1"/>
  <c r="BI271" i="3" s="1"/>
  <c r="AH274" i="3"/>
  <c r="AV273" i="3"/>
  <c r="X274" i="3"/>
  <c r="AV272" i="3"/>
  <c r="BC272" i="3" s="1"/>
  <c r="BA272" i="3"/>
  <c r="AO274" i="3"/>
  <c r="AR275" i="3"/>
  <c r="D275" i="3"/>
  <c r="C275" i="3"/>
  <c r="AQ275" i="3"/>
  <c r="B275" i="3"/>
  <c r="A276" i="3"/>
  <c r="F275" i="3"/>
  <c r="BM275" i="3" s="1"/>
  <c r="G275" i="3"/>
  <c r="H275" i="3" s="1"/>
  <c r="BN275" i="3" s="1"/>
  <c r="Q275" i="3"/>
  <c r="S275" i="3"/>
  <c r="O275" i="3"/>
  <c r="U275" i="3"/>
  <c r="AE275" i="3"/>
  <c r="AD275" i="3"/>
  <c r="AM275" i="3"/>
  <c r="AF275" i="3"/>
  <c r="M275" i="3"/>
  <c r="AK275" i="3"/>
  <c r="AO275" i="3" s="1"/>
  <c r="T275" i="3"/>
  <c r="V275" i="3"/>
  <c r="R275" i="3"/>
  <c r="P275" i="3"/>
  <c r="BF271" i="3"/>
  <c r="BJ270" i="3" s="1"/>
  <c r="BK270" i="3" s="1"/>
  <c r="BQ271" i="3"/>
  <c r="BB271" i="3"/>
  <c r="AG274" i="3"/>
  <c r="AW274" i="3" s="1"/>
  <c r="Y274" i="3"/>
  <c r="Z274" i="3" s="1"/>
  <c r="AW273" i="3"/>
  <c r="AX273" i="3"/>
  <c r="BA273" i="3" l="1"/>
  <c r="BB273" i="3" s="1"/>
  <c r="Y275" i="3"/>
  <c r="Z275" i="3" s="1"/>
  <c r="AT274" i="3"/>
  <c r="AU274" i="3"/>
  <c r="BD272" i="3"/>
  <c r="BG272" i="3"/>
  <c r="BH272" i="3" s="1"/>
  <c r="BI272" i="3" s="1"/>
  <c r="AN275" i="3"/>
  <c r="AX274" i="3"/>
  <c r="AY274" i="3" s="1"/>
  <c r="BF272" i="3"/>
  <c r="BJ271" i="3" s="1"/>
  <c r="BK271" i="3" s="1"/>
  <c r="BQ272" i="3"/>
  <c r="BB272" i="3"/>
  <c r="AG275" i="3"/>
  <c r="A277" i="3"/>
  <c r="B276" i="3"/>
  <c r="AR276" i="3"/>
  <c r="AQ276" i="3"/>
  <c r="C276" i="3"/>
  <c r="D276" i="3"/>
  <c r="F276" i="3"/>
  <c r="BM276" i="3" s="1"/>
  <c r="G276" i="3"/>
  <c r="H276" i="3" s="1"/>
  <c r="BN276" i="3" s="1"/>
  <c r="Q276" i="3"/>
  <c r="S276" i="3"/>
  <c r="O276" i="3"/>
  <c r="U276" i="3"/>
  <c r="M276" i="3"/>
  <c r="AE276" i="3"/>
  <c r="AD276" i="3"/>
  <c r="AM276" i="3"/>
  <c r="AK276" i="3"/>
  <c r="AO276" i="3" s="1"/>
  <c r="AF276" i="3"/>
  <c r="R276" i="3"/>
  <c r="V276" i="3"/>
  <c r="P276" i="3"/>
  <c r="T276" i="3"/>
  <c r="AH275" i="3"/>
  <c r="AU275" i="3" s="1"/>
  <c r="X275" i="3"/>
  <c r="AY273" i="3"/>
  <c r="BC273" i="3" s="1"/>
  <c r="BQ273" i="3" l="1"/>
  <c r="BF273" i="3"/>
  <c r="AW275" i="3"/>
  <c r="AR277" i="3"/>
  <c r="B277" i="3"/>
  <c r="AQ277" i="3"/>
  <c r="A278" i="3"/>
  <c r="D277" i="3"/>
  <c r="C277" i="3"/>
  <c r="F277" i="3"/>
  <c r="BM277" i="3" s="1"/>
  <c r="G277" i="3"/>
  <c r="H277" i="3" s="1"/>
  <c r="BN277" i="3" s="1"/>
  <c r="Q277" i="3"/>
  <c r="S277" i="3"/>
  <c r="O277" i="3"/>
  <c r="U277" i="3"/>
  <c r="AE277" i="3"/>
  <c r="M277" i="3"/>
  <c r="AD277" i="3"/>
  <c r="AK277" i="3"/>
  <c r="AM277" i="3"/>
  <c r="AN277" i="3" s="1"/>
  <c r="AF277" i="3"/>
  <c r="T277" i="3"/>
  <c r="R277" i="3"/>
  <c r="P277" i="3"/>
  <c r="V277" i="3"/>
  <c r="AT275" i="3"/>
  <c r="Y276" i="3"/>
  <c r="Z276" i="3" s="1"/>
  <c r="AN276" i="3"/>
  <c r="AH276" i="3"/>
  <c r="BD273" i="3"/>
  <c r="BG273" i="3"/>
  <c r="BH273" i="3" s="1"/>
  <c r="BI273" i="3" s="1"/>
  <c r="AV274" i="3"/>
  <c r="BC274" i="3" s="1"/>
  <c r="BA274" i="3"/>
  <c r="BJ272" i="3"/>
  <c r="BK272" i="3" s="1"/>
  <c r="AG276" i="3"/>
  <c r="AW276" i="3" s="1"/>
  <c r="X276" i="3"/>
  <c r="AX275" i="3"/>
  <c r="AT276" i="3"/>
  <c r="AO277" i="3" l="1"/>
  <c r="AY275" i="3"/>
  <c r="AG277" i="3"/>
  <c r="BD274" i="3"/>
  <c r="BG274" i="3"/>
  <c r="BH274" i="3" s="1"/>
  <c r="BI274" i="3" s="1"/>
  <c r="AH277" i="3"/>
  <c r="AX277" i="3" s="1"/>
  <c r="AX276" i="3"/>
  <c r="AY276" i="3" s="1"/>
  <c r="C278" i="3"/>
  <c r="AR278" i="3"/>
  <c r="B278" i="3"/>
  <c r="AQ278" i="3"/>
  <c r="A279" i="3"/>
  <c r="D278" i="3"/>
  <c r="G278" i="3"/>
  <c r="H278" i="3" s="1"/>
  <c r="BN278" i="3" s="1"/>
  <c r="F278" i="3"/>
  <c r="BM278" i="3" s="1"/>
  <c r="Q278" i="3"/>
  <c r="S278" i="3"/>
  <c r="O278" i="3"/>
  <c r="U278" i="3"/>
  <c r="AD278" i="3"/>
  <c r="AH278" i="3" s="1"/>
  <c r="M278" i="3"/>
  <c r="AM278" i="3"/>
  <c r="AF278" i="3"/>
  <c r="AE278" i="3"/>
  <c r="AK278" i="3"/>
  <c r="V278" i="3"/>
  <c r="T278" i="3"/>
  <c r="R278" i="3"/>
  <c r="P278" i="3"/>
  <c r="AU276" i="3"/>
  <c r="AU277" i="3"/>
  <c r="X277" i="3"/>
  <c r="AV275" i="3"/>
  <c r="BC275" i="3" s="1"/>
  <c r="BA275" i="3"/>
  <c r="Y277" i="3"/>
  <c r="Z277" i="3" s="1"/>
  <c r="BQ274" i="3"/>
  <c r="BB274" i="3"/>
  <c r="BF274" i="3"/>
  <c r="BJ273" i="3" s="1"/>
  <c r="BK273" i="3" s="1"/>
  <c r="BA276" i="3" l="1"/>
  <c r="AV276" i="3"/>
  <c r="AO278" i="3"/>
  <c r="BF276" i="3"/>
  <c r="BB276" i="3"/>
  <c r="BQ276" i="3"/>
  <c r="Y278" i="3"/>
  <c r="Z278" i="3" s="1"/>
  <c r="X278" i="3"/>
  <c r="AQ279" i="3"/>
  <c r="B279" i="3"/>
  <c r="A280" i="3"/>
  <c r="AR279" i="3"/>
  <c r="D279" i="3"/>
  <c r="C279" i="3"/>
  <c r="G279" i="3"/>
  <c r="H279" i="3" s="1"/>
  <c r="BN279" i="3" s="1"/>
  <c r="F279" i="3"/>
  <c r="BM279" i="3" s="1"/>
  <c r="Q279" i="3"/>
  <c r="S279" i="3"/>
  <c r="O279" i="3"/>
  <c r="U279" i="3"/>
  <c r="AD279" i="3"/>
  <c r="AE279" i="3"/>
  <c r="M279" i="3"/>
  <c r="AF279" i="3"/>
  <c r="AK279" i="3"/>
  <c r="AM279" i="3"/>
  <c r="AN279" i="3" s="1"/>
  <c r="R279" i="3"/>
  <c r="T279" i="3"/>
  <c r="V279" i="3"/>
  <c r="P279" i="3"/>
  <c r="BD275" i="3"/>
  <c r="BG275" i="3"/>
  <c r="BH275" i="3" s="1"/>
  <c r="BI275" i="3" s="1"/>
  <c r="BC276" i="3"/>
  <c r="AG278" i="3"/>
  <c r="BF275" i="3"/>
  <c r="BJ274" i="3" s="1"/>
  <c r="BK274" i="3" s="1"/>
  <c r="BB275" i="3"/>
  <c r="BQ275" i="3"/>
  <c r="AU278" i="3"/>
  <c r="AT277" i="3"/>
  <c r="AN278" i="3"/>
  <c r="AX278" i="3" s="1"/>
  <c r="AW277" i="3"/>
  <c r="AY277" i="3" s="1"/>
  <c r="AH279" i="3" l="1"/>
  <c r="AG279" i="3"/>
  <c r="X279" i="3"/>
  <c r="AV277" i="3"/>
  <c r="BC277" i="3" s="1"/>
  <c r="BA277" i="3"/>
  <c r="AW278" i="3"/>
  <c r="AY278" i="3" s="1"/>
  <c r="Y279" i="3"/>
  <c r="Z279" i="3" s="1"/>
  <c r="AU279" i="3"/>
  <c r="BD276" i="3"/>
  <c r="BG276" i="3"/>
  <c r="BH276" i="3" s="1"/>
  <c r="BI276" i="3" s="1"/>
  <c r="A281" i="3"/>
  <c r="B280" i="3"/>
  <c r="AR280" i="3"/>
  <c r="AQ280" i="3"/>
  <c r="D280" i="3"/>
  <c r="C280" i="3"/>
  <c r="G280" i="3"/>
  <c r="H280" i="3" s="1"/>
  <c r="BN280" i="3" s="1"/>
  <c r="F280" i="3"/>
  <c r="BM280" i="3" s="1"/>
  <c r="Q280" i="3"/>
  <c r="S280" i="3"/>
  <c r="O280" i="3"/>
  <c r="U280" i="3"/>
  <c r="M280" i="3"/>
  <c r="AD280" i="3"/>
  <c r="AE280" i="3"/>
  <c r="AM280" i="3"/>
  <c r="AK280" i="3"/>
  <c r="AF280" i="3"/>
  <c r="P280" i="3"/>
  <c r="T280" i="3"/>
  <c r="R280" i="3"/>
  <c r="V280" i="3"/>
  <c r="AO279" i="3"/>
  <c r="AT278" i="3"/>
  <c r="AT279" i="3"/>
  <c r="BJ275" i="3"/>
  <c r="BK275" i="3" s="1"/>
  <c r="AO280" i="3" l="1"/>
  <c r="X280" i="3"/>
  <c r="AV278" i="3"/>
  <c r="BC278" i="3" s="1"/>
  <c r="BA278" i="3"/>
  <c r="AR281" i="3"/>
  <c r="B281" i="3"/>
  <c r="AQ281" i="3"/>
  <c r="A282" i="3"/>
  <c r="C281" i="3"/>
  <c r="D281" i="3"/>
  <c r="G281" i="3"/>
  <c r="H281" i="3" s="1"/>
  <c r="BN281" i="3" s="1"/>
  <c r="F281" i="3"/>
  <c r="BM281" i="3" s="1"/>
  <c r="Q281" i="3"/>
  <c r="S281" i="3"/>
  <c r="O281" i="3"/>
  <c r="U281" i="3"/>
  <c r="AE281" i="3"/>
  <c r="AD281" i="3"/>
  <c r="M281" i="3"/>
  <c r="AF281" i="3"/>
  <c r="AM281" i="3"/>
  <c r="AK281" i="3"/>
  <c r="V281" i="3"/>
  <c r="P281" i="3"/>
  <c r="T281" i="3"/>
  <c r="R281" i="3"/>
  <c r="AH280" i="3"/>
  <c r="BD277" i="3"/>
  <c r="BG277" i="3"/>
  <c r="BH277" i="3" s="1"/>
  <c r="BI277" i="3" s="1"/>
  <c r="AW279" i="3"/>
  <c r="AV279" i="3"/>
  <c r="AG280" i="3"/>
  <c r="Y280" i="3"/>
  <c r="Z280" i="3" s="1"/>
  <c r="AN280" i="3"/>
  <c r="BB277" i="3"/>
  <c r="BQ277" i="3"/>
  <c r="BF277" i="3"/>
  <c r="BJ276" i="3" s="1"/>
  <c r="BK276" i="3" s="1"/>
  <c r="AX279" i="3"/>
  <c r="AT280" i="3" l="1"/>
  <c r="BA279" i="3"/>
  <c r="BQ279" i="3" s="1"/>
  <c r="AO281" i="3"/>
  <c r="BB279" i="3"/>
  <c r="BF279" i="3"/>
  <c r="AH281" i="3"/>
  <c r="AW280" i="3"/>
  <c r="AX280" i="3"/>
  <c r="AU280" i="3"/>
  <c r="AV280" i="3" s="1"/>
  <c r="AG281" i="3"/>
  <c r="AW281" i="3" s="1"/>
  <c r="B282" i="3"/>
  <c r="AQ282" i="3"/>
  <c r="A283" i="3"/>
  <c r="C282" i="3"/>
  <c r="D282" i="3"/>
  <c r="AR282" i="3"/>
  <c r="G282" i="3"/>
  <c r="H282" i="3" s="1"/>
  <c r="BN282" i="3" s="1"/>
  <c r="F282" i="3"/>
  <c r="BM282" i="3" s="1"/>
  <c r="Q282" i="3"/>
  <c r="S282" i="3"/>
  <c r="O282" i="3"/>
  <c r="U282" i="3"/>
  <c r="AD282" i="3"/>
  <c r="AK282" i="3"/>
  <c r="AF282" i="3"/>
  <c r="AM282" i="3"/>
  <c r="M282" i="3"/>
  <c r="AE282" i="3"/>
  <c r="P282" i="3"/>
  <c r="T282" i="3"/>
  <c r="R282" i="3"/>
  <c r="V282" i="3"/>
  <c r="Y281" i="3"/>
  <c r="Z281" i="3" s="1"/>
  <c r="BQ278" i="3"/>
  <c r="BB278" i="3"/>
  <c r="BF278" i="3"/>
  <c r="BJ277" i="3" s="1"/>
  <c r="BK277" i="3" s="1"/>
  <c r="AT281" i="3"/>
  <c r="BD278" i="3"/>
  <c r="BG278" i="3"/>
  <c r="BH278" i="3" s="1"/>
  <c r="BI278" i="3" s="1"/>
  <c r="X281" i="3"/>
  <c r="AY279" i="3"/>
  <c r="BC279" i="3" s="1"/>
  <c r="AN281" i="3"/>
  <c r="AG282" i="3" l="1"/>
  <c r="AN282" i="3"/>
  <c r="AO282" i="3"/>
  <c r="BD279" i="3"/>
  <c r="BG279" i="3"/>
  <c r="BH279" i="3" s="1"/>
  <c r="BI279" i="3" s="1"/>
  <c r="Y282" i="3"/>
  <c r="Z282" i="3" s="1"/>
  <c r="AX281" i="3"/>
  <c r="AY281" i="3" s="1"/>
  <c r="BA280" i="3"/>
  <c r="AQ283" i="3"/>
  <c r="B283" i="3"/>
  <c r="A284" i="3"/>
  <c r="AR283" i="3"/>
  <c r="C283" i="3"/>
  <c r="D283" i="3"/>
  <c r="G283" i="3"/>
  <c r="H283" i="3" s="1"/>
  <c r="BN283" i="3" s="1"/>
  <c r="F283" i="3"/>
  <c r="BM283" i="3" s="1"/>
  <c r="Q283" i="3"/>
  <c r="S283" i="3"/>
  <c r="O283" i="3"/>
  <c r="U283" i="3"/>
  <c r="AD283" i="3"/>
  <c r="AE283" i="3"/>
  <c r="M283" i="3"/>
  <c r="AK283" i="3"/>
  <c r="AM283" i="3"/>
  <c r="AF283" i="3"/>
  <c r="T283" i="3"/>
  <c r="P283" i="3"/>
  <c r="V283" i="3"/>
  <c r="R283" i="3"/>
  <c r="AH282" i="3"/>
  <c r="AX282" i="3" s="1"/>
  <c r="BJ278" i="3"/>
  <c r="BK278" i="3" s="1"/>
  <c r="X282" i="3"/>
  <c r="AY280" i="3"/>
  <c r="BC280" i="3" s="1"/>
  <c r="AU281" i="3"/>
  <c r="BA281" i="3" s="1"/>
  <c r="AN283" i="3" l="1"/>
  <c r="AW282" i="3"/>
  <c r="AY282" i="3" s="1"/>
  <c r="BQ281" i="3"/>
  <c r="BF281" i="3"/>
  <c r="BB281" i="3"/>
  <c r="BD280" i="3"/>
  <c r="BG280" i="3"/>
  <c r="BH280" i="3" s="1"/>
  <c r="BI280" i="3" s="1"/>
  <c r="BB280" i="3"/>
  <c r="BQ280" i="3"/>
  <c r="BF280" i="3"/>
  <c r="BJ279" i="3" s="1"/>
  <c r="BK279" i="3" s="1"/>
  <c r="AV281" i="3"/>
  <c r="BC281" i="3" s="1"/>
  <c r="A285" i="3"/>
  <c r="B284" i="3"/>
  <c r="AR284" i="3"/>
  <c r="D284" i="3"/>
  <c r="AQ284" i="3"/>
  <c r="C284" i="3"/>
  <c r="G284" i="3"/>
  <c r="H284" i="3" s="1"/>
  <c r="BN284" i="3" s="1"/>
  <c r="F284" i="3"/>
  <c r="BM284" i="3" s="1"/>
  <c r="Q284" i="3"/>
  <c r="S284" i="3"/>
  <c r="O284" i="3"/>
  <c r="U284" i="3"/>
  <c r="AE284" i="3"/>
  <c r="AD284" i="3"/>
  <c r="AM284" i="3"/>
  <c r="AK284" i="3"/>
  <c r="AO284" i="3" s="1"/>
  <c r="AF284" i="3"/>
  <c r="M284" i="3"/>
  <c r="R284" i="3"/>
  <c r="P284" i="3"/>
  <c r="T284" i="3"/>
  <c r="V284" i="3"/>
  <c r="AH283" i="3"/>
  <c r="AO283" i="3"/>
  <c r="AT282" i="3"/>
  <c r="Y283" i="3"/>
  <c r="Z283" i="3" s="1"/>
  <c r="AU282" i="3"/>
  <c r="AG283" i="3"/>
  <c r="X283" i="3"/>
  <c r="AH284" i="3" l="1"/>
  <c r="AX283" i="3"/>
  <c r="AN284" i="3"/>
  <c r="AU283" i="3"/>
  <c r="AT283" i="3"/>
  <c r="BD281" i="3"/>
  <c r="BG281" i="3"/>
  <c r="BH281" i="3" s="1"/>
  <c r="BI281" i="3" s="1"/>
  <c r="Y284" i="3"/>
  <c r="Z284" i="3" s="1"/>
  <c r="BA282" i="3"/>
  <c r="AV282" i="3"/>
  <c r="BC282" i="3" s="1"/>
  <c r="A286" i="3"/>
  <c r="C285" i="3"/>
  <c r="D285" i="3"/>
  <c r="AR285" i="3"/>
  <c r="B285" i="3"/>
  <c r="AQ285" i="3"/>
  <c r="F285" i="3"/>
  <c r="BM285" i="3" s="1"/>
  <c r="G285" i="3"/>
  <c r="H285" i="3" s="1"/>
  <c r="BN285" i="3" s="1"/>
  <c r="Q285" i="3"/>
  <c r="S285" i="3"/>
  <c r="O285" i="3"/>
  <c r="U285" i="3"/>
  <c r="AE285" i="3"/>
  <c r="AD285" i="3"/>
  <c r="M285" i="3"/>
  <c r="AM285" i="3"/>
  <c r="AF285" i="3"/>
  <c r="AK285" i="3"/>
  <c r="P285" i="3"/>
  <c r="V285" i="3"/>
  <c r="T285" i="3"/>
  <c r="R285" i="3"/>
  <c r="AG284" i="3"/>
  <c r="AW284" i="3" s="1"/>
  <c r="X284" i="3"/>
  <c r="BJ280" i="3"/>
  <c r="BK280" i="3" s="1"/>
  <c r="AX284" i="3"/>
  <c r="AW283" i="3"/>
  <c r="AY283" i="3" s="1"/>
  <c r="AO285" i="3" l="1"/>
  <c r="AY284" i="3"/>
  <c r="AR286" i="3"/>
  <c r="B286" i="3"/>
  <c r="AQ286" i="3"/>
  <c r="A287" i="3"/>
  <c r="C286" i="3"/>
  <c r="D286" i="3"/>
  <c r="G286" i="3"/>
  <c r="H286" i="3" s="1"/>
  <c r="BN286" i="3" s="1"/>
  <c r="F286" i="3"/>
  <c r="BM286" i="3" s="1"/>
  <c r="Q286" i="3"/>
  <c r="S286" i="3"/>
  <c r="O286" i="3"/>
  <c r="U286" i="3"/>
  <c r="AE286" i="3"/>
  <c r="AD286" i="3"/>
  <c r="M286" i="3"/>
  <c r="AF286" i="3"/>
  <c r="AM286" i="3"/>
  <c r="AK286" i="3"/>
  <c r="T286" i="3"/>
  <c r="R286" i="3"/>
  <c r="V286" i="3"/>
  <c r="P286" i="3"/>
  <c r="AN285" i="3"/>
  <c r="AT284" i="3"/>
  <c r="BF282" i="3"/>
  <c r="BJ281" i="3" s="1"/>
  <c r="BK281" i="3" s="1"/>
  <c r="BB282" i="3"/>
  <c r="BQ282" i="3"/>
  <c r="BD282" i="3"/>
  <c r="BG282" i="3"/>
  <c r="BH282" i="3" s="1"/>
  <c r="BI282" i="3" s="1"/>
  <c r="AU284" i="3"/>
  <c r="AH285" i="3"/>
  <c r="X285" i="3"/>
  <c r="BA283" i="3"/>
  <c r="AV283" i="3"/>
  <c r="BC283" i="3" s="1"/>
  <c r="Y285" i="3"/>
  <c r="Z285" i="3" s="1"/>
  <c r="AG285" i="3"/>
  <c r="AW285" i="3" s="1"/>
  <c r="AO286" i="3" l="1"/>
  <c r="AU285" i="3"/>
  <c r="AG286" i="3"/>
  <c r="AT285" i="3"/>
  <c r="AN286" i="3"/>
  <c r="BD283" i="3"/>
  <c r="BG283" i="3"/>
  <c r="BH283" i="3" s="1"/>
  <c r="BI283" i="3" s="1"/>
  <c r="BB283" i="3"/>
  <c r="BF283" i="3"/>
  <c r="BJ282" i="3" s="1"/>
  <c r="BK282" i="3" s="1"/>
  <c r="BQ283" i="3"/>
  <c r="X286" i="3"/>
  <c r="AQ287" i="3"/>
  <c r="B287" i="3"/>
  <c r="A288" i="3"/>
  <c r="AR287" i="3"/>
  <c r="D287" i="3"/>
  <c r="C287" i="3"/>
  <c r="F287" i="3"/>
  <c r="BM287" i="3" s="1"/>
  <c r="G287" i="3"/>
  <c r="H287" i="3" s="1"/>
  <c r="BN287" i="3" s="1"/>
  <c r="Q287" i="3"/>
  <c r="S287" i="3"/>
  <c r="O287" i="3"/>
  <c r="U287" i="3"/>
  <c r="AD287" i="3"/>
  <c r="M287" i="3"/>
  <c r="AE287" i="3"/>
  <c r="AF287" i="3"/>
  <c r="AM287" i="3"/>
  <c r="AK287" i="3"/>
  <c r="T287" i="3"/>
  <c r="P287" i="3"/>
  <c r="V287" i="3"/>
  <c r="R287" i="3"/>
  <c r="AH286" i="3"/>
  <c r="AX286" i="3" s="1"/>
  <c r="AX285" i="3"/>
  <c r="AY285" i="3" s="1"/>
  <c r="BA284" i="3"/>
  <c r="AV284" i="3"/>
  <c r="BC284" i="3" s="1"/>
  <c r="Y286" i="3"/>
  <c r="Z286" i="3" s="1"/>
  <c r="AT286" i="3"/>
  <c r="AO287" i="3" l="1"/>
  <c r="AG287" i="3"/>
  <c r="C288" i="3"/>
  <c r="A289" i="3"/>
  <c r="B288" i="3"/>
  <c r="AR288" i="3"/>
  <c r="AQ288" i="3"/>
  <c r="D288" i="3"/>
  <c r="F288" i="3"/>
  <c r="BM288" i="3" s="1"/>
  <c r="G288" i="3"/>
  <c r="H288" i="3" s="1"/>
  <c r="BN288" i="3" s="1"/>
  <c r="S288" i="3"/>
  <c r="Q288" i="3"/>
  <c r="O288" i="3"/>
  <c r="U288" i="3"/>
  <c r="AD288" i="3"/>
  <c r="AE288" i="3"/>
  <c r="M288" i="3"/>
  <c r="AK288" i="3"/>
  <c r="AF288" i="3"/>
  <c r="AM288" i="3"/>
  <c r="R288" i="3"/>
  <c r="V288" i="3"/>
  <c r="T288" i="3"/>
  <c r="P288" i="3"/>
  <c r="BD284" i="3"/>
  <c r="BG284" i="3"/>
  <c r="BH284" i="3" s="1"/>
  <c r="BI284" i="3" s="1"/>
  <c r="AU286" i="3"/>
  <c r="AV286" i="3" s="1"/>
  <c r="Y287" i="3"/>
  <c r="Z287" i="3" s="1"/>
  <c r="AH287" i="3"/>
  <c r="BQ284" i="3"/>
  <c r="BF284" i="3"/>
  <c r="BJ283" i="3" s="1"/>
  <c r="BK283" i="3" s="1"/>
  <c r="BB284" i="3"/>
  <c r="AW286" i="3"/>
  <c r="AY286" i="3" s="1"/>
  <c r="AU287" i="3"/>
  <c r="AN287" i="3"/>
  <c r="X287" i="3"/>
  <c r="AV285" i="3"/>
  <c r="BC285" i="3" s="1"/>
  <c r="BA285" i="3"/>
  <c r="AH288" i="3" l="1"/>
  <c r="BC286" i="3"/>
  <c r="AO288" i="3"/>
  <c r="BD286" i="3"/>
  <c r="BG286" i="3"/>
  <c r="BH286" i="3" s="1"/>
  <c r="BI286" i="3" s="1"/>
  <c r="AX287" i="3"/>
  <c r="AW287" i="3"/>
  <c r="BD285" i="3"/>
  <c r="BG285" i="3"/>
  <c r="BH285" i="3" s="1"/>
  <c r="BI285" i="3" s="1"/>
  <c r="X288" i="3"/>
  <c r="AG288" i="3"/>
  <c r="AW288" i="3" s="1"/>
  <c r="Y288" i="3"/>
  <c r="Z288" i="3" s="1"/>
  <c r="AT287" i="3"/>
  <c r="BA286" i="3"/>
  <c r="AR289" i="3"/>
  <c r="B289" i="3"/>
  <c r="AQ289" i="3"/>
  <c r="A290" i="3"/>
  <c r="D289" i="3"/>
  <c r="C289" i="3"/>
  <c r="F289" i="3"/>
  <c r="BM289" i="3" s="1"/>
  <c r="G289" i="3"/>
  <c r="H289" i="3" s="1"/>
  <c r="Q289" i="3"/>
  <c r="S289" i="3"/>
  <c r="O289" i="3"/>
  <c r="U289" i="3"/>
  <c r="AE289" i="3"/>
  <c r="AD289" i="3"/>
  <c r="AM289" i="3"/>
  <c r="M289" i="3"/>
  <c r="AK289" i="3"/>
  <c r="AO289" i="3" s="1"/>
  <c r="AF289" i="3"/>
  <c r="R289" i="3"/>
  <c r="P289" i="3"/>
  <c r="T289" i="3"/>
  <c r="V289" i="3"/>
  <c r="BF285" i="3"/>
  <c r="BJ284" i="3" s="1"/>
  <c r="BK284" i="3" s="1"/>
  <c r="BB285" i="3"/>
  <c r="BQ285" i="3"/>
  <c r="AN288" i="3"/>
  <c r="AH289" i="3" l="1"/>
  <c r="AU288" i="3"/>
  <c r="AX288" i="3"/>
  <c r="AY288" i="3" s="1"/>
  <c r="AY287" i="3"/>
  <c r="AR290" i="3"/>
  <c r="B290" i="3"/>
  <c r="AQ290" i="3"/>
  <c r="A291" i="3"/>
  <c r="C290" i="3"/>
  <c r="D290" i="3"/>
  <c r="F290" i="3"/>
  <c r="BM290" i="3" s="1"/>
  <c r="G290" i="3"/>
  <c r="H290" i="3" s="1"/>
  <c r="BN290" i="3" s="1"/>
  <c r="Q290" i="3"/>
  <c r="S290" i="3"/>
  <c r="O290" i="3"/>
  <c r="U290" i="3"/>
  <c r="M290" i="3"/>
  <c r="AE290" i="3"/>
  <c r="AD290" i="3"/>
  <c r="AK290" i="3"/>
  <c r="AF290" i="3"/>
  <c r="AM290" i="3"/>
  <c r="R290" i="3"/>
  <c r="P290" i="3"/>
  <c r="T290" i="3"/>
  <c r="V290" i="3"/>
  <c r="Y289" i="3"/>
  <c r="Z289" i="3" s="1"/>
  <c r="X289" i="3"/>
  <c r="AN289" i="3"/>
  <c r="AT288" i="3"/>
  <c r="BN289" i="3"/>
  <c r="BB286" i="3"/>
  <c r="BF286" i="3"/>
  <c r="BJ285" i="3" s="1"/>
  <c r="BK285" i="3" s="1"/>
  <c r="BQ286" i="3"/>
  <c r="AV287" i="3"/>
  <c r="BC287" i="3" s="1"/>
  <c r="BA287" i="3"/>
  <c r="AG289" i="3"/>
  <c r="AW289" i="3" s="1"/>
  <c r="AN290" i="3" l="1"/>
  <c r="BD287" i="3"/>
  <c r="BG287" i="3"/>
  <c r="BH287" i="3" s="1"/>
  <c r="BI287" i="3" s="1"/>
  <c r="X290" i="3"/>
  <c r="BQ287" i="3"/>
  <c r="BF287" i="3"/>
  <c r="BJ286" i="3" s="1"/>
  <c r="BK286" i="3" s="1"/>
  <c r="BB287" i="3"/>
  <c r="AV288" i="3"/>
  <c r="BC288" i="3" s="1"/>
  <c r="BA288" i="3"/>
  <c r="AT289" i="3"/>
  <c r="AO290" i="3"/>
  <c r="AX289" i="3"/>
  <c r="AY289" i="3" s="1"/>
  <c r="AG290" i="3"/>
  <c r="Y290" i="3"/>
  <c r="Z290" i="3" s="1"/>
  <c r="AH290" i="3"/>
  <c r="AU289" i="3"/>
  <c r="AQ291" i="3"/>
  <c r="B291" i="3"/>
  <c r="A292" i="3"/>
  <c r="AR291" i="3"/>
  <c r="D291" i="3"/>
  <c r="C291" i="3"/>
  <c r="F291" i="3"/>
  <c r="BM291" i="3" s="1"/>
  <c r="G291" i="3"/>
  <c r="H291" i="3" s="1"/>
  <c r="Q291" i="3"/>
  <c r="S291" i="3"/>
  <c r="O291" i="3"/>
  <c r="U291" i="3"/>
  <c r="AD291" i="3"/>
  <c r="AE291" i="3"/>
  <c r="M291" i="3"/>
  <c r="AF291" i="3"/>
  <c r="AK291" i="3"/>
  <c r="AM291" i="3"/>
  <c r="P291" i="3"/>
  <c r="T291" i="3"/>
  <c r="R291" i="3"/>
  <c r="V291" i="3"/>
  <c r="AX290" i="3" l="1"/>
  <c r="AT290" i="3"/>
  <c r="BN291" i="3"/>
  <c r="AO291" i="3"/>
  <c r="AG291" i="3"/>
  <c r="B292" i="3"/>
  <c r="AR292" i="3"/>
  <c r="AQ292" i="3"/>
  <c r="C292" i="3"/>
  <c r="D292" i="3"/>
  <c r="A293" i="3"/>
  <c r="G292" i="3"/>
  <c r="H292" i="3" s="1"/>
  <c r="BN292" i="3" s="1"/>
  <c r="F292" i="3"/>
  <c r="BM292" i="3" s="1"/>
  <c r="S292" i="3"/>
  <c r="Q292" i="3"/>
  <c r="O292" i="3"/>
  <c r="U292" i="3"/>
  <c r="M292" i="3"/>
  <c r="AE292" i="3"/>
  <c r="AD292" i="3"/>
  <c r="AK292" i="3"/>
  <c r="AM292" i="3"/>
  <c r="AF292" i="3"/>
  <c r="P292" i="3"/>
  <c r="T292" i="3"/>
  <c r="V292" i="3"/>
  <c r="R292" i="3"/>
  <c r="AW290" i="3"/>
  <c r="AY290" i="3" s="1"/>
  <c r="AU290" i="3"/>
  <c r="AV289" i="3"/>
  <c r="BC289" i="3" s="1"/>
  <c r="BA289" i="3"/>
  <c r="BD288" i="3"/>
  <c r="BG288" i="3"/>
  <c r="BH288" i="3" s="1"/>
  <c r="BI288" i="3" s="1"/>
  <c r="BF288" i="3"/>
  <c r="BJ287" i="3" s="1"/>
  <c r="BK287" i="3" s="1"/>
  <c r="BQ288" i="3"/>
  <c r="BB288" i="3"/>
  <c r="AN291" i="3"/>
  <c r="X291" i="3"/>
  <c r="Y291" i="3"/>
  <c r="Z291" i="3" s="1"/>
  <c r="AH291" i="3"/>
  <c r="AX291" i="3" l="1"/>
  <c r="AO292" i="3"/>
  <c r="AN292" i="3"/>
  <c r="BA290" i="3"/>
  <c r="BQ290" i="3" s="1"/>
  <c r="AG292" i="3"/>
  <c r="BD289" i="3"/>
  <c r="BG289" i="3"/>
  <c r="BH289" i="3" s="1"/>
  <c r="BI289" i="3" s="1"/>
  <c r="AH292" i="3"/>
  <c r="AX292" i="3" s="1"/>
  <c r="X292" i="3"/>
  <c r="AW291" i="3"/>
  <c r="AY291" i="3" s="1"/>
  <c r="BF289" i="3"/>
  <c r="BJ288" i="3" s="1"/>
  <c r="BK288" i="3" s="1"/>
  <c r="BQ289" i="3"/>
  <c r="BB289" i="3"/>
  <c r="AU292" i="3"/>
  <c r="AU291" i="3"/>
  <c r="AV290" i="3"/>
  <c r="BC290" i="3" s="1"/>
  <c r="AT292" i="3"/>
  <c r="AR293" i="3"/>
  <c r="B293" i="3"/>
  <c r="AQ293" i="3"/>
  <c r="A294" i="3"/>
  <c r="C293" i="3"/>
  <c r="D293" i="3"/>
  <c r="F293" i="3"/>
  <c r="BM293" i="3" s="1"/>
  <c r="G293" i="3"/>
  <c r="H293" i="3" s="1"/>
  <c r="BN293" i="3" s="1"/>
  <c r="Q293" i="3"/>
  <c r="S293" i="3"/>
  <c r="O293" i="3"/>
  <c r="U293" i="3"/>
  <c r="AE293" i="3"/>
  <c r="AD293" i="3"/>
  <c r="M293" i="3"/>
  <c r="AK293" i="3"/>
  <c r="AF293" i="3"/>
  <c r="AM293" i="3"/>
  <c r="AN293" i="3" s="1"/>
  <c r="T293" i="3"/>
  <c r="V293" i="3"/>
  <c r="R293" i="3"/>
  <c r="P293" i="3"/>
  <c r="AT291" i="3"/>
  <c r="Y292" i="3"/>
  <c r="Z292" i="3" s="1"/>
  <c r="BB290" i="3" l="1"/>
  <c r="BF290" i="3"/>
  <c r="Y293" i="3"/>
  <c r="Z293" i="3" s="1"/>
  <c r="AO293" i="3"/>
  <c r="AW292" i="3"/>
  <c r="AY292" i="3" s="1"/>
  <c r="BD290" i="3"/>
  <c r="BG290" i="3"/>
  <c r="BH290" i="3" s="1"/>
  <c r="BI290" i="3" s="1"/>
  <c r="AG293" i="3"/>
  <c r="AR294" i="3"/>
  <c r="B294" i="3"/>
  <c r="AQ294" i="3"/>
  <c r="A295" i="3"/>
  <c r="D294" i="3"/>
  <c r="C294" i="3"/>
  <c r="F294" i="3"/>
  <c r="BM294" i="3" s="1"/>
  <c r="G294" i="3"/>
  <c r="H294" i="3" s="1"/>
  <c r="BN294" i="3" s="1"/>
  <c r="Q294" i="3"/>
  <c r="S294" i="3"/>
  <c r="O294" i="3"/>
  <c r="U294" i="3"/>
  <c r="AD294" i="3"/>
  <c r="AE294" i="3"/>
  <c r="M294" i="3"/>
  <c r="AF294" i="3"/>
  <c r="AM294" i="3"/>
  <c r="AK294" i="3"/>
  <c r="V294" i="3"/>
  <c r="R294" i="3"/>
  <c r="T294" i="3"/>
  <c r="P294" i="3"/>
  <c r="BJ289" i="3"/>
  <c r="BK289" i="3" s="1"/>
  <c r="AV292" i="3"/>
  <c r="BA292" i="3"/>
  <c r="AH293" i="3"/>
  <c r="AX293" i="3" s="1"/>
  <c r="X293" i="3"/>
  <c r="AV291" i="3"/>
  <c r="BC291" i="3" s="1"/>
  <c r="BA291" i="3"/>
  <c r="AU293" i="3"/>
  <c r="AO294" i="3" l="1"/>
  <c r="BC292" i="3"/>
  <c r="AH294" i="3"/>
  <c r="AR295" i="3"/>
  <c r="D295" i="3"/>
  <c r="C295" i="3"/>
  <c r="B295" i="3"/>
  <c r="A296" i="3"/>
  <c r="AQ295" i="3"/>
  <c r="F295" i="3"/>
  <c r="BM295" i="3" s="1"/>
  <c r="G295" i="3"/>
  <c r="H295" i="3" s="1"/>
  <c r="BN295" i="3" s="1"/>
  <c r="Q295" i="3"/>
  <c r="S295" i="3"/>
  <c r="O295" i="3"/>
  <c r="U295" i="3"/>
  <c r="M295" i="3"/>
  <c r="AD295" i="3"/>
  <c r="AF295" i="3"/>
  <c r="AE295" i="3"/>
  <c r="AM295" i="3"/>
  <c r="AK295" i="3"/>
  <c r="V295" i="3"/>
  <c r="P295" i="3"/>
  <c r="R295" i="3"/>
  <c r="T295" i="3"/>
  <c r="BB292" i="3"/>
  <c r="BQ292" i="3"/>
  <c r="BF292" i="3"/>
  <c r="AW293" i="3"/>
  <c r="AY293" i="3" s="1"/>
  <c r="X294" i="3"/>
  <c r="BD292" i="3"/>
  <c r="BG292" i="3"/>
  <c r="BH292" i="3" s="1"/>
  <c r="BI292" i="3" s="1"/>
  <c r="Y294" i="3"/>
  <c r="Z294" i="3" s="1"/>
  <c r="BQ291" i="3"/>
  <c r="BB291" i="3"/>
  <c r="BF291" i="3"/>
  <c r="BJ290" i="3" s="1"/>
  <c r="BK290" i="3" s="1"/>
  <c r="BD291" i="3"/>
  <c r="BG291" i="3"/>
  <c r="BH291" i="3" s="1"/>
  <c r="BI291" i="3" s="1"/>
  <c r="AN294" i="3"/>
  <c r="AG294" i="3"/>
  <c r="AT293" i="3"/>
  <c r="AO295" i="3" l="1"/>
  <c r="AG295" i="3"/>
  <c r="Y295" i="3"/>
  <c r="Z295" i="3" s="1"/>
  <c r="AW294" i="3"/>
  <c r="AX294" i="3"/>
  <c r="AU294" i="3"/>
  <c r="AN295" i="3"/>
  <c r="X295" i="3"/>
  <c r="A297" i="3"/>
  <c r="B296" i="3"/>
  <c r="AR296" i="3"/>
  <c r="AQ296" i="3"/>
  <c r="D296" i="3"/>
  <c r="C296" i="3"/>
  <c r="G296" i="3"/>
  <c r="H296" i="3" s="1"/>
  <c r="BN296" i="3" s="1"/>
  <c r="F296" i="3"/>
  <c r="BM296" i="3" s="1"/>
  <c r="Q296" i="3"/>
  <c r="S296" i="3"/>
  <c r="O296" i="3"/>
  <c r="U296" i="3"/>
  <c r="AD296" i="3"/>
  <c r="M296" i="3"/>
  <c r="AE296" i="3"/>
  <c r="AK296" i="3"/>
  <c r="AM296" i="3"/>
  <c r="AF296" i="3"/>
  <c r="T296" i="3"/>
  <c r="P296" i="3"/>
  <c r="R296" i="3"/>
  <c r="V296" i="3"/>
  <c r="AH295" i="3"/>
  <c r="AX295" i="3" s="1"/>
  <c r="BJ291" i="3"/>
  <c r="BK291" i="3" s="1"/>
  <c r="AT294" i="3"/>
  <c r="AV293" i="3"/>
  <c r="BC293" i="3" s="1"/>
  <c r="BA293" i="3"/>
  <c r="AY294" i="3" l="1"/>
  <c r="AG296" i="3"/>
  <c r="AT295" i="3"/>
  <c r="AN296" i="3"/>
  <c r="X296" i="3"/>
  <c r="AV294" i="3"/>
  <c r="BC294" i="3" s="1"/>
  <c r="BA294" i="3"/>
  <c r="BB293" i="3"/>
  <c r="BQ293" i="3"/>
  <c r="BF293" i="3"/>
  <c r="BJ292" i="3" s="1"/>
  <c r="BK292" i="3" s="1"/>
  <c r="AR297" i="3"/>
  <c r="B297" i="3"/>
  <c r="AQ297" i="3"/>
  <c r="A298" i="3"/>
  <c r="C297" i="3"/>
  <c r="D297" i="3"/>
  <c r="F297" i="3"/>
  <c r="BM297" i="3" s="1"/>
  <c r="G297" i="3"/>
  <c r="H297" i="3" s="1"/>
  <c r="BN297" i="3" s="1"/>
  <c r="Q297" i="3"/>
  <c r="S297" i="3"/>
  <c r="O297" i="3"/>
  <c r="U297" i="3"/>
  <c r="M297" i="3"/>
  <c r="AE297" i="3"/>
  <c r="AD297" i="3"/>
  <c r="AF297" i="3"/>
  <c r="AM297" i="3"/>
  <c r="AK297" i="3"/>
  <c r="AO297" i="3" s="1"/>
  <c r="P297" i="3"/>
  <c r="R297" i="3"/>
  <c r="V297" i="3"/>
  <c r="T297" i="3"/>
  <c r="BD293" i="3"/>
  <c r="BG293" i="3"/>
  <c r="BH293" i="3" s="1"/>
  <c r="BI293" i="3" s="1"/>
  <c r="Y296" i="3"/>
  <c r="Z296" i="3" s="1"/>
  <c r="AO296" i="3"/>
  <c r="AU295" i="3"/>
  <c r="AV295" i="3" s="1"/>
  <c r="AH296" i="3"/>
  <c r="AW295" i="3"/>
  <c r="AY295" i="3" s="1"/>
  <c r="AX296" i="3" l="1"/>
  <c r="BC295" i="3"/>
  <c r="AG297" i="3"/>
  <c r="BG295" i="3"/>
  <c r="BH295" i="3" s="1"/>
  <c r="BI295" i="3" s="1"/>
  <c r="BD295" i="3"/>
  <c r="X297" i="3"/>
  <c r="Y297" i="3"/>
  <c r="Z297" i="3" s="1"/>
  <c r="BA295" i="3"/>
  <c r="AT296" i="3"/>
  <c r="AU296" i="3"/>
  <c r="BB294" i="3"/>
  <c r="BF294" i="3"/>
  <c r="BJ293" i="3" s="1"/>
  <c r="BK293" i="3" s="1"/>
  <c r="BQ294" i="3"/>
  <c r="AW296" i="3"/>
  <c r="AN297" i="3"/>
  <c r="AH297" i="3"/>
  <c r="BD294" i="3"/>
  <c r="BG294" i="3"/>
  <c r="BH294" i="3" s="1"/>
  <c r="BI294" i="3" s="1"/>
  <c r="D298" i="3"/>
  <c r="AR298" i="3"/>
  <c r="B298" i="3"/>
  <c r="AQ298" i="3"/>
  <c r="A299" i="3"/>
  <c r="C298" i="3"/>
  <c r="F298" i="3"/>
  <c r="BM298" i="3" s="1"/>
  <c r="G298" i="3"/>
  <c r="H298" i="3" s="1"/>
  <c r="S298" i="3"/>
  <c r="Q298" i="3"/>
  <c r="O298" i="3"/>
  <c r="U298" i="3"/>
  <c r="AE298" i="3"/>
  <c r="M298" i="3"/>
  <c r="AD298" i="3"/>
  <c r="AK298" i="3"/>
  <c r="AF298" i="3"/>
  <c r="AM298" i="3"/>
  <c r="AN298" i="3" s="1"/>
  <c r="R298" i="3"/>
  <c r="V298" i="3"/>
  <c r="T298" i="3"/>
  <c r="P298" i="3"/>
  <c r="AY296" i="3" l="1"/>
  <c r="AX297" i="3"/>
  <c r="AH298" i="3"/>
  <c r="BN298" i="3"/>
  <c r="Y298" i="3"/>
  <c r="Z298" i="3" s="1"/>
  <c r="AO298" i="3"/>
  <c r="AG298" i="3"/>
  <c r="AW297" i="3"/>
  <c r="AY297" i="3" s="1"/>
  <c r="AV296" i="3"/>
  <c r="BC296" i="3" s="1"/>
  <c r="BA296" i="3"/>
  <c r="BF295" i="3"/>
  <c r="BJ294" i="3" s="1"/>
  <c r="BK294" i="3" s="1"/>
  <c r="BB295" i="3"/>
  <c r="BQ295" i="3"/>
  <c r="AU297" i="3"/>
  <c r="AU298" i="3"/>
  <c r="AT298" i="3"/>
  <c r="AT297" i="3"/>
  <c r="X298" i="3"/>
  <c r="AQ299" i="3"/>
  <c r="B299" i="3"/>
  <c r="A300" i="3"/>
  <c r="AR299" i="3"/>
  <c r="C299" i="3"/>
  <c r="D299" i="3"/>
  <c r="F299" i="3"/>
  <c r="G299" i="3"/>
  <c r="H299" i="3" s="1"/>
  <c r="Q299" i="3"/>
  <c r="S299" i="3"/>
  <c r="O299" i="3"/>
  <c r="U299" i="3"/>
  <c r="AD299" i="3"/>
  <c r="AF299" i="3"/>
  <c r="AM299" i="3"/>
  <c r="M299" i="3"/>
  <c r="AE299" i="3"/>
  <c r="AG299" i="3" s="1"/>
  <c r="AK299" i="3"/>
  <c r="V299" i="3"/>
  <c r="P299" i="3"/>
  <c r="T299" i="3"/>
  <c r="R299" i="3"/>
  <c r="AW298" i="3" l="1"/>
  <c r="AO299" i="3"/>
  <c r="BM299" i="3"/>
  <c r="AV297" i="3"/>
  <c r="BC297" i="3" s="1"/>
  <c r="BA297" i="3"/>
  <c r="A301" i="3"/>
  <c r="B300" i="3"/>
  <c r="AR300" i="3"/>
  <c r="AQ300" i="3"/>
  <c r="C300" i="3"/>
  <c r="D300" i="3"/>
  <c r="G300" i="3"/>
  <c r="H300" i="3" s="1"/>
  <c r="BN300" i="3" s="1"/>
  <c r="F300" i="3"/>
  <c r="BM300" i="3" s="1"/>
  <c r="Q300" i="3"/>
  <c r="S300" i="3"/>
  <c r="O300" i="3"/>
  <c r="U300" i="3"/>
  <c r="AE300" i="3"/>
  <c r="AD300" i="3"/>
  <c r="M300" i="3"/>
  <c r="AF300" i="3"/>
  <c r="AM300" i="3"/>
  <c r="AK300" i="3"/>
  <c r="R300" i="3"/>
  <c r="V300" i="3"/>
  <c r="T300" i="3"/>
  <c r="P300" i="3"/>
  <c r="BB296" i="3"/>
  <c r="BF296" i="3"/>
  <c r="BJ295" i="3" s="1"/>
  <c r="BK295" i="3" s="1"/>
  <c r="BQ296" i="3"/>
  <c r="AV298" i="3"/>
  <c r="BD296" i="3"/>
  <c r="BG296" i="3"/>
  <c r="BH296" i="3" s="1"/>
  <c r="BI296" i="3" s="1"/>
  <c r="AH299" i="3"/>
  <c r="X299" i="3"/>
  <c r="Y299" i="3"/>
  <c r="Z299" i="3" s="1"/>
  <c r="AN299" i="3"/>
  <c r="BN299" i="3"/>
  <c r="AX298" i="3"/>
  <c r="AY298" i="3" s="1"/>
  <c r="AN300" i="3" l="1"/>
  <c r="BA298" i="3"/>
  <c r="BB298" i="3" s="1"/>
  <c r="BC298" i="3"/>
  <c r="AH300" i="3"/>
  <c r="AG300" i="3"/>
  <c r="AU300" i="3" s="1"/>
  <c r="AR301" i="3"/>
  <c r="B301" i="3"/>
  <c r="AQ301" i="3"/>
  <c r="A302" i="3"/>
  <c r="C301" i="3"/>
  <c r="D301" i="3"/>
  <c r="F301" i="3"/>
  <c r="BM301" i="3" s="1"/>
  <c r="G301" i="3"/>
  <c r="H301" i="3" s="1"/>
  <c r="BN301" i="3" s="1"/>
  <c r="Q301" i="3"/>
  <c r="S301" i="3"/>
  <c r="O301" i="3"/>
  <c r="U301" i="3"/>
  <c r="AE301" i="3"/>
  <c r="AD301" i="3"/>
  <c r="AK301" i="3"/>
  <c r="M301" i="3"/>
  <c r="AM301" i="3"/>
  <c r="AF301" i="3"/>
  <c r="V301" i="3"/>
  <c r="R301" i="3"/>
  <c r="T301" i="3"/>
  <c r="P301" i="3"/>
  <c r="AX299" i="3"/>
  <c r="AW299" i="3"/>
  <c r="Y300" i="3"/>
  <c r="Z300" i="3" s="1"/>
  <c r="BQ297" i="3"/>
  <c r="BF297" i="3"/>
  <c r="BJ296" i="3" s="1"/>
  <c r="BK296" i="3" s="1"/>
  <c r="BB297" i="3"/>
  <c r="AT299" i="3"/>
  <c r="BD298" i="3"/>
  <c r="BG298" i="3"/>
  <c r="BH298" i="3" s="1"/>
  <c r="BI298" i="3" s="1"/>
  <c r="AT300" i="3"/>
  <c r="BD297" i="3"/>
  <c r="BG297" i="3"/>
  <c r="BH297" i="3" s="1"/>
  <c r="BI297" i="3" s="1"/>
  <c r="X300" i="3"/>
  <c r="AO300" i="3"/>
  <c r="AU299" i="3"/>
  <c r="AN301" i="3" l="1"/>
  <c r="AY299" i="3"/>
  <c r="X301" i="3"/>
  <c r="BF298" i="3"/>
  <c r="BJ297" i="3" s="1"/>
  <c r="BK297" i="3" s="1"/>
  <c r="BQ298" i="3"/>
  <c r="AG301" i="3"/>
  <c r="B302" i="3"/>
  <c r="AQ302" i="3"/>
  <c r="A303" i="3"/>
  <c r="D302" i="3"/>
  <c r="C302" i="3"/>
  <c r="AR302" i="3"/>
  <c r="F302" i="3"/>
  <c r="BM302" i="3" s="1"/>
  <c r="G302" i="3"/>
  <c r="H302" i="3" s="1"/>
  <c r="BN302" i="3" s="1"/>
  <c r="Q302" i="3"/>
  <c r="S302" i="3"/>
  <c r="O302" i="3"/>
  <c r="U302" i="3"/>
  <c r="AD302" i="3"/>
  <c r="AF302" i="3"/>
  <c r="AM302" i="3"/>
  <c r="AK302" i="3"/>
  <c r="AO302" i="3" s="1"/>
  <c r="M302" i="3"/>
  <c r="AE302" i="3"/>
  <c r="R302" i="3"/>
  <c r="P302" i="3"/>
  <c r="T302" i="3"/>
  <c r="V302" i="3"/>
  <c r="Y301" i="3"/>
  <c r="Z301" i="3" s="1"/>
  <c r="AV300" i="3"/>
  <c r="BA299" i="3"/>
  <c r="AV299" i="3"/>
  <c r="BC299" i="3" s="1"/>
  <c r="AW300" i="3"/>
  <c r="AH301" i="3"/>
  <c r="AO301" i="3"/>
  <c r="AX300" i="3"/>
  <c r="AG302" i="3" l="1"/>
  <c r="AN302" i="3"/>
  <c r="AX301" i="3"/>
  <c r="AY300" i="3"/>
  <c r="BD299" i="3"/>
  <c r="BG299" i="3"/>
  <c r="BH299" i="3" s="1"/>
  <c r="BI299" i="3" s="1"/>
  <c r="AH302" i="3"/>
  <c r="AX302" i="3" s="1"/>
  <c r="AT301" i="3"/>
  <c r="AU301" i="3"/>
  <c r="AW301" i="3"/>
  <c r="AQ303" i="3"/>
  <c r="B303" i="3"/>
  <c r="A304" i="3"/>
  <c r="AR303" i="3"/>
  <c r="D303" i="3"/>
  <c r="C303" i="3"/>
  <c r="F303" i="3"/>
  <c r="BM303" i="3" s="1"/>
  <c r="G303" i="3"/>
  <c r="H303" i="3" s="1"/>
  <c r="BN303" i="3" s="1"/>
  <c r="Q303" i="3"/>
  <c r="S303" i="3"/>
  <c r="O303" i="3"/>
  <c r="U303" i="3"/>
  <c r="AD303" i="3"/>
  <c r="M303" i="3"/>
  <c r="AE303" i="3"/>
  <c r="AM303" i="3"/>
  <c r="AF303" i="3"/>
  <c r="AK303" i="3"/>
  <c r="T303" i="3"/>
  <c r="P303" i="3"/>
  <c r="V303" i="3"/>
  <c r="R303" i="3"/>
  <c r="X302" i="3"/>
  <c r="BF299" i="3"/>
  <c r="BJ298" i="3" s="1"/>
  <c r="BK298" i="3" s="1"/>
  <c r="BB299" i="3"/>
  <c r="BQ299" i="3"/>
  <c r="BC300" i="3"/>
  <c r="BA300" i="3"/>
  <c r="Y302" i="3"/>
  <c r="Z302" i="3" s="1"/>
  <c r="AO303" i="3" l="1"/>
  <c r="AT302" i="3"/>
  <c r="Y303" i="3"/>
  <c r="Z303" i="3" s="1"/>
  <c r="BD300" i="3"/>
  <c r="BG300" i="3"/>
  <c r="BH300" i="3" s="1"/>
  <c r="BI300" i="3" s="1"/>
  <c r="BB300" i="3"/>
  <c r="BF300" i="3"/>
  <c r="BJ299" i="3" s="1"/>
  <c r="BK299" i="3" s="1"/>
  <c r="BQ300" i="3"/>
  <c r="A305" i="3"/>
  <c r="B304" i="3"/>
  <c r="AR304" i="3"/>
  <c r="AQ304" i="3"/>
  <c r="C304" i="3"/>
  <c r="D304" i="3"/>
  <c r="G304" i="3"/>
  <c r="H304" i="3" s="1"/>
  <c r="BN304" i="3" s="1"/>
  <c r="F304" i="3"/>
  <c r="BM304" i="3" s="1"/>
  <c r="Q304" i="3"/>
  <c r="S304" i="3"/>
  <c r="O304" i="3"/>
  <c r="U304" i="3"/>
  <c r="M304" i="3"/>
  <c r="AD304" i="3"/>
  <c r="AE304" i="3"/>
  <c r="AM304" i="3"/>
  <c r="AK304" i="3"/>
  <c r="AO304" i="3" s="1"/>
  <c r="AF304" i="3"/>
  <c r="T304" i="3"/>
  <c r="V304" i="3"/>
  <c r="R304" i="3"/>
  <c r="P304" i="3"/>
  <c r="AG303" i="3"/>
  <c r="X303" i="3"/>
  <c r="AV301" i="3"/>
  <c r="BA301" i="3"/>
  <c r="AY301" i="3"/>
  <c r="AN303" i="3"/>
  <c r="AU302" i="3"/>
  <c r="AV302" i="3" s="1"/>
  <c r="AH303" i="3"/>
  <c r="AW302" i="3"/>
  <c r="AY302" i="3" s="1"/>
  <c r="AH304" i="3" l="1"/>
  <c r="BC302" i="3"/>
  <c r="BD302" i="3" s="1"/>
  <c r="BC301" i="3"/>
  <c r="Y304" i="3"/>
  <c r="Z304" i="3" s="1"/>
  <c r="BF301" i="3"/>
  <c r="BJ300" i="3" s="1"/>
  <c r="BK300" i="3" s="1"/>
  <c r="BQ301" i="3"/>
  <c r="BB301" i="3"/>
  <c r="AG304" i="3"/>
  <c r="AT304" i="3" s="1"/>
  <c r="BA302" i="3"/>
  <c r="AN304" i="3"/>
  <c r="AW303" i="3"/>
  <c r="A306" i="3"/>
  <c r="D305" i="3"/>
  <c r="C305" i="3"/>
  <c r="AR305" i="3"/>
  <c r="B305" i="3"/>
  <c r="AQ305" i="3"/>
  <c r="F305" i="3"/>
  <c r="G305" i="3"/>
  <c r="H305" i="3" s="1"/>
  <c r="Q305" i="3"/>
  <c r="S305" i="3"/>
  <c r="O305" i="3"/>
  <c r="U305" i="3"/>
  <c r="AD305" i="3"/>
  <c r="AE305" i="3"/>
  <c r="AF305" i="3"/>
  <c r="AK305" i="3"/>
  <c r="AM305" i="3"/>
  <c r="M305" i="3"/>
  <c r="T305" i="3"/>
  <c r="V305" i="3"/>
  <c r="P305" i="3"/>
  <c r="R305" i="3"/>
  <c r="AU303" i="3"/>
  <c r="AX303" i="3"/>
  <c r="X304" i="3"/>
  <c r="AT303" i="3"/>
  <c r="BG302" i="3" l="1"/>
  <c r="BH302" i="3" s="1"/>
  <c r="BI302" i="3" s="1"/>
  <c r="AX304" i="3"/>
  <c r="AN305" i="3"/>
  <c r="AR306" i="3"/>
  <c r="B306" i="3"/>
  <c r="AQ306" i="3"/>
  <c r="A307" i="3"/>
  <c r="D306" i="3"/>
  <c r="C306" i="3"/>
  <c r="F306" i="3"/>
  <c r="BM306" i="3" s="1"/>
  <c r="G306" i="3"/>
  <c r="H306" i="3" s="1"/>
  <c r="BN306" i="3" s="1"/>
  <c r="Q306" i="3"/>
  <c r="S306" i="3"/>
  <c r="O306" i="3"/>
  <c r="U306" i="3"/>
  <c r="AE306" i="3"/>
  <c r="AD306" i="3"/>
  <c r="AK306" i="3"/>
  <c r="M306" i="3"/>
  <c r="AF306" i="3"/>
  <c r="AM306" i="3"/>
  <c r="V306" i="3"/>
  <c r="T306" i="3"/>
  <c r="R306" i="3"/>
  <c r="P306" i="3"/>
  <c r="AW304" i="3"/>
  <c r="AY304" i="3" s="1"/>
  <c r="AY303" i="3"/>
  <c r="Y305" i="3"/>
  <c r="Z305" i="3" s="1"/>
  <c r="AO305" i="3"/>
  <c r="AH305" i="3"/>
  <c r="BF302" i="3"/>
  <c r="BJ301" i="3" s="1"/>
  <c r="BK301" i="3" s="1"/>
  <c r="BB302" i="3"/>
  <c r="BQ302" i="3"/>
  <c r="BN305" i="3"/>
  <c r="AU304" i="3"/>
  <c r="BA304" i="3" s="1"/>
  <c r="BM305" i="3"/>
  <c r="AG305" i="3"/>
  <c r="AW305" i="3" s="1"/>
  <c r="X305" i="3"/>
  <c r="BD301" i="3"/>
  <c r="BG301" i="3"/>
  <c r="BH301" i="3" s="1"/>
  <c r="BI301" i="3" s="1"/>
  <c r="AV303" i="3"/>
  <c r="BA303" i="3"/>
  <c r="AO306" i="3" l="1"/>
  <c r="AT305" i="3"/>
  <c r="BQ304" i="3"/>
  <c r="BF304" i="3"/>
  <c r="BB304" i="3"/>
  <c r="AG306" i="3"/>
  <c r="AU305" i="3"/>
  <c r="AV305" i="3" s="1"/>
  <c r="X306" i="3"/>
  <c r="AX305" i="3"/>
  <c r="AY305" i="3" s="1"/>
  <c r="AQ307" i="3"/>
  <c r="B307" i="3"/>
  <c r="A308" i="3"/>
  <c r="AR307" i="3"/>
  <c r="C307" i="3"/>
  <c r="D307" i="3"/>
  <c r="F307" i="3"/>
  <c r="BM307" i="3" s="1"/>
  <c r="G307" i="3"/>
  <c r="H307" i="3" s="1"/>
  <c r="BN307" i="3" s="1"/>
  <c r="S307" i="3"/>
  <c r="Q307" i="3"/>
  <c r="O307" i="3"/>
  <c r="U307" i="3"/>
  <c r="AE307" i="3"/>
  <c r="AD307" i="3"/>
  <c r="AM307" i="3"/>
  <c r="M307" i="3"/>
  <c r="AF307" i="3"/>
  <c r="AH307" i="3" s="1"/>
  <c r="AK307" i="3"/>
  <c r="AO307" i="3" s="1"/>
  <c r="T307" i="3"/>
  <c r="V307" i="3"/>
  <c r="R307" i="3"/>
  <c r="P307" i="3"/>
  <c r="BB303" i="3"/>
  <c r="BQ303" i="3"/>
  <c r="BF303" i="3"/>
  <c r="BJ302" i="3" s="1"/>
  <c r="BK302" i="3" s="1"/>
  <c r="Y306" i="3"/>
  <c r="Z306" i="3" s="1"/>
  <c r="AV304" i="3"/>
  <c r="BC304" i="3" s="1"/>
  <c r="AH306" i="3"/>
  <c r="BC303" i="3"/>
  <c r="AN306" i="3"/>
  <c r="BC305" i="3" l="1"/>
  <c r="AW306" i="3"/>
  <c r="AX306" i="3"/>
  <c r="Y307" i="3"/>
  <c r="Z307" i="3" s="1"/>
  <c r="BD304" i="3"/>
  <c r="BG304" i="3"/>
  <c r="BH304" i="3" s="1"/>
  <c r="BI304" i="3" s="1"/>
  <c r="C308" i="3"/>
  <c r="A309" i="3"/>
  <c r="B308" i="3"/>
  <c r="AR308" i="3"/>
  <c r="AQ308" i="3"/>
  <c r="D308" i="3"/>
  <c r="F308" i="3"/>
  <c r="BM308" i="3" s="1"/>
  <c r="G308" i="3"/>
  <c r="H308" i="3" s="1"/>
  <c r="BN308" i="3" s="1"/>
  <c r="Q308" i="3"/>
  <c r="S308" i="3"/>
  <c r="O308" i="3"/>
  <c r="U308" i="3"/>
  <c r="AE308" i="3"/>
  <c r="AD308" i="3"/>
  <c r="M308" i="3"/>
  <c r="AM308" i="3"/>
  <c r="AK308" i="3"/>
  <c r="AF308" i="3"/>
  <c r="P308" i="3"/>
  <c r="T308" i="3"/>
  <c r="R308" i="3"/>
  <c r="V308" i="3"/>
  <c r="AG307" i="3"/>
  <c r="AT306" i="3"/>
  <c r="BA305" i="3"/>
  <c r="AN307" i="3"/>
  <c r="AX307" i="3" s="1"/>
  <c r="X307" i="3"/>
  <c r="BJ303" i="3"/>
  <c r="BK303" i="3" s="1"/>
  <c r="AT307" i="3"/>
  <c r="BD303" i="3"/>
  <c r="BG303" i="3"/>
  <c r="BH303" i="3" s="1"/>
  <c r="BI303" i="3" s="1"/>
  <c r="AU306" i="3"/>
  <c r="AY306" i="3" l="1"/>
  <c r="X308" i="3"/>
  <c r="AG308" i="3"/>
  <c r="AH308" i="3"/>
  <c r="AN308" i="3"/>
  <c r="BQ305" i="3"/>
  <c r="BF305" i="3"/>
  <c r="BJ304" i="3" s="1"/>
  <c r="BK304" i="3" s="1"/>
  <c r="BB305" i="3"/>
  <c r="Y308" i="3"/>
  <c r="Z308" i="3" s="1"/>
  <c r="AU308" i="3"/>
  <c r="AW307" i="3"/>
  <c r="AY307" i="3" s="1"/>
  <c r="BA306" i="3"/>
  <c r="AV306" i="3"/>
  <c r="BC306" i="3" s="1"/>
  <c r="AU307" i="3"/>
  <c r="AV307" i="3" s="1"/>
  <c r="AR309" i="3"/>
  <c r="B309" i="3"/>
  <c r="AQ309" i="3"/>
  <c r="A310" i="3"/>
  <c r="D309" i="3"/>
  <c r="C309" i="3"/>
  <c r="G309" i="3"/>
  <c r="H309" i="3" s="1"/>
  <c r="F309" i="3"/>
  <c r="BM309" i="3" s="1"/>
  <c r="Q309" i="3"/>
  <c r="S309" i="3"/>
  <c r="O309" i="3"/>
  <c r="U309" i="3"/>
  <c r="AD309" i="3"/>
  <c r="M309" i="3"/>
  <c r="AE309" i="3"/>
  <c r="AK309" i="3"/>
  <c r="AF309" i="3"/>
  <c r="AM309" i="3"/>
  <c r="V309" i="3"/>
  <c r="T309" i="3"/>
  <c r="R309" i="3"/>
  <c r="P309" i="3"/>
  <c r="AT308" i="3"/>
  <c r="AO308" i="3"/>
  <c r="AX308" i="3" s="1"/>
  <c r="BD305" i="3"/>
  <c r="BG305" i="3"/>
  <c r="BH305" i="3" s="1"/>
  <c r="BI305" i="3" s="1"/>
  <c r="BC307" i="3" l="1"/>
  <c r="AH309" i="3"/>
  <c r="AO309" i="3"/>
  <c r="BD307" i="3"/>
  <c r="BG307" i="3"/>
  <c r="BH307" i="3" s="1"/>
  <c r="BI307" i="3" s="1"/>
  <c r="AV308" i="3"/>
  <c r="BQ306" i="3"/>
  <c r="BB306" i="3"/>
  <c r="BF306" i="3"/>
  <c r="BJ305" i="3" s="1"/>
  <c r="BK305" i="3" s="1"/>
  <c r="Y309" i="3"/>
  <c r="Z309" i="3" s="1"/>
  <c r="AN309" i="3"/>
  <c r="AG309" i="3"/>
  <c r="AW309" i="3" s="1"/>
  <c r="BA307" i="3"/>
  <c r="AW308" i="3"/>
  <c r="AY308" i="3" s="1"/>
  <c r="AR310" i="3"/>
  <c r="B310" i="3"/>
  <c r="AQ310" i="3"/>
  <c r="A311" i="3"/>
  <c r="D310" i="3"/>
  <c r="C310" i="3"/>
  <c r="F310" i="3"/>
  <c r="BM310" i="3" s="1"/>
  <c r="G310" i="3"/>
  <c r="H310" i="3" s="1"/>
  <c r="Q310" i="3"/>
  <c r="S310" i="3"/>
  <c r="O310" i="3"/>
  <c r="U310" i="3"/>
  <c r="AD310" i="3"/>
  <c r="AE310" i="3"/>
  <c r="M310" i="3"/>
  <c r="AF310" i="3"/>
  <c r="AM310" i="3"/>
  <c r="AK310" i="3"/>
  <c r="R310" i="3"/>
  <c r="V310" i="3"/>
  <c r="P310" i="3"/>
  <c r="T310" i="3"/>
  <c r="BD306" i="3"/>
  <c r="BG306" i="3"/>
  <c r="BH306" i="3" s="1"/>
  <c r="BI306" i="3" s="1"/>
  <c r="BN309" i="3"/>
  <c r="X309" i="3"/>
  <c r="AX309" i="3" l="1"/>
  <c r="AY309" i="3" s="1"/>
  <c r="AN310" i="3"/>
  <c r="BB307" i="3"/>
  <c r="BQ307" i="3"/>
  <c r="BF307" i="3"/>
  <c r="BJ306" i="3" s="1"/>
  <c r="BK306" i="3" s="1"/>
  <c r="AH310" i="3"/>
  <c r="AO310" i="3"/>
  <c r="AT309" i="3"/>
  <c r="AQ311" i="3"/>
  <c r="B311" i="3"/>
  <c r="A312" i="3"/>
  <c r="AR311" i="3"/>
  <c r="D311" i="3"/>
  <c r="C311" i="3"/>
  <c r="G311" i="3"/>
  <c r="H311" i="3" s="1"/>
  <c r="BN311" i="3" s="1"/>
  <c r="F311" i="3"/>
  <c r="BM311" i="3" s="1"/>
  <c r="Q311" i="3"/>
  <c r="S311" i="3"/>
  <c r="O311" i="3"/>
  <c r="U311" i="3"/>
  <c r="AD311" i="3"/>
  <c r="AF311" i="3"/>
  <c r="AE311" i="3"/>
  <c r="AM311" i="3"/>
  <c r="M311" i="3"/>
  <c r="AK311" i="3"/>
  <c r="P311" i="3"/>
  <c r="T311" i="3"/>
  <c r="R311" i="3"/>
  <c r="V311" i="3"/>
  <c r="AG310" i="3"/>
  <c r="AW310" i="3" s="1"/>
  <c r="BC308" i="3"/>
  <c r="AU309" i="3"/>
  <c r="BN310" i="3"/>
  <c r="BA308" i="3"/>
  <c r="Y310" i="3"/>
  <c r="Z310" i="3" s="1"/>
  <c r="X310" i="3"/>
  <c r="AO311" i="3" l="1"/>
  <c r="AG311" i="3"/>
  <c r="BF308" i="3"/>
  <c r="BJ307" i="3" s="1"/>
  <c r="BK307" i="3" s="1"/>
  <c r="BB308" i="3"/>
  <c r="BQ308" i="3"/>
  <c r="Y311" i="3"/>
  <c r="Z311" i="3" s="1"/>
  <c r="AX310" i="3"/>
  <c r="AY310" i="3" s="1"/>
  <c r="BD308" i="3"/>
  <c r="BG308" i="3"/>
  <c r="BH308" i="3" s="1"/>
  <c r="BI308" i="3" s="1"/>
  <c r="B312" i="3"/>
  <c r="AR312" i="3"/>
  <c r="AQ312" i="3"/>
  <c r="D312" i="3"/>
  <c r="C312" i="3"/>
  <c r="A313" i="3"/>
  <c r="F312" i="3"/>
  <c r="BM312" i="3" s="1"/>
  <c r="G312" i="3"/>
  <c r="H312" i="3" s="1"/>
  <c r="BN312" i="3" s="1"/>
  <c r="Q312" i="3"/>
  <c r="S312" i="3"/>
  <c r="O312" i="3"/>
  <c r="U312" i="3"/>
  <c r="M312" i="3"/>
  <c r="AE312" i="3"/>
  <c r="AD312" i="3"/>
  <c r="AF312" i="3"/>
  <c r="AK312" i="3"/>
  <c r="AM312" i="3"/>
  <c r="AN312" i="3" s="1"/>
  <c r="R312" i="3"/>
  <c r="T312" i="3"/>
  <c r="P312" i="3"/>
  <c r="V312" i="3"/>
  <c r="AV309" i="3"/>
  <c r="BC309" i="3" s="1"/>
  <c r="BA309" i="3"/>
  <c r="AH311" i="3"/>
  <c r="AT310" i="3"/>
  <c r="AU310" i="3"/>
  <c r="AN311" i="3"/>
  <c r="X311" i="3"/>
  <c r="AW311" i="3" l="1"/>
  <c r="X312" i="3"/>
  <c r="BA310" i="3"/>
  <c r="AV310" i="3"/>
  <c r="BC310" i="3" s="1"/>
  <c r="BF309" i="3"/>
  <c r="BJ308" i="3" s="1"/>
  <c r="BK308" i="3" s="1"/>
  <c r="BQ309" i="3"/>
  <c r="BB309" i="3"/>
  <c r="AU311" i="3"/>
  <c r="AR313" i="3"/>
  <c r="B313" i="3"/>
  <c r="AQ313" i="3"/>
  <c r="A314" i="3"/>
  <c r="C313" i="3"/>
  <c r="D313" i="3"/>
  <c r="F313" i="3"/>
  <c r="BM313" i="3" s="1"/>
  <c r="G313" i="3"/>
  <c r="H313" i="3" s="1"/>
  <c r="BN313" i="3" s="1"/>
  <c r="Q313" i="3"/>
  <c r="S313" i="3"/>
  <c r="O313" i="3"/>
  <c r="U313" i="3"/>
  <c r="AE313" i="3"/>
  <c r="AD313" i="3"/>
  <c r="M313" i="3"/>
  <c r="AF313" i="3"/>
  <c r="AK313" i="3"/>
  <c r="AM313" i="3"/>
  <c r="V313" i="3"/>
  <c r="P313" i="3"/>
  <c r="T313" i="3"/>
  <c r="R313" i="3"/>
  <c r="AX311" i="3"/>
  <c r="AY311" i="3" s="1"/>
  <c r="Y312" i="3"/>
  <c r="Z312" i="3" s="1"/>
  <c r="AH312" i="3"/>
  <c r="AO312" i="3"/>
  <c r="AG312" i="3"/>
  <c r="AT311" i="3"/>
  <c r="BD309" i="3"/>
  <c r="BG309" i="3"/>
  <c r="BH309" i="3" s="1"/>
  <c r="BI309" i="3" s="1"/>
  <c r="AW312" i="3" l="1"/>
  <c r="AN313" i="3"/>
  <c r="Y313" i="3"/>
  <c r="Z313" i="3" s="1"/>
  <c r="AR314" i="3"/>
  <c r="B314" i="3"/>
  <c r="AQ314" i="3"/>
  <c r="A315" i="3"/>
  <c r="D314" i="3"/>
  <c r="C314" i="3"/>
  <c r="G314" i="3"/>
  <c r="H314" i="3" s="1"/>
  <c r="BN314" i="3" s="1"/>
  <c r="F314" i="3"/>
  <c r="BM314" i="3" s="1"/>
  <c r="Q314" i="3"/>
  <c r="S314" i="3"/>
  <c r="O314" i="3"/>
  <c r="U314" i="3"/>
  <c r="AD314" i="3"/>
  <c r="AE314" i="3"/>
  <c r="AF314" i="3"/>
  <c r="AK314" i="3"/>
  <c r="AM314" i="3"/>
  <c r="M314" i="3"/>
  <c r="V314" i="3"/>
  <c r="T314" i="3"/>
  <c r="P314" i="3"/>
  <c r="R314" i="3"/>
  <c r="AV311" i="3"/>
  <c r="BC311" i="3" s="1"/>
  <c r="BA311" i="3"/>
  <c r="AX312" i="3"/>
  <c r="AY312" i="3" s="1"/>
  <c r="AU312" i="3"/>
  <c r="BD310" i="3"/>
  <c r="BG310" i="3"/>
  <c r="BH310" i="3" s="1"/>
  <c r="BI310" i="3" s="1"/>
  <c r="AG313" i="3"/>
  <c r="BB310" i="3"/>
  <c r="BQ310" i="3"/>
  <c r="BF310" i="3"/>
  <c r="BJ309" i="3" s="1"/>
  <c r="BK309" i="3" s="1"/>
  <c r="AT312" i="3"/>
  <c r="AO313" i="3"/>
  <c r="AH313" i="3"/>
  <c r="X313" i="3"/>
  <c r="AX313" i="3" l="1"/>
  <c r="AN314" i="3"/>
  <c r="AG314" i="3"/>
  <c r="AO314" i="3"/>
  <c r="AT313" i="3"/>
  <c r="AH314" i="3"/>
  <c r="AX314" i="3" s="1"/>
  <c r="AW313" i="3"/>
  <c r="AY313" i="3" s="1"/>
  <c r="AT314" i="3"/>
  <c r="X314" i="3"/>
  <c r="BD311" i="3"/>
  <c r="BG311" i="3"/>
  <c r="BH311" i="3" s="1"/>
  <c r="BI311" i="3" s="1"/>
  <c r="AU313" i="3"/>
  <c r="AV312" i="3"/>
  <c r="BC312" i="3" s="1"/>
  <c r="BA312" i="3"/>
  <c r="AU314" i="3"/>
  <c r="Y314" i="3"/>
  <c r="Z314" i="3" s="1"/>
  <c r="BQ311" i="3"/>
  <c r="BF311" i="3"/>
  <c r="BJ310" i="3" s="1"/>
  <c r="BK310" i="3" s="1"/>
  <c r="BB311" i="3"/>
  <c r="AR315" i="3"/>
  <c r="C315" i="3"/>
  <c r="D315" i="3"/>
  <c r="B315" i="3"/>
  <c r="A316" i="3"/>
  <c r="AQ315" i="3"/>
  <c r="F315" i="3"/>
  <c r="G315" i="3"/>
  <c r="H315" i="3" s="1"/>
  <c r="Q315" i="3"/>
  <c r="S315" i="3"/>
  <c r="O315" i="3"/>
  <c r="U315" i="3"/>
  <c r="AE315" i="3"/>
  <c r="AD315" i="3"/>
  <c r="AF315" i="3"/>
  <c r="AK315" i="3"/>
  <c r="AM315" i="3"/>
  <c r="M315" i="3"/>
  <c r="V315" i="3"/>
  <c r="P315" i="3"/>
  <c r="T315" i="3"/>
  <c r="R315" i="3"/>
  <c r="AN315" i="3" l="1"/>
  <c r="BB312" i="3"/>
  <c r="BQ312" i="3"/>
  <c r="BF312" i="3"/>
  <c r="BJ311" i="3" s="1"/>
  <c r="BK311" i="3" s="1"/>
  <c r="BN315" i="3"/>
  <c r="Y315" i="3"/>
  <c r="Z315" i="3" s="1"/>
  <c r="AH315" i="3"/>
  <c r="BM315" i="3"/>
  <c r="AO315" i="3"/>
  <c r="BD312" i="3"/>
  <c r="BG312" i="3"/>
  <c r="BH312" i="3" s="1"/>
  <c r="BI312" i="3" s="1"/>
  <c r="X315" i="3"/>
  <c r="A317" i="3"/>
  <c r="B316" i="3"/>
  <c r="AR316" i="3"/>
  <c r="AQ316" i="3"/>
  <c r="D316" i="3"/>
  <c r="C316" i="3"/>
  <c r="G316" i="3"/>
  <c r="H316" i="3" s="1"/>
  <c r="F316" i="3"/>
  <c r="Q316" i="3"/>
  <c r="S316" i="3"/>
  <c r="O316" i="3"/>
  <c r="U316" i="3"/>
  <c r="AD316" i="3"/>
  <c r="AM316" i="3"/>
  <c r="AE316" i="3"/>
  <c r="M316" i="3"/>
  <c r="AF316" i="3"/>
  <c r="AK316" i="3"/>
  <c r="AO316" i="3" s="1"/>
  <c r="V316" i="3"/>
  <c r="T316" i="3"/>
  <c r="R316" i="3"/>
  <c r="P316" i="3"/>
  <c r="AW314" i="3"/>
  <c r="AY314" i="3" s="1"/>
  <c r="AG315" i="3"/>
  <c r="AW315" i="3" s="1"/>
  <c r="AV314" i="3"/>
  <c r="BA313" i="3"/>
  <c r="AV313" i="3"/>
  <c r="BC313" i="3" s="1"/>
  <c r="AH316" i="3" l="1"/>
  <c r="BC314" i="3"/>
  <c r="BA314" i="3"/>
  <c r="AR317" i="3"/>
  <c r="B317" i="3"/>
  <c r="AQ317" i="3"/>
  <c r="A318" i="3"/>
  <c r="C317" i="3"/>
  <c r="D317" i="3"/>
  <c r="G317" i="3"/>
  <c r="H317" i="3" s="1"/>
  <c r="BN317" i="3" s="1"/>
  <c r="F317" i="3"/>
  <c r="BM317" i="3" s="1"/>
  <c r="S317" i="3"/>
  <c r="Q317" i="3"/>
  <c r="O317" i="3"/>
  <c r="U317" i="3"/>
  <c r="AE317" i="3"/>
  <c r="M317" i="3"/>
  <c r="AD317" i="3"/>
  <c r="AF317" i="3"/>
  <c r="AM317" i="3"/>
  <c r="AK317" i="3"/>
  <c r="V317" i="3"/>
  <c r="R317" i="3"/>
  <c r="P317" i="3"/>
  <c r="T317" i="3"/>
  <c r="X316" i="3"/>
  <c r="BD314" i="3"/>
  <c r="BG314" i="3"/>
  <c r="BH314" i="3" s="1"/>
  <c r="BI314" i="3" s="1"/>
  <c r="AN316" i="3"/>
  <c r="Y316" i="3"/>
  <c r="Z316" i="3" s="1"/>
  <c r="AG316" i="3"/>
  <c r="AW316" i="3" s="1"/>
  <c r="AX315" i="3"/>
  <c r="AY315" i="3" s="1"/>
  <c r="BM316" i="3"/>
  <c r="AU315" i="3"/>
  <c r="AT315" i="3"/>
  <c r="BD313" i="3"/>
  <c r="BG313" i="3"/>
  <c r="BH313" i="3" s="1"/>
  <c r="BI313" i="3" s="1"/>
  <c r="BQ313" i="3"/>
  <c r="BB313" i="3"/>
  <c r="BF313" i="3"/>
  <c r="BJ312" i="3" s="1"/>
  <c r="BK312" i="3" s="1"/>
  <c r="BN316" i="3"/>
  <c r="AO317" i="3" l="1"/>
  <c r="AH317" i="3"/>
  <c r="AX316" i="3"/>
  <c r="AY316" i="3" s="1"/>
  <c r="X317" i="3"/>
  <c r="AG317" i="3"/>
  <c r="AU316" i="3"/>
  <c r="D318" i="3"/>
  <c r="B318" i="3"/>
  <c r="AQ318" i="3"/>
  <c r="A319" i="3"/>
  <c r="C318" i="3"/>
  <c r="AR318" i="3"/>
  <c r="G318" i="3"/>
  <c r="H318" i="3" s="1"/>
  <c r="BN318" i="3" s="1"/>
  <c r="F318" i="3"/>
  <c r="BM318" i="3" s="1"/>
  <c r="Q318" i="3"/>
  <c r="S318" i="3"/>
  <c r="O318" i="3"/>
  <c r="U318" i="3"/>
  <c r="AE318" i="3"/>
  <c r="M318" i="3"/>
  <c r="AD318" i="3"/>
  <c r="AM318" i="3"/>
  <c r="AK318" i="3"/>
  <c r="AF318" i="3"/>
  <c r="R318" i="3"/>
  <c r="T318" i="3"/>
  <c r="P318" i="3"/>
  <c r="V318" i="3"/>
  <c r="AT317" i="3"/>
  <c r="AN317" i="3"/>
  <c r="AX317" i="3" s="1"/>
  <c r="BF314" i="3"/>
  <c r="BJ313" i="3" s="1"/>
  <c r="BK313" i="3" s="1"/>
  <c r="BQ314" i="3"/>
  <c r="BB314" i="3"/>
  <c r="BA315" i="3"/>
  <c r="AV315" i="3"/>
  <c r="BC315" i="3" s="1"/>
  <c r="Y317" i="3"/>
  <c r="Z317" i="3" s="1"/>
  <c r="AT316" i="3"/>
  <c r="AG318" i="3" l="1"/>
  <c r="AO318" i="3"/>
  <c r="Y318" i="3"/>
  <c r="Z318" i="3" s="1"/>
  <c r="BD315" i="3"/>
  <c r="BG315" i="3"/>
  <c r="BH315" i="3" s="1"/>
  <c r="BI315" i="3" s="1"/>
  <c r="AQ319" i="3"/>
  <c r="B319" i="3"/>
  <c r="A320" i="3"/>
  <c r="AR319" i="3"/>
  <c r="D319" i="3"/>
  <c r="C319" i="3"/>
  <c r="G319" i="3"/>
  <c r="H319" i="3" s="1"/>
  <c r="BN319" i="3" s="1"/>
  <c r="F319" i="3"/>
  <c r="BM319" i="3" s="1"/>
  <c r="Q319" i="3"/>
  <c r="S319" i="3"/>
  <c r="O319" i="3"/>
  <c r="U319" i="3"/>
  <c r="M319" i="3"/>
  <c r="AF319" i="3"/>
  <c r="AD319" i="3"/>
  <c r="AE319" i="3"/>
  <c r="AK319" i="3"/>
  <c r="AM319" i="3"/>
  <c r="P319" i="3"/>
  <c r="T319" i="3"/>
  <c r="V319" i="3"/>
  <c r="R319" i="3"/>
  <c r="AW317" i="3"/>
  <c r="AY317" i="3" s="1"/>
  <c r="X318" i="3"/>
  <c r="BB315" i="3"/>
  <c r="BF315" i="3"/>
  <c r="BJ314" i="3" s="1"/>
  <c r="BK314" i="3" s="1"/>
  <c r="BQ315" i="3"/>
  <c r="AV316" i="3"/>
  <c r="BC316" i="3" s="1"/>
  <c r="BA316" i="3"/>
  <c r="AU317" i="3"/>
  <c r="AV317" i="3" s="1"/>
  <c r="AN318" i="3"/>
  <c r="AH318" i="3"/>
  <c r="BC317" i="3" l="1"/>
  <c r="AX318" i="3"/>
  <c r="AU318" i="3"/>
  <c r="AT318" i="3"/>
  <c r="AW318" i="3"/>
  <c r="AY318" i="3" s="1"/>
  <c r="AN319" i="3"/>
  <c r="AG319" i="3"/>
  <c r="BD317" i="3"/>
  <c r="BG317" i="3"/>
  <c r="BH317" i="3" s="1"/>
  <c r="BI317" i="3" s="1"/>
  <c r="AV318" i="3"/>
  <c r="BC318" i="3" s="1"/>
  <c r="BA318" i="3"/>
  <c r="BA317" i="3"/>
  <c r="X319" i="3"/>
  <c r="BF316" i="3"/>
  <c r="BJ315" i="3" s="1"/>
  <c r="BK315" i="3" s="1"/>
  <c r="BQ316" i="3"/>
  <c r="BB316" i="3"/>
  <c r="Y319" i="3"/>
  <c r="Z319" i="3" s="1"/>
  <c r="AH319" i="3"/>
  <c r="AU319" i="3" s="1"/>
  <c r="BD316" i="3"/>
  <c r="BG316" i="3"/>
  <c r="BH316" i="3" s="1"/>
  <c r="BI316" i="3" s="1"/>
  <c r="A321" i="3"/>
  <c r="B320" i="3"/>
  <c r="AQ320" i="3"/>
  <c r="D320" i="3"/>
  <c r="C320" i="3"/>
  <c r="AR320" i="3"/>
  <c r="F320" i="3"/>
  <c r="BM320" i="3" s="1"/>
  <c r="G320" i="3"/>
  <c r="H320" i="3" s="1"/>
  <c r="BN320" i="3" s="1"/>
  <c r="Q320" i="3"/>
  <c r="S320" i="3"/>
  <c r="O320" i="3"/>
  <c r="U320" i="3"/>
  <c r="AE320" i="3"/>
  <c r="AF320" i="3"/>
  <c r="AD320" i="3"/>
  <c r="M320" i="3"/>
  <c r="AK320" i="3"/>
  <c r="AM320" i="3"/>
  <c r="AN320" i="3" s="1"/>
  <c r="R320" i="3"/>
  <c r="T320" i="3"/>
  <c r="P320" i="3"/>
  <c r="V320" i="3"/>
  <c r="AO319" i="3"/>
  <c r="Y320" i="3" l="1"/>
  <c r="Z320" i="3" s="1"/>
  <c r="AH320" i="3"/>
  <c r="X320" i="3"/>
  <c r="AO320" i="3"/>
  <c r="AT319" i="3"/>
  <c r="AW319" i="3"/>
  <c r="AG320" i="3"/>
  <c r="BQ317" i="3"/>
  <c r="BF317" i="3"/>
  <c r="BJ316" i="3" s="1"/>
  <c r="BK316" i="3" s="1"/>
  <c r="BB317" i="3"/>
  <c r="BB318" i="3"/>
  <c r="BF318" i="3"/>
  <c r="BQ318" i="3"/>
  <c r="AR321" i="3"/>
  <c r="B321" i="3"/>
  <c r="AQ321" i="3"/>
  <c r="A322" i="3"/>
  <c r="D321" i="3"/>
  <c r="C321" i="3"/>
  <c r="G321" i="3"/>
  <c r="H321" i="3" s="1"/>
  <c r="F321" i="3"/>
  <c r="Q321" i="3"/>
  <c r="S321" i="3"/>
  <c r="O321" i="3"/>
  <c r="U321" i="3"/>
  <c r="AE321" i="3"/>
  <c r="AD321" i="3"/>
  <c r="AM321" i="3"/>
  <c r="AK321" i="3"/>
  <c r="M321" i="3"/>
  <c r="AF321" i="3"/>
  <c r="P321" i="3"/>
  <c r="T321" i="3"/>
  <c r="V321" i="3"/>
  <c r="R321" i="3"/>
  <c r="AX319" i="3"/>
  <c r="BD318" i="3"/>
  <c r="BG318" i="3"/>
  <c r="BH318" i="3" s="1"/>
  <c r="BI318" i="3" s="1"/>
  <c r="BJ317" i="3" l="1"/>
  <c r="BK317" i="3" s="1"/>
  <c r="AN321" i="3"/>
  <c r="AW320" i="3"/>
  <c r="AO321" i="3"/>
  <c r="B322" i="3"/>
  <c r="AQ322" i="3"/>
  <c r="A323" i="3"/>
  <c r="D322" i="3"/>
  <c r="C322" i="3"/>
  <c r="AR322" i="3"/>
  <c r="G322" i="3"/>
  <c r="H322" i="3" s="1"/>
  <c r="BN322" i="3" s="1"/>
  <c r="F322" i="3"/>
  <c r="BM322" i="3" s="1"/>
  <c r="Q322" i="3"/>
  <c r="S322" i="3"/>
  <c r="O322" i="3"/>
  <c r="U322" i="3"/>
  <c r="AE322" i="3"/>
  <c r="AD322" i="3"/>
  <c r="AM322" i="3"/>
  <c r="M322" i="3"/>
  <c r="AK322" i="3"/>
  <c r="AF322" i="3"/>
  <c r="R322" i="3"/>
  <c r="P322" i="3"/>
  <c r="V322" i="3"/>
  <c r="T322" i="3"/>
  <c r="AH321" i="3"/>
  <c r="AU320" i="3"/>
  <c r="AY319" i="3"/>
  <c r="AG321" i="3"/>
  <c r="BM321" i="3"/>
  <c r="Y321" i="3"/>
  <c r="Z321" i="3" s="1"/>
  <c r="X321" i="3"/>
  <c r="AT320" i="3"/>
  <c r="BA319" i="3"/>
  <c r="AV319" i="3"/>
  <c r="BC319" i="3" s="1"/>
  <c r="BN321" i="3"/>
  <c r="AX320" i="3"/>
  <c r="AY320" i="3" s="1"/>
  <c r="AW321" i="3" l="1"/>
  <c r="AO322" i="3"/>
  <c r="X322" i="3"/>
  <c r="AH322" i="3"/>
  <c r="AU321" i="3"/>
  <c r="AG322" i="3"/>
  <c r="AT321" i="3"/>
  <c r="AQ323" i="3"/>
  <c r="B323" i="3"/>
  <c r="A324" i="3"/>
  <c r="AR323" i="3"/>
  <c r="C323" i="3"/>
  <c r="D323" i="3"/>
  <c r="G323" i="3"/>
  <c r="H323" i="3" s="1"/>
  <c r="BN323" i="3" s="1"/>
  <c r="F323" i="3"/>
  <c r="BM323" i="3" s="1"/>
  <c r="Q323" i="3"/>
  <c r="S323" i="3"/>
  <c r="O323" i="3"/>
  <c r="U323" i="3"/>
  <c r="AD323" i="3"/>
  <c r="AH323" i="3" s="1"/>
  <c r="AM323" i="3"/>
  <c r="AN323" i="3" s="1"/>
  <c r="M323" i="3"/>
  <c r="AK323" i="3"/>
  <c r="AE323" i="3"/>
  <c r="AF323" i="3"/>
  <c r="P323" i="3"/>
  <c r="T323" i="3"/>
  <c r="R323" i="3"/>
  <c r="V323" i="3"/>
  <c r="AN322" i="3"/>
  <c r="AT322" i="3"/>
  <c r="AU322" i="3"/>
  <c r="BD319" i="3"/>
  <c r="BG319" i="3"/>
  <c r="BH319" i="3" s="1"/>
  <c r="BI319" i="3" s="1"/>
  <c r="BA320" i="3"/>
  <c r="AV320" i="3"/>
  <c r="BC320" i="3" s="1"/>
  <c r="AX321" i="3"/>
  <c r="AY321" i="3" s="1"/>
  <c r="Y322" i="3"/>
  <c r="Z322" i="3" s="1"/>
  <c r="BB319" i="3"/>
  <c r="BF319" i="3"/>
  <c r="BJ318" i="3" s="1"/>
  <c r="BK318" i="3" s="1"/>
  <c r="BQ319" i="3"/>
  <c r="X323" i="3" l="1"/>
  <c r="BQ320" i="3"/>
  <c r="BB320" i="3"/>
  <c r="BF320" i="3"/>
  <c r="BJ319" i="3" s="1"/>
  <c r="BK319" i="3" s="1"/>
  <c r="Y323" i="3"/>
  <c r="Z323" i="3" s="1"/>
  <c r="A325" i="3"/>
  <c r="B324" i="3"/>
  <c r="AR324" i="3"/>
  <c r="AQ324" i="3"/>
  <c r="D324" i="3"/>
  <c r="C324" i="3"/>
  <c r="G324" i="3"/>
  <c r="H324" i="3" s="1"/>
  <c r="BN324" i="3" s="1"/>
  <c r="F324" i="3"/>
  <c r="BM324" i="3" s="1"/>
  <c r="Q324" i="3"/>
  <c r="S324" i="3"/>
  <c r="O324" i="3"/>
  <c r="U324" i="3"/>
  <c r="AD324" i="3"/>
  <c r="M324" i="3"/>
  <c r="AE324" i="3"/>
  <c r="AK324" i="3"/>
  <c r="AM324" i="3"/>
  <c r="AF324" i="3"/>
  <c r="V324" i="3"/>
  <c r="P324" i="3"/>
  <c r="R324" i="3"/>
  <c r="T324" i="3"/>
  <c r="BG320" i="3"/>
  <c r="BH320" i="3" s="1"/>
  <c r="BI320" i="3" s="1"/>
  <c r="BD320" i="3"/>
  <c r="AV322" i="3"/>
  <c r="AW322" i="3"/>
  <c r="AG323" i="3"/>
  <c r="AT323" i="3" s="1"/>
  <c r="AV321" i="3"/>
  <c r="BC321" i="3" s="1"/>
  <c r="BA321" i="3"/>
  <c r="AO323" i="3"/>
  <c r="AX322" i="3"/>
  <c r="AH324" i="3" l="1"/>
  <c r="AN324" i="3"/>
  <c r="BD321" i="3"/>
  <c r="BG321" i="3"/>
  <c r="BH321" i="3" s="1"/>
  <c r="BI321" i="3" s="1"/>
  <c r="AW323" i="3"/>
  <c r="BF321" i="3"/>
  <c r="BJ320" i="3" s="1"/>
  <c r="BK320" i="3" s="1"/>
  <c r="BQ321" i="3"/>
  <c r="BB321" i="3"/>
  <c r="AY322" i="3"/>
  <c r="BC322" i="3" s="1"/>
  <c r="X324" i="3"/>
  <c r="AX323" i="3"/>
  <c r="AU323" i="3"/>
  <c r="AV323" i="3" s="1"/>
  <c r="A326" i="3"/>
  <c r="C325" i="3"/>
  <c r="D325" i="3"/>
  <c r="B325" i="3"/>
  <c r="AQ325" i="3"/>
  <c r="AR325" i="3"/>
  <c r="F325" i="3"/>
  <c r="G325" i="3"/>
  <c r="H325" i="3" s="1"/>
  <c r="Q325" i="3"/>
  <c r="S325" i="3"/>
  <c r="O325" i="3"/>
  <c r="U325" i="3"/>
  <c r="AD325" i="3"/>
  <c r="M325" i="3"/>
  <c r="AE325" i="3"/>
  <c r="AM325" i="3"/>
  <c r="AF325" i="3"/>
  <c r="AK325" i="3"/>
  <c r="AO325" i="3" s="1"/>
  <c r="P325" i="3"/>
  <c r="T325" i="3"/>
  <c r="R325" i="3"/>
  <c r="V325" i="3"/>
  <c r="AO324" i="3"/>
  <c r="BA322" i="3"/>
  <c r="Y324" i="3"/>
  <c r="Z324" i="3" s="1"/>
  <c r="AG324" i="3"/>
  <c r="AT324" i="3" s="1"/>
  <c r="AU324" i="3" l="1"/>
  <c r="AX324" i="3"/>
  <c r="AN325" i="3"/>
  <c r="BG322" i="3"/>
  <c r="BH322" i="3" s="1"/>
  <c r="BI322" i="3" s="1"/>
  <c r="BD322" i="3"/>
  <c r="AR326" i="3"/>
  <c r="B326" i="3"/>
  <c r="AQ326" i="3"/>
  <c r="A327" i="3"/>
  <c r="C326" i="3"/>
  <c r="D326" i="3"/>
  <c r="F326" i="3"/>
  <c r="BM326" i="3" s="1"/>
  <c r="G326" i="3"/>
  <c r="H326" i="3" s="1"/>
  <c r="BN326" i="3" s="1"/>
  <c r="Q326" i="3"/>
  <c r="S326" i="3"/>
  <c r="O326" i="3"/>
  <c r="U326" i="3"/>
  <c r="AE326" i="3"/>
  <c r="AD326" i="3"/>
  <c r="AM326" i="3"/>
  <c r="AN326" i="3" s="1"/>
  <c r="M326" i="3"/>
  <c r="AF326" i="3"/>
  <c r="AK326" i="3"/>
  <c r="T326" i="3"/>
  <c r="R326" i="3"/>
  <c r="V326" i="3"/>
  <c r="P326" i="3"/>
  <c r="BQ322" i="3"/>
  <c r="BB322" i="3"/>
  <c r="BF322" i="3"/>
  <c r="BJ321" i="3" s="1"/>
  <c r="BK321" i="3" s="1"/>
  <c r="AY323" i="3"/>
  <c r="BC323" i="3" s="1"/>
  <c r="Y325" i="3"/>
  <c r="Z325" i="3" s="1"/>
  <c r="AH325" i="3"/>
  <c r="BA324" i="3"/>
  <c r="AV324" i="3"/>
  <c r="BM325" i="3"/>
  <c r="AG325" i="3"/>
  <c r="AW325" i="3" s="1"/>
  <c r="X325" i="3"/>
  <c r="BN325" i="3"/>
  <c r="BA323" i="3"/>
  <c r="AW324" i="3"/>
  <c r="AY324" i="3" l="1"/>
  <c r="BC324" i="3" s="1"/>
  <c r="AT325" i="3"/>
  <c r="BD323" i="3"/>
  <c r="BG323" i="3"/>
  <c r="BH323" i="3" s="1"/>
  <c r="BI323" i="3" s="1"/>
  <c r="BF323" i="3"/>
  <c r="BJ322" i="3" s="1"/>
  <c r="BK322" i="3" s="1"/>
  <c r="BB323" i="3"/>
  <c r="BQ323" i="3"/>
  <c r="AX325" i="3"/>
  <c r="AY325" i="3" s="1"/>
  <c r="AH326" i="3"/>
  <c r="AG326" i="3"/>
  <c r="BQ324" i="3"/>
  <c r="BF324" i="3"/>
  <c r="BJ323" i="3" s="1"/>
  <c r="BK323" i="3" s="1"/>
  <c r="BB324" i="3"/>
  <c r="AU326" i="3"/>
  <c r="Y326" i="3"/>
  <c r="Z326" i="3" s="1"/>
  <c r="AU325" i="3"/>
  <c r="AV325" i="3" s="1"/>
  <c r="X326" i="3"/>
  <c r="B327" i="3"/>
  <c r="A328" i="3"/>
  <c r="AR327" i="3"/>
  <c r="D327" i="3"/>
  <c r="AQ327" i="3"/>
  <c r="C327" i="3"/>
  <c r="F327" i="3"/>
  <c r="BM327" i="3" s="1"/>
  <c r="G327" i="3"/>
  <c r="H327" i="3" s="1"/>
  <c r="BN327" i="3" s="1"/>
  <c r="Q327" i="3"/>
  <c r="S327" i="3"/>
  <c r="O327" i="3"/>
  <c r="U327" i="3"/>
  <c r="AD327" i="3"/>
  <c r="AM327" i="3"/>
  <c r="AE327" i="3"/>
  <c r="AF327" i="3"/>
  <c r="M327" i="3"/>
  <c r="AK327" i="3"/>
  <c r="AO327" i="3" s="1"/>
  <c r="P327" i="3"/>
  <c r="R327" i="3"/>
  <c r="V327" i="3"/>
  <c r="T327" i="3"/>
  <c r="AO326" i="3"/>
  <c r="BC325" i="3" l="1"/>
  <c r="AW326" i="3"/>
  <c r="BD324" i="3"/>
  <c r="BG324" i="3"/>
  <c r="BH324" i="3" s="1"/>
  <c r="BI324" i="3" s="1"/>
  <c r="AG327" i="3"/>
  <c r="BD325" i="3"/>
  <c r="BG325" i="3"/>
  <c r="BH325" i="3" s="1"/>
  <c r="BI325" i="3" s="1"/>
  <c r="AN327" i="3"/>
  <c r="AH327" i="3"/>
  <c r="AT327" i="3" s="1"/>
  <c r="X327" i="3"/>
  <c r="AU327" i="3"/>
  <c r="BA325" i="3"/>
  <c r="Y327" i="3"/>
  <c r="Z327" i="3" s="1"/>
  <c r="AT326" i="3"/>
  <c r="AX326" i="3"/>
  <c r="AY326" i="3" s="1"/>
  <c r="D328" i="3"/>
  <c r="A329" i="3"/>
  <c r="B328" i="3"/>
  <c r="AR328" i="3"/>
  <c r="AQ328" i="3"/>
  <c r="C328" i="3"/>
  <c r="G328" i="3"/>
  <c r="H328" i="3" s="1"/>
  <c r="BN328" i="3" s="1"/>
  <c r="F328" i="3"/>
  <c r="BM328" i="3" s="1"/>
  <c r="Q328" i="3"/>
  <c r="S328" i="3"/>
  <c r="O328" i="3"/>
  <c r="U328" i="3"/>
  <c r="AD328" i="3"/>
  <c r="AE328" i="3"/>
  <c r="M328" i="3"/>
  <c r="AK328" i="3"/>
  <c r="AF328" i="3"/>
  <c r="AM328" i="3"/>
  <c r="AN328" i="3" s="1"/>
  <c r="V328" i="3"/>
  <c r="P328" i="3"/>
  <c r="R328" i="3"/>
  <c r="T328" i="3"/>
  <c r="AO328" i="3" l="1"/>
  <c r="AR329" i="3"/>
  <c r="B329" i="3"/>
  <c r="AQ329" i="3"/>
  <c r="A330" i="3"/>
  <c r="D329" i="3"/>
  <c r="C329" i="3"/>
  <c r="G329" i="3"/>
  <c r="H329" i="3" s="1"/>
  <c r="BN329" i="3" s="1"/>
  <c r="F329" i="3"/>
  <c r="BM329" i="3" s="1"/>
  <c r="Q329" i="3"/>
  <c r="S329" i="3"/>
  <c r="O329" i="3"/>
  <c r="U329" i="3"/>
  <c r="M329" i="3"/>
  <c r="AE329" i="3"/>
  <c r="AD329" i="3"/>
  <c r="AK329" i="3"/>
  <c r="AF329" i="3"/>
  <c r="AM329" i="3"/>
  <c r="P329" i="3"/>
  <c r="V329" i="3"/>
  <c r="T329" i="3"/>
  <c r="R329" i="3"/>
  <c r="AV327" i="3"/>
  <c r="Y328" i="3"/>
  <c r="Z328" i="3" s="1"/>
  <c r="AV326" i="3"/>
  <c r="BC326" i="3" s="1"/>
  <c r="BA326" i="3"/>
  <c r="X328" i="3"/>
  <c r="BB325" i="3"/>
  <c r="BQ325" i="3"/>
  <c r="BF325" i="3"/>
  <c r="BJ324" i="3" s="1"/>
  <c r="BK324" i="3" s="1"/>
  <c r="AH328" i="3"/>
  <c r="AG328" i="3"/>
  <c r="AW327" i="3"/>
  <c r="AX327" i="3"/>
  <c r="AW328" i="3" l="1"/>
  <c r="AN329" i="3"/>
  <c r="BA327" i="3"/>
  <c r="AY327" i="3"/>
  <c r="BC327" i="3" s="1"/>
  <c r="Y329" i="3"/>
  <c r="Z329" i="3" s="1"/>
  <c r="BQ327" i="3"/>
  <c r="BF327" i="3"/>
  <c r="BB327" i="3"/>
  <c r="AH329" i="3"/>
  <c r="AO329" i="3"/>
  <c r="AT328" i="3"/>
  <c r="AG329" i="3"/>
  <c r="AW329" i="3" s="1"/>
  <c r="AR330" i="3"/>
  <c r="B330" i="3"/>
  <c r="A331" i="3"/>
  <c r="D330" i="3"/>
  <c r="C330" i="3"/>
  <c r="AQ330" i="3"/>
  <c r="F330" i="3"/>
  <c r="BM330" i="3" s="1"/>
  <c r="G330" i="3"/>
  <c r="H330" i="3" s="1"/>
  <c r="BN330" i="3" s="1"/>
  <c r="Q330" i="3"/>
  <c r="S330" i="3"/>
  <c r="O330" i="3"/>
  <c r="U330" i="3"/>
  <c r="M330" i="3"/>
  <c r="AD330" i="3"/>
  <c r="AE330" i="3"/>
  <c r="AM330" i="3"/>
  <c r="AK330" i="3"/>
  <c r="AO330" i="3" s="1"/>
  <c r="AF330" i="3"/>
  <c r="R330" i="3"/>
  <c r="T330" i="3"/>
  <c r="V330" i="3"/>
  <c r="P330" i="3"/>
  <c r="X329" i="3"/>
  <c r="BQ326" i="3"/>
  <c r="BB326" i="3"/>
  <c r="BF326" i="3"/>
  <c r="BJ325" i="3" s="1"/>
  <c r="BK325" i="3" s="1"/>
  <c r="BD326" i="3"/>
  <c r="BG326" i="3"/>
  <c r="BH326" i="3" s="1"/>
  <c r="BI326" i="3" s="1"/>
  <c r="AX328" i="3"/>
  <c r="AY328" i="3" s="1"/>
  <c r="AU328" i="3"/>
  <c r="AU329" i="3" l="1"/>
  <c r="AQ331" i="3"/>
  <c r="B331" i="3"/>
  <c r="A332" i="3"/>
  <c r="AR331" i="3"/>
  <c r="D331" i="3"/>
  <c r="C331" i="3"/>
  <c r="F331" i="3"/>
  <c r="BM331" i="3" s="1"/>
  <c r="G331" i="3"/>
  <c r="H331" i="3" s="1"/>
  <c r="BN331" i="3" s="1"/>
  <c r="Q331" i="3"/>
  <c r="S331" i="3"/>
  <c r="O331" i="3"/>
  <c r="U331" i="3"/>
  <c r="M331" i="3"/>
  <c r="AD331" i="3"/>
  <c r="AE331" i="3"/>
  <c r="AF331" i="3"/>
  <c r="AM331" i="3"/>
  <c r="AK331" i="3"/>
  <c r="T331" i="3"/>
  <c r="V331" i="3"/>
  <c r="R331" i="3"/>
  <c r="P331" i="3"/>
  <c r="AX329" i="3"/>
  <c r="AY329" i="3" s="1"/>
  <c r="AG330" i="3"/>
  <c r="AH330" i="3"/>
  <c r="BJ326" i="3"/>
  <c r="BK326" i="3" s="1"/>
  <c r="X330" i="3"/>
  <c r="Y330" i="3"/>
  <c r="Z330" i="3" s="1"/>
  <c r="BA328" i="3"/>
  <c r="AV328" i="3"/>
  <c r="BC328" i="3" s="1"/>
  <c r="AN330" i="3"/>
  <c r="AT329" i="3"/>
  <c r="BD327" i="3"/>
  <c r="BG327" i="3"/>
  <c r="BH327" i="3" s="1"/>
  <c r="BI327" i="3" s="1"/>
  <c r="AG331" i="3" l="1"/>
  <c r="AO331" i="3"/>
  <c r="AH331" i="3"/>
  <c r="AT331" i="3" s="1"/>
  <c r="AN331" i="3"/>
  <c r="X331" i="3"/>
  <c r="AW331" i="3"/>
  <c r="BA329" i="3"/>
  <c r="AV329" i="3"/>
  <c r="BC329" i="3" s="1"/>
  <c r="AX330" i="3"/>
  <c r="AW330" i="3"/>
  <c r="AU331" i="3"/>
  <c r="BG328" i="3"/>
  <c r="BH328" i="3" s="1"/>
  <c r="BI328" i="3" s="1"/>
  <c r="BD328" i="3"/>
  <c r="AT330" i="3"/>
  <c r="Y331" i="3"/>
  <c r="Z331" i="3" s="1"/>
  <c r="AU330" i="3"/>
  <c r="BF328" i="3"/>
  <c r="BJ327" i="3" s="1"/>
  <c r="BK327" i="3" s="1"/>
  <c r="BQ328" i="3"/>
  <c r="BB328" i="3"/>
  <c r="B332" i="3"/>
  <c r="AR332" i="3"/>
  <c r="AQ332" i="3"/>
  <c r="C332" i="3"/>
  <c r="D332" i="3"/>
  <c r="A333" i="3"/>
  <c r="G332" i="3"/>
  <c r="H332" i="3" s="1"/>
  <c r="BN332" i="3" s="1"/>
  <c r="F332" i="3"/>
  <c r="BM332" i="3" s="1"/>
  <c r="S332" i="3"/>
  <c r="Q332" i="3"/>
  <c r="O332" i="3"/>
  <c r="U332" i="3"/>
  <c r="AE332" i="3"/>
  <c r="AD332" i="3"/>
  <c r="AM332" i="3"/>
  <c r="AF332" i="3"/>
  <c r="AK332" i="3"/>
  <c r="M332" i="3"/>
  <c r="R332" i="3"/>
  <c r="P332" i="3"/>
  <c r="V332" i="3"/>
  <c r="T332" i="3"/>
  <c r="AO332" i="3" l="1"/>
  <c r="AX331" i="3"/>
  <c r="AY331" i="3" s="1"/>
  <c r="AY330" i="3"/>
  <c r="Y332" i="3"/>
  <c r="Z332" i="3" s="1"/>
  <c r="AN332" i="3"/>
  <c r="AH332" i="3"/>
  <c r="BD329" i="3"/>
  <c r="BG329" i="3"/>
  <c r="BH329" i="3" s="1"/>
  <c r="BI329" i="3" s="1"/>
  <c r="AG332" i="3"/>
  <c r="AW332" i="3" s="1"/>
  <c r="BF329" i="3"/>
  <c r="BJ328" i="3" s="1"/>
  <c r="BK328" i="3" s="1"/>
  <c r="BQ329" i="3"/>
  <c r="BB329" i="3"/>
  <c r="AR333" i="3"/>
  <c r="B333" i="3"/>
  <c r="AQ333" i="3"/>
  <c r="A334" i="3"/>
  <c r="C333" i="3"/>
  <c r="D333" i="3"/>
  <c r="G333" i="3"/>
  <c r="H333" i="3" s="1"/>
  <c r="BN333" i="3" s="1"/>
  <c r="F333" i="3"/>
  <c r="BM333" i="3" s="1"/>
  <c r="Q333" i="3"/>
  <c r="S333" i="3"/>
  <c r="O333" i="3"/>
  <c r="U333" i="3"/>
  <c r="M333" i="3"/>
  <c r="AD333" i="3"/>
  <c r="AM333" i="3"/>
  <c r="AK333" i="3"/>
  <c r="AO333" i="3" s="1"/>
  <c r="AF333" i="3"/>
  <c r="AE333" i="3"/>
  <c r="P333" i="3"/>
  <c r="R333" i="3"/>
  <c r="T333" i="3"/>
  <c r="V333" i="3"/>
  <c r="BA330" i="3"/>
  <c r="AV330" i="3"/>
  <c r="BC330" i="3" s="1"/>
  <c r="X332" i="3"/>
  <c r="AV331" i="3"/>
  <c r="BA331" i="3"/>
  <c r="AU332" i="3"/>
  <c r="AT332" i="3" l="1"/>
  <c r="BC331" i="3"/>
  <c r="AG333" i="3"/>
  <c r="X333" i="3"/>
  <c r="AV332" i="3"/>
  <c r="BB331" i="3"/>
  <c r="BQ331" i="3"/>
  <c r="BF331" i="3"/>
  <c r="AR334" i="3"/>
  <c r="B334" i="3"/>
  <c r="AQ334" i="3"/>
  <c r="A335" i="3"/>
  <c r="D334" i="3"/>
  <c r="C334" i="3"/>
  <c r="F334" i="3"/>
  <c r="BM334" i="3" s="1"/>
  <c r="G334" i="3"/>
  <c r="H334" i="3" s="1"/>
  <c r="BN334" i="3" s="1"/>
  <c r="Q334" i="3"/>
  <c r="S334" i="3"/>
  <c r="O334" i="3"/>
  <c r="U334" i="3"/>
  <c r="AD334" i="3"/>
  <c r="AM334" i="3"/>
  <c r="M334" i="3"/>
  <c r="AE334" i="3"/>
  <c r="AK334" i="3"/>
  <c r="AF334" i="3"/>
  <c r="R334" i="3"/>
  <c r="T334" i="3"/>
  <c r="V334" i="3"/>
  <c r="P334" i="3"/>
  <c r="Y333" i="3"/>
  <c r="Z333" i="3" s="1"/>
  <c r="BD331" i="3"/>
  <c r="BG331" i="3"/>
  <c r="BH331" i="3" s="1"/>
  <c r="BI331" i="3" s="1"/>
  <c r="AH333" i="3"/>
  <c r="AX332" i="3"/>
  <c r="AY332" i="3" s="1"/>
  <c r="BD330" i="3"/>
  <c r="BG330" i="3"/>
  <c r="BH330" i="3" s="1"/>
  <c r="BI330" i="3" s="1"/>
  <c r="BF330" i="3"/>
  <c r="BJ329" i="3" s="1"/>
  <c r="BK329" i="3" s="1"/>
  <c r="BB330" i="3"/>
  <c r="BQ330" i="3"/>
  <c r="AN333" i="3"/>
  <c r="AH334" i="3" l="1"/>
  <c r="AN334" i="3"/>
  <c r="X334" i="3"/>
  <c r="AX333" i="3"/>
  <c r="AU333" i="3"/>
  <c r="AR335" i="3"/>
  <c r="D335" i="3"/>
  <c r="C335" i="3"/>
  <c r="AQ335" i="3"/>
  <c r="B335" i="3"/>
  <c r="A336" i="3"/>
  <c r="G335" i="3"/>
  <c r="H335" i="3" s="1"/>
  <c r="BN335" i="3" s="1"/>
  <c r="F335" i="3"/>
  <c r="BM335" i="3" s="1"/>
  <c r="Q335" i="3"/>
  <c r="S335" i="3"/>
  <c r="O335" i="3"/>
  <c r="U335" i="3"/>
  <c r="AD335" i="3"/>
  <c r="AE335" i="3"/>
  <c r="M335" i="3"/>
  <c r="AM335" i="3"/>
  <c r="AK335" i="3"/>
  <c r="AF335" i="3"/>
  <c r="P335" i="3"/>
  <c r="T335" i="3"/>
  <c r="V335" i="3"/>
  <c r="R335" i="3"/>
  <c r="AT333" i="3"/>
  <c r="BJ330" i="3"/>
  <c r="BK330" i="3" s="1"/>
  <c r="AO334" i="3"/>
  <c r="BA332" i="3"/>
  <c r="AG334" i="3"/>
  <c r="AW334" i="3" s="1"/>
  <c r="BC332" i="3"/>
  <c r="Y334" i="3"/>
  <c r="Z334" i="3" s="1"/>
  <c r="AW333" i="3"/>
  <c r="AY333" i="3" s="1"/>
  <c r="AO335" i="3" l="1"/>
  <c r="AX334" i="3"/>
  <c r="AY334" i="3" s="1"/>
  <c r="X335" i="3"/>
  <c r="AN335" i="3"/>
  <c r="AH335" i="3"/>
  <c r="A337" i="3"/>
  <c r="B336" i="3"/>
  <c r="AR336" i="3"/>
  <c r="AQ336" i="3"/>
  <c r="C336" i="3"/>
  <c r="D336" i="3"/>
  <c r="F336" i="3"/>
  <c r="BM336" i="3" s="1"/>
  <c r="G336" i="3"/>
  <c r="H336" i="3" s="1"/>
  <c r="BN336" i="3" s="1"/>
  <c r="Q336" i="3"/>
  <c r="S336" i="3"/>
  <c r="O336" i="3"/>
  <c r="U336" i="3"/>
  <c r="AE336" i="3"/>
  <c r="AD336" i="3"/>
  <c r="AF336" i="3"/>
  <c r="AM336" i="3"/>
  <c r="AK336" i="3"/>
  <c r="M336" i="3"/>
  <c r="P336" i="3"/>
  <c r="R336" i="3"/>
  <c r="T336" i="3"/>
  <c r="V336" i="3"/>
  <c r="AT334" i="3"/>
  <c r="BA333" i="3"/>
  <c r="AV333" i="3"/>
  <c r="BC333" i="3" s="1"/>
  <c r="AU334" i="3"/>
  <c r="AG335" i="3"/>
  <c r="AW335" i="3" s="1"/>
  <c r="BD332" i="3"/>
  <c r="BG332" i="3"/>
  <c r="BH332" i="3" s="1"/>
  <c r="BI332" i="3" s="1"/>
  <c r="BF332" i="3"/>
  <c r="BJ331" i="3" s="1"/>
  <c r="BK331" i="3" s="1"/>
  <c r="BB332" i="3"/>
  <c r="BQ332" i="3"/>
  <c r="Y335" i="3"/>
  <c r="Z335" i="3" s="1"/>
  <c r="X336" i="3" l="1"/>
  <c r="AO336" i="3"/>
  <c r="AU335" i="3"/>
  <c r="BD333" i="3"/>
  <c r="BG333" i="3"/>
  <c r="BH333" i="3" s="1"/>
  <c r="BI333" i="3" s="1"/>
  <c r="Y336" i="3"/>
  <c r="Z336" i="3" s="1"/>
  <c r="AN336" i="3"/>
  <c r="AG336" i="3"/>
  <c r="B337" i="3"/>
  <c r="AQ337" i="3"/>
  <c r="A338" i="3"/>
  <c r="C337" i="3"/>
  <c r="D337" i="3"/>
  <c r="AR337" i="3"/>
  <c r="F337" i="3"/>
  <c r="BM337" i="3" s="1"/>
  <c r="G337" i="3"/>
  <c r="H337" i="3" s="1"/>
  <c r="BN337" i="3" s="1"/>
  <c r="Q337" i="3"/>
  <c r="S337" i="3"/>
  <c r="O337" i="3"/>
  <c r="U337" i="3"/>
  <c r="AE337" i="3"/>
  <c r="AK337" i="3"/>
  <c r="AM337" i="3"/>
  <c r="M337" i="3"/>
  <c r="AD337" i="3"/>
  <c r="AF337" i="3"/>
  <c r="P337" i="3"/>
  <c r="T337" i="3"/>
  <c r="R337" i="3"/>
  <c r="V337" i="3"/>
  <c r="AX335" i="3"/>
  <c r="AY335" i="3" s="1"/>
  <c r="BQ333" i="3"/>
  <c r="BB333" i="3"/>
  <c r="BF333" i="3"/>
  <c r="BJ332" i="3" s="1"/>
  <c r="BK332" i="3" s="1"/>
  <c r="AH336" i="3"/>
  <c r="AX336" i="3" s="1"/>
  <c r="AT335" i="3"/>
  <c r="AV334" i="3"/>
  <c r="BC334" i="3" s="1"/>
  <c r="BA334" i="3"/>
  <c r="AG337" i="3" l="1"/>
  <c r="X337" i="3"/>
  <c r="AN337" i="3"/>
  <c r="BD334" i="3"/>
  <c r="BG334" i="3"/>
  <c r="BH334" i="3" s="1"/>
  <c r="BI334" i="3" s="1"/>
  <c r="AT336" i="3"/>
  <c r="BA335" i="3"/>
  <c r="AV335" i="3"/>
  <c r="BC335" i="3" s="1"/>
  <c r="Y337" i="3"/>
  <c r="Z337" i="3" s="1"/>
  <c r="AU336" i="3"/>
  <c r="BF334" i="3"/>
  <c r="BJ333" i="3" s="1"/>
  <c r="BK333" i="3" s="1"/>
  <c r="BB334" i="3"/>
  <c r="BQ334" i="3"/>
  <c r="C338" i="3"/>
  <c r="AR338" i="3"/>
  <c r="B338" i="3"/>
  <c r="AQ338" i="3"/>
  <c r="A339" i="3"/>
  <c r="D338" i="3"/>
  <c r="F338" i="3"/>
  <c r="G338" i="3"/>
  <c r="H338" i="3" s="1"/>
  <c r="BN338" i="3" s="1"/>
  <c r="Q338" i="3"/>
  <c r="S338" i="3"/>
  <c r="O338" i="3"/>
  <c r="U338" i="3"/>
  <c r="AD338" i="3"/>
  <c r="M338" i="3"/>
  <c r="AE338" i="3"/>
  <c r="AM338" i="3"/>
  <c r="AK338" i="3"/>
  <c r="AF338" i="3"/>
  <c r="V338" i="3"/>
  <c r="P338" i="3"/>
  <c r="R338" i="3"/>
  <c r="T338" i="3"/>
  <c r="AW336" i="3"/>
  <c r="AY336" i="3" s="1"/>
  <c r="AH337" i="3"/>
  <c r="AO337" i="3"/>
  <c r="AX337" i="3" l="1"/>
  <c r="AN338" i="3"/>
  <c r="AH338" i="3"/>
  <c r="BQ335" i="3"/>
  <c r="BF335" i="3"/>
  <c r="BJ334" i="3" s="1"/>
  <c r="BK334" i="3" s="1"/>
  <c r="BB335" i="3"/>
  <c r="Y338" i="3"/>
  <c r="Z338" i="3" s="1"/>
  <c r="AG338" i="3"/>
  <c r="AT337" i="3"/>
  <c r="BD335" i="3"/>
  <c r="BG335" i="3"/>
  <c r="BH335" i="3" s="1"/>
  <c r="BI335" i="3" s="1"/>
  <c r="BM338" i="3"/>
  <c r="AQ339" i="3"/>
  <c r="B339" i="3"/>
  <c r="A340" i="3"/>
  <c r="AR339" i="3"/>
  <c r="D339" i="3"/>
  <c r="C339" i="3"/>
  <c r="G339" i="3"/>
  <c r="H339" i="3" s="1"/>
  <c r="BN339" i="3" s="1"/>
  <c r="F339" i="3"/>
  <c r="BM339" i="3" s="1"/>
  <c r="Q339" i="3"/>
  <c r="S339" i="3"/>
  <c r="O339" i="3"/>
  <c r="U339" i="3"/>
  <c r="AD339" i="3"/>
  <c r="AE339" i="3"/>
  <c r="AF339" i="3"/>
  <c r="M339" i="3"/>
  <c r="AM339" i="3"/>
  <c r="AK339" i="3"/>
  <c r="R339" i="3"/>
  <c r="V339" i="3"/>
  <c r="T339" i="3"/>
  <c r="P339" i="3"/>
  <c r="AO338" i="3"/>
  <c r="X338" i="3"/>
  <c r="AW337" i="3"/>
  <c r="AY337" i="3" s="1"/>
  <c r="AU337" i="3"/>
  <c r="AV336" i="3"/>
  <c r="BC336" i="3" s="1"/>
  <c r="BA336" i="3"/>
  <c r="AN339" i="3" l="1"/>
  <c r="AO339" i="3"/>
  <c r="AG339" i="3"/>
  <c r="BB336" i="3"/>
  <c r="BQ336" i="3"/>
  <c r="BF336" i="3"/>
  <c r="BJ335" i="3" s="1"/>
  <c r="BK335" i="3" s="1"/>
  <c r="AV337" i="3"/>
  <c r="BC337" i="3" s="1"/>
  <c r="BA337" i="3"/>
  <c r="Y339" i="3"/>
  <c r="Z339" i="3" s="1"/>
  <c r="AW338" i="3"/>
  <c r="AX338" i="3"/>
  <c r="BD336" i="3"/>
  <c r="BG336" i="3"/>
  <c r="BH336" i="3" s="1"/>
  <c r="BI336" i="3" s="1"/>
  <c r="AH339" i="3"/>
  <c r="AX339" i="3" s="1"/>
  <c r="X339" i="3"/>
  <c r="AT338" i="3"/>
  <c r="A341" i="3"/>
  <c r="B340" i="3"/>
  <c r="AQ340" i="3"/>
  <c r="C340" i="3"/>
  <c r="D340" i="3"/>
  <c r="AR340" i="3"/>
  <c r="F340" i="3"/>
  <c r="G340" i="3"/>
  <c r="H340" i="3" s="1"/>
  <c r="Q340" i="3"/>
  <c r="S340" i="3"/>
  <c r="O340" i="3"/>
  <c r="U340" i="3"/>
  <c r="AD340" i="3"/>
  <c r="AE340" i="3"/>
  <c r="M340" i="3"/>
  <c r="AF340" i="3"/>
  <c r="AK340" i="3"/>
  <c r="AM340" i="3"/>
  <c r="R340" i="3"/>
  <c r="T340" i="3"/>
  <c r="P340" i="3"/>
  <c r="V340" i="3"/>
  <c r="AU338" i="3"/>
  <c r="AN340" i="3" l="1"/>
  <c r="Y340" i="3"/>
  <c r="Z340" i="3" s="1"/>
  <c r="BN340" i="3"/>
  <c r="BM340" i="3"/>
  <c r="AH340" i="3"/>
  <c r="AO340" i="3"/>
  <c r="AY338" i="3"/>
  <c r="AW339" i="3"/>
  <c r="AY339" i="3" s="1"/>
  <c r="BD337" i="3"/>
  <c r="BG337" i="3"/>
  <c r="BH337" i="3" s="1"/>
  <c r="BI337" i="3" s="1"/>
  <c r="AR341" i="3"/>
  <c r="B341" i="3"/>
  <c r="A342" i="3"/>
  <c r="AQ341" i="3"/>
  <c r="C341" i="3"/>
  <c r="D341" i="3"/>
  <c r="G341" i="3"/>
  <c r="H341" i="3" s="1"/>
  <c r="BN341" i="3" s="1"/>
  <c r="F341" i="3"/>
  <c r="BM341" i="3" s="1"/>
  <c r="Q341" i="3"/>
  <c r="S341" i="3"/>
  <c r="O341" i="3"/>
  <c r="U341" i="3"/>
  <c r="AD341" i="3"/>
  <c r="AF341" i="3"/>
  <c r="AE341" i="3"/>
  <c r="M341" i="3"/>
  <c r="AK341" i="3"/>
  <c r="AM341" i="3"/>
  <c r="V341" i="3"/>
  <c r="T341" i="3"/>
  <c r="R341" i="3"/>
  <c r="P341" i="3"/>
  <c r="AU339" i="3"/>
  <c r="BQ337" i="3"/>
  <c r="BB337" i="3"/>
  <c r="BF337" i="3"/>
  <c r="BJ336" i="3" s="1"/>
  <c r="BK336" i="3" s="1"/>
  <c r="AV338" i="3"/>
  <c r="BC338" i="3" s="1"/>
  <c r="BA338" i="3"/>
  <c r="AG340" i="3"/>
  <c r="AW340" i="3" s="1"/>
  <c r="X340" i="3"/>
  <c r="AT339" i="3"/>
  <c r="AH341" i="3" l="1"/>
  <c r="AO341" i="3"/>
  <c r="BB338" i="3"/>
  <c r="BF338" i="3"/>
  <c r="BJ337" i="3" s="1"/>
  <c r="BK337" i="3" s="1"/>
  <c r="BQ338" i="3"/>
  <c r="AU340" i="3"/>
  <c r="AT340" i="3"/>
  <c r="X341" i="3"/>
  <c r="BD338" i="3"/>
  <c r="BG338" i="3"/>
  <c r="BH338" i="3" s="1"/>
  <c r="BI338" i="3" s="1"/>
  <c r="B342" i="3"/>
  <c r="A343" i="3"/>
  <c r="AQ342" i="3"/>
  <c r="D342" i="3"/>
  <c r="C342" i="3"/>
  <c r="AR342" i="3"/>
  <c r="F342" i="3"/>
  <c r="BM342" i="3" s="1"/>
  <c r="G342" i="3"/>
  <c r="H342" i="3" s="1"/>
  <c r="BN342" i="3" s="1"/>
  <c r="S342" i="3"/>
  <c r="Q342" i="3"/>
  <c r="O342" i="3"/>
  <c r="U342" i="3"/>
  <c r="AD342" i="3"/>
  <c r="AE342" i="3"/>
  <c r="M342" i="3"/>
  <c r="AF342" i="3"/>
  <c r="AM342" i="3"/>
  <c r="AK342" i="3"/>
  <c r="R342" i="3"/>
  <c r="P342" i="3"/>
  <c r="V342" i="3"/>
  <c r="T342" i="3"/>
  <c r="Y341" i="3"/>
  <c r="Z341" i="3" s="1"/>
  <c r="AG341" i="3"/>
  <c r="AX340" i="3"/>
  <c r="AY340" i="3" s="1"/>
  <c r="AN341" i="3"/>
  <c r="BA339" i="3"/>
  <c r="AV339" i="3"/>
  <c r="BC339" i="3" s="1"/>
  <c r="AX341" i="3" l="1"/>
  <c r="AU341" i="3"/>
  <c r="AN342" i="3"/>
  <c r="AG342" i="3"/>
  <c r="AW341" i="3"/>
  <c r="AY341" i="3" s="1"/>
  <c r="X342" i="3"/>
  <c r="AQ343" i="3"/>
  <c r="AR343" i="3"/>
  <c r="B343" i="3"/>
  <c r="A344" i="3"/>
  <c r="C343" i="3"/>
  <c r="D343" i="3"/>
  <c r="F343" i="3"/>
  <c r="BM343" i="3" s="1"/>
  <c r="G343" i="3"/>
  <c r="H343" i="3" s="1"/>
  <c r="BN343" i="3" s="1"/>
  <c r="Q343" i="3"/>
  <c r="S343" i="3"/>
  <c r="O343" i="3"/>
  <c r="U343" i="3"/>
  <c r="AD343" i="3"/>
  <c r="AE343" i="3"/>
  <c r="M343" i="3"/>
  <c r="AK343" i="3"/>
  <c r="AM343" i="3"/>
  <c r="AF343" i="3"/>
  <c r="P343" i="3"/>
  <c r="T343" i="3"/>
  <c r="V343" i="3"/>
  <c r="R343" i="3"/>
  <c r="AT341" i="3"/>
  <c r="BF339" i="3"/>
  <c r="BJ338" i="3" s="1"/>
  <c r="BK338" i="3" s="1"/>
  <c r="BB339" i="3"/>
  <c r="BQ339" i="3"/>
  <c r="Y342" i="3"/>
  <c r="Z342" i="3" s="1"/>
  <c r="AO342" i="3"/>
  <c r="BA340" i="3"/>
  <c r="AV340" i="3"/>
  <c r="BC340" i="3" s="1"/>
  <c r="AH342" i="3"/>
  <c r="AX342" i="3" s="1"/>
  <c r="BD339" i="3"/>
  <c r="BG339" i="3"/>
  <c r="BH339" i="3" s="1"/>
  <c r="BI339" i="3" s="1"/>
  <c r="AG343" i="3" l="1"/>
  <c r="AN343" i="3"/>
  <c r="X343" i="3"/>
  <c r="BD340" i="3"/>
  <c r="BG340" i="3"/>
  <c r="BH340" i="3" s="1"/>
  <c r="BI340" i="3" s="1"/>
  <c r="BQ340" i="3"/>
  <c r="BF340" i="3"/>
  <c r="BJ339" i="3" s="1"/>
  <c r="BK339" i="3" s="1"/>
  <c r="BB340" i="3"/>
  <c r="AW342" i="3"/>
  <c r="AY342" i="3" s="1"/>
  <c r="A345" i="3"/>
  <c r="B344" i="3"/>
  <c r="AR344" i="3"/>
  <c r="AQ344" i="3"/>
  <c r="C344" i="3"/>
  <c r="D344" i="3"/>
  <c r="G344" i="3"/>
  <c r="H344" i="3" s="1"/>
  <c r="BN344" i="3" s="1"/>
  <c r="F344" i="3"/>
  <c r="BM344" i="3" s="1"/>
  <c r="Q344" i="3"/>
  <c r="S344" i="3"/>
  <c r="O344" i="3"/>
  <c r="U344" i="3"/>
  <c r="AD344" i="3"/>
  <c r="M344" i="3"/>
  <c r="AE344" i="3"/>
  <c r="AK344" i="3"/>
  <c r="AF344" i="3"/>
  <c r="AM344" i="3"/>
  <c r="AN344" i="3" s="1"/>
  <c r="T344" i="3"/>
  <c r="V344" i="3"/>
  <c r="P344" i="3"/>
  <c r="R344" i="3"/>
  <c r="Y343" i="3"/>
  <c r="Z343" i="3" s="1"/>
  <c r="AH343" i="3"/>
  <c r="AT343" i="3" s="1"/>
  <c r="AV341" i="3"/>
  <c r="BC341" i="3" s="1"/>
  <c r="BA341" i="3"/>
  <c r="AT342" i="3"/>
  <c r="AO343" i="3"/>
  <c r="AU342" i="3"/>
  <c r="AU343" i="3" l="1"/>
  <c r="AO344" i="3"/>
  <c r="AV343" i="3"/>
  <c r="BD341" i="3"/>
  <c r="BG341" i="3"/>
  <c r="BH341" i="3" s="1"/>
  <c r="BI341" i="3" s="1"/>
  <c r="BF341" i="3"/>
  <c r="BJ340" i="3" s="1"/>
  <c r="BK340" i="3" s="1"/>
  <c r="BB341" i="3"/>
  <c r="BQ341" i="3"/>
  <c r="Y344" i="3"/>
  <c r="Z344" i="3" s="1"/>
  <c r="AW343" i="3"/>
  <c r="AG344" i="3"/>
  <c r="X344" i="3"/>
  <c r="BA342" i="3"/>
  <c r="AV342" i="3"/>
  <c r="BC342" i="3" s="1"/>
  <c r="AX343" i="3"/>
  <c r="AY343" i="3" s="1"/>
  <c r="A346" i="3"/>
  <c r="D345" i="3"/>
  <c r="C345" i="3"/>
  <c r="AR345" i="3"/>
  <c r="B345" i="3"/>
  <c r="AQ345" i="3"/>
  <c r="G345" i="3"/>
  <c r="H345" i="3" s="1"/>
  <c r="F345" i="3"/>
  <c r="Q345" i="3"/>
  <c r="S345" i="3"/>
  <c r="O345" i="3"/>
  <c r="U345" i="3"/>
  <c r="AD345" i="3"/>
  <c r="AE345" i="3"/>
  <c r="AF345" i="3"/>
  <c r="AK345" i="3"/>
  <c r="M345" i="3"/>
  <c r="AM345" i="3"/>
  <c r="V345" i="3"/>
  <c r="P345" i="3"/>
  <c r="R345" i="3"/>
  <c r="T345" i="3"/>
  <c r="AH344" i="3"/>
  <c r="AX344" i="3" s="1"/>
  <c r="AN345" i="3" l="1"/>
  <c r="AG345" i="3"/>
  <c r="BA343" i="3"/>
  <c r="BQ343" i="3" s="1"/>
  <c r="Y345" i="3"/>
  <c r="Z345" i="3" s="1"/>
  <c r="BF342" i="3"/>
  <c r="BJ341" i="3" s="1"/>
  <c r="BK341" i="3" s="1"/>
  <c r="BB342" i="3"/>
  <c r="BQ342" i="3"/>
  <c r="BD342" i="3"/>
  <c r="BG342" i="3"/>
  <c r="BH342" i="3" s="1"/>
  <c r="BI342" i="3" s="1"/>
  <c r="AR346" i="3"/>
  <c r="B346" i="3"/>
  <c r="AQ346" i="3"/>
  <c r="A347" i="3"/>
  <c r="D346" i="3"/>
  <c r="C346" i="3"/>
  <c r="G346" i="3"/>
  <c r="H346" i="3" s="1"/>
  <c r="BN346" i="3" s="1"/>
  <c r="F346" i="3"/>
  <c r="BM346" i="3" s="1"/>
  <c r="Q346" i="3"/>
  <c r="S346" i="3"/>
  <c r="O346" i="3"/>
  <c r="U346" i="3"/>
  <c r="M346" i="3"/>
  <c r="AE346" i="3"/>
  <c r="AK346" i="3"/>
  <c r="AM346" i="3"/>
  <c r="AD346" i="3"/>
  <c r="AF346" i="3"/>
  <c r="T346" i="3"/>
  <c r="V346" i="3"/>
  <c r="P346" i="3"/>
  <c r="R346" i="3"/>
  <c r="BM345" i="3"/>
  <c r="AO345" i="3"/>
  <c r="AH345" i="3"/>
  <c r="AW344" i="3"/>
  <c r="AY344" i="3" s="1"/>
  <c r="X345" i="3"/>
  <c r="AT344" i="3"/>
  <c r="AU344" i="3"/>
  <c r="BN345" i="3"/>
  <c r="BC343" i="3"/>
  <c r="AX345" i="3" l="1"/>
  <c r="AO346" i="3"/>
  <c r="BF343" i="3"/>
  <c r="BB343" i="3"/>
  <c r="AV344" i="3"/>
  <c r="BC344" i="3" s="1"/>
  <c r="BA344" i="3"/>
  <c r="AN346" i="3"/>
  <c r="AH346" i="3"/>
  <c r="BJ342" i="3"/>
  <c r="BK342" i="3" s="1"/>
  <c r="BD343" i="3"/>
  <c r="BG343" i="3"/>
  <c r="BH343" i="3" s="1"/>
  <c r="BI343" i="3" s="1"/>
  <c r="AT345" i="3"/>
  <c r="B347" i="3"/>
  <c r="A348" i="3"/>
  <c r="AR347" i="3"/>
  <c r="D347" i="3"/>
  <c r="AQ347" i="3"/>
  <c r="C347" i="3"/>
  <c r="G347" i="3"/>
  <c r="H347" i="3" s="1"/>
  <c r="BN347" i="3" s="1"/>
  <c r="F347" i="3"/>
  <c r="BM347" i="3" s="1"/>
  <c r="Q347" i="3"/>
  <c r="S347" i="3"/>
  <c r="O347" i="3"/>
  <c r="U347" i="3"/>
  <c r="AD347" i="3"/>
  <c r="M347" i="3"/>
  <c r="AE347" i="3"/>
  <c r="AK347" i="3"/>
  <c r="AF347" i="3"/>
  <c r="AM347" i="3"/>
  <c r="AN347" i="3" s="1"/>
  <c r="R347" i="3"/>
  <c r="P347" i="3"/>
  <c r="T347" i="3"/>
  <c r="V347" i="3"/>
  <c r="Y346" i="3"/>
  <c r="Z346" i="3" s="1"/>
  <c r="AW345" i="3"/>
  <c r="AY345" i="3" s="1"/>
  <c r="AG346" i="3"/>
  <c r="AW346" i="3" s="1"/>
  <c r="X346" i="3"/>
  <c r="AU345" i="3"/>
  <c r="Y347" i="3" l="1"/>
  <c r="Z347" i="3" s="1"/>
  <c r="C348" i="3"/>
  <c r="A349" i="3"/>
  <c r="B348" i="3"/>
  <c r="AR348" i="3"/>
  <c r="AQ348" i="3"/>
  <c r="D348" i="3"/>
  <c r="F348" i="3"/>
  <c r="BM348" i="3" s="1"/>
  <c r="G348" i="3"/>
  <c r="H348" i="3" s="1"/>
  <c r="BN348" i="3" s="1"/>
  <c r="Q348" i="3"/>
  <c r="S348" i="3"/>
  <c r="O348" i="3"/>
  <c r="U348" i="3"/>
  <c r="AD348" i="3"/>
  <c r="M348" i="3"/>
  <c r="AM348" i="3"/>
  <c r="AF348" i="3"/>
  <c r="AE348" i="3"/>
  <c r="AK348" i="3"/>
  <c r="R348" i="3"/>
  <c r="T348" i="3"/>
  <c r="P348" i="3"/>
  <c r="V348" i="3"/>
  <c r="BA345" i="3"/>
  <c r="AV345" i="3"/>
  <c r="BC345" i="3" s="1"/>
  <c r="AX346" i="3"/>
  <c r="AY346" i="3" s="1"/>
  <c r="AH347" i="3"/>
  <c r="AU346" i="3"/>
  <c r="AG347" i="3"/>
  <c r="X347" i="3"/>
  <c r="BQ344" i="3"/>
  <c r="BB344" i="3"/>
  <c r="BF344" i="3"/>
  <c r="BJ343" i="3" s="1"/>
  <c r="BK343" i="3" s="1"/>
  <c r="AO347" i="3"/>
  <c r="AT346" i="3"/>
  <c r="BD344" i="3"/>
  <c r="BG344" i="3"/>
  <c r="BH344" i="3" s="1"/>
  <c r="BI344" i="3" s="1"/>
  <c r="AN348" i="3" l="1"/>
  <c r="AG348" i="3"/>
  <c r="AH348" i="3"/>
  <c r="X348" i="3"/>
  <c r="AX347" i="3"/>
  <c r="BD345" i="3"/>
  <c r="BG345" i="3"/>
  <c r="BH345" i="3" s="1"/>
  <c r="BI345" i="3" s="1"/>
  <c r="AW348" i="3"/>
  <c r="AU347" i="3"/>
  <c r="AU348" i="3"/>
  <c r="AW347" i="3"/>
  <c r="AY347" i="3" s="1"/>
  <c r="AT348" i="3"/>
  <c r="Y348" i="3"/>
  <c r="Z348" i="3" s="1"/>
  <c r="AT347" i="3"/>
  <c r="BA346" i="3"/>
  <c r="AV346" i="3"/>
  <c r="BC346" i="3" s="1"/>
  <c r="BF345" i="3"/>
  <c r="BJ344" i="3" s="1"/>
  <c r="BK344" i="3" s="1"/>
  <c r="BQ345" i="3"/>
  <c r="BB345" i="3"/>
  <c r="AR349" i="3"/>
  <c r="B349" i="3"/>
  <c r="AQ349" i="3"/>
  <c r="A350" i="3"/>
  <c r="C349" i="3"/>
  <c r="D349" i="3"/>
  <c r="F349" i="3"/>
  <c r="BM349" i="3" s="1"/>
  <c r="G349" i="3"/>
  <c r="H349" i="3" s="1"/>
  <c r="BN349" i="3" s="1"/>
  <c r="Q349" i="3"/>
  <c r="S349" i="3"/>
  <c r="O349" i="3"/>
  <c r="U349" i="3"/>
  <c r="AD349" i="3"/>
  <c r="AE349" i="3"/>
  <c r="AK349" i="3"/>
  <c r="M349" i="3"/>
  <c r="AF349" i="3"/>
  <c r="AM349" i="3"/>
  <c r="R349" i="3"/>
  <c r="P349" i="3"/>
  <c r="T349" i="3"/>
  <c r="V349" i="3"/>
  <c r="AO348" i="3"/>
  <c r="AN349" i="3" l="1"/>
  <c r="Y349" i="3"/>
  <c r="Z349" i="3" s="1"/>
  <c r="BG346" i="3"/>
  <c r="BH346" i="3" s="1"/>
  <c r="BI346" i="3" s="1"/>
  <c r="BD346" i="3"/>
  <c r="X349" i="3"/>
  <c r="BB346" i="3"/>
  <c r="BQ346" i="3"/>
  <c r="BF346" i="3"/>
  <c r="BJ345" i="3" s="1"/>
  <c r="BK345" i="3" s="1"/>
  <c r="AO349" i="3"/>
  <c r="AV347" i="3"/>
  <c r="BC347" i="3" s="1"/>
  <c r="BA347" i="3"/>
  <c r="AH349" i="3"/>
  <c r="AR350" i="3"/>
  <c r="B350" i="3"/>
  <c r="A351" i="3"/>
  <c r="D350" i="3"/>
  <c r="C350" i="3"/>
  <c r="AQ350" i="3"/>
  <c r="G350" i="3"/>
  <c r="H350" i="3" s="1"/>
  <c r="BN350" i="3" s="1"/>
  <c r="F350" i="3"/>
  <c r="BM350" i="3" s="1"/>
  <c r="Q350" i="3"/>
  <c r="S350" i="3"/>
  <c r="O350" i="3"/>
  <c r="U350" i="3"/>
  <c r="AE350" i="3"/>
  <c r="AD350" i="3"/>
  <c r="AF350" i="3"/>
  <c r="AM350" i="3"/>
  <c r="AK350" i="3"/>
  <c r="M350" i="3"/>
  <c r="T350" i="3"/>
  <c r="V350" i="3"/>
  <c r="P350" i="3"/>
  <c r="R350" i="3"/>
  <c r="AG349" i="3"/>
  <c r="AW349" i="3" s="1"/>
  <c r="AV348" i="3"/>
  <c r="AX348" i="3"/>
  <c r="AY348" i="3" s="1"/>
  <c r="AU349" i="3" l="1"/>
  <c r="AG350" i="3"/>
  <c r="AN350" i="3"/>
  <c r="Y350" i="3"/>
  <c r="Z350" i="3" s="1"/>
  <c r="AX349" i="3"/>
  <c r="AY349" i="3" s="1"/>
  <c r="BA348" i="3"/>
  <c r="AO350" i="3"/>
  <c r="BC348" i="3"/>
  <c r="AQ351" i="3"/>
  <c r="B351" i="3"/>
  <c r="A352" i="3"/>
  <c r="AR351" i="3"/>
  <c r="D351" i="3"/>
  <c r="C351" i="3"/>
  <c r="F351" i="3"/>
  <c r="BM351" i="3" s="1"/>
  <c r="G351" i="3"/>
  <c r="H351" i="3" s="1"/>
  <c r="BN351" i="3" s="1"/>
  <c r="Q351" i="3"/>
  <c r="S351" i="3"/>
  <c r="O351" i="3"/>
  <c r="U351" i="3"/>
  <c r="M351" i="3"/>
  <c r="AE351" i="3"/>
  <c r="AF351" i="3"/>
  <c r="AM351" i="3"/>
  <c r="AD351" i="3"/>
  <c r="AK351" i="3"/>
  <c r="AO351" i="3" s="1"/>
  <c r="R351" i="3"/>
  <c r="V351" i="3"/>
  <c r="P351" i="3"/>
  <c r="T351" i="3"/>
  <c r="BG347" i="3"/>
  <c r="BH347" i="3" s="1"/>
  <c r="BI347" i="3" s="1"/>
  <c r="BD347" i="3"/>
  <c r="AT349" i="3"/>
  <c r="BQ347" i="3"/>
  <c r="BB347" i="3"/>
  <c r="BF347" i="3"/>
  <c r="BJ346" i="3" s="1"/>
  <c r="BK346" i="3" s="1"/>
  <c r="AH350" i="3"/>
  <c r="AX350" i="3" s="1"/>
  <c r="X350" i="3"/>
  <c r="AN351" i="3" l="1"/>
  <c r="AT350" i="3"/>
  <c r="B352" i="3"/>
  <c r="AR352" i="3"/>
  <c r="AQ352" i="3"/>
  <c r="C352" i="3"/>
  <c r="D352" i="3"/>
  <c r="A353" i="3"/>
  <c r="F352" i="3"/>
  <c r="BM352" i="3" s="1"/>
  <c r="G352" i="3"/>
  <c r="H352" i="3" s="1"/>
  <c r="BN352" i="3" s="1"/>
  <c r="Q352" i="3"/>
  <c r="S352" i="3"/>
  <c r="O352" i="3"/>
  <c r="U352" i="3"/>
  <c r="AD352" i="3"/>
  <c r="M352" i="3"/>
  <c r="AE352" i="3"/>
  <c r="AM352" i="3"/>
  <c r="AF352" i="3"/>
  <c r="AK352" i="3"/>
  <c r="AO352" i="3" s="1"/>
  <c r="R352" i="3"/>
  <c r="V352" i="3"/>
  <c r="T352" i="3"/>
  <c r="P352" i="3"/>
  <c r="Y351" i="3"/>
  <c r="Z351" i="3" s="1"/>
  <c r="AU350" i="3"/>
  <c r="BB348" i="3"/>
  <c r="BQ348" i="3"/>
  <c r="BF348" i="3"/>
  <c r="BJ347" i="3" s="1"/>
  <c r="BK347" i="3" s="1"/>
  <c r="AV349" i="3"/>
  <c r="BC349" i="3" s="1"/>
  <c r="BA349" i="3"/>
  <c r="AH351" i="3"/>
  <c r="BD348" i="3"/>
  <c r="BG348" i="3"/>
  <c r="BH348" i="3" s="1"/>
  <c r="BI348" i="3" s="1"/>
  <c r="AW350" i="3"/>
  <c r="AY350" i="3" s="1"/>
  <c r="AG351" i="3"/>
  <c r="AW351" i="3" s="1"/>
  <c r="X351" i="3"/>
  <c r="AH352" i="3" l="1"/>
  <c r="AG352" i="3"/>
  <c r="AN352" i="3"/>
  <c r="BB349" i="3"/>
  <c r="BF349" i="3"/>
  <c r="BJ348" i="3" s="1"/>
  <c r="BK348" i="3" s="1"/>
  <c r="BQ349" i="3"/>
  <c r="AX352" i="3"/>
  <c r="AX351" i="3"/>
  <c r="AY351" i="3" s="1"/>
  <c r="AU352" i="3"/>
  <c r="BD349" i="3"/>
  <c r="BG349" i="3"/>
  <c r="BH349" i="3" s="1"/>
  <c r="BI349" i="3" s="1"/>
  <c r="AU351" i="3"/>
  <c r="AR353" i="3"/>
  <c r="B353" i="3"/>
  <c r="AQ353" i="3"/>
  <c r="A354" i="3"/>
  <c r="C353" i="3"/>
  <c r="D353" i="3"/>
  <c r="G353" i="3"/>
  <c r="H353" i="3" s="1"/>
  <c r="BN353" i="3" s="1"/>
  <c r="F353" i="3"/>
  <c r="BM353" i="3" s="1"/>
  <c r="Q353" i="3"/>
  <c r="S353" i="3"/>
  <c r="O353" i="3"/>
  <c r="U353" i="3"/>
  <c r="AD353" i="3"/>
  <c r="AE353" i="3"/>
  <c r="AM353" i="3"/>
  <c r="AF353" i="3"/>
  <c r="M353" i="3"/>
  <c r="AK353" i="3"/>
  <c r="AO353" i="3" s="1"/>
  <c r="P353" i="3"/>
  <c r="V353" i="3"/>
  <c r="T353" i="3"/>
  <c r="R353" i="3"/>
  <c r="AT352" i="3"/>
  <c r="AW352" i="3"/>
  <c r="X352" i="3"/>
  <c r="AT351" i="3"/>
  <c r="Y352" i="3"/>
  <c r="Z352" i="3" s="1"/>
  <c r="AV350" i="3"/>
  <c r="BC350" i="3" s="1"/>
  <c r="BA350" i="3"/>
  <c r="AG353" i="3" l="1"/>
  <c r="Y353" i="3"/>
  <c r="Z353" i="3" s="1"/>
  <c r="BD350" i="3"/>
  <c r="BG350" i="3"/>
  <c r="BH350" i="3" s="1"/>
  <c r="BI350" i="3" s="1"/>
  <c r="BA352" i="3"/>
  <c r="AV352" i="3"/>
  <c r="AN353" i="3"/>
  <c r="AV351" i="3"/>
  <c r="BC351" i="3" s="1"/>
  <c r="BA351" i="3"/>
  <c r="AR354" i="3"/>
  <c r="B354" i="3"/>
  <c r="AQ354" i="3"/>
  <c r="C354" i="3"/>
  <c r="D354" i="3"/>
  <c r="A355" i="3"/>
  <c r="G354" i="3"/>
  <c r="H354" i="3" s="1"/>
  <c r="BN354" i="3" s="1"/>
  <c r="F354" i="3"/>
  <c r="BM354" i="3" s="1"/>
  <c r="Q354" i="3"/>
  <c r="S354" i="3"/>
  <c r="O354" i="3"/>
  <c r="U354" i="3"/>
  <c r="M354" i="3"/>
  <c r="AE354" i="3"/>
  <c r="AD354" i="3"/>
  <c r="AK354" i="3"/>
  <c r="AM354" i="3"/>
  <c r="AF354" i="3"/>
  <c r="AH354" i="3" s="1"/>
  <c r="R354" i="3"/>
  <c r="P354" i="3"/>
  <c r="T354" i="3"/>
  <c r="V354" i="3"/>
  <c r="AY352" i="3"/>
  <c r="BB350" i="3"/>
  <c r="BQ350" i="3"/>
  <c r="BF350" i="3"/>
  <c r="BJ349" i="3" s="1"/>
  <c r="BK349" i="3" s="1"/>
  <c r="AH353" i="3"/>
  <c r="AX353" i="3" s="1"/>
  <c r="X353" i="3"/>
  <c r="AN354" i="3" l="1"/>
  <c r="AU353" i="3"/>
  <c r="BF351" i="3"/>
  <c r="BJ350" i="3" s="1"/>
  <c r="BK350" i="3" s="1"/>
  <c r="BB351" i="3"/>
  <c r="BQ351" i="3"/>
  <c r="AW353" i="3"/>
  <c r="AY353" i="3" s="1"/>
  <c r="BQ352" i="3"/>
  <c r="BB352" i="3"/>
  <c r="BF352" i="3"/>
  <c r="BJ351" i="3" s="1"/>
  <c r="BK351" i="3" s="1"/>
  <c r="AR355" i="3"/>
  <c r="D355" i="3"/>
  <c r="C355" i="3"/>
  <c r="A356" i="3"/>
  <c r="AQ355" i="3"/>
  <c r="B355" i="3"/>
  <c r="F355" i="3"/>
  <c r="BM355" i="3" s="1"/>
  <c r="G355" i="3"/>
  <c r="H355" i="3" s="1"/>
  <c r="BN355" i="3" s="1"/>
  <c r="Q355" i="3"/>
  <c r="S355" i="3"/>
  <c r="O355" i="3"/>
  <c r="U355" i="3"/>
  <c r="AE355" i="3"/>
  <c r="AD355" i="3"/>
  <c r="AM355" i="3"/>
  <c r="AK355" i="3"/>
  <c r="AO355" i="3" s="1"/>
  <c r="AF355" i="3"/>
  <c r="M355" i="3"/>
  <c r="R355" i="3"/>
  <c r="V355" i="3"/>
  <c r="T355" i="3"/>
  <c r="P355" i="3"/>
  <c r="BD351" i="3"/>
  <c r="BG351" i="3"/>
  <c r="BH351" i="3" s="1"/>
  <c r="BI351" i="3" s="1"/>
  <c r="AG354" i="3"/>
  <c r="Y354" i="3"/>
  <c r="Z354" i="3" s="1"/>
  <c r="AO354" i="3"/>
  <c r="BC352" i="3"/>
  <c r="X354" i="3"/>
  <c r="AT353" i="3"/>
  <c r="AH355" i="3" l="1"/>
  <c r="AN355" i="3"/>
  <c r="BD352" i="3"/>
  <c r="BG352" i="3"/>
  <c r="BH352" i="3" s="1"/>
  <c r="BI352" i="3" s="1"/>
  <c r="AW354" i="3"/>
  <c r="A357" i="3"/>
  <c r="B356" i="3"/>
  <c r="AR356" i="3"/>
  <c r="AQ356" i="3"/>
  <c r="D356" i="3"/>
  <c r="C356" i="3"/>
  <c r="G356" i="3"/>
  <c r="H356" i="3" s="1"/>
  <c r="BN356" i="3" s="1"/>
  <c r="F356" i="3"/>
  <c r="BM356" i="3" s="1"/>
  <c r="Q356" i="3"/>
  <c r="S356" i="3"/>
  <c r="O356" i="3"/>
  <c r="U356" i="3"/>
  <c r="AE356" i="3"/>
  <c r="AD356" i="3"/>
  <c r="M356" i="3"/>
  <c r="AK356" i="3"/>
  <c r="AM356" i="3"/>
  <c r="AF356" i="3"/>
  <c r="R356" i="3"/>
  <c r="V356" i="3"/>
  <c r="T356" i="3"/>
  <c r="P356" i="3"/>
  <c r="Y355" i="3"/>
  <c r="Z355" i="3" s="1"/>
  <c r="AU354" i="3"/>
  <c r="AX354" i="3"/>
  <c r="X355" i="3"/>
  <c r="AT354" i="3"/>
  <c r="AG355" i="3"/>
  <c r="AW355" i="3" s="1"/>
  <c r="BA353" i="3"/>
  <c r="AV353" i="3"/>
  <c r="BC353" i="3" s="1"/>
  <c r="AO356" i="3" l="1"/>
  <c r="AH356" i="3"/>
  <c r="AG356" i="3"/>
  <c r="AN356" i="3"/>
  <c r="X356" i="3"/>
  <c r="BF353" i="3"/>
  <c r="BJ352" i="3" s="1"/>
  <c r="BK352" i="3" s="1"/>
  <c r="BB353" i="3"/>
  <c r="BQ353" i="3"/>
  <c r="AT355" i="3"/>
  <c r="BG353" i="3"/>
  <c r="BH353" i="3" s="1"/>
  <c r="BI353" i="3" s="1"/>
  <c r="BD353" i="3"/>
  <c r="AU355" i="3"/>
  <c r="AX355" i="3"/>
  <c r="AY355" i="3" s="1"/>
  <c r="B357" i="3"/>
  <c r="AQ357" i="3"/>
  <c r="A358" i="3"/>
  <c r="C357" i="3"/>
  <c r="AR357" i="3"/>
  <c r="D357" i="3"/>
  <c r="F357" i="3"/>
  <c r="BM357" i="3" s="1"/>
  <c r="G357" i="3"/>
  <c r="H357" i="3" s="1"/>
  <c r="BN357" i="3" s="1"/>
  <c r="Q357" i="3"/>
  <c r="S357" i="3"/>
  <c r="O357" i="3"/>
  <c r="U357" i="3"/>
  <c r="AD357" i="3"/>
  <c r="AE357" i="3"/>
  <c r="M357" i="3"/>
  <c r="AK357" i="3"/>
  <c r="AF357" i="3"/>
  <c r="AM357" i="3"/>
  <c r="AN357" i="3" s="1"/>
  <c r="P357" i="3"/>
  <c r="V357" i="3"/>
  <c r="R357" i="3"/>
  <c r="T357" i="3"/>
  <c r="AX356" i="3"/>
  <c r="AT356" i="3"/>
  <c r="AY354" i="3"/>
  <c r="AW356" i="3"/>
  <c r="BA354" i="3"/>
  <c r="AV354" i="3"/>
  <c r="Y356" i="3"/>
  <c r="Z356" i="3" s="1"/>
  <c r="AU356" i="3" l="1"/>
  <c r="BC354" i="3"/>
  <c r="AY356" i="3"/>
  <c r="D358" i="3"/>
  <c r="AR358" i="3"/>
  <c r="B358" i="3"/>
  <c r="AQ358" i="3"/>
  <c r="A359" i="3"/>
  <c r="C358" i="3"/>
  <c r="F358" i="3"/>
  <c r="BM358" i="3" s="1"/>
  <c r="G358" i="3"/>
  <c r="H358" i="3" s="1"/>
  <c r="BN358" i="3" s="1"/>
  <c r="Q358" i="3"/>
  <c r="S358" i="3"/>
  <c r="O358" i="3"/>
  <c r="U358" i="3"/>
  <c r="M358" i="3"/>
  <c r="AE358" i="3"/>
  <c r="AD358" i="3"/>
  <c r="AM358" i="3"/>
  <c r="AF358" i="3"/>
  <c r="AK358" i="3"/>
  <c r="T358" i="3"/>
  <c r="P358" i="3"/>
  <c r="V358" i="3"/>
  <c r="R358" i="3"/>
  <c r="BB354" i="3"/>
  <c r="BF354" i="3"/>
  <c r="BJ353" i="3" s="1"/>
  <c r="BK353" i="3" s="1"/>
  <c r="BQ354" i="3"/>
  <c r="AV356" i="3"/>
  <c r="BC356" i="3" s="1"/>
  <c r="BA356" i="3"/>
  <c r="AO357" i="3"/>
  <c r="AH357" i="3"/>
  <c r="BD354" i="3"/>
  <c r="BG354" i="3"/>
  <c r="BH354" i="3" s="1"/>
  <c r="BI354" i="3" s="1"/>
  <c r="Y357" i="3"/>
  <c r="Z357" i="3" s="1"/>
  <c r="AG357" i="3"/>
  <c r="BA355" i="3"/>
  <c r="AV355" i="3"/>
  <c r="BC355" i="3" s="1"/>
  <c r="X357" i="3"/>
  <c r="AW357" i="3" l="1"/>
  <c r="AO358" i="3"/>
  <c r="AG358" i="3"/>
  <c r="AX357" i="3"/>
  <c r="AY357" i="3" s="1"/>
  <c r="BD355" i="3"/>
  <c r="BG355" i="3"/>
  <c r="BH355" i="3" s="1"/>
  <c r="BI355" i="3" s="1"/>
  <c r="BD356" i="3"/>
  <c r="BG356" i="3"/>
  <c r="BH356" i="3" s="1"/>
  <c r="BI356" i="3" s="1"/>
  <c r="AH358" i="3"/>
  <c r="AU358" i="3" s="1"/>
  <c r="BB355" i="3"/>
  <c r="BQ355" i="3"/>
  <c r="BF355" i="3"/>
  <c r="BJ354" i="3" s="1"/>
  <c r="BK354" i="3" s="1"/>
  <c r="BF356" i="3"/>
  <c r="BQ356" i="3"/>
  <c r="BB356" i="3"/>
  <c r="AN358" i="3"/>
  <c r="X358" i="3"/>
  <c r="AQ359" i="3"/>
  <c r="B359" i="3"/>
  <c r="A360" i="3"/>
  <c r="AR359" i="3"/>
  <c r="C359" i="3"/>
  <c r="D359" i="3"/>
  <c r="G359" i="3"/>
  <c r="H359" i="3" s="1"/>
  <c r="BN359" i="3" s="1"/>
  <c r="F359" i="3"/>
  <c r="S359" i="3"/>
  <c r="Q359" i="3"/>
  <c r="O359" i="3"/>
  <c r="U359" i="3"/>
  <c r="AE359" i="3"/>
  <c r="AD359" i="3"/>
  <c r="AF359" i="3"/>
  <c r="AK359" i="3"/>
  <c r="M359" i="3"/>
  <c r="AM359" i="3"/>
  <c r="P359" i="3"/>
  <c r="T359" i="3"/>
  <c r="R359" i="3"/>
  <c r="V359" i="3"/>
  <c r="AU357" i="3"/>
  <c r="AT357" i="3"/>
  <c r="Y358" i="3"/>
  <c r="Z358" i="3" s="1"/>
  <c r="AN359" i="3" l="1"/>
  <c r="Y359" i="3"/>
  <c r="Z359" i="3" s="1"/>
  <c r="BJ355" i="3"/>
  <c r="BK355" i="3" s="1"/>
  <c r="BM359" i="3"/>
  <c r="AH359" i="3"/>
  <c r="AG359" i="3"/>
  <c r="AO359" i="3"/>
  <c r="X359" i="3"/>
  <c r="A361" i="3"/>
  <c r="B360" i="3"/>
  <c r="AQ360" i="3"/>
  <c r="C360" i="3"/>
  <c r="D360" i="3"/>
  <c r="AR360" i="3"/>
  <c r="G360" i="3"/>
  <c r="H360" i="3" s="1"/>
  <c r="BN360" i="3" s="1"/>
  <c r="F360" i="3"/>
  <c r="BM360" i="3" s="1"/>
  <c r="Q360" i="3"/>
  <c r="S360" i="3"/>
  <c r="O360" i="3"/>
  <c r="U360" i="3"/>
  <c r="AD360" i="3"/>
  <c r="M360" i="3"/>
  <c r="AE360" i="3"/>
  <c r="AK360" i="3"/>
  <c r="AM360" i="3"/>
  <c r="AF360" i="3"/>
  <c r="T360" i="3"/>
  <c r="V360" i="3"/>
  <c r="P360" i="3"/>
  <c r="R360" i="3"/>
  <c r="AX358" i="3"/>
  <c r="AU359" i="3"/>
  <c r="AW359" i="3"/>
  <c r="AV357" i="3"/>
  <c r="BC357" i="3" s="1"/>
  <c r="BA357" i="3"/>
  <c r="AT358" i="3"/>
  <c r="AW358" i="3"/>
  <c r="AY358" i="3" s="1"/>
  <c r="AX359" i="3" l="1"/>
  <c r="AT359" i="3"/>
  <c r="AG360" i="3"/>
  <c r="BA359" i="3"/>
  <c r="BQ359" i="3" s="1"/>
  <c r="AN360" i="3"/>
  <c r="BD357" i="3"/>
  <c r="BG357" i="3"/>
  <c r="BH357" i="3" s="1"/>
  <c r="BI357" i="3" s="1"/>
  <c r="X360" i="3"/>
  <c r="AR361" i="3"/>
  <c r="B361" i="3"/>
  <c r="AQ361" i="3"/>
  <c r="A362" i="3"/>
  <c r="C361" i="3"/>
  <c r="D361" i="3"/>
  <c r="G361" i="3"/>
  <c r="H361" i="3" s="1"/>
  <c r="BN361" i="3" s="1"/>
  <c r="F361" i="3"/>
  <c r="BM361" i="3" s="1"/>
  <c r="S361" i="3"/>
  <c r="Q361" i="3"/>
  <c r="O361" i="3"/>
  <c r="U361" i="3"/>
  <c r="M361" i="3"/>
  <c r="AE361" i="3"/>
  <c r="AF361" i="3"/>
  <c r="AK361" i="3"/>
  <c r="AD361" i="3"/>
  <c r="AM361" i="3"/>
  <c r="AN361" i="3" s="1"/>
  <c r="R361" i="3"/>
  <c r="V361" i="3"/>
  <c r="P361" i="3"/>
  <c r="T361" i="3"/>
  <c r="AH360" i="3"/>
  <c r="AX360" i="3" s="1"/>
  <c r="BA358" i="3"/>
  <c r="AV358" i="3"/>
  <c r="BC358" i="3" s="1"/>
  <c r="BQ357" i="3"/>
  <c r="BF357" i="3"/>
  <c r="BJ356" i="3" s="1"/>
  <c r="BK356" i="3" s="1"/>
  <c r="BB357" i="3"/>
  <c r="AU360" i="3"/>
  <c r="Y360" i="3"/>
  <c r="Z360" i="3" s="1"/>
  <c r="AV359" i="3"/>
  <c r="AY359" i="3"/>
  <c r="AO360" i="3"/>
  <c r="BB359" i="3" l="1"/>
  <c r="BF359" i="3"/>
  <c r="AH361" i="3"/>
  <c r="BC359" i="3"/>
  <c r="BD358" i="3"/>
  <c r="BG358" i="3"/>
  <c r="BH358" i="3" s="1"/>
  <c r="BI358" i="3" s="1"/>
  <c r="B362" i="3"/>
  <c r="AQ362" i="3"/>
  <c r="A363" i="3"/>
  <c r="D362" i="3"/>
  <c r="C362" i="3"/>
  <c r="AR362" i="3"/>
  <c r="F362" i="3"/>
  <c r="BM362" i="3" s="1"/>
  <c r="G362" i="3"/>
  <c r="H362" i="3" s="1"/>
  <c r="BN362" i="3" s="1"/>
  <c r="Q362" i="3"/>
  <c r="S362" i="3"/>
  <c r="O362" i="3"/>
  <c r="U362" i="3"/>
  <c r="AD362" i="3"/>
  <c r="M362" i="3"/>
  <c r="AE362" i="3"/>
  <c r="AM362" i="3"/>
  <c r="AF362" i="3"/>
  <c r="AK362" i="3"/>
  <c r="T362" i="3"/>
  <c r="R362" i="3"/>
  <c r="P362" i="3"/>
  <c r="V362" i="3"/>
  <c r="AW360" i="3"/>
  <c r="AY360" i="3" s="1"/>
  <c r="BF358" i="3"/>
  <c r="BJ357" i="3" s="1"/>
  <c r="BK357" i="3" s="1"/>
  <c r="BQ358" i="3"/>
  <c r="BB358" i="3"/>
  <c r="BD359" i="3"/>
  <c r="BG359" i="3"/>
  <c r="BH359" i="3" s="1"/>
  <c r="BI359" i="3" s="1"/>
  <c r="AO361" i="3"/>
  <c r="X361" i="3"/>
  <c r="AT360" i="3"/>
  <c r="BJ358" i="3"/>
  <c r="BK358" i="3" s="1"/>
  <c r="Y361" i="3"/>
  <c r="Z361" i="3" s="1"/>
  <c r="AG361" i="3"/>
  <c r="AW361" i="3" s="1"/>
  <c r="AN362" i="3" l="1"/>
  <c r="AG362" i="3"/>
  <c r="AO362" i="3"/>
  <c r="AV360" i="3"/>
  <c r="BC360" i="3" s="1"/>
  <c r="BA360" i="3"/>
  <c r="AX361" i="3"/>
  <c r="AY361" i="3" s="1"/>
  <c r="X362" i="3"/>
  <c r="AU361" i="3"/>
  <c r="AT361" i="3"/>
  <c r="AH362" i="3"/>
  <c r="Y362" i="3"/>
  <c r="Z362" i="3" s="1"/>
  <c r="AQ363" i="3"/>
  <c r="B363" i="3"/>
  <c r="A364" i="3"/>
  <c r="AR363" i="3"/>
  <c r="C363" i="3"/>
  <c r="D363" i="3"/>
  <c r="F363" i="3"/>
  <c r="BM363" i="3" s="1"/>
  <c r="G363" i="3"/>
  <c r="H363" i="3" s="1"/>
  <c r="BN363" i="3" s="1"/>
  <c r="Q363" i="3"/>
  <c r="S363" i="3"/>
  <c r="O363" i="3"/>
  <c r="U363" i="3"/>
  <c r="AD363" i="3"/>
  <c r="M363" i="3"/>
  <c r="AE363" i="3"/>
  <c r="AM363" i="3"/>
  <c r="AK363" i="3"/>
  <c r="AF363" i="3"/>
  <c r="T363" i="3"/>
  <c r="V363" i="3"/>
  <c r="R363" i="3"/>
  <c r="P363" i="3"/>
  <c r="AX362" i="3" l="1"/>
  <c r="AU362" i="3"/>
  <c r="AW362" i="3"/>
  <c r="AO363" i="3"/>
  <c r="AN363" i="3"/>
  <c r="AV361" i="3"/>
  <c r="BC361" i="3" s="1"/>
  <c r="BA361" i="3"/>
  <c r="Y363" i="3"/>
  <c r="Z363" i="3" s="1"/>
  <c r="AH363" i="3"/>
  <c r="AG363" i="3"/>
  <c r="X363" i="3"/>
  <c r="A365" i="3"/>
  <c r="B364" i="3"/>
  <c r="AR364" i="3"/>
  <c r="AQ364" i="3"/>
  <c r="D364" i="3"/>
  <c r="C364" i="3"/>
  <c r="G364" i="3"/>
  <c r="H364" i="3" s="1"/>
  <c r="BN364" i="3" s="1"/>
  <c r="F364" i="3"/>
  <c r="BM364" i="3" s="1"/>
  <c r="Q364" i="3"/>
  <c r="S364" i="3"/>
  <c r="O364" i="3"/>
  <c r="U364" i="3"/>
  <c r="AE364" i="3"/>
  <c r="AD364" i="3"/>
  <c r="AK364" i="3"/>
  <c r="M364" i="3"/>
  <c r="AF364" i="3"/>
  <c r="AM364" i="3"/>
  <c r="V364" i="3"/>
  <c r="T364" i="3"/>
  <c r="R364" i="3"/>
  <c r="P364" i="3"/>
  <c r="AT362" i="3"/>
  <c r="BB360" i="3"/>
  <c r="BQ360" i="3"/>
  <c r="BF360" i="3"/>
  <c r="BJ359" i="3" s="1"/>
  <c r="BK359" i="3" s="1"/>
  <c r="AU363" i="3"/>
  <c r="BD360" i="3"/>
  <c r="BG360" i="3"/>
  <c r="BH360" i="3" s="1"/>
  <c r="BI360" i="3" s="1"/>
  <c r="AY362" i="3" l="1"/>
  <c r="AN364" i="3"/>
  <c r="AW363" i="3"/>
  <c r="A366" i="3"/>
  <c r="D365" i="3"/>
  <c r="C365" i="3"/>
  <c r="B365" i="3"/>
  <c r="AQ365" i="3"/>
  <c r="AR365" i="3"/>
  <c r="F365" i="3"/>
  <c r="BM365" i="3" s="1"/>
  <c r="G365" i="3"/>
  <c r="H365" i="3" s="1"/>
  <c r="BN365" i="3" s="1"/>
  <c r="Q365" i="3"/>
  <c r="S365" i="3"/>
  <c r="O365" i="3"/>
  <c r="U365" i="3"/>
  <c r="M365" i="3"/>
  <c r="AE365" i="3"/>
  <c r="AK365" i="3"/>
  <c r="AD365" i="3"/>
  <c r="AF365" i="3"/>
  <c r="AM365" i="3"/>
  <c r="V365" i="3"/>
  <c r="P365" i="3"/>
  <c r="R365" i="3"/>
  <c r="T365" i="3"/>
  <c r="AV362" i="3"/>
  <c r="BC362" i="3" s="1"/>
  <c r="BA362" i="3"/>
  <c r="AX363" i="3"/>
  <c r="AT363" i="3"/>
  <c r="AO364" i="3"/>
  <c r="BF361" i="3"/>
  <c r="BJ360" i="3" s="1"/>
  <c r="BK360" i="3" s="1"/>
  <c r="BB361" i="3"/>
  <c r="BQ361" i="3"/>
  <c r="X364" i="3"/>
  <c r="Y364" i="3"/>
  <c r="Z364" i="3" s="1"/>
  <c r="BD361" i="3"/>
  <c r="BG361" i="3"/>
  <c r="BH361" i="3" s="1"/>
  <c r="BI361" i="3" s="1"/>
  <c r="AH364" i="3"/>
  <c r="AG364" i="3"/>
  <c r="AY363" i="3" l="1"/>
  <c r="AN365" i="3"/>
  <c r="AH365" i="3"/>
  <c r="AX364" i="3"/>
  <c r="AO365" i="3"/>
  <c r="AU364" i="3"/>
  <c r="AW364" i="3"/>
  <c r="AY364" i="3" s="1"/>
  <c r="AG365" i="3"/>
  <c r="AW365" i="3" s="1"/>
  <c r="BD362" i="3"/>
  <c r="BG362" i="3"/>
  <c r="BH362" i="3" s="1"/>
  <c r="BI362" i="3" s="1"/>
  <c r="AT364" i="3"/>
  <c r="X365" i="3"/>
  <c r="Y365" i="3"/>
  <c r="Z365" i="3" s="1"/>
  <c r="BA363" i="3"/>
  <c r="AV363" i="3"/>
  <c r="BC363" i="3" s="1"/>
  <c r="BF362" i="3"/>
  <c r="BJ361" i="3" s="1"/>
  <c r="BK361" i="3" s="1"/>
  <c r="BQ362" i="3"/>
  <c r="BB362" i="3"/>
  <c r="AU365" i="3"/>
  <c r="AR366" i="3"/>
  <c r="B366" i="3"/>
  <c r="AQ366" i="3"/>
  <c r="A367" i="3"/>
  <c r="C366" i="3"/>
  <c r="D366" i="3"/>
  <c r="F366" i="3"/>
  <c r="BM366" i="3" s="1"/>
  <c r="G366" i="3"/>
  <c r="H366" i="3" s="1"/>
  <c r="BN366" i="3" s="1"/>
  <c r="S366" i="3"/>
  <c r="Q366" i="3"/>
  <c r="O366" i="3"/>
  <c r="U366" i="3"/>
  <c r="AE366" i="3"/>
  <c r="AD366" i="3"/>
  <c r="M366" i="3"/>
  <c r="AM366" i="3"/>
  <c r="AK366" i="3"/>
  <c r="AF366" i="3"/>
  <c r="R366" i="3"/>
  <c r="V366" i="3"/>
  <c r="P366" i="3"/>
  <c r="T366" i="3"/>
  <c r="AO366" i="3" l="1"/>
  <c r="BF363" i="3"/>
  <c r="BJ362" i="3" s="1"/>
  <c r="BK362" i="3" s="1"/>
  <c r="BB363" i="3"/>
  <c r="BQ363" i="3"/>
  <c r="BD363" i="3"/>
  <c r="BG363" i="3"/>
  <c r="BH363" i="3" s="1"/>
  <c r="BI363" i="3" s="1"/>
  <c r="AH366" i="3"/>
  <c r="Y366" i="3"/>
  <c r="Z366" i="3" s="1"/>
  <c r="AN366" i="3"/>
  <c r="AV364" i="3"/>
  <c r="BC364" i="3" s="1"/>
  <c r="BA364" i="3"/>
  <c r="AG366" i="3"/>
  <c r="AW366" i="3" s="1"/>
  <c r="AT365" i="3"/>
  <c r="B367" i="3"/>
  <c r="A368" i="3"/>
  <c r="AR367" i="3"/>
  <c r="D367" i="3"/>
  <c r="AQ367" i="3"/>
  <c r="C367" i="3"/>
  <c r="F367" i="3"/>
  <c r="G367" i="3"/>
  <c r="H367" i="3" s="1"/>
  <c r="Q367" i="3"/>
  <c r="S367" i="3"/>
  <c r="O367" i="3"/>
  <c r="U367" i="3"/>
  <c r="AD367" i="3"/>
  <c r="M367" i="3"/>
  <c r="AE367" i="3"/>
  <c r="AF367" i="3"/>
  <c r="AK367" i="3"/>
  <c r="AM367" i="3"/>
  <c r="R367" i="3"/>
  <c r="T367" i="3"/>
  <c r="P367" i="3"/>
  <c r="V367" i="3"/>
  <c r="AX365" i="3"/>
  <c r="AY365" i="3" s="1"/>
  <c r="X366" i="3"/>
  <c r="AU366" i="3"/>
  <c r="AN367" i="3" l="1"/>
  <c r="AT366" i="3"/>
  <c r="Y367" i="3"/>
  <c r="Z367" i="3" s="1"/>
  <c r="BB364" i="3"/>
  <c r="BQ364" i="3"/>
  <c r="BF364" i="3"/>
  <c r="BJ363" i="3" s="1"/>
  <c r="BK363" i="3" s="1"/>
  <c r="C368" i="3"/>
  <c r="A369" i="3"/>
  <c r="B368" i="3"/>
  <c r="AR368" i="3"/>
  <c r="AQ368" i="3"/>
  <c r="D368" i="3"/>
  <c r="F368" i="3"/>
  <c r="BM368" i="3" s="1"/>
  <c r="G368" i="3"/>
  <c r="H368" i="3" s="1"/>
  <c r="BN368" i="3" s="1"/>
  <c r="Q368" i="3"/>
  <c r="S368" i="3"/>
  <c r="O368" i="3"/>
  <c r="U368" i="3"/>
  <c r="AD368" i="3"/>
  <c r="AE368" i="3"/>
  <c r="M368" i="3"/>
  <c r="AF368" i="3"/>
  <c r="AM368" i="3"/>
  <c r="AK368" i="3"/>
  <c r="T368" i="3"/>
  <c r="R368" i="3"/>
  <c r="P368" i="3"/>
  <c r="V368" i="3"/>
  <c r="AO367" i="3"/>
  <c r="X367" i="3"/>
  <c r="BA365" i="3"/>
  <c r="AV365" i="3"/>
  <c r="BC365" i="3" s="1"/>
  <c r="AG367" i="3"/>
  <c r="AX366" i="3"/>
  <c r="AY366" i="3" s="1"/>
  <c r="BN367" i="3"/>
  <c r="BD364" i="3"/>
  <c r="BG364" i="3"/>
  <c r="BH364" i="3" s="1"/>
  <c r="BI364" i="3" s="1"/>
  <c r="AH367" i="3"/>
  <c r="AX367" i="3" s="1"/>
  <c r="BM367" i="3"/>
  <c r="AO368" i="3" l="1"/>
  <c r="AH368" i="3"/>
  <c r="BD365" i="3"/>
  <c r="BG365" i="3"/>
  <c r="BH365" i="3" s="1"/>
  <c r="BI365" i="3" s="1"/>
  <c r="AT367" i="3"/>
  <c r="AW367" i="3"/>
  <c r="AY367" i="3" s="1"/>
  <c r="X368" i="3"/>
  <c r="BF365" i="3"/>
  <c r="BJ364" i="3" s="1"/>
  <c r="BK364" i="3" s="1"/>
  <c r="BB365" i="3"/>
  <c r="BQ365" i="3"/>
  <c r="AR369" i="3"/>
  <c r="B369" i="3"/>
  <c r="AQ369" i="3"/>
  <c r="A370" i="3"/>
  <c r="D369" i="3"/>
  <c r="C369" i="3"/>
  <c r="F369" i="3"/>
  <c r="BM369" i="3" s="1"/>
  <c r="G369" i="3"/>
  <c r="H369" i="3" s="1"/>
  <c r="BN369" i="3" s="1"/>
  <c r="Q369" i="3"/>
  <c r="S369" i="3"/>
  <c r="O369" i="3"/>
  <c r="U369" i="3"/>
  <c r="M369" i="3"/>
  <c r="AE369" i="3"/>
  <c r="AD369" i="3"/>
  <c r="AK369" i="3"/>
  <c r="AF369" i="3"/>
  <c r="AM369" i="3"/>
  <c r="AN369" i="3" s="1"/>
  <c r="V369" i="3"/>
  <c r="T369" i="3"/>
  <c r="R369" i="3"/>
  <c r="P369" i="3"/>
  <c r="AV366" i="3"/>
  <c r="BC366" i="3" s="1"/>
  <c r="BA366" i="3"/>
  <c r="Y368" i="3"/>
  <c r="Z368" i="3" s="1"/>
  <c r="AN368" i="3"/>
  <c r="AG368" i="3"/>
  <c r="AW368" i="3" s="1"/>
  <c r="AU367" i="3"/>
  <c r="AX368" i="3" l="1"/>
  <c r="AY368" i="3" s="1"/>
  <c r="AH369" i="3"/>
  <c r="AR370" i="3"/>
  <c r="B370" i="3"/>
  <c r="A371" i="3"/>
  <c r="C370" i="3"/>
  <c r="D370" i="3"/>
  <c r="AQ370" i="3"/>
  <c r="F370" i="3"/>
  <c r="BM370" i="3" s="1"/>
  <c r="G370" i="3"/>
  <c r="H370" i="3" s="1"/>
  <c r="BN370" i="3" s="1"/>
  <c r="Q370" i="3"/>
  <c r="S370" i="3"/>
  <c r="O370" i="3"/>
  <c r="U370" i="3"/>
  <c r="AE370" i="3"/>
  <c r="AD370" i="3"/>
  <c r="M370" i="3"/>
  <c r="AK370" i="3"/>
  <c r="AF370" i="3"/>
  <c r="AM370" i="3"/>
  <c r="AN370" i="3" s="1"/>
  <c r="T370" i="3"/>
  <c r="P370" i="3"/>
  <c r="V370" i="3"/>
  <c r="R370" i="3"/>
  <c r="Y369" i="3"/>
  <c r="Z369" i="3" s="1"/>
  <c r="BQ366" i="3"/>
  <c r="BB366" i="3"/>
  <c r="BF366" i="3"/>
  <c r="BJ365" i="3" s="1"/>
  <c r="BK365" i="3" s="1"/>
  <c r="AO369" i="3"/>
  <c r="AU368" i="3"/>
  <c r="AT368" i="3"/>
  <c r="BD366" i="3"/>
  <c r="BG366" i="3"/>
  <c r="BH366" i="3" s="1"/>
  <c r="BI366" i="3" s="1"/>
  <c r="BA367" i="3"/>
  <c r="AV367" i="3"/>
  <c r="BC367" i="3" s="1"/>
  <c r="AG369" i="3"/>
  <c r="AW369" i="3" s="1"/>
  <c r="X369" i="3"/>
  <c r="AH370" i="3" l="1"/>
  <c r="AV368" i="3"/>
  <c r="BC368" i="3" s="1"/>
  <c r="BA368" i="3"/>
  <c r="AU369" i="3"/>
  <c r="BB367" i="3"/>
  <c r="BF367" i="3"/>
  <c r="BJ366" i="3" s="1"/>
  <c r="BK366" i="3" s="1"/>
  <c r="BQ367" i="3"/>
  <c r="AX369" i="3"/>
  <c r="AY369" i="3" s="1"/>
  <c r="BG367" i="3"/>
  <c r="BH367" i="3" s="1"/>
  <c r="BI367" i="3" s="1"/>
  <c r="BD367" i="3"/>
  <c r="AG370" i="3"/>
  <c r="AT369" i="3"/>
  <c r="AQ371" i="3"/>
  <c r="B371" i="3"/>
  <c r="A372" i="3"/>
  <c r="AR371" i="3"/>
  <c r="C371" i="3"/>
  <c r="D371" i="3"/>
  <c r="G371" i="3"/>
  <c r="H371" i="3" s="1"/>
  <c r="BN371" i="3" s="1"/>
  <c r="F371" i="3"/>
  <c r="Q371" i="3"/>
  <c r="S371" i="3"/>
  <c r="O371" i="3"/>
  <c r="U371" i="3"/>
  <c r="AD371" i="3"/>
  <c r="AE371" i="3"/>
  <c r="M371" i="3"/>
  <c r="AF371" i="3"/>
  <c r="AK371" i="3"/>
  <c r="AM371" i="3"/>
  <c r="T371" i="3"/>
  <c r="P371" i="3"/>
  <c r="V371" i="3"/>
  <c r="R371" i="3"/>
  <c r="AO370" i="3"/>
  <c r="X370" i="3"/>
  <c r="AU370" i="3"/>
  <c r="Y370" i="3"/>
  <c r="Z370" i="3" s="1"/>
  <c r="AT370" i="3"/>
  <c r="AN371" i="3" l="1"/>
  <c r="AH371" i="3"/>
  <c r="AG371" i="3"/>
  <c r="AO371" i="3"/>
  <c r="Y371" i="3"/>
  <c r="Z371" i="3" s="1"/>
  <c r="AV370" i="3"/>
  <c r="AV369" i="3"/>
  <c r="BC369" i="3" s="1"/>
  <c r="BA369" i="3"/>
  <c r="B372" i="3"/>
  <c r="AR372" i="3"/>
  <c r="AQ372" i="3"/>
  <c r="C372" i="3"/>
  <c r="D372" i="3"/>
  <c r="A373" i="3"/>
  <c r="G372" i="3"/>
  <c r="H372" i="3" s="1"/>
  <c r="BN372" i="3" s="1"/>
  <c r="F372" i="3"/>
  <c r="BM372" i="3" s="1"/>
  <c r="Q372" i="3"/>
  <c r="S372" i="3"/>
  <c r="O372" i="3"/>
  <c r="U372" i="3"/>
  <c r="AD372" i="3"/>
  <c r="AE372" i="3"/>
  <c r="M372" i="3"/>
  <c r="AF372" i="3"/>
  <c r="AM372" i="3"/>
  <c r="AK372" i="3"/>
  <c r="P372" i="3"/>
  <c r="R372" i="3"/>
  <c r="T372" i="3"/>
  <c r="V372" i="3"/>
  <c r="AW371" i="3"/>
  <c r="BB368" i="3"/>
  <c r="BQ368" i="3"/>
  <c r="BF368" i="3"/>
  <c r="BJ367" i="3" s="1"/>
  <c r="BK367" i="3" s="1"/>
  <c r="AX371" i="3"/>
  <c r="X371" i="3"/>
  <c r="BD368" i="3"/>
  <c r="BG368" i="3"/>
  <c r="BH368" i="3" s="1"/>
  <c r="BI368" i="3" s="1"/>
  <c r="AU371" i="3"/>
  <c r="AW370" i="3"/>
  <c r="AY370" i="3" s="1"/>
  <c r="BM371" i="3"/>
  <c r="AX370" i="3"/>
  <c r="AT371" i="3" l="1"/>
  <c r="X372" i="3"/>
  <c r="AY371" i="3"/>
  <c r="AO372" i="3"/>
  <c r="BA371" i="3"/>
  <c r="BB371" i="3" s="1"/>
  <c r="BF369" i="3"/>
  <c r="BJ368" i="3" s="1"/>
  <c r="BK368" i="3" s="1"/>
  <c r="BQ369" i="3"/>
  <c r="BB369" i="3"/>
  <c r="Y372" i="3"/>
  <c r="Z372" i="3" s="1"/>
  <c r="BC370" i="3"/>
  <c r="BD369" i="3"/>
  <c r="BG369" i="3"/>
  <c r="BH369" i="3" s="1"/>
  <c r="BI369" i="3" s="1"/>
  <c r="AR373" i="3"/>
  <c r="B373" i="3"/>
  <c r="AQ373" i="3"/>
  <c r="A374" i="3"/>
  <c r="C373" i="3"/>
  <c r="D373" i="3"/>
  <c r="F373" i="3"/>
  <c r="BM373" i="3" s="1"/>
  <c r="G373" i="3"/>
  <c r="H373" i="3" s="1"/>
  <c r="BN373" i="3" s="1"/>
  <c r="Q373" i="3"/>
  <c r="S373" i="3"/>
  <c r="O373" i="3"/>
  <c r="U373" i="3"/>
  <c r="M373" i="3"/>
  <c r="AE373" i="3"/>
  <c r="AD373" i="3"/>
  <c r="AF373" i="3"/>
  <c r="AK373" i="3"/>
  <c r="AM373" i="3"/>
  <c r="AN373" i="3" s="1"/>
  <c r="T373" i="3"/>
  <c r="P373" i="3"/>
  <c r="R373" i="3"/>
  <c r="V373" i="3"/>
  <c r="AN372" i="3"/>
  <c r="AG372" i="3"/>
  <c r="AV371" i="3"/>
  <c r="BC371" i="3" s="1"/>
  <c r="BA370" i="3"/>
  <c r="AH372" i="3"/>
  <c r="AX372" i="3" s="1"/>
  <c r="BF371" i="3" l="1"/>
  <c r="BQ371" i="3"/>
  <c r="BB370" i="3"/>
  <c r="BQ370" i="3"/>
  <c r="BF370" i="3"/>
  <c r="BJ369" i="3" s="1"/>
  <c r="BK369" i="3" s="1"/>
  <c r="BD371" i="3"/>
  <c r="BG371" i="3"/>
  <c r="BH371" i="3" s="1"/>
  <c r="BI371" i="3" s="1"/>
  <c r="AR374" i="3"/>
  <c r="B374" i="3"/>
  <c r="AQ374" i="3"/>
  <c r="A375" i="3"/>
  <c r="C374" i="3"/>
  <c r="D374" i="3"/>
  <c r="F374" i="3"/>
  <c r="BM374" i="3" s="1"/>
  <c r="G374" i="3"/>
  <c r="H374" i="3" s="1"/>
  <c r="BN374" i="3" s="1"/>
  <c r="Q374" i="3"/>
  <c r="S374" i="3"/>
  <c r="O374" i="3"/>
  <c r="U374" i="3"/>
  <c r="M374" i="3"/>
  <c r="AD374" i="3"/>
  <c r="AE374" i="3"/>
  <c r="AM374" i="3"/>
  <c r="AK374" i="3"/>
  <c r="AF374" i="3"/>
  <c r="R374" i="3"/>
  <c r="T374" i="3"/>
  <c r="P374" i="3"/>
  <c r="V374" i="3"/>
  <c r="Y373" i="3"/>
  <c r="Z373" i="3" s="1"/>
  <c r="AW372" i="3"/>
  <c r="AH373" i="3"/>
  <c r="BD370" i="3"/>
  <c r="BG370" i="3"/>
  <c r="BH370" i="3" s="1"/>
  <c r="BI370" i="3" s="1"/>
  <c r="BJ370" i="3"/>
  <c r="BK370" i="3" s="1"/>
  <c r="X373" i="3"/>
  <c r="AG373" i="3"/>
  <c r="AT373" i="3" s="1"/>
  <c r="AY372" i="3"/>
  <c r="AT372" i="3"/>
  <c r="AO373" i="3"/>
  <c r="AU372" i="3"/>
  <c r="AO374" i="3" l="1"/>
  <c r="AG374" i="3"/>
  <c r="AW373" i="3"/>
  <c r="X374" i="3"/>
  <c r="AU373" i="3"/>
  <c r="AR375" i="3"/>
  <c r="C375" i="3"/>
  <c r="D375" i="3"/>
  <c r="AQ375" i="3"/>
  <c r="B375" i="3"/>
  <c r="A376" i="3"/>
  <c r="F375" i="3"/>
  <c r="BM375" i="3" s="1"/>
  <c r="G375" i="3"/>
  <c r="H375" i="3" s="1"/>
  <c r="BN375" i="3" s="1"/>
  <c r="Q375" i="3"/>
  <c r="S375" i="3"/>
  <c r="O375" i="3"/>
  <c r="U375" i="3"/>
  <c r="AD375" i="3"/>
  <c r="AE375" i="3"/>
  <c r="M375" i="3"/>
  <c r="AK375" i="3"/>
  <c r="AM375" i="3"/>
  <c r="AF375" i="3"/>
  <c r="V375" i="3"/>
  <c r="R375" i="3"/>
  <c r="T375" i="3"/>
  <c r="P375" i="3"/>
  <c r="BA372" i="3"/>
  <c r="AV372" i="3"/>
  <c r="BC372" i="3" s="1"/>
  <c r="Y374" i="3"/>
  <c r="Z374" i="3" s="1"/>
  <c r="AX373" i="3"/>
  <c r="AY373" i="3" s="1"/>
  <c r="AH374" i="3"/>
  <c r="AN374" i="3"/>
  <c r="AN375" i="3" l="1"/>
  <c r="BA373" i="3"/>
  <c r="BF373" i="3" s="1"/>
  <c r="AX374" i="3"/>
  <c r="BQ372" i="3"/>
  <c r="BF372" i="3"/>
  <c r="BJ371" i="3" s="1"/>
  <c r="BK371" i="3" s="1"/>
  <c r="BB372" i="3"/>
  <c r="X375" i="3"/>
  <c r="AU374" i="3"/>
  <c r="BD372" i="3"/>
  <c r="BG372" i="3"/>
  <c r="BH372" i="3" s="1"/>
  <c r="BI372" i="3" s="1"/>
  <c r="AW374" i="3"/>
  <c r="AG375" i="3"/>
  <c r="A377" i="3"/>
  <c r="B376" i="3"/>
  <c r="AR376" i="3"/>
  <c r="AQ376" i="3"/>
  <c r="D376" i="3"/>
  <c r="C376" i="3"/>
  <c r="F376" i="3"/>
  <c r="G376" i="3"/>
  <c r="H376" i="3" s="1"/>
  <c r="Q376" i="3"/>
  <c r="S376" i="3"/>
  <c r="O376" i="3"/>
  <c r="U376" i="3"/>
  <c r="M376" i="3"/>
  <c r="AE376" i="3"/>
  <c r="AD376" i="3"/>
  <c r="AK376" i="3"/>
  <c r="AF376" i="3"/>
  <c r="AM376" i="3"/>
  <c r="AN376" i="3" s="1"/>
  <c r="T376" i="3"/>
  <c r="P376" i="3"/>
  <c r="R376" i="3"/>
  <c r="V376" i="3"/>
  <c r="Y375" i="3"/>
  <c r="Z375" i="3" s="1"/>
  <c r="AV373" i="3"/>
  <c r="BC373" i="3" s="1"/>
  <c r="AT374" i="3"/>
  <c r="AH375" i="3"/>
  <c r="AU375" i="3" s="1"/>
  <c r="AO375" i="3"/>
  <c r="BM376" i="3" l="1"/>
  <c r="BQ373" i="3"/>
  <c r="AW375" i="3"/>
  <c r="BB373" i="3"/>
  <c r="AT375" i="3"/>
  <c r="AH376" i="3"/>
  <c r="AY374" i="3"/>
  <c r="BD373" i="3"/>
  <c r="BG373" i="3"/>
  <c r="BH373" i="3" s="1"/>
  <c r="BI373" i="3" s="1"/>
  <c r="Y376" i="3"/>
  <c r="Z376" i="3" s="1"/>
  <c r="B377" i="3"/>
  <c r="AQ377" i="3"/>
  <c r="A378" i="3"/>
  <c r="C377" i="3"/>
  <c r="AR377" i="3"/>
  <c r="D377" i="3"/>
  <c r="G377" i="3"/>
  <c r="H377" i="3" s="1"/>
  <c r="BN377" i="3" s="1"/>
  <c r="F377" i="3"/>
  <c r="BM377" i="3" s="1"/>
  <c r="Q377" i="3"/>
  <c r="S377" i="3"/>
  <c r="O377" i="3"/>
  <c r="U377" i="3"/>
  <c r="M377" i="3"/>
  <c r="AE377" i="3"/>
  <c r="AD377" i="3"/>
  <c r="AK377" i="3"/>
  <c r="AM377" i="3"/>
  <c r="AF377" i="3"/>
  <c r="P377" i="3"/>
  <c r="R377" i="3"/>
  <c r="T377" i="3"/>
  <c r="V377" i="3"/>
  <c r="BN376" i="3"/>
  <c r="AG376" i="3"/>
  <c r="AO376" i="3"/>
  <c r="AX375" i="3"/>
  <c r="AY375" i="3" s="1"/>
  <c r="AV374" i="3"/>
  <c r="BC374" i="3" s="1"/>
  <c r="BA374" i="3"/>
  <c r="X376" i="3"/>
  <c r="BJ372" i="3"/>
  <c r="BK372" i="3" s="1"/>
  <c r="AO377" i="3" l="1"/>
  <c r="X377" i="3"/>
  <c r="AN377" i="3"/>
  <c r="Y377" i="3"/>
  <c r="Z377" i="3" s="1"/>
  <c r="BF374" i="3"/>
  <c r="BJ373" i="3" s="1"/>
  <c r="BK373" i="3" s="1"/>
  <c r="BQ374" i="3"/>
  <c r="BB374" i="3"/>
  <c r="BD374" i="3"/>
  <c r="BG374" i="3"/>
  <c r="BH374" i="3" s="1"/>
  <c r="BI374" i="3" s="1"/>
  <c r="AW376" i="3"/>
  <c r="AU376" i="3"/>
  <c r="AX376" i="3"/>
  <c r="AT376" i="3"/>
  <c r="D378" i="3"/>
  <c r="AR378" i="3"/>
  <c r="B378" i="3"/>
  <c r="AQ378" i="3"/>
  <c r="A379" i="3"/>
  <c r="C378" i="3"/>
  <c r="F378" i="3"/>
  <c r="BM378" i="3" s="1"/>
  <c r="G378" i="3"/>
  <c r="H378" i="3" s="1"/>
  <c r="Q378" i="3"/>
  <c r="S378" i="3"/>
  <c r="O378" i="3"/>
  <c r="U378" i="3"/>
  <c r="M378" i="3"/>
  <c r="AE378" i="3"/>
  <c r="AD378" i="3"/>
  <c r="AK378" i="3"/>
  <c r="AF378" i="3"/>
  <c r="AM378" i="3"/>
  <c r="AN378" i="3" s="1"/>
  <c r="T378" i="3"/>
  <c r="V378" i="3"/>
  <c r="R378" i="3"/>
  <c r="P378" i="3"/>
  <c r="AG377" i="3"/>
  <c r="AV375" i="3"/>
  <c r="BC375" i="3" s="1"/>
  <c r="BA375" i="3"/>
  <c r="AH377" i="3"/>
  <c r="AX377" i="3" s="1"/>
  <c r="BA376" i="3" l="1"/>
  <c r="AV376" i="3"/>
  <c r="AW377" i="3"/>
  <c r="AY377" i="3" s="1"/>
  <c r="AT377" i="3"/>
  <c r="AU377" i="3"/>
  <c r="BD375" i="3"/>
  <c r="BG375" i="3"/>
  <c r="BH375" i="3" s="1"/>
  <c r="BI375" i="3" s="1"/>
  <c r="AG378" i="3"/>
  <c r="AQ379" i="3"/>
  <c r="B379" i="3"/>
  <c r="A380" i="3"/>
  <c r="AR379" i="3"/>
  <c r="C379" i="3"/>
  <c r="D379" i="3"/>
  <c r="G379" i="3"/>
  <c r="H379" i="3" s="1"/>
  <c r="BN379" i="3" s="1"/>
  <c r="F379" i="3"/>
  <c r="BM379" i="3" s="1"/>
  <c r="Q379" i="3"/>
  <c r="S379" i="3"/>
  <c r="O379" i="3"/>
  <c r="U379" i="3"/>
  <c r="AE379" i="3"/>
  <c r="AD379" i="3"/>
  <c r="M379" i="3"/>
  <c r="AF379" i="3"/>
  <c r="AK379" i="3"/>
  <c r="AM379" i="3"/>
  <c r="T379" i="3"/>
  <c r="R379" i="3"/>
  <c r="V379" i="3"/>
  <c r="P379" i="3"/>
  <c r="Y378" i="3"/>
  <c r="Z378" i="3" s="1"/>
  <c r="AH378" i="3"/>
  <c r="AT378" i="3" s="1"/>
  <c r="AO378" i="3"/>
  <c r="X378" i="3"/>
  <c r="AY376" i="3"/>
  <c r="BQ375" i="3"/>
  <c r="BF375" i="3"/>
  <c r="BJ374" i="3" s="1"/>
  <c r="BK374" i="3" s="1"/>
  <c r="BB375" i="3"/>
  <c r="BN378" i="3"/>
  <c r="AN379" i="3" l="1"/>
  <c r="Y379" i="3"/>
  <c r="Z379" i="3" s="1"/>
  <c r="AV377" i="3"/>
  <c r="BC377" i="3" s="1"/>
  <c r="BA377" i="3"/>
  <c r="A381" i="3"/>
  <c r="B380" i="3"/>
  <c r="AQ380" i="3"/>
  <c r="D380" i="3"/>
  <c r="C380" i="3"/>
  <c r="AR380" i="3"/>
  <c r="G380" i="3"/>
  <c r="H380" i="3" s="1"/>
  <c r="BN380" i="3" s="1"/>
  <c r="F380" i="3"/>
  <c r="Q380" i="3"/>
  <c r="S380" i="3"/>
  <c r="O380" i="3"/>
  <c r="U380" i="3"/>
  <c r="M380" i="3"/>
  <c r="AD380" i="3"/>
  <c r="AE380" i="3"/>
  <c r="AM380" i="3"/>
  <c r="AF380" i="3"/>
  <c r="AK380" i="3"/>
  <c r="T380" i="3"/>
  <c r="R380" i="3"/>
  <c r="P380" i="3"/>
  <c r="V380" i="3"/>
  <c r="AW378" i="3"/>
  <c r="BC376" i="3"/>
  <c r="AX378" i="3"/>
  <c r="AO379" i="3"/>
  <c r="AH379" i="3"/>
  <c r="X379" i="3"/>
  <c r="BB376" i="3"/>
  <c r="BQ376" i="3"/>
  <c r="BF376" i="3"/>
  <c r="BJ375" i="3" s="1"/>
  <c r="BK375" i="3" s="1"/>
  <c r="AG379" i="3"/>
  <c r="AW379" i="3" s="1"/>
  <c r="AU378" i="3"/>
  <c r="AV378" i="3" s="1"/>
  <c r="BM380" i="3" l="1"/>
  <c r="AT379" i="3"/>
  <c r="AO380" i="3"/>
  <c r="X380" i="3"/>
  <c r="BD376" i="3"/>
  <c r="BG376" i="3"/>
  <c r="BH376" i="3" s="1"/>
  <c r="BI376" i="3" s="1"/>
  <c r="AU379" i="3"/>
  <c r="AV379" i="3" s="1"/>
  <c r="AR381" i="3"/>
  <c r="B381" i="3"/>
  <c r="AQ381" i="3"/>
  <c r="A382" i="3"/>
  <c r="C381" i="3"/>
  <c r="D381" i="3"/>
  <c r="F381" i="3"/>
  <c r="BM381" i="3" s="1"/>
  <c r="G381" i="3"/>
  <c r="H381" i="3" s="1"/>
  <c r="BN381" i="3" s="1"/>
  <c r="Q381" i="3"/>
  <c r="S381" i="3"/>
  <c r="O381" i="3"/>
  <c r="U381" i="3"/>
  <c r="AE381" i="3"/>
  <c r="M381" i="3"/>
  <c r="AD381" i="3"/>
  <c r="AM381" i="3"/>
  <c r="AF381" i="3"/>
  <c r="AK381" i="3"/>
  <c r="AO381" i="3" s="1"/>
  <c r="R381" i="3"/>
  <c r="V381" i="3"/>
  <c r="P381" i="3"/>
  <c r="T381" i="3"/>
  <c r="BD377" i="3"/>
  <c r="BG377" i="3"/>
  <c r="BH377" i="3" s="1"/>
  <c r="BI377" i="3" s="1"/>
  <c r="Y380" i="3"/>
  <c r="Z380" i="3" s="1"/>
  <c r="BB377" i="3"/>
  <c r="BQ377" i="3"/>
  <c r="BF377" i="3"/>
  <c r="BJ376" i="3" s="1"/>
  <c r="BK376" i="3" s="1"/>
  <c r="AG380" i="3"/>
  <c r="BA378" i="3"/>
  <c r="AX379" i="3"/>
  <c r="AY379" i="3" s="1"/>
  <c r="AY378" i="3"/>
  <c r="BC378" i="3" s="1"/>
  <c r="AN380" i="3"/>
  <c r="AH380" i="3"/>
  <c r="AT380" i="3" l="1"/>
  <c r="AW380" i="3"/>
  <c r="BD378" i="3"/>
  <c r="BG378" i="3"/>
  <c r="BH378" i="3" s="1"/>
  <c r="BI378" i="3" s="1"/>
  <c r="BC379" i="3"/>
  <c r="BF378" i="3"/>
  <c r="BJ377" i="3" s="1"/>
  <c r="BK377" i="3" s="1"/>
  <c r="BB378" i="3"/>
  <c r="BQ378" i="3"/>
  <c r="X381" i="3"/>
  <c r="AU380" i="3"/>
  <c r="AN381" i="3"/>
  <c r="BA379" i="3"/>
  <c r="B382" i="3"/>
  <c r="AQ382" i="3"/>
  <c r="C382" i="3"/>
  <c r="D382" i="3"/>
  <c r="AR382" i="3"/>
  <c r="A383" i="3"/>
  <c r="F382" i="3"/>
  <c r="G382" i="3"/>
  <c r="H382" i="3" s="1"/>
  <c r="Q382" i="3"/>
  <c r="S382" i="3"/>
  <c r="O382" i="3"/>
  <c r="U382" i="3"/>
  <c r="AD382" i="3"/>
  <c r="M382" i="3"/>
  <c r="AM382" i="3"/>
  <c r="AK382" i="3"/>
  <c r="AE382" i="3"/>
  <c r="AF382" i="3"/>
  <c r="R382" i="3"/>
  <c r="T382" i="3"/>
  <c r="P382" i="3"/>
  <c r="V382" i="3"/>
  <c r="AH381" i="3"/>
  <c r="AG381" i="3"/>
  <c r="Y381" i="3"/>
  <c r="Z381" i="3" s="1"/>
  <c r="AX380" i="3"/>
  <c r="AY380" i="3" s="1"/>
  <c r="AO382" i="3" l="1"/>
  <c r="AW381" i="3"/>
  <c r="AG382" i="3"/>
  <c r="Y382" i="3"/>
  <c r="Z382" i="3" s="1"/>
  <c r="BA380" i="3"/>
  <c r="BQ380" i="3" s="1"/>
  <c r="AX381" i="3"/>
  <c r="AY381" i="3" s="1"/>
  <c r="AT382" i="3"/>
  <c r="BQ379" i="3"/>
  <c r="BF379" i="3"/>
  <c r="BJ378" i="3" s="1"/>
  <c r="BK378" i="3" s="1"/>
  <c r="BB379" i="3"/>
  <c r="X382" i="3"/>
  <c r="AN382" i="3"/>
  <c r="AW382" i="3" s="1"/>
  <c r="AU382" i="3"/>
  <c r="AV380" i="3"/>
  <c r="BC380" i="3" s="1"/>
  <c r="AQ383" i="3"/>
  <c r="B383" i="3"/>
  <c r="A384" i="3"/>
  <c r="AR383" i="3"/>
  <c r="C383" i="3"/>
  <c r="D383" i="3"/>
  <c r="F383" i="3"/>
  <c r="BM383" i="3" s="1"/>
  <c r="G383" i="3"/>
  <c r="H383" i="3" s="1"/>
  <c r="Q383" i="3"/>
  <c r="S383" i="3"/>
  <c r="O383" i="3"/>
  <c r="U383" i="3"/>
  <c r="M383" i="3"/>
  <c r="AE383" i="3"/>
  <c r="AD383" i="3"/>
  <c r="AK383" i="3"/>
  <c r="AF383" i="3"/>
  <c r="AM383" i="3"/>
  <c r="AN383" i="3" s="1"/>
  <c r="P383" i="3"/>
  <c r="V383" i="3"/>
  <c r="T383" i="3"/>
  <c r="R383" i="3"/>
  <c r="AU381" i="3"/>
  <c r="BD379" i="3"/>
  <c r="BG379" i="3"/>
  <c r="BH379" i="3" s="1"/>
  <c r="BI379" i="3" s="1"/>
  <c r="BN382" i="3"/>
  <c r="AT381" i="3"/>
  <c r="AH382" i="3"/>
  <c r="BM382" i="3"/>
  <c r="BF380" i="3" l="1"/>
  <c r="BB380" i="3"/>
  <c r="AH383" i="3"/>
  <c r="Y383" i="3"/>
  <c r="Z383" i="3" s="1"/>
  <c r="A385" i="3"/>
  <c r="B384" i="3"/>
  <c r="AR384" i="3"/>
  <c r="D384" i="3"/>
  <c r="C384" i="3"/>
  <c r="AQ384" i="3"/>
  <c r="G384" i="3"/>
  <c r="H384" i="3" s="1"/>
  <c r="BN384" i="3" s="1"/>
  <c r="F384" i="3"/>
  <c r="BM384" i="3" s="1"/>
  <c r="Q384" i="3"/>
  <c r="S384" i="3"/>
  <c r="O384" i="3"/>
  <c r="U384" i="3"/>
  <c r="AE384" i="3"/>
  <c r="M384" i="3"/>
  <c r="AD384" i="3"/>
  <c r="AM384" i="3"/>
  <c r="AK384" i="3"/>
  <c r="AF384" i="3"/>
  <c r="V384" i="3"/>
  <c r="P384" i="3"/>
  <c r="R384" i="3"/>
  <c r="T384" i="3"/>
  <c r="AG383" i="3"/>
  <c r="AV382" i="3"/>
  <c r="BJ379" i="3"/>
  <c r="BK379" i="3" s="1"/>
  <c r="AT383" i="3"/>
  <c r="AO383" i="3"/>
  <c r="X383" i="3"/>
  <c r="AX382" i="3"/>
  <c r="AY382" i="3" s="1"/>
  <c r="BD380" i="3"/>
  <c r="BG380" i="3"/>
  <c r="BH380" i="3" s="1"/>
  <c r="BI380" i="3" s="1"/>
  <c r="AV381" i="3"/>
  <c r="BC381" i="3" s="1"/>
  <c r="BA381" i="3"/>
  <c r="BN383" i="3"/>
  <c r="AO384" i="3" l="1"/>
  <c r="AN384" i="3"/>
  <c r="BD381" i="3"/>
  <c r="BG381" i="3"/>
  <c r="BH381" i="3" s="1"/>
  <c r="BI381" i="3" s="1"/>
  <c r="AW383" i="3"/>
  <c r="AG384" i="3"/>
  <c r="AX383" i="3"/>
  <c r="AH384" i="3"/>
  <c r="AX384" i="3" s="1"/>
  <c r="X384" i="3"/>
  <c r="BA382" i="3"/>
  <c r="AU383" i="3"/>
  <c r="AV383" i="3" s="1"/>
  <c r="A386" i="3"/>
  <c r="D385" i="3"/>
  <c r="AR385" i="3"/>
  <c r="B385" i="3"/>
  <c r="AQ385" i="3"/>
  <c r="C385" i="3"/>
  <c r="G385" i="3"/>
  <c r="H385" i="3" s="1"/>
  <c r="BN385" i="3" s="1"/>
  <c r="F385" i="3"/>
  <c r="BM385" i="3" s="1"/>
  <c r="Q385" i="3"/>
  <c r="S385" i="3"/>
  <c r="O385" i="3"/>
  <c r="U385" i="3"/>
  <c r="AE385" i="3"/>
  <c r="AD385" i="3"/>
  <c r="AF385" i="3"/>
  <c r="AK385" i="3"/>
  <c r="AM385" i="3"/>
  <c r="M385" i="3"/>
  <c r="T385" i="3"/>
  <c r="V385" i="3"/>
  <c r="P385" i="3"/>
  <c r="R385" i="3"/>
  <c r="BQ381" i="3"/>
  <c r="BF381" i="3"/>
  <c r="BJ380" i="3" s="1"/>
  <c r="BK380" i="3" s="1"/>
  <c r="BB381" i="3"/>
  <c r="AT384" i="3"/>
  <c r="BC382" i="3"/>
  <c r="Y384" i="3"/>
  <c r="Z384" i="3" s="1"/>
  <c r="AY383" i="3" l="1"/>
  <c r="BC383" i="3" s="1"/>
  <c r="AO385" i="3"/>
  <c r="AN385" i="3"/>
  <c r="AR386" i="3"/>
  <c r="B386" i="3"/>
  <c r="AQ386" i="3"/>
  <c r="A387" i="3"/>
  <c r="C386" i="3"/>
  <c r="D386" i="3"/>
  <c r="F386" i="3"/>
  <c r="BM386" i="3" s="1"/>
  <c r="G386" i="3"/>
  <c r="H386" i="3" s="1"/>
  <c r="BN386" i="3" s="1"/>
  <c r="Q386" i="3"/>
  <c r="S386" i="3"/>
  <c r="O386" i="3"/>
  <c r="U386" i="3"/>
  <c r="AD386" i="3"/>
  <c r="M386" i="3"/>
  <c r="AE386" i="3"/>
  <c r="AM386" i="3"/>
  <c r="AK386" i="3"/>
  <c r="AF386" i="3"/>
  <c r="P386" i="3"/>
  <c r="T386" i="3"/>
  <c r="R386" i="3"/>
  <c r="V386" i="3"/>
  <c r="BB382" i="3"/>
  <c r="BF382" i="3"/>
  <c r="BJ381" i="3" s="1"/>
  <c r="BK381" i="3" s="1"/>
  <c r="BQ382" i="3"/>
  <c r="AU384" i="3"/>
  <c r="AV384" i="3" s="1"/>
  <c r="X385" i="3"/>
  <c r="AW384" i="3"/>
  <c r="AY384" i="3" s="1"/>
  <c r="BA383" i="3"/>
  <c r="BD382" i="3"/>
  <c r="BG382" i="3"/>
  <c r="BH382" i="3" s="1"/>
  <c r="BI382" i="3" s="1"/>
  <c r="Y385" i="3"/>
  <c r="Z385" i="3" s="1"/>
  <c r="AG385" i="3"/>
  <c r="AH385" i="3"/>
  <c r="BD383" i="3" l="1"/>
  <c r="BG383" i="3"/>
  <c r="BH383" i="3" s="1"/>
  <c r="BI383" i="3" s="1"/>
  <c r="AG386" i="3"/>
  <c r="AW385" i="3"/>
  <c r="AO386" i="3"/>
  <c r="BC384" i="3"/>
  <c r="BG384" i="3"/>
  <c r="BH384" i="3" s="1"/>
  <c r="BI384" i="3" s="1"/>
  <c r="BD384" i="3"/>
  <c r="X386" i="3"/>
  <c r="B387" i="3"/>
  <c r="A388" i="3"/>
  <c r="AR387" i="3"/>
  <c r="D387" i="3"/>
  <c r="AQ387" i="3"/>
  <c r="C387" i="3"/>
  <c r="F387" i="3"/>
  <c r="BM387" i="3" s="1"/>
  <c r="G387" i="3"/>
  <c r="H387" i="3" s="1"/>
  <c r="BN387" i="3" s="1"/>
  <c r="Q387" i="3"/>
  <c r="S387" i="3"/>
  <c r="O387" i="3"/>
  <c r="U387" i="3"/>
  <c r="AE387" i="3"/>
  <c r="M387" i="3"/>
  <c r="AD387" i="3"/>
  <c r="AM387" i="3"/>
  <c r="AF387" i="3"/>
  <c r="AK387" i="3"/>
  <c r="R387" i="3"/>
  <c r="P387" i="3"/>
  <c r="V387" i="3"/>
  <c r="T387" i="3"/>
  <c r="AU385" i="3"/>
  <c r="BB383" i="3"/>
  <c r="BF383" i="3"/>
  <c r="BJ382" i="3" s="1"/>
  <c r="BK382" i="3" s="1"/>
  <c r="BQ383" i="3"/>
  <c r="BA384" i="3"/>
  <c r="AH386" i="3"/>
  <c r="AT386" i="3" s="1"/>
  <c r="AT385" i="3"/>
  <c r="Y386" i="3"/>
  <c r="Z386" i="3" s="1"/>
  <c r="AX385" i="3"/>
  <c r="AY385" i="3" s="1"/>
  <c r="AN386" i="3"/>
  <c r="AN387" i="3" l="1"/>
  <c r="AH387" i="3"/>
  <c r="AG387" i="3"/>
  <c r="X387" i="3"/>
  <c r="C388" i="3"/>
  <c r="A389" i="3"/>
  <c r="B388" i="3"/>
  <c r="AR388" i="3"/>
  <c r="AQ388" i="3"/>
  <c r="D388" i="3"/>
  <c r="F388" i="3"/>
  <c r="BM388" i="3" s="1"/>
  <c r="G388" i="3"/>
  <c r="H388" i="3" s="1"/>
  <c r="BN388" i="3" s="1"/>
  <c r="Q388" i="3"/>
  <c r="S388" i="3"/>
  <c r="O388" i="3"/>
  <c r="U388" i="3"/>
  <c r="AD388" i="3"/>
  <c r="AE388" i="3"/>
  <c r="M388" i="3"/>
  <c r="AK388" i="3"/>
  <c r="AF388" i="3"/>
  <c r="AM388" i="3"/>
  <c r="T388" i="3"/>
  <c r="R388" i="3"/>
  <c r="V388" i="3"/>
  <c r="P388" i="3"/>
  <c r="AX386" i="3"/>
  <c r="BB384" i="3"/>
  <c r="BF384" i="3"/>
  <c r="BJ383" i="3" s="1"/>
  <c r="BK383" i="3" s="1"/>
  <c r="BQ384" i="3"/>
  <c r="AT387" i="3"/>
  <c r="AU386" i="3"/>
  <c r="AV386" i="3" s="1"/>
  <c r="AW386" i="3"/>
  <c r="Y387" i="3"/>
  <c r="Z387" i="3" s="1"/>
  <c r="AV385" i="3"/>
  <c r="BC385" i="3" s="1"/>
  <c r="BA385" i="3"/>
  <c r="AO387" i="3"/>
  <c r="AX387" i="3" s="1"/>
  <c r="AU387" i="3" l="1"/>
  <c r="AG388" i="3"/>
  <c r="AN388" i="3"/>
  <c r="X388" i="3"/>
  <c r="BD385" i="3"/>
  <c r="BG385" i="3"/>
  <c r="BH385" i="3" s="1"/>
  <c r="BI385" i="3" s="1"/>
  <c r="AH388" i="3"/>
  <c r="AY386" i="3"/>
  <c r="BC386" i="3" s="1"/>
  <c r="AR389" i="3"/>
  <c r="AQ389" i="3"/>
  <c r="A390" i="3"/>
  <c r="D389" i="3"/>
  <c r="C389" i="3"/>
  <c r="B389" i="3"/>
  <c r="G389" i="3"/>
  <c r="H389" i="3" s="1"/>
  <c r="BN389" i="3" s="1"/>
  <c r="F389" i="3"/>
  <c r="BM389" i="3" s="1"/>
  <c r="Q389" i="3"/>
  <c r="S389" i="3"/>
  <c r="O389" i="3"/>
  <c r="U389" i="3"/>
  <c r="AD389" i="3"/>
  <c r="AE389" i="3"/>
  <c r="AF389" i="3"/>
  <c r="AM389" i="3"/>
  <c r="AK389" i="3"/>
  <c r="AO389" i="3" s="1"/>
  <c r="M389" i="3"/>
  <c r="P389" i="3"/>
  <c r="V389" i="3"/>
  <c r="R389" i="3"/>
  <c r="T389" i="3"/>
  <c r="AW387" i="3"/>
  <c r="AY387" i="3" s="1"/>
  <c r="Y388" i="3"/>
  <c r="Z388" i="3" s="1"/>
  <c r="BA386" i="3"/>
  <c r="BB385" i="3"/>
  <c r="BQ385" i="3"/>
  <c r="BF385" i="3"/>
  <c r="BJ384" i="3" s="1"/>
  <c r="BK384" i="3" s="1"/>
  <c r="AV387" i="3"/>
  <c r="AO388" i="3"/>
  <c r="BA387" i="3" l="1"/>
  <c r="AG389" i="3"/>
  <c r="AX388" i="3"/>
  <c r="BD386" i="3"/>
  <c r="BG386" i="3"/>
  <c r="BH386" i="3" s="1"/>
  <c r="BI386" i="3" s="1"/>
  <c r="BC387" i="3"/>
  <c r="Y389" i="3"/>
  <c r="Z389" i="3" s="1"/>
  <c r="AR390" i="3"/>
  <c r="B390" i="3"/>
  <c r="A391" i="3"/>
  <c r="D390" i="3"/>
  <c r="C390" i="3"/>
  <c r="AQ390" i="3"/>
  <c r="G390" i="3"/>
  <c r="H390" i="3" s="1"/>
  <c r="BN390" i="3" s="1"/>
  <c r="F390" i="3"/>
  <c r="BM390" i="3" s="1"/>
  <c r="Q390" i="3"/>
  <c r="S390" i="3"/>
  <c r="O390" i="3"/>
  <c r="U390" i="3"/>
  <c r="AE390" i="3"/>
  <c r="AD390" i="3"/>
  <c r="M390" i="3"/>
  <c r="AK390" i="3"/>
  <c r="AF390" i="3"/>
  <c r="AM390" i="3"/>
  <c r="AN390" i="3" s="1"/>
  <c r="T390" i="3"/>
  <c r="P390" i="3"/>
  <c r="R390" i="3"/>
  <c r="V390" i="3"/>
  <c r="AU388" i="3"/>
  <c r="AW388" i="3"/>
  <c r="AY388" i="3" s="1"/>
  <c r="BF386" i="3"/>
  <c r="BJ385" i="3" s="1"/>
  <c r="BK385" i="3" s="1"/>
  <c r="BQ386" i="3"/>
  <c r="BB386" i="3"/>
  <c r="AH389" i="3"/>
  <c r="BF387" i="3"/>
  <c r="BJ386" i="3" s="1"/>
  <c r="BK386" i="3" s="1"/>
  <c r="BB387" i="3"/>
  <c r="BQ387" i="3"/>
  <c r="AT389" i="3"/>
  <c r="AN389" i="3"/>
  <c r="AT388" i="3"/>
  <c r="X389" i="3"/>
  <c r="AG390" i="3" l="1"/>
  <c r="AX389" i="3"/>
  <c r="X390" i="3"/>
  <c r="AW389" i="3"/>
  <c r="AY389" i="3" s="1"/>
  <c r="AQ391" i="3"/>
  <c r="C391" i="3"/>
  <c r="A392" i="3"/>
  <c r="B391" i="3"/>
  <c r="AR391" i="3"/>
  <c r="D391" i="3"/>
  <c r="G391" i="3"/>
  <c r="H391" i="3" s="1"/>
  <c r="BN391" i="3" s="1"/>
  <c r="F391" i="3"/>
  <c r="BM391" i="3" s="1"/>
  <c r="Q391" i="3"/>
  <c r="S391" i="3"/>
  <c r="O391" i="3"/>
  <c r="U391" i="3"/>
  <c r="AD391" i="3"/>
  <c r="AE391" i="3"/>
  <c r="M391" i="3"/>
  <c r="AF391" i="3"/>
  <c r="AM391" i="3"/>
  <c r="AK391" i="3"/>
  <c r="R391" i="3"/>
  <c r="P391" i="3"/>
  <c r="T391" i="3"/>
  <c r="V391" i="3"/>
  <c r="AH390" i="3"/>
  <c r="Y390" i="3"/>
  <c r="Z390" i="3" s="1"/>
  <c r="AU389" i="3"/>
  <c r="AV389" i="3" s="1"/>
  <c r="AT390" i="3"/>
  <c r="BD387" i="3"/>
  <c r="BG387" i="3"/>
  <c r="BH387" i="3" s="1"/>
  <c r="BI387" i="3" s="1"/>
  <c r="BA388" i="3"/>
  <c r="AV388" i="3"/>
  <c r="BC388" i="3" s="1"/>
  <c r="AO390" i="3"/>
  <c r="BC389" i="3" l="1"/>
  <c r="AN391" i="3"/>
  <c r="AG391" i="3"/>
  <c r="X391" i="3"/>
  <c r="AO391" i="3"/>
  <c r="BD389" i="3"/>
  <c r="BG389" i="3"/>
  <c r="BH389" i="3" s="1"/>
  <c r="BI389" i="3" s="1"/>
  <c r="BB388" i="3"/>
  <c r="BQ388" i="3"/>
  <c r="BF388" i="3"/>
  <c r="BJ387" i="3" s="1"/>
  <c r="BK387" i="3" s="1"/>
  <c r="Y391" i="3"/>
  <c r="Z391" i="3" s="1"/>
  <c r="AX390" i="3"/>
  <c r="AW390" i="3"/>
  <c r="AH391" i="3"/>
  <c r="AX391" i="3" s="1"/>
  <c r="BD388" i="3"/>
  <c r="BG388" i="3"/>
  <c r="BH388" i="3" s="1"/>
  <c r="BI388" i="3" s="1"/>
  <c r="AU391" i="3"/>
  <c r="AU390" i="3"/>
  <c r="AV390" i="3" s="1"/>
  <c r="B392" i="3"/>
  <c r="AR392" i="3"/>
  <c r="C392" i="3"/>
  <c r="D392" i="3"/>
  <c r="A393" i="3"/>
  <c r="AQ392" i="3"/>
  <c r="F392" i="3"/>
  <c r="BM392" i="3" s="1"/>
  <c r="G392" i="3"/>
  <c r="H392" i="3" s="1"/>
  <c r="BN392" i="3" s="1"/>
  <c r="Q392" i="3"/>
  <c r="S392" i="3"/>
  <c r="O392" i="3"/>
  <c r="U392" i="3"/>
  <c r="M392" i="3"/>
  <c r="AD392" i="3"/>
  <c r="AE392" i="3"/>
  <c r="AF392" i="3"/>
  <c r="AM392" i="3"/>
  <c r="AK392" i="3"/>
  <c r="T392" i="3"/>
  <c r="P392" i="3"/>
  <c r="V392" i="3"/>
  <c r="R392" i="3"/>
  <c r="BA389" i="3"/>
  <c r="AT391" i="3" l="1"/>
  <c r="BA390" i="3"/>
  <c r="AY390" i="3"/>
  <c r="BC390" i="3" s="1"/>
  <c r="AG392" i="3"/>
  <c r="AO392" i="3"/>
  <c r="AV391" i="3"/>
  <c r="AH392" i="3"/>
  <c r="AN392" i="3"/>
  <c r="BB390" i="3"/>
  <c r="BQ390" i="3"/>
  <c r="BF390" i="3"/>
  <c r="AU392" i="3"/>
  <c r="Y392" i="3"/>
  <c r="Z392" i="3" s="1"/>
  <c r="A394" i="3"/>
  <c r="B393" i="3"/>
  <c r="AR393" i="3"/>
  <c r="AQ393" i="3"/>
  <c r="C393" i="3"/>
  <c r="D393" i="3"/>
  <c r="F393" i="3"/>
  <c r="BM393" i="3" s="1"/>
  <c r="G393" i="3"/>
  <c r="H393" i="3" s="1"/>
  <c r="BN393" i="3" s="1"/>
  <c r="Q393" i="3"/>
  <c r="S393" i="3"/>
  <c r="O393" i="3"/>
  <c r="U393" i="3"/>
  <c r="M393" i="3"/>
  <c r="AE393" i="3"/>
  <c r="AD393" i="3"/>
  <c r="AK393" i="3"/>
  <c r="AF393" i="3"/>
  <c r="AM393" i="3"/>
  <c r="T393" i="3"/>
  <c r="R393" i="3"/>
  <c r="V393" i="3"/>
  <c r="P393" i="3"/>
  <c r="AW391" i="3"/>
  <c r="AY391" i="3" s="1"/>
  <c r="AW392" i="3"/>
  <c r="X392" i="3"/>
  <c r="BB389" i="3"/>
  <c r="BQ389" i="3"/>
  <c r="BF389" i="3"/>
  <c r="BJ388" i="3" s="1"/>
  <c r="BK388" i="3" s="1"/>
  <c r="AN393" i="3" l="1"/>
  <c r="BD390" i="3"/>
  <c r="BG390" i="3"/>
  <c r="BH390" i="3" s="1"/>
  <c r="BI390" i="3" s="1"/>
  <c r="AG393" i="3"/>
  <c r="AX392" i="3"/>
  <c r="AY392" i="3" s="1"/>
  <c r="BJ389" i="3"/>
  <c r="BK389" i="3" s="1"/>
  <c r="AQ394" i="3"/>
  <c r="B394" i="3"/>
  <c r="A395" i="3"/>
  <c r="AR394" i="3"/>
  <c r="D394" i="3"/>
  <c r="C394" i="3"/>
  <c r="G394" i="3"/>
  <c r="H394" i="3" s="1"/>
  <c r="BN394" i="3" s="1"/>
  <c r="F394" i="3"/>
  <c r="BM394" i="3" s="1"/>
  <c r="Q394" i="3"/>
  <c r="S394" i="3"/>
  <c r="O394" i="3"/>
  <c r="U394" i="3"/>
  <c r="M394" i="3"/>
  <c r="AD394" i="3"/>
  <c r="AE394" i="3"/>
  <c r="AF394" i="3"/>
  <c r="AK394" i="3"/>
  <c r="AM394" i="3"/>
  <c r="P394" i="3"/>
  <c r="T394" i="3"/>
  <c r="R394" i="3"/>
  <c r="V394" i="3"/>
  <c r="AT392" i="3"/>
  <c r="X393" i="3"/>
  <c r="BC391" i="3"/>
  <c r="AH393" i="3"/>
  <c r="AT393" i="3" s="1"/>
  <c r="Y393" i="3"/>
  <c r="Z393" i="3" s="1"/>
  <c r="AO393" i="3"/>
  <c r="BA391" i="3"/>
  <c r="AG394" i="3" l="1"/>
  <c r="AO394" i="3"/>
  <c r="AH394" i="3"/>
  <c r="AX393" i="3"/>
  <c r="AW393" i="3"/>
  <c r="BD391" i="3"/>
  <c r="BG391" i="3"/>
  <c r="BH391" i="3" s="1"/>
  <c r="BI391" i="3" s="1"/>
  <c r="BA392" i="3"/>
  <c r="AV392" i="3"/>
  <c r="BC392" i="3" s="1"/>
  <c r="BB391" i="3"/>
  <c r="BQ391" i="3"/>
  <c r="BF391" i="3"/>
  <c r="BJ390" i="3" s="1"/>
  <c r="BK390" i="3" s="1"/>
  <c r="X394" i="3"/>
  <c r="Y394" i="3"/>
  <c r="Z394" i="3" s="1"/>
  <c r="AU394" i="3"/>
  <c r="AN394" i="3"/>
  <c r="AW394" i="3" s="1"/>
  <c r="AT394" i="3"/>
  <c r="AQ395" i="3"/>
  <c r="C395" i="3"/>
  <c r="A396" i="3"/>
  <c r="B395" i="3"/>
  <c r="AR395" i="3"/>
  <c r="D395" i="3"/>
  <c r="G395" i="3"/>
  <c r="H395" i="3" s="1"/>
  <c r="BN395" i="3" s="1"/>
  <c r="F395" i="3"/>
  <c r="Q395" i="3"/>
  <c r="S395" i="3"/>
  <c r="O395" i="3"/>
  <c r="U395" i="3"/>
  <c r="M395" i="3"/>
  <c r="AD395" i="3"/>
  <c r="AE395" i="3"/>
  <c r="AM395" i="3"/>
  <c r="AF395" i="3"/>
  <c r="AK395" i="3"/>
  <c r="P395" i="3"/>
  <c r="V395" i="3"/>
  <c r="R395" i="3"/>
  <c r="T395" i="3"/>
  <c r="AU393" i="3"/>
  <c r="AV393" i="3" s="1"/>
  <c r="AO395" i="3" l="1"/>
  <c r="BM395" i="3"/>
  <c r="AY393" i="3"/>
  <c r="BC393" i="3" s="1"/>
  <c r="Y395" i="3"/>
  <c r="Z395" i="3" s="1"/>
  <c r="AN395" i="3"/>
  <c r="AG395" i="3"/>
  <c r="AV394" i="3"/>
  <c r="AH395" i="3"/>
  <c r="AX395" i="3" s="1"/>
  <c r="BD392" i="3"/>
  <c r="BG392" i="3"/>
  <c r="BH392" i="3" s="1"/>
  <c r="BI392" i="3" s="1"/>
  <c r="X395" i="3"/>
  <c r="BF392" i="3"/>
  <c r="BJ391" i="3" s="1"/>
  <c r="BK391" i="3" s="1"/>
  <c r="BQ392" i="3"/>
  <c r="BB392" i="3"/>
  <c r="AX394" i="3"/>
  <c r="AY394" i="3" s="1"/>
  <c r="AT395" i="3"/>
  <c r="AR396" i="3"/>
  <c r="B396" i="3"/>
  <c r="AQ396" i="3"/>
  <c r="A397" i="3"/>
  <c r="D396" i="3"/>
  <c r="C396" i="3"/>
  <c r="G396" i="3"/>
  <c r="H396" i="3" s="1"/>
  <c r="F396" i="3"/>
  <c r="BM396" i="3" s="1"/>
  <c r="Q396" i="3"/>
  <c r="S396" i="3"/>
  <c r="O396" i="3"/>
  <c r="U396" i="3"/>
  <c r="AE396" i="3"/>
  <c r="AM396" i="3"/>
  <c r="M396" i="3"/>
  <c r="AK396" i="3"/>
  <c r="AO396" i="3" s="1"/>
  <c r="AD396" i="3"/>
  <c r="AF396" i="3"/>
  <c r="V396" i="3"/>
  <c r="T396" i="3"/>
  <c r="P396" i="3"/>
  <c r="R396" i="3"/>
  <c r="BA393" i="3"/>
  <c r="BD393" i="3" l="1"/>
  <c r="BG393" i="3"/>
  <c r="BH393" i="3" s="1"/>
  <c r="BI393" i="3" s="1"/>
  <c r="AU395" i="3"/>
  <c r="BF393" i="3"/>
  <c r="BJ392" i="3" s="1"/>
  <c r="BK392" i="3" s="1"/>
  <c r="BB393" i="3"/>
  <c r="BQ393" i="3"/>
  <c r="Y396" i="3"/>
  <c r="Z396" i="3" s="1"/>
  <c r="B397" i="3"/>
  <c r="AQ397" i="3"/>
  <c r="A398" i="3"/>
  <c r="C397" i="3"/>
  <c r="AR397" i="3"/>
  <c r="D397" i="3"/>
  <c r="G397" i="3"/>
  <c r="H397" i="3" s="1"/>
  <c r="F397" i="3"/>
  <c r="BM397" i="3" s="1"/>
  <c r="Q397" i="3"/>
  <c r="S397" i="3"/>
  <c r="O397" i="3"/>
  <c r="U397" i="3"/>
  <c r="M397" i="3"/>
  <c r="AD397" i="3"/>
  <c r="AK397" i="3"/>
  <c r="AF397" i="3"/>
  <c r="AM397" i="3"/>
  <c r="AE397" i="3"/>
  <c r="V397" i="3"/>
  <c r="T397" i="3"/>
  <c r="P397" i="3"/>
  <c r="R397" i="3"/>
  <c r="AV395" i="3"/>
  <c r="BA394" i="3"/>
  <c r="BC394" i="3"/>
  <c r="AG396" i="3"/>
  <c r="X396" i="3"/>
  <c r="AW395" i="3"/>
  <c r="AY395" i="3" s="1"/>
  <c r="AH396" i="3"/>
  <c r="BN396" i="3"/>
  <c r="AN396" i="3"/>
  <c r="BN397" i="3" l="1"/>
  <c r="AO397" i="3"/>
  <c r="AX396" i="3"/>
  <c r="AH397" i="3"/>
  <c r="AU396" i="3"/>
  <c r="AW396" i="3"/>
  <c r="AY396" i="3" s="1"/>
  <c r="BD394" i="3"/>
  <c r="BG394" i="3"/>
  <c r="BH394" i="3" s="1"/>
  <c r="BI394" i="3" s="1"/>
  <c r="BC395" i="3"/>
  <c r="AT396" i="3"/>
  <c r="BB394" i="3"/>
  <c r="BQ394" i="3"/>
  <c r="BF394" i="3"/>
  <c r="BJ393" i="3" s="1"/>
  <c r="BK393" i="3" s="1"/>
  <c r="AG397" i="3"/>
  <c r="X397" i="3"/>
  <c r="Y397" i="3"/>
  <c r="Z397" i="3" s="1"/>
  <c r="BA395" i="3"/>
  <c r="C398" i="3"/>
  <c r="AQ398" i="3"/>
  <c r="B398" i="3"/>
  <c r="A399" i="3"/>
  <c r="AR398" i="3"/>
  <c r="D398" i="3"/>
  <c r="F398" i="3"/>
  <c r="G398" i="3"/>
  <c r="H398" i="3" s="1"/>
  <c r="BN398" i="3" s="1"/>
  <c r="Q398" i="3"/>
  <c r="S398" i="3"/>
  <c r="O398" i="3"/>
  <c r="U398" i="3"/>
  <c r="AD398" i="3"/>
  <c r="M398" i="3"/>
  <c r="AE398" i="3"/>
  <c r="AK398" i="3"/>
  <c r="AM398" i="3"/>
  <c r="AF398" i="3"/>
  <c r="V398" i="3"/>
  <c r="R398" i="3"/>
  <c r="P398" i="3"/>
  <c r="T398" i="3"/>
  <c r="AN397" i="3"/>
  <c r="AW397" i="3" l="1"/>
  <c r="AT397" i="3"/>
  <c r="Y398" i="3"/>
  <c r="Z398" i="3" s="1"/>
  <c r="AO398" i="3"/>
  <c r="AH398" i="3"/>
  <c r="AN398" i="3"/>
  <c r="X398" i="3"/>
  <c r="BM398" i="3"/>
  <c r="AG398" i="3"/>
  <c r="AW398" i="3" s="1"/>
  <c r="BA396" i="3"/>
  <c r="AV396" i="3"/>
  <c r="BC396" i="3" s="1"/>
  <c r="AT398" i="3"/>
  <c r="BB395" i="3"/>
  <c r="BF395" i="3"/>
  <c r="BJ394" i="3" s="1"/>
  <c r="BK394" i="3" s="1"/>
  <c r="BQ395" i="3"/>
  <c r="BD395" i="3"/>
  <c r="BG395" i="3"/>
  <c r="BH395" i="3" s="1"/>
  <c r="BI395" i="3" s="1"/>
  <c r="A400" i="3"/>
  <c r="AR399" i="3"/>
  <c r="AQ399" i="3"/>
  <c r="D399" i="3"/>
  <c r="C399" i="3"/>
  <c r="B399" i="3"/>
  <c r="F399" i="3"/>
  <c r="BM399" i="3" s="1"/>
  <c r="G399" i="3"/>
  <c r="H399" i="3" s="1"/>
  <c r="BN399" i="3" s="1"/>
  <c r="Q399" i="3"/>
  <c r="S399" i="3"/>
  <c r="O399" i="3"/>
  <c r="U399" i="3"/>
  <c r="AE399" i="3"/>
  <c r="AD399" i="3"/>
  <c r="M399" i="3"/>
  <c r="AM399" i="3"/>
  <c r="AF399" i="3"/>
  <c r="AK399" i="3"/>
  <c r="V399" i="3"/>
  <c r="P399" i="3"/>
  <c r="R399" i="3"/>
  <c r="T399" i="3"/>
  <c r="AY397" i="3"/>
  <c r="AU397" i="3"/>
  <c r="AX397" i="3"/>
  <c r="AO399" i="3" l="1"/>
  <c r="BA397" i="3"/>
  <c r="BQ397" i="3" s="1"/>
  <c r="AG399" i="3"/>
  <c r="BD396" i="3"/>
  <c r="BG396" i="3"/>
  <c r="BH396" i="3" s="1"/>
  <c r="BI396" i="3" s="1"/>
  <c r="AU398" i="3"/>
  <c r="AR400" i="3"/>
  <c r="B400" i="3"/>
  <c r="A401" i="3"/>
  <c r="D400" i="3"/>
  <c r="C400" i="3"/>
  <c r="AQ400" i="3"/>
  <c r="F400" i="3"/>
  <c r="BM400" i="3" s="1"/>
  <c r="G400" i="3"/>
  <c r="H400" i="3" s="1"/>
  <c r="BN400" i="3" s="1"/>
  <c r="Q400" i="3"/>
  <c r="S400" i="3"/>
  <c r="O400" i="3"/>
  <c r="U400" i="3"/>
  <c r="AD400" i="3"/>
  <c r="AE400" i="3"/>
  <c r="AK400" i="3"/>
  <c r="M400" i="3"/>
  <c r="AF400" i="3"/>
  <c r="AM400" i="3"/>
  <c r="R400" i="3"/>
  <c r="P400" i="3"/>
  <c r="V400" i="3"/>
  <c r="T400" i="3"/>
  <c r="AN399" i="3"/>
  <c r="AH399" i="3"/>
  <c r="AX398" i="3"/>
  <c r="AY398" i="3" s="1"/>
  <c r="Y399" i="3"/>
  <c r="Z399" i="3" s="1"/>
  <c r="X399" i="3"/>
  <c r="AV397" i="3"/>
  <c r="BC397" i="3" s="1"/>
  <c r="AV398" i="3"/>
  <c r="BF396" i="3"/>
  <c r="BJ395" i="3" s="1"/>
  <c r="BK395" i="3" s="1"/>
  <c r="BQ396" i="3"/>
  <c r="BB396" i="3"/>
  <c r="AN400" i="3" l="1"/>
  <c r="BF397" i="3"/>
  <c r="BB397" i="3"/>
  <c r="BA398" i="3"/>
  <c r="BJ396" i="3"/>
  <c r="BK396" i="3" s="1"/>
  <c r="AX399" i="3"/>
  <c r="BB398" i="3"/>
  <c r="BF398" i="3"/>
  <c r="BJ397" i="3" s="1"/>
  <c r="BK397" i="3" s="1"/>
  <c r="BQ398" i="3"/>
  <c r="AU399" i="3"/>
  <c r="AW399" i="3"/>
  <c r="AY399" i="3" s="1"/>
  <c r="BD397" i="3"/>
  <c r="BG397" i="3"/>
  <c r="BH397" i="3" s="1"/>
  <c r="BI397" i="3" s="1"/>
  <c r="AR401" i="3"/>
  <c r="AQ401" i="3"/>
  <c r="A402" i="3"/>
  <c r="D401" i="3"/>
  <c r="C401" i="3"/>
  <c r="B401" i="3"/>
  <c r="F401" i="3"/>
  <c r="BM401" i="3" s="1"/>
  <c r="G401" i="3"/>
  <c r="H401" i="3" s="1"/>
  <c r="BN401" i="3" s="1"/>
  <c r="Q401" i="3"/>
  <c r="S401" i="3"/>
  <c r="O401" i="3"/>
  <c r="U401" i="3"/>
  <c r="AD401" i="3"/>
  <c r="AK401" i="3"/>
  <c r="AM401" i="3"/>
  <c r="AF401" i="3"/>
  <c r="M401" i="3"/>
  <c r="AE401" i="3"/>
  <c r="T401" i="3"/>
  <c r="V401" i="3"/>
  <c r="P401" i="3"/>
  <c r="R401" i="3"/>
  <c r="AG400" i="3"/>
  <c r="AT399" i="3"/>
  <c r="BC398" i="3"/>
  <c r="Y400" i="3"/>
  <c r="Z400" i="3" s="1"/>
  <c r="AH400" i="3"/>
  <c r="AT400" i="3" s="1"/>
  <c r="X400" i="3"/>
  <c r="AO400" i="3"/>
  <c r="AN401" i="3" l="1"/>
  <c r="AH401" i="3"/>
  <c r="X401" i="3"/>
  <c r="AW400" i="3"/>
  <c r="AU400" i="3"/>
  <c r="AV400" i="3" s="1"/>
  <c r="BA399" i="3"/>
  <c r="AV399" i="3"/>
  <c r="BC399" i="3" s="1"/>
  <c r="AG401" i="3"/>
  <c r="B402" i="3"/>
  <c r="A403" i="3"/>
  <c r="C402" i="3"/>
  <c r="D402" i="3"/>
  <c r="AQ402" i="3"/>
  <c r="AR402" i="3"/>
  <c r="G402" i="3"/>
  <c r="H402" i="3" s="1"/>
  <c r="BN402" i="3" s="1"/>
  <c r="F402" i="3"/>
  <c r="BM402" i="3" s="1"/>
  <c r="Q402" i="3"/>
  <c r="S402" i="3"/>
  <c r="O402" i="3"/>
  <c r="U402" i="3"/>
  <c r="M402" i="3"/>
  <c r="AE402" i="3"/>
  <c r="AD402" i="3"/>
  <c r="AM402" i="3"/>
  <c r="AF402" i="3"/>
  <c r="AK402" i="3"/>
  <c r="V402" i="3"/>
  <c r="P402" i="3"/>
  <c r="R402" i="3"/>
  <c r="T402" i="3"/>
  <c r="AX400" i="3"/>
  <c r="BD398" i="3"/>
  <c r="BG398" i="3"/>
  <c r="BH398" i="3" s="1"/>
  <c r="BI398" i="3" s="1"/>
  <c r="AU401" i="3"/>
  <c r="Y401" i="3"/>
  <c r="Z401" i="3" s="1"/>
  <c r="AO401" i="3"/>
  <c r="AH402" i="3" l="1"/>
  <c r="AX401" i="3"/>
  <c r="AN402" i="3"/>
  <c r="A404" i="3"/>
  <c r="B403" i="3"/>
  <c r="AR403" i="3"/>
  <c r="AQ403" i="3"/>
  <c r="C403" i="3"/>
  <c r="D403" i="3"/>
  <c r="G403" i="3"/>
  <c r="H403" i="3" s="1"/>
  <c r="F403" i="3"/>
  <c r="BM403" i="3" s="1"/>
  <c r="Q403" i="3"/>
  <c r="S403" i="3"/>
  <c r="O403" i="3"/>
  <c r="U403" i="3"/>
  <c r="AE403" i="3"/>
  <c r="M403" i="3"/>
  <c r="AK403" i="3"/>
  <c r="AM403" i="3"/>
  <c r="AN403" i="3" s="1"/>
  <c r="AD403" i="3"/>
  <c r="AF403" i="3"/>
  <c r="V403" i="3"/>
  <c r="P403" i="3"/>
  <c r="T403" i="3"/>
  <c r="R403" i="3"/>
  <c r="AT401" i="3"/>
  <c r="BQ399" i="3"/>
  <c r="BB399" i="3"/>
  <c r="BF399" i="3"/>
  <c r="BJ398" i="3" s="1"/>
  <c r="BK398" i="3" s="1"/>
  <c r="Y402" i="3"/>
  <c r="Z402" i="3" s="1"/>
  <c r="AW401" i="3"/>
  <c r="AY401" i="3" s="1"/>
  <c r="BD399" i="3"/>
  <c r="BG399" i="3"/>
  <c r="BH399" i="3" s="1"/>
  <c r="BI399" i="3" s="1"/>
  <c r="AY400" i="3"/>
  <c r="BC400" i="3" s="1"/>
  <c r="AO402" i="3"/>
  <c r="BA400" i="3"/>
  <c r="AG402" i="3"/>
  <c r="X402" i="3"/>
  <c r="AW402" i="3" l="1"/>
  <c r="Y403" i="3"/>
  <c r="Z403" i="3" s="1"/>
  <c r="BD400" i="3"/>
  <c r="BG400" i="3"/>
  <c r="BH400" i="3" s="1"/>
  <c r="BI400" i="3" s="1"/>
  <c r="AX402" i="3"/>
  <c r="AY402" i="3" s="1"/>
  <c r="AU402" i="3"/>
  <c r="AH403" i="3"/>
  <c r="AV401" i="3"/>
  <c r="BC401" i="3" s="1"/>
  <c r="BA401" i="3"/>
  <c r="AG403" i="3"/>
  <c r="AU403" i="3" s="1"/>
  <c r="AT402" i="3"/>
  <c r="BF400" i="3"/>
  <c r="BJ399" i="3" s="1"/>
  <c r="BK399" i="3" s="1"/>
  <c r="BQ400" i="3"/>
  <c r="BB400" i="3"/>
  <c r="BN403" i="3"/>
  <c r="X403" i="3"/>
  <c r="AR404" i="3"/>
  <c r="B404" i="3"/>
  <c r="AQ404" i="3"/>
  <c r="A405" i="3"/>
  <c r="D404" i="3"/>
  <c r="C404" i="3"/>
  <c r="G404" i="3"/>
  <c r="H404" i="3" s="1"/>
  <c r="F404" i="3"/>
  <c r="BM404" i="3" s="1"/>
  <c r="S404" i="3"/>
  <c r="Q404" i="3"/>
  <c r="O404" i="3"/>
  <c r="U404" i="3"/>
  <c r="M404" i="3"/>
  <c r="AE404" i="3"/>
  <c r="AD404" i="3"/>
  <c r="AF404" i="3"/>
  <c r="AK404" i="3"/>
  <c r="AM404" i="3"/>
  <c r="V404" i="3"/>
  <c r="T404" i="3"/>
  <c r="R404" i="3"/>
  <c r="P404" i="3"/>
  <c r="AO403" i="3"/>
  <c r="AT403" i="3"/>
  <c r="BN404" i="3" l="1"/>
  <c r="AN404" i="3"/>
  <c r="AG404" i="3"/>
  <c r="AV403" i="3"/>
  <c r="BA402" i="3"/>
  <c r="AV402" i="3"/>
  <c r="BC402" i="3" s="1"/>
  <c r="Y404" i="3"/>
  <c r="Z404" i="3" s="1"/>
  <c r="AH404" i="3"/>
  <c r="AU404" i="3" s="1"/>
  <c r="BD401" i="3"/>
  <c r="BG401" i="3"/>
  <c r="BH401" i="3" s="1"/>
  <c r="BI401" i="3" s="1"/>
  <c r="A406" i="3"/>
  <c r="C405" i="3"/>
  <c r="AR405" i="3"/>
  <c r="B405" i="3"/>
  <c r="AQ405" i="3"/>
  <c r="D405" i="3"/>
  <c r="F405" i="3"/>
  <c r="BM405" i="3" s="1"/>
  <c r="G405" i="3"/>
  <c r="H405" i="3" s="1"/>
  <c r="BN405" i="3" s="1"/>
  <c r="Q405" i="3"/>
  <c r="S405" i="3"/>
  <c r="O405" i="3"/>
  <c r="U405" i="3"/>
  <c r="AE405" i="3"/>
  <c r="M405" i="3"/>
  <c r="AD405" i="3"/>
  <c r="AF405" i="3"/>
  <c r="AM405" i="3"/>
  <c r="AK405" i="3"/>
  <c r="R405" i="3"/>
  <c r="V405" i="3"/>
  <c r="T405" i="3"/>
  <c r="P405" i="3"/>
  <c r="BQ401" i="3"/>
  <c r="BB401" i="3"/>
  <c r="BF401" i="3"/>
  <c r="BJ400" i="3" s="1"/>
  <c r="BK400" i="3" s="1"/>
  <c r="AT404" i="3"/>
  <c r="AW403" i="3"/>
  <c r="AX403" i="3"/>
  <c r="X404" i="3"/>
  <c r="AO404" i="3"/>
  <c r="AW404" i="3" s="1"/>
  <c r="AO405" i="3" l="1"/>
  <c r="AN405" i="3"/>
  <c r="AQ406" i="3"/>
  <c r="B406" i="3"/>
  <c r="A407" i="3"/>
  <c r="AR406" i="3"/>
  <c r="C406" i="3"/>
  <c r="D406" i="3"/>
  <c r="G406" i="3"/>
  <c r="H406" i="3" s="1"/>
  <c r="BN406" i="3" s="1"/>
  <c r="F406" i="3"/>
  <c r="BM406" i="3" s="1"/>
  <c r="Q406" i="3"/>
  <c r="S406" i="3"/>
  <c r="O406" i="3"/>
  <c r="U406" i="3"/>
  <c r="M406" i="3"/>
  <c r="AD406" i="3"/>
  <c r="AK406" i="3"/>
  <c r="AE406" i="3"/>
  <c r="AM406" i="3"/>
  <c r="AF406" i="3"/>
  <c r="P406" i="3"/>
  <c r="T406" i="3"/>
  <c r="V406" i="3"/>
  <c r="R406" i="3"/>
  <c r="Y405" i="3"/>
  <c r="Z405" i="3" s="1"/>
  <c r="AH405" i="3"/>
  <c r="BD402" i="3"/>
  <c r="BG402" i="3"/>
  <c r="BH402" i="3" s="1"/>
  <c r="BI402" i="3" s="1"/>
  <c r="AY403" i="3"/>
  <c r="BC403" i="3" s="1"/>
  <c r="AV404" i="3"/>
  <c r="BQ402" i="3"/>
  <c r="BF402" i="3"/>
  <c r="BJ401" i="3" s="1"/>
  <c r="BK401" i="3" s="1"/>
  <c r="BB402" i="3"/>
  <c r="X405" i="3"/>
  <c r="BA403" i="3"/>
  <c r="AX404" i="3"/>
  <c r="AY404" i="3" s="1"/>
  <c r="AG405" i="3"/>
  <c r="AW405" i="3" s="1"/>
  <c r="AN406" i="3" l="1"/>
  <c r="BD403" i="3"/>
  <c r="BG403" i="3"/>
  <c r="BH403" i="3" s="1"/>
  <c r="BI403" i="3" s="1"/>
  <c r="AH406" i="3"/>
  <c r="BB403" i="3"/>
  <c r="BF403" i="3"/>
  <c r="BJ402" i="3" s="1"/>
  <c r="BK402" i="3" s="1"/>
  <c r="BQ403" i="3"/>
  <c r="AX405" i="3"/>
  <c r="AY405" i="3" s="1"/>
  <c r="AT405" i="3"/>
  <c r="BC404" i="3"/>
  <c r="AO406" i="3"/>
  <c r="X406" i="3"/>
  <c r="BA404" i="3"/>
  <c r="AG406" i="3"/>
  <c r="AW406" i="3" s="1"/>
  <c r="B407" i="3"/>
  <c r="AR407" i="3"/>
  <c r="AQ407" i="3"/>
  <c r="C407" i="3"/>
  <c r="A408" i="3"/>
  <c r="D407" i="3"/>
  <c r="G407" i="3"/>
  <c r="H407" i="3" s="1"/>
  <c r="BN407" i="3" s="1"/>
  <c r="F407" i="3"/>
  <c r="Q407" i="3"/>
  <c r="S407" i="3"/>
  <c r="O407" i="3"/>
  <c r="U407" i="3"/>
  <c r="AE407" i="3"/>
  <c r="M407" i="3"/>
  <c r="AF407" i="3"/>
  <c r="AD407" i="3"/>
  <c r="AK407" i="3"/>
  <c r="AM407" i="3"/>
  <c r="P407" i="3"/>
  <c r="R407" i="3"/>
  <c r="V407" i="3"/>
  <c r="T407" i="3"/>
  <c r="AU405" i="3"/>
  <c r="Y406" i="3"/>
  <c r="Z406" i="3" s="1"/>
  <c r="AT406" i="3" l="1"/>
  <c r="AN407" i="3"/>
  <c r="AH407" i="3"/>
  <c r="AO407" i="3"/>
  <c r="Y407" i="3"/>
  <c r="Z407" i="3" s="1"/>
  <c r="BF404" i="3"/>
  <c r="BJ403" i="3" s="1"/>
  <c r="BK403" i="3" s="1"/>
  <c r="BB404" i="3"/>
  <c r="BQ404" i="3"/>
  <c r="BD404" i="3"/>
  <c r="BG404" i="3"/>
  <c r="BH404" i="3" s="1"/>
  <c r="BI404" i="3" s="1"/>
  <c r="AU406" i="3"/>
  <c r="C408" i="3"/>
  <c r="D408" i="3"/>
  <c r="AQ408" i="3"/>
  <c r="AR408" i="3"/>
  <c r="B408" i="3"/>
  <c r="A409" i="3"/>
  <c r="F408" i="3"/>
  <c r="BM408" i="3" s="1"/>
  <c r="G408" i="3"/>
  <c r="H408" i="3" s="1"/>
  <c r="BN408" i="3" s="1"/>
  <c r="Q408" i="3"/>
  <c r="S408" i="3"/>
  <c r="O408" i="3"/>
  <c r="U408" i="3"/>
  <c r="AE408" i="3"/>
  <c r="AK408" i="3"/>
  <c r="AM408" i="3"/>
  <c r="AF408" i="3"/>
  <c r="M408" i="3"/>
  <c r="AD408" i="3"/>
  <c r="R408" i="3"/>
  <c r="V408" i="3"/>
  <c r="T408" i="3"/>
  <c r="P408" i="3"/>
  <c r="BA405" i="3"/>
  <c r="AV405" i="3"/>
  <c r="BC405" i="3" s="1"/>
  <c r="AX406" i="3"/>
  <c r="AY406" i="3" s="1"/>
  <c r="X407" i="3"/>
  <c r="BM407" i="3"/>
  <c r="AV406" i="3"/>
  <c r="AG407" i="3"/>
  <c r="AW407" i="3" s="1"/>
  <c r="BA406" i="3" l="1"/>
  <c r="BC406" i="3"/>
  <c r="X408" i="3"/>
  <c r="AN408" i="3"/>
  <c r="AG408" i="3"/>
  <c r="AX407" i="3"/>
  <c r="AY407" i="3" s="1"/>
  <c r="AR409" i="3"/>
  <c r="AQ409" i="3"/>
  <c r="A410" i="3"/>
  <c r="C409" i="3"/>
  <c r="D409" i="3"/>
  <c r="B409" i="3"/>
  <c r="G409" i="3"/>
  <c r="H409" i="3" s="1"/>
  <c r="BN409" i="3" s="1"/>
  <c r="F409" i="3"/>
  <c r="BM409" i="3" s="1"/>
  <c r="Q409" i="3"/>
  <c r="S409" i="3"/>
  <c r="O409" i="3"/>
  <c r="U409" i="3"/>
  <c r="M409" i="3"/>
  <c r="AD409" i="3"/>
  <c r="AE409" i="3"/>
  <c r="AM409" i="3"/>
  <c r="AK409" i="3"/>
  <c r="AF409" i="3"/>
  <c r="P409" i="3"/>
  <c r="R409" i="3"/>
  <c r="V409" i="3"/>
  <c r="T409" i="3"/>
  <c r="BD405" i="3"/>
  <c r="BG405" i="3"/>
  <c r="BH405" i="3" s="1"/>
  <c r="BI405" i="3" s="1"/>
  <c r="BB406" i="3"/>
  <c r="BF406" i="3"/>
  <c r="BQ406" i="3"/>
  <c r="AT408" i="3"/>
  <c r="AW408" i="3"/>
  <c r="BD406" i="3"/>
  <c r="BG406" i="3"/>
  <c r="BH406" i="3" s="1"/>
  <c r="BI406" i="3" s="1"/>
  <c r="AT407" i="3"/>
  <c r="AU408" i="3"/>
  <c r="BQ405" i="3"/>
  <c r="BB405" i="3"/>
  <c r="BF405" i="3"/>
  <c r="BJ404" i="3" s="1"/>
  <c r="BK404" i="3" s="1"/>
  <c r="Y408" i="3"/>
  <c r="Z408" i="3" s="1"/>
  <c r="AH408" i="3"/>
  <c r="AO408" i="3"/>
  <c r="AU407" i="3"/>
  <c r="AG409" i="3" l="1"/>
  <c r="AN409" i="3"/>
  <c r="X409" i="3"/>
  <c r="AV408" i="3"/>
  <c r="AO409" i="3"/>
  <c r="AQ410" i="3"/>
  <c r="B410" i="3"/>
  <c r="AR410" i="3"/>
  <c r="D410" i="3"/>
  <c r="C410" i="3"/>
  <c r="A411" i="3"/>
  <c r="G410" i="3"/>
  <c r="H410" i="3" s="1"/>
  <c r="BN410" i="3" s="1"/>
  <c r="F410" i="3"/>
  <c r="BM410" i="3" s="1"/>
  <c r="S410" i="3"/>
  <c r="Q410" i="3"/>
  <c r="O410" i="3"/>
  <c r="U410" i="3"/>
  <c r="AD410" i="3"/>
  <c r="AE410" i="3"/>
  <c r="M410" i="3"/>
  <c r="AK410" i="3"/>
  <c r="AM410" i="3"/>
  <c r="AF410" i="3"/>
  <c r="R410" i="3"/>
  <c r="P410" i="3"/>
  <c r="V410" i="3"/>
  <c r="T410" i="3"/>
  <c r="AV407" i="3"/>
  <c r="BC407" i="3" s="1"/>
  <c r="BA407" i="3"/>
  <c r="Y409" i="3"/>
  <c r="Z409" i="3" s="1"/>
  <c r="AH409" i="3"/>
  <c r="AX409" i="3" s="1"/>
  <c r="BJ405" i="3"/>
  <c r="BK405" i="3" s="1"/>
  <c r="AX408" i="3"/>
  <c r="BA408" i="3" s="1"/>
  <c r="AG410" i="3" l="1"/>
  <c r="AH410" i="3"/>
  <c r="AN410" i="3"/>
  <c r="BB408" i="3"/>
  <c r="BQ408" i="3"/>
  <c r="BF408" i="3"/>
  <c r="AY408" i="3"/>
  <c r="BC408" i="3" s="1"/>
  <c r="BQ407" i="3"/>
  <c r="BF407" i="3"/>
  <c r="BJ406" i="3" s="1"/>
  <c r="BK406" i="3" s="1"/>
  <c r="BB407" i="3"/>
  <c r="X410" i="3"/>
  <c r="A412" i="3"/>
  <c r="B411" i="3"/>
  <c r="AR411" i="3"/>
  <c r="C411" i="3"/>
  <c r="D411" i="3"/>
  <c r="AQ411" i="3"/>
  <c r="G411" i="3"/>
  <c r="H411" i="3" s="1"/>
  <c r="BN411" i="3" s="1"/>
  <c r="F411" i="3"/>
  <c r="BM411" i="3" s="1"/>
  <c r="Q411" i="3"/>
  <c r="S411" i="3"/>
  <c r="O411" i="3"/>
  <c r="U411" i="3"/>
  <c r="AE411" i="3"/>
  <c r="M411" i="3"/>
  <c r="AD411" i="3"/>
  <c r="AM411" i="3"/>
  <c r="AK411" i="3"/>
  <c r="AF411" i="3"/>
  <c r="R411" i="3"/>
  <c r="T411" i="3"/>
  <c r="V411" i="3"/>
  <c r="P411" i="3"/>
  <c r="BD407" i="3"/>
  <c r="BG407" i="3"/>
  <c r="BH407" i="3" s="1"/>
  <c r="BI407" i="3" s="1"/>
  <c r="AU410" i="3"/>
  <c r="AU409" i="3"/>
  <c r="AT410" i="3"/>
  <c r="Y410" i="3"/>
  <c r="Z410" i="3" s="1"/>
  <c r="AT409" i="3"/>
  <c r="AO410" i="3"/>
  <c r="AW409" i="3"/>
  <c r="AY409" i="3" s="1"/>
  <c r="AO411" i="3" l="1"/>
  <c r="AW410" i="3"/>
  <c r="BD408" i="3"/>
  <c r="BG408" i="3"/>
  <c r="BH408" i="3" s="1"/>
  <c r="BI408" i="3" s="1"/>
  <c r="BA409" i="3"/>
  <c r="AV409" i="3"/>
  <c r="BC409" i="3" s="1"/>
  <c r="Y411" i="3"/>
  <c r="Z411" i="3" s="1"/>
  <c r="AH411" i="3"/>
  <c r="AX410" i="3"/>
  <c r="AY410" i="3" s="1"/>
  <c r="BJ407" i="3"/>
  <c r="BK407" i="3" s="1"/>
  <c r="AV410" i="3"/>
  <c r="AN411" i="3"/>
  <c r="AG411" i="3"/>
  <c r="B412" i="3"/>
  <c r="AQ412" i="3"/>
  <c r="C412" i="3"/>
  <c r="D412" i="3"/>
  <c r="AR412" i="3"/>
  <c r="A413" i="3"/>
  <c r="G412" i="3"/>
  <c r="H412" i="3" s="1"/>
  <c r="F412" i="3"/>
  <c r="Q412" i="3"/>
  <c r="S412" i="3"/>
  <c r="O412" i="3"/>
  <c r="U412" i="3"/>
  <c r="AE412" i="3"/>
  <c r="AD412" i="3"/>
  <c r="M412" i="3"/>
  <c r="AM412" i="3"/>
  <c r="AF412" i="3"/>
  <c r="AK412" i="3"/>
  <c r="R412" i="3"/>
  <c r="V412" i="3"/>
  <c r="T412" i="3"/>
  <c r="P412" i="3"/>
  <c r="X411" i="3"/>
  <c r="AO412" i="3" l="1"/>
  <c r="AW411" i="3"/>
  <c r="AU411" i="3"/>
  <c r="BC410" i="3"/>
  <c r="AT411" i="3"/>
  <c r="AH412" i="3"/>
  <c r="BD409" i="3"/>
  <c r="BG409" i="3"/>
  <c r="BH409" i="3" s="1"/>
  <c r="BI409" i="3" s="1"/>
  <c r="AN412" i="3"/>
  <c r="X412" i="3"/>
  <c r="BQ409" i="3"/>
  <c r="BF409" i="3"/>
  <c r="BJ408" i="3" s="1"/>
  <c r="BK408" i="3" s="1"/>
  <c r="BB409" i="3"/>
  <c r="Y412" i="3"/>
  <c r="Z412" i="3" s="1"/>
  <c r="BA410" i="3"/>
  <c r="AX411" i="3"/>
  <c r="AY411" i="3" s="1"/>
  <c r="BM412" i="3"/>
  <c r="AR413" i="3"/>
  <c r="B413" i="3"/>
  <c r="AQ413" i="3"/>
  <c r="A414" i="3"/>
  <c r="C413" i="3"/>
  <c r="D413" i="3"/>
  <c r="F413" i="3"/>
  <c r="G413" i="3"/>
  <c r="H413" i="3" s="1"/>
  <c r="BN413" i="3" s="1"/>
  <c r="Q413" i="3"/>
  <c r="S413" i="3"/>
  <c r="O413" i="3"/>
  <c r="U413" i="3"/>
  <c r="M413" i="3"/>
  <c r="AE413" i="3"/>
  <c r="AD413" i="3"/>
  <c r="AK413" i="3"/>
  <c r="AF413" i="3"/>
  <c r="AM413" i="3"/>
  <c r="AN413" i="3" s="1"/>
  <c r="P413" i="3"/>
  <c r="R413" i="3"/>
  <c r="T413" i="3"/>
  <c r="V413" i="3"/>
  <c r="AG412" i="3"/>
  <c r="AW412" i="3" s="1"/>
  <c r="BN412" i="3"/>
  <c r="BM413" i="3" l="1"/>
  <c r="Y413" i="3"/>
  <c r="Z413" i="3" s="1"/>
  <c r="AU412" i="3"/>
  <c r="AO413" i="3"/>
  <c r="AH413" i="3"/>
  <c r="AG413" i="3"/>
  <c r="AV411" i="3"/>
  <c r="BC411" i="3" s="1"/>
  <c r="BA411" i="3"/>
  <c r="X413" i="3"/>
  <c r="AX412" i="3"/>
  <c r="AY412" i="3" s="1"/>
  <c r="BD410" i="3"/>
  <c r="BG410" i="3"/>
  <c r="BH410" i="3" s="1"/>
  <c r="BI410" i="3" s="1"/>
  <c r="AU413" i="3"/>
  <c r="BB410" i="3"/>
  <c r="BQ410" i="3"/>
  <c r="BF410" i="3"/>
  <c r="BJ409" i="3" s="1"/>
  <c r="BK409" i="3" s="1"/>
  <c r="AT412" i="3"/>
  <c r="AQ414" i="3"/>
  <c r="B414" i="3"/>
  <c r="A415" i="3"/>
  <c r="AR414" i="3"/>
  <c r="D414" i="3"/>
  <c r="C414" i="3"/>
  <c r="F414" i="3"/>
  <c r="BM414" i="3" s="1"/>
  <c r="G414" i="3"/>
  <c r="H414" i="3" s="1"/>
  <c r="BN414" i="3" s="1"/>
  <c r="Q414" i="3"/>
  <c r="S414" i="3"/>
  <c r="O414" i="3"/>
  <c r="U414" i="3"/>
  <c r="AD414" i="3"/>
  <c r="AF414" i="3"/>
  <c r="AK414" i="3"/>
  <c r="AE414" i="3"/>
  <c r="AG414" i="3" s="1"/>
  <c r="M414" i="3"/>
  <c r="AM414" i="3"/>
  <c r="P414" i="3"/>
  <c r="T414" i="3"/>
  <c r="R414" i="3"/>
  <c r="V414" i="3"/>
  <c r="AN414" i="3" l="1"/>
  <c r="AW413" i="3"/>
  <c r="Y414" i="3"/>
  <c r="Z414" i="3" s="1"/>
  <c r="AT413" i="3"/>
  <c r="AV412" i="3"/>
  <c r="BC412" i="3" s="1"/>
  <c r="BA412" i="3"/>
  <c r="AH414" i="3"/>
  <c r="BB411" i="3"/>
  <c r="BQ411" i="3"/>
  <c r="BF411" i="3"/>
  <c r="BJ410" i="3" s="1"/>
  <c r="BK410" i="3" s="1"/>
  <c r="AV413" i="3"/>
  <c r="AX413" i="3"/>
  <c r="BA413" i="3" s="1"/>
  <c r="AO414" i="3"/>
  <c r="AW414" i="3" s="1"/>
  <c r="X414" i="3"/>
  <c r="BD411" i="3"/>
  <c r="BG411" i="3"/>
  <c r="BH411" i="3" s="1"/>
  <c r="BI411" i="3" s="1"/>
  <c r="AU414" i="3"/>
  <c r="AT414" i="3"/>
  <c r="AQ415" i="3"/>
  <c r="C415" i="3"/>
  <c r="A416" i="3"/>
  <c r="B415" i="3"/>
  <c r="AR415" i="3"/>
  <c r="D415" i="3"/>
  <c r="F415" i="3"/>
  <c r="G415" i="3"/>
  <c r="H415" i="3" s="1"/>
  <c r="BN415" i="3" s="1"/>
  <c r="Q415" i="3"/>
  <c r="S415" i="3"/>
  <c r="O415" i="3"/>
  <c r="U415" i="3"/>
  <c r="M415" i="3"/>
  <c r="AD415" i="3"/>
  <c r="AE415" i="3"/>
  <c r="AM415" i="3"/>
  <c r="AK415" i="3"/>
  <c r="AF415" i="3"/>
  <c r="R415" i="3"/>
  <c r="V415" i="3"/>
  <c r="T415" i="3"/>
  <c r="P415" i="3"/>
  <c r="AY413" i="3" l="1"/>
  <c r="AO415" i="3"/>
  <c r="BB413" i="3"/>
  <c r="BQ413" i="3"/>
  <c r="BF413" i="3"/>
  <c r="AH415" i="3"/>
  <c r="AG415" i="3"/>
  <c r="BC413" i="3"/>
  <c r="AV414" i="3"/>
  <c r="AN415" i="3"/>
  <c r="X415" i="3"/>
  <c r="AX414" i="3"/>
  <c r="AY414" i="3" s="1"/>
  <c r="Y415" i="3"/>
  <c r="Z415" i="3" s="1"/>
  <c r="BB412" i="3"/>
  <c r="BF412" i="3"/>
  <c r="BJ411" i="3" s="1"/>
  <c r="BK411" i="3" s="1"/>
  <c r="BQ412" i="3"/>
  <c r="AU415" i="3"/>
  <c r="BM415" i="3"/>
  <c r="AT415" i="3"/>
  <c r="A417" i="3"/>
  <c r="B416" i="3"/>
  <c r="AQ416" i="3"/>
  <c r="AR416" i="3"/>
  <c r="D416" i="3"/>
  <c r="C416" i="3"/>
  <c r="G416" i="3"/>
  <c r="H416" i="3" s="1"/>
  <c r="BN416" i="3" s="1"/>
  <c r="F416" i="3"/>
  <c r="BM416" i="3" s="1"/>
  <c r="Q416" i="3"/>
  <c r="S416" i="3"/>
  <c r="O416" i="3"/>
  <c r="U416" i="3"/>
  <c r="AE416" i="3"/>
  <c r="AD416" i="3"/>
  <c r="AM416" i="3"/>
  <c r="M416" i="3"/>
  <c r="AF416" i="3"/>
  <c r="AH416" i="3" s="1"/>
  <c r="AK416" i="3"/>
  <c r="AO416" i="3" s="1"/>
  <c r="P416" i="3"/>
  <c r="R416" i="3"/>
  <c r="V416" i="3"/>
  <c r="T416" i="3"/>
  <c r="BD412" i="3"/>
  <c r="BG412" i="3"/>
  <c r="BH412" i="3" s="1"/>
  <c r="BI412" i="3" s="1"/>
  <c r="AN416" i="3" l="1"/>
  <c r="AG416" i="3"/>
  <c r="AW416" i="3" s="1"/>
  <c r="AX415" i="3"/>
  <c r="BC414" i="3"/>
  <c r="AW415" i="3"/>
  <c r="BJ412" i="3"/>
  <c r="BK412" i="3" s="1"/>
  <c r="X416" i="3"/>
  <c r="BA414" i="3"/>
  <c r="BD413" i="3"/>
  <c r="BG413" i="3"/>
  <c r="BH413" i="3" s="1"/>
  <c r="BI413" i="3" s="1"/>
  <c r="AU416" i="3"/>
  <c r="AX416" i="3"/>
  <c r="AT416" i="3"/>
  <c r="BA415" i="3"/>
  <c r="AV415" i="3"/>
  <c r="Y416" i="3"/>
  <c r="Z416" i="3" s="1"/>
  <c r="B417" i="3"/>
  <c r="AQ417" i="3"/>
  <c r="A418" i="3"/>
  <c r="C417" i="3"/>
  <c r="D417" i="3"/>
  <c r="AR417" i="3"/>
  <c r="G417" i="3"/>
  <c r="H417" i="3" s="1"/>
  <c r="BN417" i="3" s="1"/>
  <c r="F417" i="3"/>
  <c r="Q417" i="3"/>
  <c r="S417" i="3"/>
  <c r="O417" i="3"/>
  <c r="U417" i="3"/>
  <c r="AD417" i="3"/>
  <c r="M417" i="3"/>
  <c r="AM417" i="3"/>
  <c r="AK417" i="3"/>
  <c r="AF417" i="3"/>
  <c r="AE417" i="3"/>
  <c r="R417" i="3"/>
  <c r="V417" i="3"/>
  <c r="T417" i="3"/>
  <c r="P417" i="3"/>
  <c r="AG417" i="3" l="1"/>
  <c r="AY415" i="3"/>
  <c r="BC415" i="3" s="1"/>
  <c r="AO417" i="3"/>
  <c r="Y417" i="3"/>
  <c r="Z417" i="3" s="1"/>
  <c r="AY416" i="3"/>
  <c r="AV416" i="3"/>
  <c r="BA416" i="3"/>
  <c r="C418" i="3"/>
  <c r="AR418" i="3"/>
  <c r="A419" i="3"/>
  <c r="B418" i="3"/>
  <c r="AQ418" i="3"/>
  <c r="D418" i="3"/>
  <c r="F418" i="3"/>
  <c r="BM418" i="3" s="1"/>
  <c r="G418" i="3"/>
  <c r="H418" i="3" s="1"/>
  <c r="BN418" i="3" s="1"/>
  <c r="Q418" i="3"/>
  <c r="S418" i="3"/>
  <c r="O418" i="3"/>
  <c r="U418" i="3"/>
  <c r="AE418" i="3"/>
  <c r="AD418" i="3"/>
  <c r="M418" i="3"/>
  <c r="AF418" i="3"/>
  <c r="AM418" i="3"/>
  <c r="AK418" i="3"/>
  <c r="P418" i="3"/>
  <c r="T418" i="3"/>
  <c r="R418" i="3"/>
  <c r="V418" i="3"/>
  <c r="BQ414" i="3"/>
  <c r="BF414" i="3"/>
  <c r="BJ413" i="3" s="1"/>
  <c r="BK413" i="3" s="1"/>
  <c r="BB414" i="3"/>
  <c r="AH417" i="3"/>
  <c r="BB415" i="3"/>
  <c r="BF415" i="3"/>
  <c r="BQ415" i="3"/>
  <c r="BD414" i="3"/>
  <c r="BG414" i="3"/>
  <c r="BH414" i="3" s="1"/>
  <c r="BI414" i="3" s="1"/>
  <c r="AN417" i="3"/>
  <c r="X417" i="3"/>
  <c r="BM417" i="3"/>
  <c r="BJ414" i="3" l="1"/>
  <c r="BK414" i="3" s="1"/>
  <c r="AU417" i="3"/>
  <c r="BD415" i="3"/>
  <c r="BG415" i="3"/>
  <c r="BH415" i="3" s="1"/>
  <c r="BI415" i="3" s="1"/>
  <c r="AT417" i="3"/>
  <c r="AH418" i="3"/>
  <c r="BC416" i="3"/>
  <c r="AN418" i="3"/>
  <c r="AV417" i="3"/>
  <c r="X418" i="3"/>
  <c r="Y418" i="3"/>
  <c r="Z418" i="3" s="1"/>
  <c r="BQ416" i="3"/>
  <c r="BB416" i="3"/>
  <c r="BF416" i="3"/>
  <c r="BJ415" i="3" s="1"/>
  <c r="BK415" i="3" s="1"/>
  <c r="AG418" i="3"/>
  <c r="A420" i="3"/>
  <c r="AR419" i="3"/>
  <c r="AQ419" i="3"/>
  <c r="C419" i="3"/>
  <c r="D419" i="3"/>
  <c r="B419" i="3"/>
  <c r="F419" i="3"/>
  <c r="BM419" i="3" s="1"/>
  <c r="G419" i="3"/>
  <c r="H419" i="3" s="1"/>
  <c r="BN419" i="3" s="1"/>
  <c r="Q419" i="3"/>
  <c r="S419" i="3"/>
  <c r="O419" i="3"/>
  <c r="U419" i="3"/>
  <c r="M419" i="3"/>
  <c r="AE419" i="3"/>
  <c r="AD419" i="3"/>
  <c r="AM419" i="3"/>
  <c r="AF419" i="3"/>
  <c r="AK419" i="3"/>
  <c r="AO419" i="3" s="1"/>
  <c r="P419" i="3"/>
  <c r="V419" i="3"/>
  <c r="R419" i="3"/>
  <c r="T419" i="3"/>
  <c r="BD416" i="3"/>
  <c r="BG416" i="3"/>
  <c r="BH416" i="3" s="1"/>
  <c r="BI416" i="3" s="1"/>
  <c r="AX417" i="3"/>
  <c r="AO418" i="3"/>
  <c r="AW417" i="3"/>
  <c r="AT418" i="3" l="1"/>
  <c r="BA417" i="3"/>
  <c r="BQ417" i="3" s="1"/>
  <c r="AH419" i="3"/>
  <c r="AN419" i="3"/>
  <c r="BB417" i="3"/>
  <c r="BF417" i="3"/>
  <c r="BJ416" i="3" s="1"/>
  <c r="BK416" i="3" s="1"/>
  <c r="AW418" i="3"/>
  <c r="A421" i="3"/>
  <c r="B420" i="3"/>
  <c r="AR420" i="3"/>
  <c r="C420" i="3"/>
  <c r="D420" i="3"/>
  <c r="AQ420" i="3"/>
  <c r="F420" i="3"/>
  <c r="BM420" i="3" s="1"/>
  <c r="G420" i="3"/>
  <c r="H420" i="3" s="1"/>
  <c r="BN420" i="3" s="1"/>
  <c r="Q420" i="3"/>
  <c r="S420" i="3"/>
  <c r="O420" i="3"/>
  <c r="U420" i="3"/>
  <c r="AD420" i="3"/>
  <c r="M420" i="3"/>
  <c r="AE420" i="3"/>
  <c r="AM420" i="3"/>
  <c r="AF420" i="3"/>
  <c r="AK420" i="3"/>
  <c r="R420" i="3"/>
  <c r="V420" i="3"/>
  <c r="T420" i="3"/>
  <c r="P420" i="3"/>
  <c r="AY417" i="3"/>
  <c r="BC417" i="3" s="1"/>
  <c r="AU418" i="3"/>
  <c r="AV418" i="3" s="1"/>
  <c r="Y419" i="3"/>
  <c r="Z419" i="3" s="1"/>
  <c r="AG419" i="3"/>
  <c r="AW419" i="3" s="1"/>
  <c r="AX418" i="3"/>
  <c r="AY418" i="3" s="1"/>
  <c r="X419" i="3"/>
  <c r="AU419" i="3" l="1"/>
  <c r="AN420" i="3"/>
  <c r="AG420" i="3"/>
  <c r="BD417" i="3"/>
  <c r="BG417" i="3"/>
  <c r="BH417" i="3" s="1"/>
  <c r="BI417" i="3" s="1"/>
  <c r="BC418" i="3"/>
  <c r="X420" i="3"/>
  <c r="Y420" i="3"/>
  <c r="Z420" i="3" s="1"/>
  <c r="BA418" i="3"/>
  <c r="AX419" i="3"/>
  <c r="AY419" i="3" s="1"/>
  <c r="AT419" i="3"/>
  <c r="AH420" i="3"/>
  <c r="AU420" i="3" s="1"/>
  <c r="AR421" i="3"/>
  <c r="B421" i="3"/>
  <c r="AQ421" i="3"/>
  <c r="A422" i="3"/>
  <c r="C421" i="3"/>
  <c r="D421" i="3"/>
  <c r="G421" i="3"/>
  <c r="H421" i="3" s="1"/>
  <c r="F421" i="3"/>
  <c r="Q421" i="3"/>
  <c r="S421" i="3"/>
  <c r="O421" i="3"/>
  <c r="U421" i="3"/>
  <c r="AD421" i="3"/>
  <c r="AE421" i="3"/>
  <c r="M421" i="3"/>
  <c r="AF421" i="3"/>
  <c r="AM421" i="3"/>
  <c r="AK421" i="3"/>
  <c r="V421" i="3"/>
  <c r="R421" i="3"/>
  <c r="T421" i="3"/>
  <c r="P421" i="3"/>
  <c r="AO420" i="3"/>
  <c r="AH421" i="3" l="1"/>
  <c r="AT420" i="3"/>
  <c r="BN421" i="3"/>
  <c r="AO421" i="3"/>
  <c r="AN421" i="3"/>
  <c r="AV420" i="3"/>
  <c r="Y421" i="3"/>
  <c r="Z421" i="3" s="1"/>
  <c r="AW420" i="3"/>
  <c r="AX420" i="3"/>
  <c r="AV419" i="3"/>
  <c r="BC419" i="3" s="1"/>
  <c r="BA419" i="3"/>
  <c r="AG421" i="3"/>
  <c r="AW421" i="3" s="1"/>
  <c r="BD418" i="3"/>
  <c r="BG418" i="3"/>
  <c r="BH418" i="3" s="1"/>
  <c r="BI418" i="3" s="1"/>
  <c r="A423" i="3"/>
  <c r="B422" i="3"/>
  <c r="C422" i="3"/>
  <c r="D422" i="3"/>
  <c r="AR422" i="3"/>
  <c r="AQ422" i="3"/>
  <c r="G422" i="3"/>
  <c r="H422" i="3" s="1"/>
  <c r="F422" i="3"/>
  <c r="Q422" i="3"/>
  <c r="S422" i="3"/>
  <c r="O422" i="3"/>
  <c r="U422" i="3"/>
  <c r="M422" i="3"/>
  <c r="AE422" i="3"/>
  <c r="AD422" i="3"/>
  <c r="AM422" i="3"/>
  <c r="AF422" i="3"/>
  <c r="AK422" i="3"/>
  <c r="AO422" i="3" s="1"/>
  <c r="R422" i="3"/>
  <c r="T422" i="3"/>
  <c r="P422" i="3"/>
  <c r="V422" i="3"/>
  <c r="BM421" i="3"/>
  <c r="BB418" i="3"/>
  <c r="BF418" i="3"/>
  <c r="BJ417" i="3" s="1"/>
  <c r="BK417" i="3" s="1"/>
  <c r="BQ418" i="3"/>
  <c r="X421" i="3"/>
  <c r="AY420" i="3" l="1"/>
  <c r="X422" i="3"/>
  <c r="BA420" i="3"/>
  <c r="BB420" i="3" s="1"/>
  <c r="BF419" i="3"/>
  <c r="BJ418" i="3" s="1"/>
  <c r="BK418" i="3" s="1"/>
  <c r="BB419" i="3"/>
  <c r="BQ419" i="3"/>
  <c r="AX421" i="3"/>
  <c r="AY421" i="3" s="1"/>
  <c r="Y422" i="3"/>
  <c r="Z422" i="3" s="1"/>
  <c r="A424" i="3"/>
  <c r="B423" i="3"/>
  <c r="AR423" i="3"/>
  <c r="AQ423" i="3"/>
  <c r="C423" i="3"/>
  <c r="D423" i="3"/>
  <c r="G423" i="3"/>
  <c r="H423" i="3" s="1"/>
  <c r="BN423" i="3" s="1"/>
  <c r="F423" i="3"/>
  <c r="BM423" i="3" s="1"/>
  <c r="S423" i="3"/>
  <c r="Q423" i="3"/>
  <c r="O423" i="3"/>
  <c r="U423" i="3"/>
  <c r="M423" i="3"/>
  <c r="AD423" i="3"/>
  <c r="AF423" i="3"/>
  <c r="AM423" i="3"/>
  <c r="AE423" i="3"/>
  <c r="AK423" i="3"/>
  <c r="AO423" i="3" s="1"/>
  <c r="P423" i="3"/>
  <c r="V423" i="3"/>
  <c r="T423" i="3"/>
  <c r="R423" i="3"/>
  <c r="AN422" i="3"/>
  <c r="AU421" i="3"/>
  <c r="BC420" i="3"/>
  <c r="AG422" i="3"/>
  <c r="BM422" i="3"/>
  <c r="AH422" i="3"/>
  <c r="AX422" i="3" s="1"/>
  <c r="BD419" i="3"/>
  <c r="BG419" i="3"/>
  <c r="BH419" i="3" s="1"/>
  <c r="BI419" i="3" s="1"/>
  <c r="BN422" i="3"/>
  <c r="AT421" i="3"/>
  <c r="AG423" i="3" l="1"/>
  <c r="BF420" i="3"/>
  <c r="BQ420" i="3"/>
  <c r="AW422" i="3"/>
  <c r="A425" i="3"/>
  <c r="B424" i="3"/>
  <c r="AQ424" i="3"/>
  <c r="D424" i="3"/>
  <c r="AR424" i="3"/>
  <c r="C424" i="3"/>
  <c r="G424" i="3"/>
  <c r="H424" i="3" s="1"/>
  <c r="BN424" i="3" s="1"/>
  <c r="F424" i="3"/>
  <c r="BM424" i="3" s="1"/>
  <c r="S424" i="3"/>
  <c r="Q424" i="3"/>
  <c r="O424" i="3"/>
  <c r="U424" i="3"/>
  <c r="AE424" i="3"/>
  <c r="M424" i="3"/>
  <c r="AD424" i="3"/>
  <c r="AK424" i="3"/>
  <c r="AO424" i="3" s="1"/>
  <c r="AM424" i="3"/>
  <c r="AF424" i="3"/>
  <c r="V424" i="3"/>
  <c r="T424" i="3"/>
  <c r="R424" i="3"/>
  <c r="P424" i="3"/>
  <c r="AT422" i="3"/>
  <c r="AU422" i="3"/>
  <c r="Y423" i="3"/>
  <c r="Z423" i="3" s="1"/>
  <c r="AN423" i="3"/>
  <c r="AH423" i="3"/>
  <c r="BJ419" i="3"/>
  <c r="BK419" i="3" s="1"/>
  <c r="AY422" i="3"/>
  <c r="X423" i="3"/>
  <c r="BD420" i="3"/>
  <c r="BG420" i="3"/>
  <c r="BH420" i="3" s="1"/>
  <c r="BI420" i="3" s="1"/>
  <c r="BA421" i="3"/>
  <c r="AV421" i="3"/>
  <c r="BC421" i="3" s="1"/>
  <c r="AX423" i="3" l="1"/>
  <c r="X424" i="3"/>
  <c r="AG424" i="3"/>
  <c r="A426" i="3"/>
  <c r="C425" i="3"/>
  <c r="AQ425" i="3"/>
  <c r="D425" i="3"/>
  <c r="AR425" i="3"/>
  <c r="B425" i="3"/>
  <c r="F425" i="3"/>
  <c r="BM425" i="3" s="1"/>
  <c r="G425" i="3"/>
  <c r="H425" i="3" s="1"/>
  <c r="BN425" i="3" s="1"/>
  <c r="Q425" i="3"/>
  <c r="S425" i="3"/>
  <c r="O425" i="3"/>
  <c r="U425" i="3"/>
  <c r="AD425" i="3"/>
  <c r="M425" i="3"/>
  <c r="AF425" i="3"/>
  <c r="AK425" i="3"/>
  <c r="AM425" i="3"/>
  <c r="AE425" i="3"/>
  <c r="T425" i="3"/>
  <c r="V425" i="3"/>
  <c r="R425" i="3"/>
  <c r="P425" i="3"/>
  <c r="AT423" i="3"/>
  <c r="AW423" i="3"/>
  <c r="AY423" i="3" s="1"/>
  <c r="BD421" i="3"/>
  <c r="BG421" i="3"/>
  <c r="BH421" i="3" s="1"/>
  <c r="BI421" i="3" s="1"/>
  <c r="AH424" i="3"/>
  <c r="AT424" i="3" s="1"/>
  <c r="BB421" i="3"/>
  <c r="BQ421" i="3"/>
  <c r="BF421" i="3"/>
  <c r="BJ420" i="3" s="1"/>
  <c r="BK420" i="3" s="1"/>
  <c r="BA422" i="3"/>
  <c r="AV422" i="3"/>
  <c r="BC422" i="3" s="1"/>
  <c r="Y424" i="3"/>
  <c r="Z424" i="3" s="1"/>
  <c r="AN424" i="3"/>
  <c r="AU423" i="3"/>
  <c r="AN425" i="3" l="1"/>
  <c r="AH425" i="3"/>
  <c r="AO425" i="3"/>
  <c r="BD422" i="3"/>
  <c r="BG422" i="3"/>
  <c r="BH422" i="3" s="1"/>
  <c r="BI422" i="3" s="1"/>
  <c r="AX424" i="3"/>
  <c r="X425" i="3"/>
  <c r="AR426" i="3"/>
  <c r="B426" i="3"/>
  <c r="AQ426" i="3"/>
  <c r="C426" i="3"/>
  <c r="D426" i="3"/>
  <c r="A427" i="3"/>
  <c r="G426" i="3"/>
  <c r="H426" i="3" s="1"/>
  <c r="BN426" i="3" s="1"/>
  <c r="F426" i="3"/>
  <c r="BM426" i="3" s="1"/>
  <c r="Q426" i="3"/>
  <c r="S426" i="3"/>
  <c r="O426" i="3"/>
  <c r="U426" i="3"/>
  <c r="M426" i="3"/>
  <c r="AE426" i="3"/>
  <c r="AD426" i="3"/>
  <c r="AM426" i="3"/>
  <c r="AK426" i="3"/>
  <c r="AO426" i="3" s="1"/>
  <c r="AF426" i="3"/>
  <c r="T426" i="3"/>
  <c r="V426" i="3"/>
  <c r="R426" i="3"/>
  <c r="P426" i="3"/>
  <c r="Y425" i="3"/>
  <c r="Z425" i="3" s="1"/>
  <c r="BB422" i="3"/>
  <c r="BQ422" i="3"/>
  <c r="BF422" i="3"/>
  <c r="BJ421" i="3" s="1"/>
  <c r="BK421" i="3" s="1"/>
  <c r="AU424" i="3"/>
  <c r="AV424" i="3" s="1"/>
  <c r="AV423" i="3"/>
  <c r="BC423" i="3" s="1"/>
  <c r="BA423" i="3"/>
  <c r="AG425" i="3"/>
  <c r="AW425" i="3" s="1"/>
  <c r="AW424" i="3"/>
  <c r="AT425" i="3" l="1"/>
  <c r="AU425" i="3"/>
  <c r="AY424" i="3"/>
  <c r="BC424" i="3" s="1"/>
  <c r="AV425" i="3"/>
  <c r="BQ423" i="3"/>
  <c r="BF423" i="3"/>
  <c r="BJ422" i="3" s="1"/>
  <c r="BK422" i="3" s="1"/>
  <c r="BB423" i="3"/>
  <c r="B427" i="3"/>
  <c r="AR427" i="3"/>
  <c r="D427" i="3"/>
  <c r="A428" i="3"/>
  <c r="AQ427" i="3"/>
  <c r="C427" i="3"/>
  <c r="F427" i="3"/>
  <c r="BM427" i="3" s="1"/>
  <c r="G427" i="3"/>
  <c r="H427" i="3" s="1"/>
  <c r="BN427" i="3" s="1"/>
  <c r="Q427" i="3"/>
  <c r="S427" i="3"/>
  <c r="O427" i="3"/>
  <c r="U427" i="3"/>
  <c r="M427" i="3"/>
  <c r="AE427" i="3"/>
  <c r="AK427" i="3"/>
  <c r="AM427" i="3"/>
  <c r="AD427" i="3"/>
  <c r="AF427" i="3"/>
  <c r="V427" i="3"/>
  <c r="R427" i="3"/>
  <c r="P427" i="3"/>
  <c r="T427" i="3"/>
  <c r="BD423" i="3"/>
  <c r="BG423" i="3"/>
  <c r="BH423" i="3" s="1"/>
  <c r="BI423" i="3" s="1"/>
  <c r="BA424" i="3"/>
  <c r="Y426" i="3"/>
  <c r="Z426" i="3" s="1"/>
  <c r="AN426" i="3"/>
  <c r="X426" i="3"/>
  <c r="AH426" i="3"/>
  <c r="AG426" i="3"/>
  <c r="AX425" i="3"/>
  <c r="BA425" i="3" s="1"/>
  <c r="AY425" i="3" l="1"/>
  <c r="AX426" i="3"/>
  <c r="BD424" i="3"/>
  <c r="BG424" i="3"/>
  <c r="BH424" i="3" s="1"/>
  <c r="BI424" i="3" s="1"/>
  <c r="AO427" i="3"/>
  <c r="BQ425" i="3"/>
  <c r="BB425" i="3"/>
  <c r="BF425" i="3"/>
  <c r="X427" i="3"/>
  <c r="AT426" i="3"/>
  <c r="AY426" i="3"/>
  <c r="Y427" i="3"/>
  <c r="Z427" i="3" s="1"/>
  <c r="AG427" i="3"/>
  <c r="BC425" i="3"/>
  <c r="BF424" i="3"/>
  <c r="BJ423" i="3" s="1"/>
  <c r="BK423" i="3" s="1"/>
  <c r="BB424" i="3"/>
  <c r="BQ424" i="3"/>
  <c r="AH427" i="3"/>
  <c r="AT427" i="3" s="1"/>
  <c r="AU426" i="3"/>
  <c r="D428" i="3"/>
  <c r="A429" i="3"/>
  <c r="B428" i="3"/>
  <c r="AQ428" i="3"/>
  <c r="AR428" i="3"/>
  <c r="C428" i="3"/>
  <c r="G428" i="3"/>
  <c r="H428" i="3" s="1"/>
  <c r="F428" i="3"/>
  <c r="BM428" i="3" s="1"/>
  <c r="Q428" i="3"/>
  <c r="S428" i="3"/>
  <c r="O428" i="3"/>
  <c r="U428" i="3"/>
  <c r="M428" i="3"/>
  <c r="AE428" i="3"/>
  <c r="AD428" i="3"/>
  <c r="AM428" i="3"/>
  <c r="AK428" i="3"/>
  <c r="AF428" i="3"/>
  <c r="P428" i="3"/>
  <c r="R428" i="3"/>
  <c r="T428" i="3"/>
  <c r="V428" i="3"/>
  <c r="AN427" i="3"/>
  <c r="AW426" i="3"/>
  <c r="AO428" i="3" l="1"/>
  <c r="Y428" i="3"/>
  <c r="Z428" i="3" s="1"/>
  <c r="AR429" i="3"/>
  <c r="AQ429" i="3"/>
  <c r="D429" i="3"/>
  <c r="C429" i="3"/>
  <c r="B429" i="3"/>
  <c r="A430" i="3"/>
  <c r="G429" i="3"/>
  <c r="H429" i="3" s="1"/>
  <c r="BN429" i="3" s="1"/>
  <c r="F429" i="3"/>
  <c r="BM429" i="3" s="1"/>
  <c r="Q429" i="3"/>
  <c r="S429" i="3"/>
  <c r="O429" i="3"/>
  <c r="U429" i="3"/>
  <c r="AE429" i="3"/>
  <c r="M429" i="3"/>
  <c r="AD429" i="3"/>
  <c r="AF429" i="3"/>
  <c r="AK429" i="3"/>
  <c r="AM429" i="3"/>
  <c r="V429" i="3"/>
  <c r="T429" i="3"/>
  <c r="R429" i="3"/>
  <c r="P429" i="3"/>
  <c r="AU427" i="3"/>
  <c r="AV427" i="3" s="1"/>
  <c r="AW427" i="3"/>
  <c r="AH428" i="3"/>
  <c r="AN428" i="3"/>
  <c r="AV426" i="3"/>
  <c r="BC426" i="3" s="1"/>
  <c r="BA426" i="3"/>
  <c r="X428" i="3"/>
  <c r="BJ424" i="3"/>
  <c r="BK424" i="3" s="1"/>
  <c r="AX427" i="3"/>
  <c r="BD425" i="3"/>
  <c r="BG425" i="3"/>
  <c r="BH425" i="3" s="1"/>
  <c r="BI425" i="3" s="1"/>
  <c r="AG428" i="3"/>
  <c r="AW428" i="3" s="1"/>
  <c r="BN428" i="3"/>
  <c r="AU428" i="3" l="1"/>
  <c r="AO429" i="3"/>
  <c r="AH429" i="3"/>
  <c r="X429" i="3"/>
  <c r="AY427" i="3"/>
  <c r="BC427" i="3" s="1"/>
  <c r="AT428" i="3"/>
  <c r="BD426" i="3"/>
  <c r="BG426" i="3"/>
  <c r="BH426" i="3" s="1"/>
  <c r="BI426" i="3" s="1"/>
  <c r="AR430" i="3"/>
  <c r="AQ430" i="3"/>
  <c r="C430" i="3"/>
  <c r="A431" i="3"/>
  <c r="B430" i="3"/>
  <c r="D430" i="3"/>
  <c r="G430" i="3"/>
  <c r="H430" i="3" s="1"/>
  <c r="BN430" i="3" s="1"/>
  <c r="F430" i="3"/>
  <c r="BM430" i="3" s="1"/>
  <c r="Q430" i="3"/>
  <c r="S430" i="3"/>
  <c r="O430" i="3"/>
  <c r="U430" i="3"/>
  <c r="AD430" i="3"/>
  <c r="M430" i="3"/>
  <c r="AE430" i="3"/>
  <c r="AM430" i="3"/>
  <c r="AF430" i="3"/>
  <c r="AK430" i="3"/>
  <c r="AO430" i="3" s="1"/>
  <c r="R430" i="3"/>
  <c r="V430" i="3"/>
  <c r="T430" i="3"/>
  <c r="P430" i="3"/>
  <c r="Y429" i="3"/>
  <c r="Z429" i="3" s="1"/>
  <c r="BA427" i="3"/>
  <c r="AG429" i="3"/>
  <c r="BQ426" i="3"/>
  <c r="BB426" i="3"/>
  <c r="BF426" i="3"/>
  <c r="BJ425" i="3" s="1"/>
  <c r="BK425" i="3" s="1"/>
  <c r="AX428" i="3"/>
  <c r="AY428" i="3" s="1"/>
  <c r="AT429" i="3"/>
  <c r="AN429" i="3"/>
  <c r="AX429" i="3" s="1"/>
  <c r="AH430" i="3" l="1"/>
  <c r="BD427" i="3"/>
  <c r="BG427" i="3"/>
  <c r="BH427" i="3" s="1"/>
  <c r="BI427" i="3" s="1"/>
  <c r="A432" i="3"/>
  <c r="D431" i="3"/>
  <c r="B431" i="3"/>
  <c r="AR431" i="3"/>
  <c r="AQ431" i="3"/>
  <c r="C431" i="3"/>
  <c r="G431" i="3"/>
  <c r="H431" i="3" s="1"/>
  <c r="BN431" i="3" s="1"/>
  <c r="F431" i="3"/>
  <c r="BM431" i="3" s="1"/>
  <c r="Q431" i="3"/>
  <c r="S431" i="3"/>
  <c r="O431" i="3"/>
  <c r="U431" i="3"/>
  <c r="M431" i="3"/>
  <c r="AE431" i="3"/>
  <c r="AD431" i="3"/>
  <c r="AF431" i="3"/>
  <c r="AK431" i="3"/>
  <c r="AM431" i="3"/>
  <c r="V431" i="3"/>
  <c r="P431" i="3"/>
  <c r="R431" i="3"/>
  <c r="T431" i="3"/>
  <c r="BA428" i="3"/>
  <c r="AV428" i="3"/>
  <c r="BC428" i="3" s="1"/>
  <c r="X430" i="3"/>
  <c r="AW429" i="3"/>
  <c r="AY429" i="3" s="1"/>
  <c r="BQ427" i="3"/>
  <c r="BF427" i="3"/>
  <c r="BJ426" i="3" s="1"/>
  <c r="BK426" i="3" s="1"/>
  <c r="BB427" i="3"/>
  <c r="AN430" i="3"/>
  <c r="Y430" i="3"/>
  <c r="Z430" i="3" s="1"/>
  <c r="AU429" i="3"/>
  <c r="AV429" i="3" s="1"/>
  <c r="AG430" i="3"/>
  <c r="AT430" i="3" s="1"/>
  <c r="BC429" i="3" l="1"/>
  <c r="AO431" i="3"/>
  <c r="AU430" i="3"/>
  <c r="AG431" i="3"/>
  <c r="AX430" i="3"/>
  <c r="BD429" i="3"/>
  <c r="BG429" i="3"/>
  <c r="BH429" i="3" s="1"/>
  <c r="BI429" i="3" s="1"/>
  <c r="AV430" i="3"/>
  <c r="BD428" i="3"/>
  <c r="BG428" i="3"/>
  <c r="BH428" i="3" s="1"/>
  <c r="BI428" i="3" s="1"/>
  <c r="AH431" i="3"/>
  <c r="AT431" i="3" s="1"/>
  <c r="X431" i="3"/>
  <c r="BA429" i="3"/>
  <c r="AQ432" i="3"/>
  <c r="D432" i="3"/>
  <c r="A433" i="3"/>
  <c r="B432" i="3"/>
  <c r="AR432" i="3"/>
  <c r="C432" i="3"/>
  <c r="G432" i="3"/>
  <c r="H432" i="3" s="1"/>
  <c r="F432" i="3"/>
  <c r="Q432" i="3"/>
  <c r="S432" i="3"/>
  <c r="O432" i="3"/>
  <c r="U432" i="3"/>
  <c r="AD432" i="3"/>
  <c r="AM432" i="3"/>
  <c r="M432" i="3"/>
  <c r="AE432" i="3"/>
  <c r="AF432" i="3"/>
  <c r="AK432" i="3"/>
  <c r="V432" i="3"/>
  <c r="P432" i="3"/>
  <c r="R432" i="3"/>
  <c r="T432" i="3"/>
  <c r="AN431" i="3"/>
  <c r="BB428" i="3"/>
  <c r="BF428" i="3"/>
  <c r="BJ427" i="3" s="1"/>
  <c r="BK427" i="3" s="1"/>
  <c r="BQ428" i="3"/>
  <c r="AW430" i="3"/>
  <c r="Y431" i="3"/>
  <c r="Z431" i="3" s="1"/>
  <c r="AO432" i="3" l="1"/>
  <c r="AU431" i="3"/>
  <c r="BM432" i="3"/>
  <c r="BN432" i="3"/>
  <c r="AG432" i="3"/>
  <c r="AY430" i="3"/>
  <c r="AV431" i="3"/>
  <c r="AR433" i="3"/>
  <c r="B433" i="3"/>
  <c r="AQ433" i="3"/>
  <c r="D433" i="3"/>
  <c r="C433" i="3"/>
  <c r="A434" i="3"/>
  <c r="G433" i="3"/>
  <c r="H433" i="3" s="1"/>
  <c r="BN433" i="3" s="1"/>
  <c r="F433" i="3"/>
  <c r="BM433" i="3" s="1"/>
  <c r="Q433" i="3"/>
  <c r="S433" i="3"/>
  <c r="O433" i="3"/>
  <c r="U433" i="3"/>
  <c r="AE433" i="3"/>
  <c r="AF433" i="3"/>
  <c r="AM433" i="3"/>
  <c r="M433" i="3"/>
  <c r="AD433" i="3"/>
  <c r="AK433" i="3"/>
  <c r="T433" i="3"/>
  <c r="V433" i="3"/>
  <c r="R433" i="3"/>
  <c r="P433" i="3"/>
  <c r="Y432" i="3"/>
  <c r="Z432" i="3" s="1"/>
  <c r="AH432" i="3"/>
  <c r="BB429" i="3"/>
  <c r="BF429" i="3"/>
  <c r="BJ428" i="3" s="1"/>
  <c r="BK428" i="3" s="1"/>
  <c r="BQ429" i="3"/>
  <c r="BA430" i="3"/>
  <c r="AX431" i="3"/>
  <c r="AW431" i="3"/>
  <c r="BC430" i="3"/>
  <c r="AT432" i="3"/>
  <c r="AN432" i="3"/>
  <c r="X432" i="3"/>
  <c r="AN433" i="3" l="1"/>
  <c r="BA431" i="3"/>
  <c r="X433" i="3"/>
  <c r="AG433" i="3"/>
  <c r="BF431" i="3"/>
  <c r="BQ431" i="3"/>
  <c r="BB431" i="3"/>
  <c r="BD430" i="3"/>
  <c r="BG430" i="3"/>
  <c r="BH430" i="3" s="1"/>
  <c r="BI430" i="3" s="1"/>
  <c r="AX432" i="3"/>
  <c r="AO433" i="3"/>
  <c r="AY431" i="3"/>
  <c r="BC431" i="3" s="1"/>
  <c r="AW432" i="3"/>
  <c r="AH433" i="3"/>
  <c r="AX433" i="3" s="1"/>
  <c r="AU432" i="3"/>
  <c r="AV432" i="3" s="1"/>
  <c r="BQ430" i="3"/>
  <c r="BB430" i="3"/>
  <c r="BF430" i="3"/>
  <c r="BJ429" i="3" s="1"/>
  <c r="BK429" i="3" s="1"/>
  <c r="AR434" i="3"/>
  <c r="B434" i="3"/>
  <c r="A435" i="3"/>
  <c r="AQ434" i="3"/>
  <c r="D434" i="3"/>
  <c r="C434" i="3"/>
  <c r="G434" i="3"/>
  <c r="H434" i="3" s="1"/>
  <c r="BN434" i="3" s="1"/>
  <c r="F434" i="3"/>
  <c r="BM434" i="3" s="1"/>
  <c r="Q434" i="3"/>
  <c r="S434" i="3"/>
  <c r="O434" i="3"/>
  <c r="U434" i="3"/>
  <c r="AD434" i="3"/>
  <c r="AK434" i="3"/>
  <c r="AM434" i="3"/>
  <c r="M434" i="3"/>
  <c r="AF434" i="3"/>
  <c r="AE434" i="3"/>
  <c r="V434" i="3"/>
  <c r="T434" i="3"/>
  <c r="P434" i="3"/>
  <c r="R434" i="3"/>
  <c r="Y433" i="3"/>
  <c r="Z433" i="3" s="1"/>
  <c r="AY432" i="3" l="1"/>
  <c r="AG434" i="3"/>
  <c r="BC432" i="3"/>
  <c r="AN434" i="3"/>
  <c r="Y434" i="3"/>
  <c r="Z434" i="3" s="1"/>
  <c r="BD432" i="3"/>
  <c r="BG432" i="3"/>
  <c r="BH432" i="3" s="1"/>
  <c r="BI432" i="3" s="1"/>
  <c r="BD431" i="3"/>
  <c r="BG431" i="3"/>
  <c r="BH431" i="3" s="1"/>
  <c r="BI431" i="3" s="1"/>
  <c r="AH434" i="3"/>
  <c r="X434" i="3"/>
  <c r="BA432" i="3"/>
  <c r="AT433" i="3"/>
  <c r="AU433" i="3"/>
  <c r="C435" i="3"/>
  <c r="A436" i="3"/>
  <c r="B435" i="3"/>
  <c r="AR435" i="3"/>
  <c r="AQ435" i="3"/>
  <c r="D435" i="3"/>
  <c r="F435" i="3"/>
  <c r="BM435" i="3" s="1"/>
  <c r="G435" i="3"/>
  <c r="H435" i="3" s="1"/>
  <c r="BN435" i="3" s="1"/>
  <c r="Q435" i="3"/>
  <c r="S435" i="3"/>
  <c r="O435" i="3"/>
  <c r="U435" i="3"/>
  <c r="M435" i="3"/>
  <c r="AD435" i="3"/>
  <c r="AM435" i="3"/>
  <c r="AF435" i="3"/>
  <c r="AE435" i="3"/>
  <c r="AK435" i="3"/>
  <c r="AO435" i="3" s="1"/>
  <c r="R435" i="3"/>
  <c r="P435" i="3"/>
  <c r="V435" i="3"/>
  <c r="T435" i="3"/>
  <c r="AU434" i="3"/>
  <c r="AO434" i="3"/>
  <c r="AW433" i="3"/>
  <c r="AY433" i="3" s="1"/>
  <c r="AT434" i="3"/>
  <c r="BJ430" i="3"/>
  <c r="BK430" i="3" s="1"/>
  <c r="AG435" i="3" l="1"/>
  <c r="AN435" i="3"/>
  <c r="BB432" i="3"/>
  <c r="BF432" i="3"/>
  <c r="BJ431" i="3" s="1"/>
  <c r="BK431" i="3" s="1"/>
  <c r="BQ432" i="3"/>
  <c r="A437" i="3"/>
  <c r="AQ436" i="3"/>
  <c r="AR436" i="3"/>
  <c r="D436" i="3"/>
  <c r="B436" i="3"/>
  <c r="C436" i="3"/>
  <c r="F436" i="3"/>
  <c r="BM436" i="3" s="1"/>
  <c r="G436" i="3"/>
  <c r="H436" i="3" s="1"/>
  <c r="BN436" i="3" s="1"/>
  <c r="Q436" i="3"/>
  <c r="S436" i="3"/>
  <c r="O436" i="3"/>
  <c r="U436" i="3"/>
  <c r="AD436" i="3"/>
  <c r="M436" i="3"/>
  <c r="AF436" i="3"/>
  <c r="AK436" i="3"/>
  <c r="AE436" i="3"/>
  <c r="AM436" i="3"/>
  <c r="V436" i="3"/>
  <c r="R436" i="3"/>
  <c r="P436" i="3"/>
  <c r="T436" i="3"/>
  <c r="AX434" i="3"/>
  <c r="AV434" i="3"/>
  <c r="AW434" i="3"/>
  <c r="Y435" i="3"/>
  <c r="Z435" i="3" s="1"/>
  <c r="AV433" i="3"/>
  <c r="BC433" i="3" s="1"/>
  <c r="BA433" i="3"/>
  <c r="AH435" i="3"/>
  <c r="AX435" i="3" s="1"/>
  <c r="X435" i="3"/>
  <c r="BA434" i="3" l="1"/>
  <c r="AH436" i="3"/>
  <c r="AN436" i="3"/>
  <c r="BF434" i="3"/>
  <c r="BB434" i="3"/>
  <c r="BQ434" i="3"/>
  <c r="AT436" i="3"/>
  <c r="X436" i="3"/>
  <c r="BD433" i="3"/>
  <c r="BG433" i="3"/>
  <c r="BH433" i="3" s="1"/>
  <c r="BI433" i="3" s="1"/>
  <c r="Y436" i="3"/>
  <c r="Z436" i="3" s="1"/>
  <c r="AY434" i="3"/>
  <c r="BC434" i="3" s="1"/>
  <c r="AT435" i="3"/>
  <c r="AO436" i="3"/>
  <c r="AW435" i="3"/>
  <c r="AY435" i="3" s="1"/>
  <c r="BF433" i="3"/>
  <c r="BJ432" i="3" s="1"/>
  <c r="BK432" i="3" s="1"/>
  <c r="BB433" i="3"/>
  <c r="BQ433" i="3"/>
  <c r="AU436" i="3"/>
  <c r="B437" i="3"/>
  <c r="AQ437" i="3"/>
  <c r="D437" i="3"/>
  <c r="C437" i="3"/>
  <c r="AR437" i="3"/>
  <c r="A438" i="3"/>
  <c r="G437" i="3"/>
  <c r="H437" i="3" s="1"/>
  <c r="BN437" i="3" s="1"/>
  <c r="F437" i="3"/>
  <c r="Q437" i="3"/>
  <c r="S437" i="3"/>
  <c r="O437" i="3"/>
  <c r="U437" i="3"/>
  <c r="AD437" i="3"/>
  <c r="AE437" i="3"/>
  <c r="M437" i="3"/>
  <c r="AF437" i="3"/>
  <c r="AM437" i="3"/>
  <c r="AK437" i="3"/>
  <c r="AO437" i="3" s="1"/>
  <c r="V437" i="3"/>
  <c r="P437" i="3"/>
  <c r="R437" i="3"/>
  <c r="T437" i="3"/>
  <c r="AG436" i="3"/>
  <c r="AU435" i="3"/>
  <c r="AG437" i="3" l="1"/>
  <c r="AN437" i="3"/>
  <c r="Y437" i="3"/>
  <c r="Z437" i="3" s="1"/>
  <c r="X437" i="3"/>
  <c r="AX436" i="3"/>
  <c r="BD434" i="3"/>
  <c r="BG434" i="3"/>
  <c r="BH434" i="3" s="1"/>
  <c r="BI434" i="3" s="1"/>
  <c r="BM437" i="3"/>
  <c r="AV436" i="3"/>
  <c r="AH437" i="3"/>
  <c r="AX437" i="3" s="1"/>
  <c r="AR438" i="3"/>
  <c r="A439" i="3"/>
  <c r="B438" i="3"/>
  <c r="AQ438" i="3"/>
  <c r="C438" i="3"/>
  <c r="D438" i="3"/>
  <c r="G438" i="3"/>
  <c r="H438" i="3" s="1"/>
  <c r="BN438" i="3" s="1"/>
  <c r="F438" i="3"/>
  <c r="BM438" i="3" s="1"/>
  <c r="Q438" i="3"/>
  <c r="S438" i="3"/>
  <c r="O438" i="3"/>
  <c r="U438" i="3"/>
  <c r="AE438" i="3"/>
  <c r="M438" i="3"/>
  <c r="AD438" i="3"/>
  <c r="AK438" i="3"/>
  <c r="AM438" i="3"/>
  <c r="AF438" i="3"/>
  <c r="T438" i="3"/>
  <c r="P438" i="3"/>
  <c r="R438" i="3"/>
  <c r="V438" i="3"/>
  <c r="AV435" i="3"/>
  <c r="BC435" i="3" s="1"/>
  <c r="BA435" i="3"/>
  <c r="AW436" i="3"/>
  <c r="AY436" i="3" s="1"/>
  <c r="BJ433" i="3"/>
  <c r="BK433" i="3" s="1"/>
  <c r="AN438" i="3" l="1"/>
  <c r="AT437" i="3"/>
  <c r="AU437" i="3"/>
  <c r="AO438" i="3"/>
  <c r="AG438" i="3"/>
  <c r="X438" i="3"/>
  <c r="AV437" i="3"/>
  <c r="BA436" i="3"/>
  <c r="AW437" i="3"/>
  <c r="AY437" i="3" s="1"/>
  <c r="BQ435" i="3"/>
  <c r="BB435" i="3"/>
  <c r="BF435" i="3"/>
  <c r="BJ434" i="3" s="1"/>
  <c r="BK434" i="3" s="1"/>
  <c r="BD435" i="3"/>
  <c r="BG435" i="3"/>
  <c r="BH435" i="3" s="1"/>
  <c r="BI435" i="3" s="1"/>
  <c r="Y438" i="3"/>
  <c r="Z438" i="3" s="1"/>
  <c r="A440" i="3"/>
  <c r="AR439" i="3"/>
  <c r="C439" i="3"/>
  <c r="D439" i="3"/>
  <c r="B439" i="3"/>
  <c r="AQ439" i="3"/>
  <c r="F439" i="3"/>
  <c r="G439" i="3"/>
  <c r="H439" i="3" s="1"/>
  <c r="Q439" i="3"/>
  <c r="S439" i="3"/>
  <c r="O439" i="3"/>
  <c r="U439" i="3"/>
  <c r="M439" i="3"/>
  <c r="AD439" i="3"/>
  <c r="AE439" i="3"/>
  <c r="AM439" i="3"/>
  <c r="AF439" i="3"/>
  <c r="AK439" i="3"/>
  <c r="AO439" i="3" s="1"/>
  <c r="P439" i="3"/>
  <c r="R439" i="3"/>
  <c r="T439" i="3"/>
  <c r="V439" i="3"/>
  <c r="BC436" i="3"/>
  <c r="AH438" i="3"/>
  <c r="AX438" i="3" s="1"/>
  <c r="Y439" i="3" l="1"/>
  <c r="Z439" i="3" s="1"/>
  <c r="AH439" i="3"/>
  <c r="AT438" i="3"/>
  <c r="AN439" i="3"/>
  <c r="BA437" i="3"/>
  <c r="A441" i="3"/>
  <c r="AR440" i="3"/>
  <c r="D440" i="3"/>
  <c r="B440" i="3"/>
  <c r="AQ440" i="3"/>
  <c r="C440" i="3"/>
  <c r="F440" i="3"/>
  <c r="BM440" i="3" s="1"/>
  <c r="G440" i="3"/>
  <c r="H440" i="3" s="1"/>
  <c r="BN440" i="3" s="1"/>
  <c r="Q440" i="3"/>
  <c r="S440" i="3"/>
  <c r="O440" i="3"/>
  <c r="U440" i="3"/>
  <c r="AE440" i="3"/>
  <c r="AD440" i="3"/>
  <c r="M440" i="3"/>
  <c r="AF440" i="3"/>
  <c r="AM440" i="3"/>
  <c r="AK440" i="3"/>
  <c r="R440" i="3"/>
  <c r="P440" i="3"/>
  <c r="V440" i="3"/>
  <c r="T440" i="3"/>
  <c r="AG439" i="3"/>
  <c r="AW439" i="3" s="1"/>
  <c r="X439" i="3"/>
  <c r="BN439" i="3"/>
  <c r="AU438" i="3"/>
  <c r="BD436" i="3"/>
  <c r="BG436" i="3"/>
  <c r="BH436" i="3" s="1"/>
  <c r="BI436" i="3" s="1"/>
  <c r="BM439" i="3"/>
  <c r="BQ436" i="3"/>
  <c r="BF436" i="3"/>
  <c r="BJ435" i="3" s="1"/>
  <c r="BK435" i="3" s="1"/>
  <c r="BB436" i="3"/>
  <c r="BC437" i="3"/>
  <c r="AU439" i="3"/>
  <c r="AW438" i="3"/>
  <c r="AY438" i="3" s="1"/>
  <c r="AO440" i="3" l="1"/>
  <c r="AG440" i="3"/>
  <c r="X440" i="3"/>
  <c r="AH440" i="3"/>
  <c r="BB437" i="3"/>
  <c r="BF437" i="3"/>
  <c r="BJ436" i="3" s="1"/>
  <c r="BK436" i="3" s="1"/>
  <c r="BQ437" i="3"/>
  <c r="BD437" i="3"/>
  <c r="BG437" i="3"/>
  <c r="BH437" i="3" s="1"/>
  <c r="BI437" i="3" s="1"/>
  <c r="Y440" i="3"/>
  <c r="Z440" i="3" s="1"/>
  <c r="AN440" i="3"/>
  <c r="AV438" i="3"/>
  <c r="BC438" i="3" s="1"/>
  <c r="BA438" i="3"/>
  <c r="AR441" i="3"/>
  <c r="B441" i="3"/>
  <c r="AQ441" i="3"/>
  <c r="A442" i="3"/>
  <c r="D441" i="3"/>
  <c r="C441" i="3"/>
  <c r="G441" i="3"/>
  <c r="H441" i="3" s="1"/>
  <c r="BN441" i="3" s="1"/>
  <c r="F441" i="3"/>
  <c r="Q441" i="3"/>
  <c r="S441" i="3"/>
  <c r="O441" i="3"/>
  <c r="U441" i="3"/>
  <c r="AD441" i="3"/>
  <c r="M441" i="3"/>
  <c r="AE441" i="3"/>
  <c r="AM441" i="3"/>
  <c r="AK441" i="3"/>
  <c r="AF441" i="3"/>
  <c r="V441" i="3"/>
  <c r="R441" i="3"/>
  <c r="P441" i="3"/>
  <c r="T441" i="3"/>
  <c r="AX439" i="3"/>
  <c r="AY439" i="3" s="1"/>
  <c r="AW440" i="3"/>
  <c r="AT440" i="3"/>
  <c r="AT439" i="3"/>
  <c r="AU440" i="3" l="1"/>
  <c r="AN441" i="3"/>
  <c r="BD438" i="3"/>
  <c r="BG438" i="3"/>
  <c r="BH438" i="3" s="1"/>
  <c r="BI438" i="3" s="1"/>
  <c r="AG441" i="3"/>
  <c r="BA439" i="3"/>
  <c r="AV439" i="3"/>
  <c r="BC439" i="3" s="1"/>
  <c r="Y441" i="3"/>
  <c r="Z441" i="3" s="1"/>
  <c r="AO441" i="3"/>
  <c r="X441" i="3"/>
  <c r="BB438" i="3"/>
  <c r="BQ438" i="3"/>
  <c r="BF438" i="3"/>
  <c r="BJ437" i="3" s="1"/>
  <c r="BK437" i="3" s="1"/>
  <c r="AV440" i="3"/>
  <c r="B442" i="3"/>
  <c r="C442" i="3"/>
  <c r="D442" i="3"/>
  <c r="A443" i="3"/>
  <c r="AR442" i="3"/>
  <c r="AQ442" i="3"/>
  <c r="G442" i="3"/>
  <c r="H442" i="3" s="1"/>
  <c r="F442" i="3"/>
  <c r="Q442" i="3"/>
  <c r="S442" i="3"/>
  <c r="O442" i="3"/>
  <c r="U442" i="3"/>
  <c r="AD442" i="3"/>
  <c r="AE442" i="3"/>
  <c r="AM442" i="3"/>
  <c r="AF442" i="3"/>
  <c r="M442" i="3"/>
  <c r="AK442" i="3"/>
  <c r="AO442" i="3" s="1"/>
  <c r="T442" i="3"/>
  <c r="R442" i="3"/>
  <c r="P442" i="3"/>
  <c r="V442" i="3"/>
  <c r="AH441" i="3"/>
  <c r="AX441" i="3" s="1"/>
  <c r="BM441" i="3"/>
  <c r="AX440" i="3"/>
  <c r="AY440" i="3" s="1"/>
  <c r="Y442" i="3" l="1"/>
  <c r="Z442" i="3" s="1"/>
  <c r="BC440" i="3"/>
  <c r="BA440" i="3"/>
  <c r="BQ440" i="3" s="1"/>
  <c r="AN442" i="3"/>
  <c r="BF439" i="3"/>
  <c r="BJ438" i="3" s="1"/>
  <c r="BK438" i="3" s="1"/>
  <c r="BQ439" i="3"/>
  <c r="BB439" i="3"/>
  <c r="AR443" i="3"/>
  <c r="B443" i="3"/>
  <c r="AQ443" i="3"/>
  <c r="C443" i="3"/>
  <c r="A444" i="3"/>
  <c r="D443" i="3"/>
  <c r="F443" i="3"/>
  <c r="BM443" i="3" s="1"/>
  <c r="G443" i="3"/>
  <c r="H443" i="3" s="1"/>
  <c r="BN443" i="3" s="1"/>
  <c r="Q443" i="3"/>
  <c r="S443" i="3"/>
  <c r="O443" i="3"/>
  <c r="U443" i="3"/>
  <c r="M443" i="3"/>
  <c r="AD443" i="3"/>
  <c r="AF443" i="3"/>
  <c r="AM443" i="3"/>
  <c r="AE443" i="3"/>
  <c r="AK443" i="3"/>
  <c r="AO443" i="3" s="1"/>
  <c r="P443" i="3"/>
  <c r="R443" i="3"/>
  <c r="T443" i="3"/>
  <c r="V443" i="3"/>
  <c r="X442" i="3"/>
  <c r="AW441" i="3"/>
  <c r="AY441" i="3" s="1"/>
  <c r="AG442" i="3"/>
  <c r="AW442" i="3" s="1"/>
  <c r="BD439" i="3"/>
  <c r="BG439" i="3"/>
  <c r="BH439" i="3" s="1"/>
  <c r="BI439" i="3" s="1"/>
  <c r="BN442" i="3"/>
  <c r="BM442" i="3"/>
  <c r="AU442" i="3"/>
  <c r="AT441" i="3"/>
  <c r="BD440" i="3"/>
  <c r="BG440" i="3"/>
  <c r="BH440" i="3" s="1"/>
  <c r="BI440" i="3" s="1"/>
  <c r="AU441" i="3"/>
  <c r="AH442" i="3"/>
  <c r="AG443" i="3" l="1"/>
  <c r="BF440" i="3"/>
  <c r="BB440" i="3"/>
  <c r="AQ444" i="3"/>
  <c r="B444" i="3"/>
  <c r="AR444" i="3"/>
  <c r="A445" i="3"/>
  <c r="C444" i="3"/>
  <c r="D444" i="3"/>
  <c r="F444" i="3"/>
  <c r="BM444" i="3" s="1"/>
  <c r="G444" i="3"/>
  <c r="H444" i="3" s="1"/>
  <c r="BN444" i="3" s="1"/>
  <c r="Q444" i="3"/>
  <c r="S444" i="3"/>
  <c r="O444" i="3"/>
  <c r="U444" i="3"/>
  <c r="AE444" i="3"/>
  <c r="AD444" i="3"/>
  <c r="AK444" i="3"/>
  <c r="M444" i="3"/>
  <c r="AM444" i="3"/>
  <c r="AF444" i="3"/>
  <c r="R444" i="3"/>
  <c r="P444" i="3"/>
  <c r="T444" i="3"/>
  <c r="V444" i="3"/>
  <c r="BA441" i="3"/>
  <c r="AV441" i="3"/>
  <c r="BC441" i="3" s="1"/>
  <c r="X443" i="3"/>
  <c r="AT442" i="3"/>
  <c r="BJ439" i="3"/>
  <c r="BK439" i="3" s="1"/>
  <c r="AX442" i="3"/>
  <c r="AY442" i="3" s="1"/>
  <c r="AH443" i="3"/>
  <c r="Y443" i="3"/>
  <c r="Z443" i="3" s="1"/>
  <c r="AN443" i="3"/>
  <c r="AN444" i="3" l="1"/>
  <c r="AW443" i="3"/>
  <c r="AX443" i="3"/>
  <c r="AO444" i="3"/>
  <c r="X444" i="3"/>
  <c r="C445" i="3"/>
  <c r="A446" i="3"/>
  <c r="AQ445" i="3"/>
  <c r="B445" i="3"/>
  <c r="AR445" i="3"/>
  <c r="D445" i="3"/>
  <c r="G445" i="3"/>
  <c r="H445" i="3" s="1"/>
  <c r="BN445" i="3" s="1"/>
  <c r="F445" i="3"/>
  <c r="BM445" i="3" s="1"/>
  <c r="Q445" i="3"/>
  <c r="S445" i="3"/>
  <c r="O445" i="3"/>
  <c r="U445" i="3"/>
  <c r="M445" i="3"/>
  <c r="AE445" i="3"/>
  <c r="AD445" i="3"/>
  <c r="AK445" i="3"/>
  <c r="AM445" i="3"/>
  <c r="AF445" i="3"/>
  <c r="V445" i="3"/>
  <c r="P445" i="3"/>
  <c r="T445" i="3"/>
  <c r="R445" i="3"/>
  <c r="AH444" i="3"/>
  <c r="AT443" i="3"/>
  <c r="BA442" i="3"/>
  <c r="AV442" i="3"/>
  <c r="BC442" i="3" s="1"/>
  <c r="BD441" i="3"/>
  <c r="BG441" i="3"/>
  <c r="BH441" i="3" s="1"/>
  <c r="BI441" i="3" s="1"/>
  <c r="Y444" i="3"/>
  <c r="Z444" i="3" s="1"/>
  <c r="AG444" i="3"/>
  <c r="AW444" i="3" s="1"/>
  <c r="AU443" i="3"/>
  <c r="BQ441" i="3"/>
  <c r="BF441" i="3"/>
  <c r="BJ440" i="3" s="1"/>
  <c r="BK440" i="3" s="1"/>
  <c r="BB441" i="3"/>
  <c r="AU444" i="3"/>
  <c r="AG445" i="3" l="1"/>
  <c r="X445" i="3"/>
  <c r="AY443" i="3"/>
  <c r="AN445" i="3"/>
  <c r="AH445" i="3"/>
  <c r="AV443" i="3"/>
  <c r="BC443" i="3" s="1"/>
  <c r="BA443" i="3"/>
  <c r="AT445" i="3"/>
  <c r="AT444" i="3"/>
  <c r="B446" i="3"/>
  <c r="AQ446" i="3"/>
  <c r="AR446" i="3"/>
  <c r="C446" i="3"/>
  <c r="A447" i="3"/>
  <c r="D446" i="3"/>
  <c r="F446" i="3"/>
  <c r="BM446" i="3" s="1"/>
  <c r="G446" i="3"/>
  <c r="H446" i="3" s="1"/>
  <c r="BN446" i="3" s="1"/>
  <c r="Q446" i="3"/>
  <c r="S446" i="3"/>
  <c r="O446" i="3"/>
  <c r="U446" i="3"/>
  <c r="AE446" i="3"/>
  <c r="M446" i="3"/>
  <c r="AD446" i="3"/>
  <c r="AK446" i="3"/>
  <c r="AF446" i="3"/>
  <c r="AM446" i="3"/>
  <c r="R446" i="3"/>
  <c r="T446" i="3"/>
  <c r="P446" i="3"/>
  <c r="V446" i="3"/>
  <c r="AO445" i="3"/>
  <c r="AW445" i="3" s="1"/>
  <c r="BD442" i="3"/>
  <c r="BG442" i="3"/>
  <c r="BH442" i="3" s="1"/>
  <c r="BI442" i="3" s="1"/>
  <c r="AU445" i="3"/>
  <c r="Y445" i="3"/>
  <c r="Z445" i="3" s="1"/>
  <c r="BB442" i="3"/>
  <c r="BF442" i="3"/>
  <c r="BJ441" i="3" s="1"/>
  <c r="BK441" i="3" s="1"/>
  <c r="BQ442" i="3"/>
  <c r="AX444" i="3"/>
  <c r="AY444" i="3" s="1"/>
  <c r="AN446" i="3" l="1"/>
  <c r="AG446" i="3"/>
  <c r="Y446" i="3"/>
  <c r="Z446" i="3" s="1"/>
  <c r="AV445" i="3"/>
  <c r="AV444" i="3"/>
  <c r="BC444" i="3" s="1"/>
  <c r="BA444" i="3"/>
  <c r="X446" i="3"/>
  <c r="BF443" i="3"/>
  <c r="BJ442" i="3" s="1"/>
  <c r="BK442" i="3" s="1"/>
  <c r="BQ443" i="3"/>
  <c r="BB443" i="3"/>
  <c r="AQ447" i="3"/>
  <c r="AR447" i="3"/>
  <c r="C447" i="3"/>
  <c r="B447" i="3"/>
  <c r="A448" i="3"/>
  <c r="D447" i="3"/>
  <c r="F447" i="3"/>
  <c r="BM447" i="3" s="1"/>
  <c r="G447" i="3"/>
  <c r="H447" i="3" s="1"/>
  <c r="BN447" i="3" s="1"/>
  <c r="Q447" i="3"/>
  <c r="S447" i="3"/>
  <c r="O447" i="3"/>
  <c r="U447" i="3"/>
  <c r="AD447" i="3"/>
  <c r="AF447" i="3"/>
  <c r="AE447" i="3"/>
  <c r="AM447" i="3"/>
  <c r="M447" i="3"/>
  <c r="AK447" i="3"/>
  <c r="AO447" i="3" s="1"/>
  <c r="T447" i="3"/>
  <c r="V447" i="3"/>
  <c r="R447" i="3"/>
  <c r="P447" i="3"/>
  <c r="AO446" i="3"/>
  <c r="BD443" i="3"/>
  <c r="BG443" i="3"/>
  <c r="BH443" i="3" s="1"/>
  <c r="BI443" i="3" s="1"/>
  <c r="AH446" i="3"/>
  <c r="AX446" i="3" s="1"/>
  <c r="AX445" i="3"/>
  <c r="AY445" i="3" s="1"/>
  <c r="AG447" i="3" l="1"/>
  <c r="AT446" i="3"/>
  <c r="BA445" i="3"/>
  <c r="A449" i="3"/>
  <c r="D448" i="3"/>
  <c r="C448" i="3"/>
  <c r="AR448" i="3"/>
  <c r="B448" i="3"/>
  <c r="AQ448" i="3"/>
  <c r="G448" i="3"/>
  <c r="H448" i="3" s="1"/>
  <c r="BN448" i="3" s="1"/>
  <c r="F448" i="3"/>
  <c r="BM448" i="3" s="1"/>
  <c r="Q448" i="3"/>
  <c r="S448" i="3"/>
  <c r="O448" i="3"/>
  <c r="U448" i="3"/>
  <c r="AE448" i="3"/>
  <c r="AD448" i="3"/>
  <c r="AF448" i="3"/>
  <c r="AK448" i="3"/>
  <c r="AM448" i="3"/>
  <c r="M448" i="3"/>
  <c r="T448" i="3"/>
  <c r="R448" i="3"/>
  <c r="V448" i="3"/>
  <c r="P448" i="3"/>
  <c r="AN447" i="3"/>
  <c r="BD444" i="3"/>
  <c r="BG444" i="3"/>
  <c r="BH444" i="3" s="1"/>
  <c r="BI444" i="3" s="1"/>
  <c r="BC445" i="3"/>
  <c r="Y447" i="3"/>
  <c r="Z447" i="3" s="1"/>
  <c r="AH447" i="3"/>
  <c r="AX447" i="3" s="1"/>
  <c r="AU446" i="3"/>
  <c r="AW446" i="3"/>
  <c r="AY446" i="3" s="1"/>
  <c r="BB444" i="3"/>
  <c r="BF444" i="3"/>
  <c r="BJ443" i="3" s="1"/>
  <c r="BK443" i="3" s="1"/>
  <c r="BQ444" i="3"/>
  <c r="X447" i="3"/>
  <c r="X448" i="3" l="1"/>
  <c r="AO448" i="3"/>
  <c r="AG448" i="3"/>
  <c r="BD445" i="3"/>
  <c r="BG445" i="3"/>
  <c r="BH445" i="3" s="1"/>
  <c r="BI445" i="3" s="1"/>
  <c r="AQ449" i="3"/>
  <c r="A450" i="3"/>
  <c r="C449" i="3"/>
  <c r="D449" i="3"/>
  <c r="B449" i="3"/>
  <c r="AR449" i="3"/>
  <c r="F449" i="3"/>
  <c r="BM449" i="3" s="1"/>
  <c r="G449" i="3"/>
  <c r="H449" i="3" s="1"/>
  <c r="BN449" i="3" s="1"/>
  <c r="S449" i="3"/>
  <c r="Q449" i="3"/>
  <c r="O449" i="3"/>
  <c r="U449" i="3"/>
  <c r="AD449" i="3"/>
  <c r="M449" i="3"/>
  <c r="AE449" i="3"/>
  <c r="AF449" i="3"/>
  <c r="AK449" i="3"/>
  <c r="AM449" i="3"/>
  <c r="AN449" i="3" s="1"/>
  <c r="V449" i="3"/>
  <c r="T449" i="3"/>
  <c r="P449" i="3"/>
  <c r="R449" i="3"/>
  <c r="BQ445" i="3"/>
  <c r="BB445" i="3"/>
  <c r="BF445" i="3"/>
  <c r="BJ444" i="3" s="1"/>
  <c r="BK444" i="3" s="1"/>
  <c r="Y448" i="3"/>
  <c r="Z448" i="3" s="1"/>
  <c r="AW447" i="3"/>
  <c r="AY447" i="3" s="1"/>
  <c r="AH448" i="3"/>
  <c r="AT448" i="3" s="1"/>
  <c r="AT447" i="3"/>
  <c r="AU447" i="3"/>
  <c r="AN448" i="3"/>
  <c r="AV446" i="3"/>
  <c r="BC446" i="3" s="1"/>
  <c r="BA446" i="3"/>
  <c r="AG449" i="3" l="1"/>
  <c r="AO449" i="3"/>
  <c r="AU448" i="3"/>
  <c r="BD446" i="3"/>
  <c r="BG446" i="3"/>
  <c r="BH446" i="3" s="1"/>
  <c r="BI446" i="3" s="1"/>
  <c r="AH449" i="3"/>
  <c r="AX449" i="3" s="1"/>
  <c r="AV447" i="3"/>
  <c r="BC447" i="3" s="1"/>
  <c r="BA447" i="3"/>
  <c r="AU449" i="3"/>
  <c r="BB446" i="3"/>
  <c r="BF446" i="3"/>
  <c r="BJ445" i="3" s="1"/>
  <c r="BK445" i="3" s="1"/>
  <c r="BQ446" i="3"/>
  <c r="X449" i="3"/>
  <c r="AT449" i="3"/>
  <c r="Y449" i="3"/>
  <c r="Z449" i="3" s="1"/>
  <c r="AX448" i="3"/>
  <c r="AQ450" i="3"/>
  <c r="AR450" i="3"/>
  <c r="C450" i="3"/>
  <c r="A451" i="3"/>
  <c r="D450" i="3"/>
  <c r="B450" i="3"/>
  <c r="G450" i="3"/>
  <c r="H450" i="3" s="1"/>
  <c r="F450" i="3"/>
  <c r="Q450" i="3"/>
  <c r="S450" i="3"/>
  <c r="O450" i="3"/>
  <c r="U450" i="3"/>
  <c r="AE450" i="3"/>
  <c r="M450" i="3"/>
  <c r="AD450" i="3"/>
  <c r="AF450" i="3"/>
  <c r="AM450" i="3"/>
  <c r="AK450" i="3"/>
  <c r="V450" i="3"/>
  <c r="T450" i="3"/>
  <c r="R450" i="3"/>
  <c r="P450" i="3"/>
  <c r="AW448" i="3"/>
  <c r="AO450" i="3" l="1"/>
  <c r="BM450" i="3"/>
  <c r="BN450" i="3"/>
  <c r="Y450" i="3"/>
  <c r="Z450" i="3" s="1"/>
  <c r="BA448" i="3"/>
  <c r="BQ448" i="3" s="1"/>
  <c r="AN450" i="3"/>
  <c r="X450" i="3"/>
  <c r="AV449" i="3"/>
  <c r="BD447" i="3"/>
  <c r="BG447" i="3"/>
  <c r="BH447" i="3" s="1"/>
  <c r="BI447" i="3" s="1"/>
  <c r="AH450" i="3"/>
  <c r="AG450" i="3"/>
  <c r="AW449" i="3"/>
  <c r="AY449" i="3" s="1"/>
  <c r="BB447" i="3"/>
  <c r="BQ447" i="3"/>
  <c r="BF447" i="3"/>
  <c r="BJ446" i="3" s="1"/>
  <c r="BK446" i="3" s="1"/>
  <c r="AR451" i="3"/>
  <c r="B451" i="3"/>
  <c r="AQ451" i="3"/>
  <c r="D451" i="3"/>
  <c r="C451" i="3"/>
  <c r="A452" i="3"/>
  <c r="G451" i="3"/>
  <c r="H451" i="3" s="1"/>
  <c r="F451" i="3"/>
  <c r="Q451" i="3"/>
  <c r="S451" i="3"/>
  <c r="O451" i="3"/>
  <c r="U451" i="3"/>
  <c r="M451" i="3"/>
  <c r="AD451" i="3"/>
  <c r="AE451" i="3"/>
  <c r="AM451" i="3"/>
  <c r="AF451" i="3"/>
  <c r="AK451" i="3"/>
  <c r="AO451" i="3" s="1"/>
  <c r="R451" i="3"/>
  <c r="T451" i="3"/>
  <c r="V451" i="3"/>
  <c r="P451" i="3"/>
  <c r="AV448" i="3"/>
  <c r="AY448" i="3"/>
  <c r="AW450" i="3" l="1"/>
  <c r="BM451" i="3"/>
  <c r="BN451" i="3"/>
  <c r="BF448" i="3"/>
  <c r="BB448" i="3"/>
  <c r="AN451" i="3"/>
  <c r="AU450" i="3"/>
  <c r="BC448" i="3"/>
  <c r="Y451" i="3"/>
  <c r="Z451" i="3" s="1"/>
  <c r="AH451" i="3"/>
  <c r="BA449" i="3"/>
  <c r="BD448" i="3"/>
  <c r="BG448" i="3"/>
  <c r="BH448" i="3" s="1"/>
  <c r="BI448" i="3" s="1"/>
  <c r="AG451" i="3"/>
  <c r="AW451" i="3" s="1"/>
  <c r="B452" i="3"/>
  <c r="D452" i="3"/>
  <c r="AQ452" i="3"/>
  <c r="AR452" i="3"/>
  <c r="A453" i="3"/>
  <c r="C452" i="3"/>
  <c r="G452" i="3"/>
  <c r="H452" i="3" s="1"/>
  <c r="BN452" i="3" s="1"/>
  <c r="F452" i="3"/>
  <c r="Q452" i="3"/>
  <c r="S452" i="3"/>
  <c r="O452" i="3"/>
  <c r="U452" i="3"/>
  <c r="AE452" i="3"/>
  <c r="AD452" i="3"/>
  <c r="M452" i="3"/>
  <c r="AF452" i="3"/>
  <c r="AK452" i="3"/>
  <c r="AM452" i="3"/>
  <c r="P452" i="3"/>
  <c r="R452" i="3"/>
  <c r="T452" i="3"/>
  <c r="V452" i="3"/>
  <c r="BJ447" i="3"/>
  <c r="BK447" i="3" s="1"/>
  <c r="X451" i="3"/>
  <c r="BC449" i="3"/>
  <c r="AX450" i="3"/>
  <c r="AY450" i="3" s="1"/>
  <c r="AT450" i="3"/>
  <c r="BM452" i="3" l="1"/>
  <c r="X452" i="3"/>
  <c r="AO452" i="3"/>
  <c r="BD449" i="3"/>
  <c r="BG449" i="3"/>
  <c r="BH449" i="3" s="1"/>
  <c r="BI449" i="3" s="1"/>
  <c r="A454" i="3"/>
  <c r="AQ453" i="3"/>
  <c r="B453" i="3"/>
  <c r="D453" i="3"/>
  <c r="AR453" i="3"/>
  <c r="C453" i="3"/>
  <c r="F453" i="3"/>
  <c r="BM453" i="3" s="1"/>
  <c r="G453" i="3"/>
  <c r="H453" i="3" s="1"/>
  <c r="BN453" i="3" s="1"/>
  <c r="Q453" i="3"/>
  <c r="S453" i="3"/>
  <c r="O453" i="3"/>
  <c r="U453" i="3"/>
  <c r="AD453" i="3"/>
  <c r="AE453" i="3"/>
  <c r="AF453" i="3"/>
  <c r="AM453" i="3"/>
  <c r="AK453" i="3"/>
  <c r="M453" i="3"/>
  <c r="T453" i="3"/>
  <c r="R453" i="3"/>
  <c r="V453" i="3"/>
  <c r="P453" i="3"/>
  <c r="AV450" i="3"/>
  <c r="BC450" i="3" s="1"/>
  <c r="BA450" i="3"/>
  <c r="AN452" i="3"/>
  <c r="BB449" i="3"/>
  <c r="BQ449" i="3"/>
  <c r="BF449" i="3"/>
  <c r="BJ448" i="3" s="1"/>
  <c r="BK448" i="3" s="1"/>
  <c r="AX451" i="3"/>
  <c r="AY451" i="3" s="1"/>
  <c r="Y452" i="3"/>
  <c r="Z452" i="3" s="1"/>
  <c r="AT451" i="3"/>
  <c r="AH452" i="3"/>
  <c r="AG452" i="3"/>
  <c r="AU451" i="3"/>
  <c r="X453" i="3" l="1"/>
  <c r="AN453" i="3"/>
  <c r="AW452" i="3"/>
  <c r="AG453" i="3"/>
  <c r="AH453" i="3"/>
  <c r="AX452" i="3"/>
  <c r="Y453" i="3"/>
  <c r="Z453" i="3" s="1"/>
  <c r="AT452" i="3"/>
  <c r="AV451" i="3"/>
  <c r="BC451" i="3" s="1"/>
  <c r="BA451" i="3"/>
  <c r="AT453" i="3"/>
  <c r="BD450" i="3"/>
  <c r="BG450" i="3"/>
  <c r="BH450" i="3" s="1"/>
  <c r="BI450" i="3" s="1"/>
  <c r="B454" i="3"/>
  <c r="AQ454" i="3"/>
  <c r="AR454" i="3"/>
  <c r="C454" i="3"/>
  <c r="D454" i="3"/>
  <c r="A455" i="3"/>
  <c r="F454" i="3"/>
  <c r="BM454" i="3" s="1"/>
  <c r="G454" i="3"/>
  <c r="H454" i="3" s="1"/>
  <c r="BN454" i="3" s="1"/>
  <c r="Q454" i="3"/>
  <c r="S454" i="3"/>
  <c r="O454" i="3"/>
  <c r="U454" i="3"/>
  <c r="AD454" i="3"/>
  <c r="M454" i="3"/>
  <c r="AE454" i="3"/>
  <c r="AK454" i="3"/>
  <c r="AM454" i="3"/>
  <c r="AF454" i="3"/>
  <c r="V454" i="3"/>
  <c r="P454" i="3"/>
  <c r="R454" i="3"/>
  <c r="T454" i="3"/>
  <c r="AU452" i="3"/>
  <c r="BF450" i="3"/>
  <c r="BJ449" i="3" s="1"/>
  <c r="BK449" i="3" s="1"/>
  <c r="BQ450" i="3"/>
  <c r="BB450" i="3"/>
  <c r="AU453" i="3"/>
  <c r="AO453" i="3"/>
  <c r="AY452" i="3" l="1"/>
  <c r="AH454" i="3"/>
  <c r="AW453" i="3"/>
  <c r="AO454" i="3"/>
  <c r="D455" i="3"/>
  <c r="B455" i="3"/>
  <c r="AQ455" i="3"/>
  <c r="A456" i="3"/>
  <c r="C455" i="3"/>
  <c r="AR455" i="3"/>
  <c r="F455" i="3"/>
  <c r="BM455" i="3" s="1"/>
  <c r="G455" i="3"/>
  <c r="H455" i="3" s="1"/>
  <c r="BN455" i="3" s="1"/>
  <c r="Q455" i="3"/>
  <c r="S455" i="3"/>
  <c r="O455" i="3"/>
  <c r="U455" i="3"/>
  <c r="AD455" i="3"/>
  <c r="AE455" i="3"/>
  <c r="M455" i="3"/>
  <c r="AM455" i="3"/>
  <c r="AF455" i="3"/>
  <c r="AK455" i="3"/>
  <c r="R455" i="3"/>
  <c r="V455" i="3"/>
  <c r="P455" i="3"/>
  <c r="T455" i="3"/>
  <c r="BB451" i="3"/>
  <c r="BQ451" i="3"/>
  <c r="BF451" i="3"/>
  <c r="BJ450" i="3" s="1"/>
  <c r="BK450" i="3" s="1"/>
  <c r="BA452" i="3"/>
  <c r="AV452" i="3"/>
  <c r="BC452" i="3" s="1"/>
  <c r="Y454" i="3"/>
  <c r="Z454" i="3" s="1"/>
  <c r="AV453" i="3"/>
  <c r="BD451" i="3"/>
  <c r="BG451" i="3"/>
  <c r="BH451" i="3" s="1"/>
  <c r="BI451" i="3" s="1"/>
  <c r="AN454" i="3"/>
  <c r="X454" i="3"/>
  <c r="AG454" i="3"/>
  <c r="AX453" i="3"/>
  <c r="AY453" i="3" s="1"/>
  <c r="AW454" i="3" l="1"/>
  <c r="AO455" i="3"/>
  <c r="AN455" i="3"/>
  <c r="BA453" i="3"/>
  <c r="AT454" i="3"/>
  <c r="AU454" i="3"/>
  <c r="AG455" i="3"/>
  <c r="AX454" i="3"/>
  <c r="AY454" i="3" s="1"/>
  <c r="AH455" i="3"/>
  <c r="AX455" i="3" s="1"/>
  <c r="BC453" i="3"/>
  <c r="BD452" i="3"/>
  <c r="BG452" i="3"/>
  <c r="BH452" i="3" s="1"/>
  <c r="BI452" i="3" s="1"/>
  <c r="AU455" i="3"/>
  <c r="X455" i="3"/>
  <c r="BQ453" i="3"/>
  <c r="BB453" i="3"/>
  <c r="BF453" i="3"/>
  <c r="AR456" i="3"/>
  <c r="AQ456" i="3"/>
  <c r="A457" i="3"/>
  <c r="C456" i="3"/>
  <c r="B456" i="3"/>
  <c r="D456" i="3"/>
  <c r="G456" i="3"/>
  <c r="H456" i="3" s="1"/>
  <c r="F456" i="3"/>
  <c r="Q456" i="3"/>
  <c r="S456" i="3"/>
  <c r="O456" i="3"/>
  <c r="U456" i="3"/>
  <c r="AD456" i="3"/>
  <c r="AE456" i="3"/>
  <c r="M456" i="3"/>
  <c r="AK456" i="3"/>
  <c r="AF456" i="3"/>
  <c r="AM456" i="3"/>
  <c r="AN456" i="3" s="1"/>
  <c r="T456" i="3"/>
  <c r="V456" i="3"/>
  <c r="R456" i="3"/>
  <c r="P456" i="3"/>
  <c r="BF452" i="3"/>
  <c r="BJ451" i="3" s="1"/>
  <c r="BK451" i="3" s="1"/>
  <c r="BB452" i="3"/>
  <c r="BQ452" i="3"/>
  <c r="Y455" i="3"/>
  <c r="Z455" i="3" s="1"/>
  <c r="X456" i="3" l="1"/>
  <c r="AG456" i="3"/>
  <c r="Y456" i="3"/>
  <c r="Z456" i="3" s="1"/>
  <c r="BJ452" i="3"/>
  <c r="BK452" i="3" s="1"/>
  <c r="B457" i="3"/>
  <c r="A458" i="3"/>
  <c r="D457" i="3"/>
  <c r="AR457" i="3"/>
  <c r="C457" i="3"/>
  <c r="AQ457" i="3"/>
  <c r="F457" i="3"/>
  <c r="BM457" i="3" s="1"/>
  <c r="G457" i="3"/>
  <c r="H457" i="3" s="1"/>
  <c r="BN457" i="3" s="1"/>
  <c r="Q457" i="3"/>
  <c r="S457" i="3"/>
  <c r="O457" i="3"/>
  <c r="U457" i="3"/>
  <c r="AE457" i="3"/>
  <c r="AD457" i="3"/>
  <c r="AF457" i="3"/>
  <c r="AK457" i="3"/>
  <c r="AM457" i="3"/>
  <c r="M457" i="3"/>
  <c r="R457" i="3"/>
  <c r="T457" i="3"/>
  <c r="V457" i="3"/>
  <c r="P457" i="3"/>
  <c r="AT455" i="3"/>
  <c r="AO456" i="3"/>
  <c r="AW455" i="3"/>
  <c r="AY455" i="3" s="1"/>
  <c r="AH456" i="3"/>
  <c r="BM456" i="3"/>
  <c r="BD453" i="3"/>
  <c r="BG453" i="3"/>
  <c r="BH453" i="3" s="1"/>
  <c r="BI453" i="3" s="1"/>
  <c r="BN456" i="3"/>
  <c r="BA454" i="3"/>
  <c r="AV454" i="3"/>
  <c r="BC454" i="3" s="1"/>
  <c r="AX456" i="3" l="1"/>
  <c r="AO457" i="3"/>
  <c r="BD454" i="3"/>
  <c r="BG454" i="3"/>
  <c r="BH454" i="3" s="1"/>
  <c r="BI454" i="3" s="1"/>
  <c r="BF454" i="3"/>
  <c r="BJ453" i="3" s="1"/>
  <c r="BK453" i="3" s="1"/>
  <c r="BQ454" i="3"/>
  <c r="BB454" i="3"/>
  <c r="X457" i="3"/>
  <c r="AU456" i="3"/>
  <c r="AH457" i="3"/>
  <c r="Y457" i="3"/>
  <c r="Z457" i="3" s="1"/>
  <c r="AW456" i="3"/>
  <c r="AY456" i="3" s="1"/>
  <c r="AG457" i="3"/>
  <c r="AT456" i="3"/>
  <c r="AV455" i="3"/>
  <c r="BC455" i="3" s="1"/>
  <c r="BA455" i="3"/>
  <c r="AQ458" i="3"/>
  <c r="B458" i="3"/>
  <c r="C458" i="3"/>
  <c r="D458" i="3"/>
  <c r="A459" i="3"/>
  <c r="AR458" i="3"/>
  <c r="G458" i="3"/>
  <c r="H458" i="3" s="1"/>
  <c r="F458" i="3"/>
  <c r="Q458" i="3"/>
  <c r="S458" i="3"/>
  <c r="O458" i="3"/>
  <c r="U458" i="3"/>
  <c r="AD458" i="3"/>
  <c r="M458" i="3"/>
  <c r="AE458" i="3"/>
  <c r="AF458" i="3"/>
  <c r="AM458" i="3"/>
  <c r="AK458" i="3"/>
  <c r="R458" i="3"/>
  <c r="T458" i="3"/>
  <c r="P458" i="3"/>
  <c r="V458" i="3"/>
  <c r="AN457" i="3"/>
  <c r="AO458" i="3" l="1"/>
  <c r="Y458" i="3"/>
  <c r="Z458" i="3" s="1"/>
  <c r="BN458" i="3"/>
  <c r="AW457" i="3"/>
  <c r="AN458" i="3"/>
  <c r="AH458" i="3"/>
  <c r="BD455" i="3"/>
  <c r="BG455" i="3"/>
  <c r="BH455" i="3" s="1"/>
  <c r="BI455" i="3" s="1"/>
  <c r="BM458" i="3"/>
  <c r="X458" i="3"/>
  <c r="BB455" i="3"/>
  <c r="BF455" i="3"/>
  <c r="BJ454" i="3" s="1"/>
  <c r="BK454" i="3" s="1"/>
  <c r="BQ455" i="3"/>
  <c r="AG458" i="3"/>
  <c r="AW458" i="3" s="1"/>
  <c r="AX457" i="3"/>
  <c r="AY457" i="3" s="1"/>
  <c r="AV456" i="3"/>
  <c r="BC456" i="3" s="1"/>
  <c r="BA456" i="3"/>
  <c r="AT457" i="3"/>
  <c r="AU457" i="3"/>
  <c r="AT458" i="3"/>
  <c r="AR459" i="3"/>
  <c r="AQ459" i="3"/>
  <c r="D459" i="3"/>
  <c r="C459" i="3"/>
  <c r="A460" i="3"/>
  <c r="B459" i="3"/>
  <c r="F459" i="3"/>
  <c r="BM459" i="3" s="1"/>
  <c r="G459" i="3"/>
  <c r="H459" i="3" s="1"/>
  <c r="Q459" i="3"/>
  <c r="S459" i="3"/>
  <c r="O459" i="3"/>
  <c r="U459" i="3"/>
  <c r="AD459" i="3"/>
  <c r="AE459" i="3"/>
  <c r="AF459" i="3"/>
  <c r="M459" i="3"/>
  <c r="AM459" i="3"/>
  <c r="AK459" i="3"/>
  <c r="AO459" i="3" s="1"/>
  <c r="T459" i="3"/>
  <c r="V459" i="3"/>
  <c r="P459" i="3"/>
  <c r="R459" i="3"/>
  <c r="BQ456" i="3" l="1"/>
  <c r="BB456" i="3"/>
  <c r="BF456" i="3"/>
  <c r="BJ455" i="3" s="1"/>
  <c r="BK455" i="3" s="1"/>
  <c r="BA457" i="3"/>
  <c r="AV457" i="3"/>
  <c r="BC457" i="3" s="1"/>
  <c r="X459" i="3"/>
  <c r="AH459" i="3"/>
  <c r="AN459" i="3"/>
  <c r="AG459" i="3"/>
  <c r="Y459" i="3"/>
  <c r="Z459" i="3" s="1"/>
  <c r="AX458" i="3"/>
  <c r="AY458" i="3" s="1"/>
  <c r="BD456" i="3"/>
  <c r="BG456" i="3"/>
  <c r="BH456" i="3" s="1"/>
  <c r="BI456" i="3" s="1"/>
  <c r="BN459" i="3"/>
  <c r="AQ460" i="3"/>
  <c r="A461" i="3"/>
  <c r="C460" i="3"/>
  <c r="AR460" i="3"/>
  <c r="B460" i="3"/>
  <c r="D460" i="3"/>
  <c r="G460" i="3"/>
  <c r="H460" i="3" s="1"/>
  <c r="F460" i="3"/>
  <c r="Q460" i="3"/>
  <c r="S460" i="3"/>
  <c r="O460" i="3"/>
  <c r="U460" i="3"/>
  <c r="AE460" i="3"/>
  <c r="AD460" i="3"/>
  <c r="M460" i="3"/>
  <c r="AF460" i="3"/>
  <c r="AK460" i="3"/>
  <c r="AM460" i="3"/>
  <c r="P460" i="3"/>
  <c r="V460" i="3"/>
  <c r="R460" i="3"/>
  <c r="T460" i="3"/>
  <c r="AU458" i="3"/>
  <c r="AV458" i="3" s="1"/>
  <c r="AW459" i="3" l="1"/>
  <c r="AO460" i="3"/>
  <c r="BM460" i="3"/>
  <c r="BN460" i="3"/>
  <c r="AN460" i="3"/>
  <c r="BA458" i="3"/>
  <c r="BQ458" i="3" s="1"/>
  <c r="AT459" i="3"/>
  <c r="BC458" i="3"/>
  <c r="AG460" i="3"/>
  <c r="AU459" i="3"/>
  <c r="AV459" i="3" s="1"/>
  <c r="BD457" i="3"/>
  <c r="BG457" i="3"/>
  <c r="BH457" i="3" s="1"/>
  <c r="BI457" i="3" s="1"/>
  <c r="X460" i="3"/>
  <c r="BF457" i="3"/>
  <c r="BJ456" i="3" s="1"/>
  <c r="BK456" i="3" s="1"/>
  <c r="BQ457" i="3"/>
  <c r="BB457" i="3"/>
  <c r="Y460" i="3"/>
  <c r="Z460" i="3" s="1"/>
  <c r="A462" i="3"/>
  <c r="AQ461" i="3"/>
  <c r="AR461" i="3"/>
  <c r="C461" i="3"/>
  <c r="D461" i="3"/>
  <c r="B461" i="3"/>
  <c r="F461" i="3"/>
  <c r="BM461" i="3" s="1"/>
  <c r="G461" i="3"/>
  <c r="H461" i="3" s="1"/>
  <c r="BN461" i="3" s="1"/>
  <c r="Q461" i="3"/>
  <c r="S461" i="3"/>
  <c r="O461" i="3"/>
  <c r="U461" i="3"/>
  <c r="M461" i="3"/>
  <c r="AD461" i="3"/>
  <c r="AM461" i="3"/>
  <c r="AK461" i="3"/>
  <c r="AE461" i="3"/>
  <c r="AF461" i="3"/>
  <c r="P461" i="3"/>
  <c r="R461" i="3"/>
  <c r="V461" i="3"/>
  <c r="T461" i="3"/>
  <c r="AH460" i="3"/>
  <c r="AX459" i="3"/>
  <c r="AY459" i="3" s="1"/>
  <c r="AO461" i="3" l="1"/>
  <c r="BB458" i="3"/>
  <c r="BF458" i="3"/>
  <c r="BJ457" i="3" s="1"/>
  <c r="BK457" i="3" s="1"/>
  <c r="AX460" i="3"/>
  <c r="Y461" i="3"/>
  <c r="Z461" i="3" s="1"/>
  <c r="BC459" i="3"/>
  <c r="AG461" i="3"/>
  <c r="BD459" i="3"/>
  <c r="BG459" i="3"/>
  <c r="BH459" i="3" s="1"/>
  <c r="BI459" i="3" s="1"/>
  <c r="AQ462" i="3"/>
  <c r="D462" i="3"/>
  <c r="B462" i="3"/>
  <c r="AR462" i="3"/>
  <c r="A463" i="3"/>
  <c r="C462" i="3"/>
  <c r="F462" i="3"/>
  <c r="BM462" i="3" s="1"/>
  <c r="G462" i="3"/>
  <c r="H462" i="3" s="1"/>
  <c r="BN462" i="3" s="1"/>
  <c r="Q462" i="3"/>
  <c r="S462" i="3"/>
  <c r="O462" i="3"/>
  <c r="U462" i="3"/>
  <c r="AD462" i="3"/>
  <c r="M462" i="3"/>
  <c r="AK462" i="3"/>
  <c r="AE462" i="3"/>
  <c r="AF462" i="3"/>
  <c r="AM462" i="3"/>
  <c r="R462" i="3"/>
  <c r="V462" i="3"/>
  <c r="T462" i="3"/>
  <c r="P462" i="3"/>
  <c r="AW460" i="3"/>
  <c r="AY460" i="3" s="1"/>
  <c r="AN461" i="3"/>
  <c r="AU460" i="3"/>
  <c r="BD458" i="3"/>
  <c r="BG458" i="3"/>
  <c r="BH458" i="3" s="1"/>
  <c r="BI458" i="3" s="1"/>
  <c r="AH461" i="3"/>
  <c r="AT460" i="3"/>
  <c r="BA459" i="3"/>
  <c r="X461" i="3"/>
  <c r="AO462" i="3" l="1"/>
  <c r="AG462" i="3"/>
  <c r="X462" i="3"/>
  <c r="B463" i="3"/>
  <c r="AQ463" i="3"/>
  <c r="AR463" i="3"/>
  <c r="D463" i="3"/>
  <c r="A464" i="3"/>
  <c r="C463" i="3"/>
  <c r="G463" i="3"/>
  <c r="H463" i="3" s="1"/>
  <c r="BN463" i="3" s="1"/>
  <c r="F463" i="3"/>
  <c r="BM463" i="3" s="1"/>
  <c r="Q463" i="3"/>
  <c r="S463" i="3"/>
  <c r="O463" i="3"/>
  <c r="U463" i="3"/>
  <c r="AD463" i="3"/>
  <c r="M463" i="3"/>
  <c r="AE463" i="3"/>
  <c r="AK463" i="3"/>
  <c r="AF463" i="3"/>
  <c r="AM463" i="3"/>
  <c r="T463" i="3"/>
  <c r="V463" i="3"/>
  <c r="R463" i="3"/>
  <c r="P463" i="3"/>
  <c r="AH462" i="3"/>
  <c r="AW461" i="3"/>
  <c r="AX461" i="3"/>
  <c r="AU461" i="3"/>
  <c r="Y462" i="3"/>
  <c r="Z462" i="3" s="1"/>
  <c r="AT461" i="3"/>
  <c r="BF459" i="3"/>
  <c r="BJ458" i="3" s="1"/>
  <c r="BK458" i="3" s="1"/>
  <c r="BQ459" i="3"/>
  <c r="BB459" i="3"/>
  <c r="AV460" i="3"/>
  <c r="BC460" i="3" s="1"/>
  <c r="BA460" i="3"/>
  <c r="AT462" i="3"/>
  <c r="AN462" i="3"/>
  <c r="AY461" i="3" l="1"/>
  <c r="AO463" i="3"/>
  <c r="X463" i="3"/>
  <c r="BD460" i="3"/>
  <c r="BG460" i="3"/>
  <c r="BH460" i="3" s="1"/>
  <c r="BI460" i="3" s="1"/>
  <c r="AH463" i="3"/>
  <c r="BA461" i="3"/>
  <c r="AV461" i="3"/>
  <c r="BC461" i="3" s="1"/>
  <c r="AG463" i="3"/>
  <c r="AU463" i="3" s="1"/>
  <c r="AX462" i="3"/>
  <c r="AU462" i="3"/>
  <c r="Y463" i="3"/>
  <c r="Z463" i="3" s="1"/>
  <c r="AW462" i="3"/>
  <c r="AR464" i="3"/>
  <c r="AQ464" i="3"/>
  <c r="B464" i="3"/>
  <c r="A465" i="3"/>
  <c r="D464" i="3"/>
  <c r="C464" i="3"/>
  <c r="G464" i="3"/>
  <c r="H464" i="3" s="1"/>
  <c r="F464" i="3"/>
  <c r="Q464" i="3"/>
  <c r="S464" i="3"/>
  <c r="O464" i="3"/>
  <c r="U464" i="3"/>
  <c r="AD464" i="3"/>
  <c r="AE464" i="3"/>
  <c r="M464" i="3"/>
  <c r="AK464" i="3"/>
  <c r="AM464" i="3"/>
  <c r="AN464" i="3" s="1"/>
  <c r="AF464" i="3"/>
  <c r="T464" i="3"/>
  <c r="R464" i="3"/>
  <c r="V464" i="3"/>
  <c r="P464" i="3"/>
  <c r="BQ460" i="3"/>
  <c r="BF460" i="3"/>
  <c r="BJ459" i="3" s="1"/>
  <c r="BK459" i="3" s="1"/>
  <c r="BB460" i="3"/>
  <c r="AN463" i="3"/>
  <c r="AH464" i="3" l="1"/>
  <c r="AY462" i="3"/>
  <c r="BA462" i="3"/>
  <c r="BF462" i="3" s="1"/>
  <c r="AW463" i="3"/>
  <c r="BF461" i="3"/>
  <c r="BQ461" i="3"/>
  <c r="BB461" i="3"/>
  <c r="AV462" i="3"/>
  <c r="BC462" i="3" s="1"/>
  <c r="AX463" i="3"/>
  <c r="AY463" i="3" s="1"/>
  <c r="Y464" i="3"/>
  <c r="Z464" i="3" s="1"/>
  <c r="AO464" i="3"/>
  <c r="BD461" i="3"/>
  <c r="BG461" i="3"/>
  <c r="BH461" i="3" s="1"/>
  <c r="BI461" i="3" s="1"/>
  <c r="BM464" i="3"/>
  <c r="B465" i="3"/>
  <c r="A466" i="3"/>
  <c r="AR465" i="3"/>
  <c r="D465" i="3"/>
  <c r="C465" i="3"/>
  <c r="AQ465" i="3"/>
  <c r="F465" i="3"/>
  <c r="BM465" i="3" s="1"/>
  <c r="G465" i="3"/>
  <c r="H465" i="3" s="1"/>
  <c r="BN465" i="3" s="1"/>
  <c r="Q465" i="3"/>
  <c r="S465" i="3"/>
  <c r="O465" i="3"/>
  <c r="U465" i="3"/>
  <c r="AE465" i="3"/>
  <c r="M465" i="3"/>
  <c r="AD465" i="3"/>
  <c r="AK465" i="3"/>
  <c r="AF465" i="3"/>
  <c r="AM465" i="3"/>
  <c r="T465" i="3"/>
  <c r="P465" i="3"/>
  <c r="R465" i="3"/>
  <c r="V465" i="3"/>
  <c r="AG464" i="3"/>
  <c r="AT464" i="3" s="1"/>
  <c r="X464" i="3"/>
  <c r="AT463" i="3"/>
  <c r="BN464" i="3"/>
  <c r="AN465" i="3" l="1"/>
  <c r="BB462" i="3"/>
  <c r="AU464" i="3"/>
  <c r="AX464" i="3"/>
  <c r="BQ462" i="3"/>
  <c r="Y465" i="3"/>
  <c r="Z465" i="3" s="1"/>
  <c r="B466" i="3"/>
  <c r="A467" i="3"/>
  <c r="AR466" i="3"/>
  <c r="D466" i="3"/>
  <c r="AQ466" i="3"/>
  <c r="C466" i="3"/>
  <c r="G466" i="3"/>
  <c r="H466" i="3" s="1"/>
  <c r="BN466" i="3" s="1"/>
  <c r="F466" i="3"/>
  <c r="BM466" i="3" s="1"/>
  <c r="Q466" i="3"/>
  <c r="S466" i="3"/>
  <c r="O466" i="3"/>
  <c r="U466" i="3"/>
  <c r="AD466" i="3"/>
  <c r="AE466" i="3"/>
  <c r="AK466" i="3"/>
  <c r="M466" i="3"/>
  <c r="AF466" i="3"/>
  <c r="AM466" i="3"/>
  <c r="R466" i="3"/>
  <c r="P466" i="3"/>
  <c r="V466" i="3"/>
  <c r="T466" i="3"/>
  <c r="AH465" i="3"/>
  <c r="AO465" i="3"/>
  <c r="X465" i="3"/>
  <c r="AV464" i="3"/>
  <c r="BJ461" i="3"/>
  <c r="BK461" i="3" s="1"/>
  <c r="BJ460" i="3"/>
  <c r="BK460" i="3" s="1"/>
  <c r="AV463" i="3"/>
  <c r="BC463" i="3" s="1"/>
  <c r="BA463" i="3"/>
  <c r="AG465" i="3"/>
  <c r="AW465" i="3" s="1"/>
  <c r="BD462" i="3"/>
  <c r="BG462" i="3"/>
  <c r="BH462" i="3" s="1"/>
  <c r="BI462" i="3" s="1"/>
  <c r="AW464" i="3"/>
  <c r="AY464" i="3" s="1"/>
  <c r="AT465" i="3" l="1"/>
  <c r="AU465" i="3"/>
  <c r="AN466" i="3"/>
  <c r="AO466" i="3"/>
  <c r="BD463" i="3"/>
  <c r="BG463" i="3"/>
  <c r="BH463" i="3" s="1"/>
  <c r="BI463" i="3" s="1"/>
  <c r="AG466" i="3"/>
  <c r="BB463" i="3"/>
  <c r="BF463" i="3"/>
  <c r="BJ462" i="3" s="1"/>
  <c r="BK462" i="3" s="1"/>
  <c r="BQ463" i="3"/>
  <c r="BC464" i="3"/>
  <c r="AH466" i="3"/>
  <c r="AX466" i="3" s="1"/>
  <c r="BA464" i="3"/>
  <c r="AR467" i="3"/>
  <c r="AQ467" i="3"/>
  <c r="A468" i="3"/>
  <c r="C467" i="3"/>
  <c r="B467" i="3"/>
  <c r="D467" i="3"/>
  <c r="G467" i="3"/>
  <c r="H467" i="3" s="1"/>
  <c r="BN467" i="3" s="1"/>
  <c r="F467" i="3"/>
  <c r="BM467" i="3" s="1"/>
  <c r="Q467" i="3"/>
  <c r="S467" i="3"/>
  <c r="O467" i="3"/>
  <c r="U467" i="3"/>
  <c r="AD467" i="3"/>
  <c r="AE467" i="3"/>
  <c r="M467" i="3"/>
  <c r="AF467" i="3"/>
  <c r="AM467" i="3"/>
  <c r="AK467" i="3"/>
  <c r="R467" i="3"/>
  <c r="V467" i="3"/>
  <c r="T467" i="3"/>
  <c r="P467" i="3"/>
  <c r="AV465" i="3"/>
  <c r="AU466" i="3"/>
  <c r="Y466" i="3"/>
  <c r="Z466" i="3" s="1"/>
  <c r="X466" i="3"/>
  <c r="AX465" i="3"/>
  <c r="AY465" i="3" s="1"/>
  <c r="AO467" i="3" l="1"/>
  <c r="AT466" i="3"/>
  <c r="BA465" i="3"/>
  <c r="BF465" i="3" s="1"/>
  <c r="BC465" i="3"/>
  <c r="X467" i="3"/>
  <c r="AV466" i="3"/>
  <c r="AW466" i="3"/>
  <c r="AY466" i="3" s="1"/>
  <c r="A469" i="3"/>
  <c r="D468" i="3"/>
  <c r="C468" i="3"/>
  <c r="AQ468" i="3"/>
  <c r="AR468" i="3"/>
  <c r="B468" i="3"/>
  <c r="G468" i="3"/>
  <c r="H468" i="3" s="1"/>
  <c r="BN468" i="3" s="1"/>
  <c r="F468" i="3"/>
  <c r="BM468" i="3" s="1"/>
  <c r="Q468" i="3"/>
  <c r="S468" i="3"/>
  <c r="O468" i="3"/>
  <c r="U468" i="3"/>
  <c r="AE468" i="3"/>
  <c r="AD468" i="3"/>
  <c r="AK468" i="3"/>
  <c r="AM468" i="3"/>
  <c r="AF468" i="3"/>
  <c r="M468" i="3"/>
  <c r="T468" i="3"/>
  <c r="P468" i="3"/>
  <c r="V468" i="3"/>
  <c r="R468" i="3"/>
  <c r="Y467" i="3"/>
  <c r="Z467" i="3" s="1"/>
  <c r="AN467" i="3"/>
  <c r="BD464" i="3"/>
  <c r="BG464" i="3"/>
  <c r="BH464" i="3" s="1"/>
  <c r="BI464" i="3" s="1"/>
  <c r="AH467" i="3"/>
  <c r="AX467" i="3" s="1"/>
  <c r="BG465" i="3"/>
  <c r="BH465" i="3" s="1"/>
  <c r="BI465" i="3" s="1"/>
  <c r="BD465" i="3"/>
  <c r="BQ464" i="3"/>
  <c r="BB464" i="3"/>
  <c r="BF464" i="3"/>
  <c r="BJ463" i="3" s="1"/>
  <c r="BK463" i="3" s="1"/>
  <c r="BQ465" i="3"/>
  <c r="AG467" i="3"/>
  <c r="BB465" i="3" l="1"/>
  <c r="AG468" i="3"/>
  <c r="AN468" i="3"/>
  <c r="AH468" i="3"/>
  <c r="AT468" i="3" s="1"/>
  <c r="BC466" i="3"/>
  <c r="BA466" i="3"/>
  <c r="A470" i="3"/>
  <c r="AQ469" i="3"/>
  <c r="AR469" i="3"/>
  <c r="C469" i="3"/>
  <c r="D469" i="3"/>
  <c r="B469" i="3"/>
  <c r="F469" i="3"/>
  <c r="BM469" i="3" s="1"/>
  <c r="G469" i="3"/>
  <c r="H469" i="3" s="1"/>
  <c r="BN469" i="3" s="1"/>
  <c r="Q469" i="3"/>
  <c r="S469" i="3"/>
  <c r="O469" i="3"/>
  <c r="U469" i="3"/>
  <c r="AD469" i="3"/>
  <c r="AH469" i="3" s="1"/>
  <c r="AM469" i="3"/>
  <c r="AN469" i="3" s="1"/>
  <c r="M469" i="3"/>
  <c r="AF469" i="3"/>
  <c r="AE469" i="3"/>
  <c r="AK469" i="3"/>
  <c r="T469" i="3"/>
  <c r="V469" i="3"/>
  <c r="P469" i="3"/>
  <c r="R469" i="3"/>
  <c r="AW467" i="3"/>
  <c r="AY467" i="3" s="1"/>
  <c r="AT467" i="3"/>
  <c r="X468" i="3"/>
  <c r="AU468" i="3"/>
  <c r="Y468" i="3"/>
  <c r="Z468" i="3" s="1"/>
  <c r="AU467" i="3"/>
  <c r="BJ464" i="3"/>
  <c r="BK464" i="3" s="1"/>
  <c r="AO468" i="3"/>
  <c r="AV467" i="3" l="1"/>
  <c r="BC467" i="3" s="1"/>
  <c r="BA467" i="3"/>
  <c r="B470" i="3"/>
  <c r="AQ470" i="3"/>
  <c r="D470" i="3"/>
  <c r="C470" i="3"/>
  <c r="A471" i="3"/>
  <c r="AR470" i="3"/>
  <c r="G470" i="3"/>
  <c r="H470" i="3" s="1"/>
  <c r="BN470" i="3" s="1"/>
  <c r="F470" i="3"/>
  <c r="BM470" i="3" s="1"/>
  <c r="Q470" i="3"/>
  <c r="S470" i="3"/>
  <c r="O470" i="3"/>
  <c r="U470" i="3"/>
  <c r="AD470" i="3"/>
  <c r="M470" i="3"/>
  <c r="AK470" i="3"/>
  <c r="AF470" i="3"/>
  <c r="AM470" i="3"/>
  <c r="AE470" i="3"/>
  <c r="T470" i="3"/>
  <c r="V470" i="3"/>
  <c r="P470" i="3"/>
  <c r="R470" i="3"/>
  <c r="BF466" i="3"/>
  <c r="BJ465" i="3" s="1"/>
  <c r="BK465" i="3" s="1"/>
  <c r="BQ466" i="3"/>
  <c r="BB466" i="3"/>
  <c r="Y469" i="3"/>
  <c r="Z469" i="3" s="1"/>
  <c r="BD466" i="3"/>
  <c r="BG466" i="3"/>
  <c r="BH466" i="3" s="1"/>
  <c r="BI466" i="3" s="1"/>
  <c r="AO469" i="3"/>
  <c r="AV468" i="3"/>
  <c r="AG469" i="3"/>
  <c r="AX468" i="3"/>
  <c r="X469" i="3"/>
  <c r="AW468" i="3"/>
  <c r="AW469" i="3" l="1"/>
  <c r="AG470" i="3"/>
  <c r="BA468" i="3"/>
  <c r="BQ468" i="3" s="1"/>
  <c r="AN470" i="3"/>
  <c r="BF468" i="3"/>
  <c r="BB468" i="3"/>
  <c r="AH470" i="3"/>
  <c r="AX469" i="3"/>
  <c r="AY469" i="3" s="1"/>
  <c r="BC468" i="3"/>
  <c r="X470" i="3"/>
  <c r="AU470" i="3"/>
  <c r="AO470" i="3"/>
  <c r="AW470" i="3" s="1"/>
  <c r="AT470" i="3"/>
  <c r="AT469" i="3"/>
  <c r="D471" i="3"/>
  <c r="B471" i="3"/>
  <c r="AQ471" i="3"/>
  <c r="AR471" i="3"/>
  <c r="A472" i="3"/>
  <c r="C471" i="3"/>
  <c r="X471" i="3" s="1"/>
  <c r="G471" i="3"/>
  <c r="H471" i="3" s="1"/>
  <c r="BN471" i="3" s="1"/>
  <c r="F471" i="3"/>
  <c r="Q471" i="3"/>
  <c r="S471" i="3"/>
  <c r="O471" i="3"/>
  <c r="U471" i="3"/>
  <c r="AD471" i="3"/>
  <c r="AE471" i="3"/>
  <c r="AK471" i="3"/>
  <c r="M471" i="3"/>
  <c r="AM471" i="3"/>
  <c r="AF471" i="3"/>
  <c r="AG471" i="3" s="1"/>
  <c r="T471" i="3"/>
  <c r="R471" i="3"/>
  <c r="V471" i="3"/>
  <c r="P471" i="3"/>
  <c r="Y470" i="3"/>
  <c r="Z470" i="3" s="1"/>
  <c r="BQ467" i="3"/>
  <c r="BB467" i="3"/>
  <c r="BF467" i="3"/>
  <c r="BJ466" i="3" s="1"/>
  <c r="BK466" i="3" s="1"/>
  <c r="AU469" i="3"/>
  <c r="AY468" i="3"/>
  <c r="BD467" i="3"/>
  <c r="BG467" i="3"/>
  <c r="BH467" i="3" s="1"/>
  <c r="BI467" i="3" s="1"/>
  <c r="AN471" i="3" l="1"/>
  <c r="AH471" i="3"/>
  <c r="AT471" i="3" s="1"/>
  <c r="AR472" i="3"/>
  <c r="B472" i="3"/>
  <c r="AQ472" i="3"/>
  <c r="A473" i="3"/>
  <c r="C472" i="3"/>
  <c r="D472" i="3"/>
  <c r="F472" i="3"/>
  <c r="BM472" i="3" s="1"/>
  <c r="G472" i="3"/>
  <c r="H472" i="3" s="1"/>
  <c r="BN472" i="3" s="1"/>
  <c r="Q472" i="3"/>
  <c r="S472" i="3"/>
  <c r="O472" i="3"/>
  <c r="U472" i="3"/>
  <c r="M472" i="3"/>
  <c r="AD472" i="3"/>
  <c r="AE472" i="3"/>
  <c r="AF472" i="3"/>
  <c r="AK472" i="3"/>
  <c r="AM472" i="3"/>
  <c r="V472" i="3"/>
  <c r="P472" i="3"/>
  <c r="R472" i="3"/>
  <c r="T472" i="3"/>
  <c r="Y471" i="3"/>
  <c r="Z471" i="3" s="1"/>
  <c r="AV470" i="3"/>
  <c r="AX470" i="3"/>
  <c r="AY470" i="3" s="1"/>
  <c r="BA469" i="3"/>
  <c r="AV469" i="3"/>
  <c r="BC469" i="3" s="1"/>
  <c r="BJ467" i="3"/>
  <c r="BK467" i="3" s="1"/>
  <c r="AO471" i="3"/>
  <c r="AW471" i="3" s="1"/>
  <c r="BG468" i="3"/>
  <c r="BH468" i="3" s="1"/>
  <c r="BI468" i="3" s="1"/>
  <c r="BD468" i="3"/>
  <c r="BM471" i="3"/>
  <c r="AN472" i="3" l="1"/>
  <c r="BC470" i="3"/>
  <c r="AH472" i="3"/>
  <c r="X472" i="3"/>
  <c r="BD469" i="3"/>
  <c r="BG469" i="3"/>
  <c r="BH469" i="3" s="1"/>
  <c r="BI469" i="3" s="1"/>
  <c r="BA470" i="3"/>
  <c r="AG472" i="3"/>
  <c r="BQ469" i="3"/>
  <c r="BF469" i="3"/>
  <c r="BJ468" i="3" s="1"/>
  <c r="BK468" i="3" s="1"/>
  <c r="BB469" i="3"/>
  <c r="Y472" i="3"/>
  <c r="Z472" i="3" s="1"/>
  <c r="AU471" i="3"/>
  <c r="AU472" i="3"/>
  <c r="AQ473" i="3"/>
  <c r="B473" i="3"/>
  <c r="A474" i="3"/>
  <c r="C473" i="3"/>
  <c r="D473" i="3"/>
  <c r="AR473" i="3"/>
  <c r="G473" i="3"/>
  <c r="H473" i="3" s="1"/>
  <c r="F473" i="3"/>
  <c r="Q473" i="3"/>
  <c r="S473" i="3"/>
  <c r="O473" i="3"/>
  <c r="U473" i="3"/>
  <c r="AD473" i="3"/>
  <c r="AE473" i="3"/>
  <c r="AM473" i="3"/>
  <c r="M473" i="3"/>
  <c r="AF473" i="3"/>
  <c r="AK473" i="3"/>
  <c r="AO473" i="3" s="1"/>
  <c r="T473" i="3"/>
  <c r="V473" i="3"/>
  <c r="R473" i="3"/>
  <c r="P473" i="3"/>
  <c r="AT472" i="3"/>
  <c r="AX471" i="3"/>
  <c r="AY471" i="3" s="1"/>
  <c r="AO472" i="3"/>
  <c r="AH473" i="3" l="1"/>
  <c r="BM473" i="3"/>
  <c r="BN473" i="3"/>
  <c r="AW472" i="3"/>
  <c r="BA471" i="3"/>
  <c r="BQ471" i="3" s="1"/>
  <c r="AQ474" i="3"/>
  <c r="B474" i="3"/>
  <c r="A475" i="3"/>
  <c r="AR474" i="3"/>
  <c r="C474" i="3"/>
  <c r="D474" i="3"/>
  <c r="G474" i="3"/>
  <c r="H474" i="3" s="1"/>
  <c r="BN474" i="3" s="1"/>
  <c r="F474" i="3"/>
  <c r="BM474" i="3" s="1"/>
  <c r="Q474" i="3"/>
  <c r="S474" i="3"/>
  <c r="O474" i="3"/>
  <c r="U474" i="3"/>
  <c r="M474" i="3"/>
  <c r="AD474" i="3"/>
  <c r="AE474" i="3"/>
  <c r="AM474" i="3"/>
  <c r="AK474" i="3"/>
  <c r="AF474" i="3"/>
  <c r="R474" i="3"/>
  <c r="P474" i="3"/>
  <c r="V474" i="3"/>
  <c r="T474" i="3"/>
  <c r="Y473" i="3"/>
  <c r="Z473" i="3" s="1"/>
  <c r="BQ470" i="3"/>
  <c r="BB470" i="3"/>
  <c r="BF470" i="3"/>
  <c r="BJ469" i="3" s="1"/>
  <c r="BK469" i="3" s="1"/>
  <c r="BD470" i="3"/>
  <c r="BG470" i="3"/>
  <c r="BH470" i="3" s="1"/>
  <c r="BI470" i="3" s="1"/>
  <c r="AN473" i="3"/>
  <c r="X473" i="3"/>
  <c r="AV471" i="3"/>
  <c r="BC471" i="3" s="1"/>
  <c r="AX472" i="3"/>
  <c r="BA472" i="3" s="1"/>
  <c r="AV472" i="3"/>
  <c r="AG473" i="3"/>
  <c r="AU473" i="3" l="1"/>
  <c r="BB471" i="3"/>
  <c r="BF471" i="3"/>
  <c r="BJ470" i="3" s="1"/>
  <c r="BK470" i="3" s="1"/>
  <c r="AT473" i="3"/>
  <c r="AX473" i="3"/>
  <c r="AH474" i="3"/>
  <c r="AN474" i="3"/>
  <c r="BF472" i="3"/>
  <c r="BJ471" i="3" s="1"/>
  <c r="BK471" i="3" s="1"/>
  <c r="BB472" i="3"/>
  <c r="BQ472" i="3"/>
  <c r="AG474" i="3"/>
  <c r="X474" i="3"/>
  <c r="Y474" i="3"/>
  <c r="Z474" i="3" s="1"/>
  <c r="AY472" i="3"/>
  <c r="BC472" i="3" s="1"/>
  <c r="AV473" i="3"/>
  <c r="AT474" i="3"/>
  <c r="BD471" i="3"/>
  <c r="BG471" i="3"/>
  <c r="BH471" i="3" s="1"/>
  <c r="BI471" i="3" s="1"/>
  <c r="B475" i="3"/>
  <c r="AQ475" i="3"/>
  <c r="A476" i="3"/>
  <c r="C475" i="3"/>
  <c r="D475" i="3"/>
  <c r="AR475" i="3"/>
  <c r="G475" i="3"/>
  <c r="H475" i="3" s="1"/>
  <c r="F475" i="3"/>
  <c r="Q475" i="3"/>
  <c r="S475" i="3"/>
  <c r="O475" i="3"/>
  <c r="U475" i="3"/>
  <c r="AE475" i="3"/>
  <c r="M475" i="3"/>
  <c r="AM475" i="3"/>
  <c r="AD475" i="3"/>
  <c r="AF475" i="3"/>
  <c r="AK475" i="3"/>
  <c r="AO475" i="3" s="1"/>
  <c r="P475" i="3"/>
  <c r="R475" i="3"/>
  <c r="T475" i="3"/>
  <c r="V475" i="3"/>
  <c r="AW473" i="3"/>
  <c r="AO474" i="3"/>
  <c r="AY473" i="3" l="1"/>
  <c r="AH475" i="3"/>
  <c r="X475" i="3"/>
  <c r="AQ476" i="3"/>
  <c r="AR476" i="3"/>
  <c r="A477" i="3"/>
  <c r="D476" i="3"/>
  <c r="B476" i="3"/>
  <c r="C476" i="3"/>
  <c r="G476" i="3"/>
  <c r="H476" i="3" s="1"/>
  <c r="BN476" i="3" s="1"/>
  <c r="F476" i="3"/>
  <c r="BM476" i="3" s="1"/>
  <c r="Q476" i="3"/>
  <c r="S476" i="3"/>
  <c r="O476" i="3"/>
  <c r="U476" i="3"/>
  <c r="M476" i="3"/>
  <c r="AE476" i="3"/>
  <c r="AD476" i="3"/>
  <c r="AF476" i="3"/>
  <c r="AK476" i="3"/>
  <c r="AM476" i="3"/>
  <c r="T476" i="3"/>
  <c r="R476" i="3"/>
  <c r="V476" i="3"/>
  <c r="P476" i="3"/>
  <c r="AN475" i="3"/>
  <c r="AW474" i="3"/>
  <c r="BA473" i="3"/>
  <c r="AX474" i="3"/>
  <c r="BD472" i="3"/>
  <c r="BG472" i="3"/>
  <c r="BH472" i="3" s="1"/>
  <c r="BI472" i="3" s="1"/>
  <c r="Y475" i="3"/>
  <c r="Z475" i="3" s="1"/>
  <c r="BC473" i="3"/>
  <c r="BM475" i="3"/>
  <c r="AG475" i="3"/>
  <c r="AW475" i="3" s="1"/>
  <c r="AU474" i="3"/>
  <c r="AV474" i="3" s="1"/>
  <c r="BN475" i="3"/>
  <c r="AN476" i="3" l="1"/>
  <c r="AH476" i="3"/>
  <c r="BD473" i="3"/>
  <c r="BG473" i="3"/>
  <c r="BH473" i="3" s="1"/>
  <c r="BI473" i="3" s="1"/>
  <c r="AO476" i="3"/>
  <c r="AX475" i="3"/>
  <c r="AY475" i="3" s="1"/>
  <c r="AG476" i="3"/>
  <c r="AW476" i="3" s="1"/>
  <c r="BB473" i="3"/>
  <c r="BQ473" i="3"/>
  <c r="BF473" i="3"/>
  <c r="BJ472" i="3" s="1"/>
  <c r="BK472" i="3" s="1"/>
  <c r="X476" i="3"/>
  <c r="AT476" i="3"/>
  <c r="AU476" i="3"/>
  <c r="AU475" i="3"/>
  <c r="BA474" i="3"/>
  <c r="AQ477" i="3"/>
  <c r="A478" i="3"/>
  <c r="AR477" i="3"/>
  <c r="B477" i="3"/>
  <c r="C477" i="3"/>
  <c r="D477" i="3"/>
  <c r="F477" i="3"/>
  <c r="G477" i="3"/>
  <c r="H477" i="3" s="1"/>
  <c r="Q477" i="3"/>
  <c r="S477" i="3"/>
  <c r="O477" i="3"/>
  <c r="U477" i="3"/>
  <c r="M477" i="3"/>
  <c r="AD477" i="3"/>
  <c r="AM477" i="3"/>
  <c r="AK477" i="3"/>
  <c r="AF477" i="3"/>
  <c r="AE477" i="3"/>
  <c r="T477" i="3"/>
  <c r="V477" i="3"/>
  <c r="R477" i="3"/>
  <c r="P477" i="3"/>
  <c r="AT475" i="3"/>
  <c r="AY474" i="3"/>
  <c r="BC474" i="3" s="1"/>
  <c r="Y476" i="3"/>
  <c r="Z476" i="3" s="1"/>
  <c r="AO477" i="3" l="1"/>
  <c r="BN477" i="3"/>
  <c r="Y477" i="3"/>
  <c r="Z477" i="3" s="1"/>
  <c r="BD474" i="3"/>
  <c r="BG474" i="3"/>
  <c r="BH474" i="3" s="1"/>
  <c r="BI474" i="3" s="1"/>
  <c r="BQ474" i="3"/>
  <c r="BF474" i="3"/>
  <c r="BJ473" i="3" s="1"/>
  <c r="BK473" i="3" s="1"/>
  <c r="BB474" i="3"/>
  <c r="AR478" i="3"/>
  <c r="C478" i="3"/>
  <c r="D478" i="3"/>
  <c r="B478" i="3"/>
  <c r="A479" i="3"/>
  <c r="AQ478" i="3"/>
  <c r="G478" i="3"/>
  <c r="H478" i="3" s="1"/>
  <c r="BN478" i="3" s="1"/>
  <c r="F478" i="3"/>
  <c r="BM478" i="3" s="1"/>
  <c r="Q478" i="3"/>
  <c r="S478" i="3"/>
  <c r="O478" i="3"/>
  <c r="U478" i="3"/>
  <c r="AE478" i="3"/>
  <c r="AD478" i="3"/>
  <c r="AK478" i="3"/>
  <c r="M478" i="3"/>
  <c r="AF478" i="3"/>
  <c r="AM478" i="3"/>
  <c r="V478" i="3"/>
  <c r="T478" i="3"/>
  <c r="R478" i="3"/>
  <c r="P478" i="3"/>
  <c r="AN477" i="3"/>
  <c r="AV475" i="3"/>
  <c r="BC475" i="3" s="1"/>
  <c r="BA475" i="3"/>
  <c r="AG477" i="3"/>
  <c r="AV476" i="3"/>
  <c r="AH477" i="3"/>
  <c r="AX477" i="3" s="1"/>
  <c r="X477" i="3"/>
  <c r="BM477" i="3"/>
  <c r="AX476" i="3"/>
  <c r="AY476" i="3" s="1"/>
  <c r="AG478" i="3" l="1"/>
  <c r="AU477" i="3"/>
  <c r="AH478" i="3"/>
  <c r="AU478" i="3" s="1"/>
  <c r="AO478" i="3"/>
  <c r="X478" i="3"/>
  <c r="BA476" i="3"/>
  <c r="BD475" i="3"/>
  <c r="BG475" i="3"/>
  <c r="BH475" i="3" s="1"/>
  <c r="BI475" i="3" s="1"/>
  <c r="AT477" i="3"/>
  <c r="AW477" i="3"/>
  <c r="AY477" i="3" s="1"/>
  <c r="AR479" i="3"/>
  <c r="B479" i="3"/>
  <c r="A480" i="3"/>
  <c r="C479" i="3"/>
  <c r="D479" i="3"/>
  <c r="AQ479" i="3"/>
  <c r="G479" i="3"/>
  <c r="H479" i="3" s="1"/>
  <c r="BN479" i="3" s="1"/>
  <c r="F479" i="3"/>
  <c r="BM479" i="3" s="1"/>
  <c r="Q479" i="3"/>
  <c r="S479" i="3"/>
  <c r="O479" i="3"/>
  <c r="U479" i="3"/>
  <c r="AE479" i="3"/>
  <c r="M479" i="3"/>
  <c r="AK479" i="3"/>
  <c r="AM479" i="3"/>
  <c r="AF479" i="3"/>
  <c r="AD479" i="3"/>
  <c r="T479" i="3"/>
  <c r="R479" i="3"/>
  <c r="P479" i="3"/>
  <c r="V479" i="3"/>
  <c r="BC476" i="3"/>
  <c r="BB475" i="3"/>
  <c r="BF475" i="3"/>
  <c r="BJ474" i="3" s="1"/>
  <c r="BK474" i="3" s="1"/>
  <c r="BQ475" i="3"/>
  <c r="AN478" i="3"/>
  <c r="AX478" i="3" s="1"/>
  <c r="AT478" i="3"/>
  <c r="Y478" i="3"/>
  <c r="Z478" i="3" s="1"/>
  <c r="AH479" i="3" l="1"/>
  <c r="AO479" i="3"/>
  <c r="AV478" i="3"/>
  <c r="AW478" i="3"/>
  <c r="AY478" i="3" s="1"/>
  <c r="AV477" i="3"/>
  <c r="BC477" i="3" s="1"/>
  <c r="BA477" i="3"/>
  <c r="BQ476" i="3"/>
  <c r="BB476" i="3"/>
  <c r="BF476" i="3"/>
  <c r="BJ475" i="3" s="1"/>
  <c r="BK475" i="3" s="1"/>
  <c r="X479" i="3"/>
  <c r="Y479" i="3"/>
  <c r="Z479" i="3" s="1"/>
  <c r="AN479" i="3"/>
  <c r="BG476" i="3"/>
  <c r="BH476" i="3" s="1"/>
  <c r="BI476" i="3" s="1"/>
  <c r="BD476" i="3"/>
  <c r="B480" i="3"/>
  <c r="AR480" i="3"/>
  <c r="C480" i="3"/>
  <c r="D480" i="3"/>
  <c r="AQ480" i="3"/>
  <c r="A481" i="3"/>
  <c r="F480" i="3"/>
  <c r="G480" i="3"/>
  <c r="H480" i="3" s="1"/>
  <c r="Q480" i="3"/>
  <c r="S480" i="3"/>
  <c r="O480" i="3"/>
  <c r="U480" i="3"/>
  <c r="M480" i="3"/>
  <c r="AD480" i="3"/>
  <c r="AE480" i="3"/>
  <c r="AF480" i="3"/>
  <c r="AM480" i="3"/>
  <c r="AK480" i="3"/>
  <c r="P480" i="3"/>
  <c r="R480" i="3"/>
  <c r="T480" i="3"/>
  <c r="V480" i="3"/>
  <c r="AG479" i="3"/>
  <c r="AW479" i="3" s="1"/>
  <c r="AO480" i="3" l="1"/>
  <c r="AH480" i="3"/>
  <c r="AX479" i="3"/>
  <c r="AY479" i="3" s="1"/>
  <c r="AU479" i="3"/>
  <c r="Y480" i="3"/>
  <c r="Z480" i="3" s="1"/>
  <c r="AG480" i="3"/>
  <c r="X480" i="3"/>
  <c r="BQ477" i="3"/>
  <c r="BF477" i="3"/>
  <c r="BJ476" i="3" s="1"/>
  <c r="BK476" i="3" s="1"/>
  <c r="BB477" i="3"/>
  <c r="AT479" i="3"/>
  <c r="BD477" i="3"/>
  <c r="BG477" i="3"/>
  <c r="BH477" i="3" s="1"/>
  <c r="BI477" i="3" s="1"/>
  <c r="BN480" i="3"/>
  <c r="BC478" i="3"/>
  <c r="AN480" i="3"/>
  <c r="AX480" i="3" s="1"/>
  <c r="BM480" i="3"/>
  <c r="C481" i="3"/>
  <c r="AR481" i="3"/>
  <c r="AQ481" i="3"/>
  <c r="B481" i="3"/>
  <c r="A482" i="3"/>
  <c r="D481" i="3"/>
  <c r="F481" i="3"/>
  <c r="G481" i="3"/>
  <c r="H481" i="3" s="1"/>
  <c r="BN481" i="3" s="1"/>
  <c r="Q481" i="3"/>
  <c r="S481" i="3"/>
  <c r="O481" i="3"/>
  <c r="U481" i="3"/>
  <c r="AE481" i="3"/>
  <c r="AD481" i="3"/>
  <c r="M481" i="3"/>
  <c r="AF481" i="3"/>
  <c r="AK481" i="3"/>
  <c r="AM481" i="3"/>
  <c r="V481" i="3"/>
  <c r="P481" i="3"/>
  <c r="R481" i="3"/>
  <c r="T481" i="3"/>
  <c r="BA478" i="3"/>
  <c r="AO481" i="3" l="1"/>
  <c r="BD478" i="3"/>
  <c r="BG478" i="3"/>
  <c r="BH478" i="3" s="1"/>
  <c r="BI478" i="3" s="1"/>
  <c r="Y481" i="3"/>
  <c r="Z481" i="3" s="1"/>
  <c r="BA479" i="3"/>
  <c r="AV479" i="3"/>
  <c r="BC479" i="3" s="1"/>
  <c r="AW480" i="3"/>
  <c r="AY480" i="3" s="1"/>
  <c r="AG481" i="3"/>
  <c r="BM481" i="3"/>
  <c r="B482" i="3"/>
  <c r="A483" i="3"/>
  <c r="AQ482" i="3"/>
  <c r="AR482" i="3"/>
  <c r="D482" i="3"/>
  <c r="C482" i="3"/>
  <c r="F482" i="3"/>
  <c r="BM482" i="3" s="1"/>
  <c r="G482" i="3"/>
  <c r="H482" i="3" s="1"/>
  <c r="BN482" i="3" s="1"/>
  <c r="Q482" i="3"/>
  <c r="S482" i="3"/>
  <c r="O482" i="3"/>
  <c r="U482" i="3"/>
  <c r="AD482" i="3"/>
  <c r="AE482" i="3"/>
  <c r="M482" i="3"/>
  <c r="AK482" i="3"/>
  <c r="AF482" i="3"/>
  <c r="AM482" i="3"/>
  <c r="AN482" i="3" s="1"/>
  <c r="P482" i="3"/>
  <c r="V482" i="3"/>
  <c r="R482" i="3"/>
  <c r="T482" i="3"/>
  <c r="AN481" i="3"/>
  <c r="AH481" i="3"/>
  <c r="X481" i="3"/>
  <c r="BB478" i="3"/>
  <c r="BQ478" i="3"/>
  <c r="BF478" i="3"/>
  <c r="BJ477" i="3" s="1"/>
  <c r="BK477" i="3" s="1"/>
  <c r="AU480" i="3"/>
  <c r="AU481" i="3"/>
  <c r="AT480" i="3"/>
  <c r="AX481" i="3" l="1"/>
  <c r="AW481" i="3"/>
  <c r="AY481" i="3" s="1"/>
  <c r="AR483" i="3"/>
  <c r="B483" i="3"/>
  <c r="AQ483" i="3"/>
  <c r="C483" i="3"/>
  <c r="A484" i="3"/>
  <c r="D483" i="3"/>
  <c r="G483" i="3"/>
  <c r="H483" i="3" s="1"/>
  <c r="BN483" i="3" s="1"/>
  <c r="F483" i="3"/>
  <c r="BM483" i="3" s="1"/>
  <c r="Q483" i="3"/>
  <c r="S483" i="3"/>
  <c r="O483" i="3"/>
  <c r="U483" i="3"/>
  <c r="AE483" i="3"/>
  <c r="M483" i="3"/>
  <c r="AD483" i="3"/>
  <c r="AM483" i="3"/>
  <c r="AF483" i="3"/>
  <c r="AK483" i="3"/>
  <c r="V483" i="3"/>
  <c r="R483" i="3"/>
  <c r="T483" i="3"/>
  <c r="P483" i="3"/>
  <c r="AO482" i="3"/>
  <c r="Y482" i="3"/>
  <c r="Z482" i="3" s="1"/>
  <c r="AT481" i="3"/>
  <c r="AG482" i="3"/>
  <c r="AH482" i="3"/>
  <c r="BF479" i="3"/>
  <c r="BJ478" i="3" s="1"/>
  <c r="BK478" i="3" s="1"/>
  <c r="BB479" i="3"/>
  <c r="BQ479" i="3"/>
  <c r="AT482" i="3"/>
  <c r="BD479" i="3"/>
  <c r="BG479" i="3"/>
  <c r="BH479" i="3" s="1"/>
  <c r="BI479" i="3" s="1"/>
  <c r="X482" i="3"/>
  <c r="AV480" i="3"/>
  <c r="BC480" i="3" s="1"/>
  <c r="BA480" i="3"/>
  <c r="AO483" i="3" l="1"/>
  <c r="AX482" i="3"/>
  <c r="AN483" i="3"/>
  <c r="BD480" i="3"/>
  <c r="BG480" i="3"/>
  <c r="BH480" i="3" s="1"/>
  <c r="BI480" i="3" s="1"/>
  <c r="BQ480" i="3"/>
  <c r="BF480" i="3"/>
  <c r="BJ479" i="3" s="1"/>
  <c r="BK479" i="3" s="1"/>
  <c r="BB480" i="3"/>
  <c r="X483" i="3"/>
  <c r="B484" i="3"/>
  <c r="AQ484" i="3"/>
  <c r="C484" i="3"/>
  <c r="A485" i="3"/>
  <c r="AR484" i="3"/>
  <c r="D484" i="3"/>
  <c r="F484" i="3"/>
  <c r="BM484" i="3" s="1"/>
  <c r="G484" i="3"/>
  <c r="H484" i="3" s="1"/>
  <c r="BN484" i="3" s="1"/>
  <c r="Q484" i="3"/>
  <c r="S484" i="3"/>
  <c r="O484" i="3"/>
  <c r="U484" i="3"/>
  <c r="M484" i="3"/>
  <c r="AE484" i="3"/>
  <c r="AD484" i="3"/>
  <c r="AM484" i="3"/>
  <c r="AK484" i="3"/>
  <c r="AO484" i="3" s="1"/>
  <c r="AF484" i="3"/>
  <c r="R484" i="3"/>
  <c r="P484" i="3"/>
  <c r="V484" i="3"/>
  <c r="T484" i="3"/>
  <c r="AH483" i="3"/>
  <c r="AW482" i="3"/>
  <c r="AY482" i="3" s="1"/>
  <c r="AG483" i="3"/>
  <c r="AU482" i="3"/>
  <c r="BA481" i="3"/>
  <c r="AV481" i="3"/>
  <c r="BC481" i="3" s="1"/>
  <c r="Y483" i="3"/>
  <c r="Z483" i="3" s="1"/>
  <c r="AW483" i="3" l="1"/>
  <c r="BA482" i="3"/>
  <c r="BQ482" i="3" s="1"/>
  <c r="AU483" i="3"/>
  <c r="BF482" i="3"/>
  <c r="BF481" i="3"/>
  <c r="BJ480" i="3" s="1"/>
  <c r="BK480" i="3" s="1"/>
  <c r="BB481" i="3"/>
  <c r="BQ481" i="3"/>
  <c r="B485" i="3"/>
  <c r="A486" i="3"/>
  <c r="AR485" i="3"/>
  <c r="D485" i="3"/>
  <c r="C485" i="3"/>
  <c r="AQ485" i="3"/>
  <c r="G485" i="3"/>
  <c r="H485" i="3" s="1"/>
  <c r="BN485" i="3" s="1"/>
  <c r="F485" i="3"/>
  <c r="BM485" i="3" s="1"/>
  <c r="Q485" i="3"/>
  <c r="S485" i="3"/>
  <c r="O485" i="3"/>
  <c r="U485" i="3"/>
  <c r="AD485" i="3"/>
  <c r="AE485" i="3"/>
  <c r="M485" i="3"/>
  <c r="AM485" i="3"/>
  <c r="AF485" i="3"/>
  <c r="AK485" i="3"/>
  <c r="AO485" i="3" s="1"/>
  <c r="T485" i="3"/>
  <c r="P485" i="3"/>
  <c r="R485" i="3"/>
  <c r="V485" i="3"/>
  <c r="BG481" i="3"/>
  <c r="BH481" i="3" s="1"/>
  <c r="BI481" i="3" s="1"/>
  <c r="BD481" i="3"/>
  <c r="AT483" i="3"/>
  <c r="AV482" i="3"/>
  <c r="BC482" i="3" s="1"/>
  <c r="Y484" i="3"/>
  <c r="Z484" i="3" s="1"/>
  <c r="AN484" i="3"/>
  <c r="X484" i="3"/>
  <c r="AX483" i="3"/>
  <c r="AY483" i="3" s="1"/>
  <c r="AH484" i="3"/>
  <c r="AG484" i="3"/>
  <c r="AX484" i="3" l="1"/>
  <c r="BB482" i="3"/>
  <c r="AU484" i="3"/>
  <c r="BA483" i="3"/>
  <c r="AV483" i="3"/>
  <c r="BC483" i="3" s="1"/>
  <c r="AT484" i="3"/>
  <c r="BD482" i="3"/>
  <c r="BG482" i="3"/>
  <c r="BH482" i="3" s="1"/>
  <c r="BI482" i="3" s="1"/>
  <c r="AN485" i="3"/>
  <c r="BJ481" i="3"/>
  <c r="BK481" i="3" s="1"/>
  <c r="X485" i="3"/>
  <c r="Y485" i="3"/>
  <c r="Z485" i="3" s="1"/>
  <c r="AH485" i="3"/>
  <c r="A487" i="3"/>
  <c r="AQ486" i="3"/>
  <c r="AR486" i="3"/>
  <c r="D486" i="3"/>
  <c r="C486" i="3"/>
  <c r="B486" i="3"/>
  <c r="F486" i="3"/>
  <c r="G486" i="3"/>
  <c r="H486" i="3" s="1"/>
  <c r="Q486" i="3"/>
  <c r="S486" i="3"/>
  <c r="O486" i="3"/>
  <c r="U486" i="3"/>
  <c r="AD486" i="3"/>
  <c r="M486" i="3"/>
  <c r="AK486" i="3"/>
  <c r="AE486" i="3"/>
  <c r="AF486" i="3"/>
  <c r="AM486" i="3"/>
  <c r="AN486" i="3" s="1"/>
  <c r="T486" i="3"/>
  <c r="V486" i="3"/>
  <c r="P486" i="3"/>
  <c r="R486" i="3"/>
  <c r="AW484" i="3"/>
  <c r="AY484" i="3" s="1"/>
  <c r="AG485" i="3"/>
  <c r="AW485" i="3" s="1"/>
  <c r="Y486" i="3" l="1"/>
  <c r="Z486" i="3" s="1"/>
  <c r="AO486" i="3"/>
  <c r="AX485" i="3"/>
  <c r="AY485" i="3" s="1"/>
  <c r="BA484" i="3"/>
  <c r="AV484" i="3"/>
  <c r="BC484" i="3" s="1"/>
  <c r="AT485" i="3"/>
  <c r="AG486" i="3"/>
  <c r="BD483" i="3"/>
  <c r="BG483" i="3"/>
  <c r="BH483" i="3" s="1"/>
  <c r="BI483" i="3" s="1"/>
  <c r="AR487" i="3"/>
  <c r="AQ487" i="3"/>
  <c r="A488" i="3"/>
  <c r="B487" i="3"/>
  <c r="D487" i="3"/>
  <c r="C487" i="3"/>
  <c r="F487" i="3"/>
  <c r="BM487" i="3" s="1"/>
  <c r="G487" i="3"/>
  <c r="H487" i="3" s="1"/>
  <c r="BN487" i="3" s="1"/>
  <c r="S487" i="3"/>
  <c r="Q487" i="3"/>
  <c r="O487" i="3"/>
  <c r="U487" i="3"/>
  <c r="M487" i="3"/>
  <c r="AD487" i="3"/>
  <c r="AE487" i="3"/>
  <c r="AK487" i="3"/>
  <c r="AM487" i="3"/>
  <c r="AF487" i="3"/>
  <c r="T487" i="3"/>
  <c r="V487" i="3"/>
  <c r="R487" i="3"/>
  <c r="P487" i="3"/>
  <c r="AU485" i="3"/>
  <c r="AH486" i="3"/>
  <c r="BN486" i="3"/>
  <c r="BQ483" i="3"/>
  <c r="BB483" i="3"/>
  <c r="BF483" i="3"/>
  <c r="BJ482" i="3" s="1"/>
  <c r="BK482" i="3" s="1"/>
  <c r="X486" i="3"/>
  <c r="BM486" i="3"/>
  <c r="AO487" i="3" l="1"/>
  <c r="AW486" i="3"/>
  <c r="AX486" i="3"/>
  <c r="X487" i="3"/>
  <c r="AG487" i="3"/>
  <c r="AV485" i="3"/>
  <c r="BC485" i="3" s="1"/>
  <c r="BA485" i="3"/>
  <c r="BQ484" i="3"/>
  <c r="BF484" i="3"/>
  <c r="BJ483" i="3" s="1"/>
  <c r="BK483" i="3" s="1"/>
  <c r="BB484" i="3"/>
  <c r="AH487" i="3"/>
  <c r="AT487" i="3" s="1"/>
  <c r="AN487" i="3"/>
  <c r="A489" i="3"/>
  <c r="C488" i="3"/>
  <c r="D488" i="3"/>
  <c r="B488" i="3"/>
  <c r="AQ488" i="3"/>
  <c r="AR488" i="3"/>
  <c r="G488" i="3"/>
  <c r="H488" i="3" s="1"/>
  <c r="F488" i="3"/>
  <c r="Q488" i="3"/>
  <c r="S488" i="3"/>
  <c r="O488" i="3"/>
  <c r="U488" i="3"/>
  <c r="AD488" i="3"/>
  <c r="AE488" i="3"/>
  <c r="M488" i="3"/>
  <c r="AF488" i="3"/>
  <c r="AK488" i="3"/>
  <c r="AM488" i="3"/>
  <c r="P488" i="3"/>
  <c r="R488" i="3"/>
  <c r="V488" i="3"/>
  <c r="T488" i="3"/>
  <c r="Y487" i="3"/>
  <c r="Z487" i="3" s="1"/>
  <c r="BD484" i="3"/>
  <c r="BG484" i="3"/>
  <c r="BH484" i="3" s="1"/>
  <c r="BI484" i="3" s="1"/>
  <c r="AU486" i="3"/>
  <c r="AT486" i="3"/>
  <c r="AG488" i="3" l="1"/>
  <c r="AY486" i="3"/>
  <c r="AU487" i="3"/>
  <c r="AN488" i="3"/>
  <c r="AO488" i="3"/>
  <c r="AV487" i="3"/>
  <c r="Y488" i="3"/>
  <c r="Z488" i="3" s="1"/>
  <c r="X488" i="3"/>
  <c r="BF485" i="3"/>
  <c r="BJ484" i="3" s="1"/>
  <c r="BK484" i="3" s="1"/>
  <c r="BB485" i="3"/>
  <c r="BQ485" i="3"/>
  <c r="AQ489" i="3"/>
  <c r="B489" i="3"/>
  <c r="AR489" i="3"/>
  <c r="D489" i="3"/>
  <c r="C489" i="3"/>
  <c r="A490" i="3"/>
  <c r="F489" i="3"/>
  <c r="BM489" i="3" s="1"/>
  <c r="G489" i="3"/>
  <c r="H489" i="3" s="1"/>
  <c r="BN489" i="3" s="1"/>
  <c r="Q489" i="3"/>
  <c r="S489" i="3"/>
  <c r="O489" i="3"/>
  <c r="U489" i="3"/>
  <c r="M489" i="3"/>
  <c r="AD489" i="3"/>
  <c r="AE489" i="3"/>
  <c r="AK489" i="3"/>
  <c r="AF489" i="3"/>
  <c r="AM489" i="3"/>
  <c r="AN489" i="3" s="1"/>
  <c r="V489" i="3"/>
  <c r="T489" i="3"/>
  <c r="R489" i="3"/>
  <c r="P489" i="3"/>
  <c r="BM488" i="3"/>
  <c r="AW487" i="3"/>
  <c r="AX487" i="3"/>
  <c r="AH488" i="3"/>
  <c r="BD485" i="3"/>
  <c r="BG485" i="3"/>
  <c r="BH485" i="3" s="1"/>
  <c r="BI485" i="3" s="1"/>
  <c r="BA486" i="3"/>
  <c r="AV486" i="3"/>
  <c r="BN488" i="3"/>
  <c r="BC486" i="3" l="1"/>
  <c r="AY487" i="3"/>
  <c r="BC487" i="3" s="1"/>
  <c r="BA487" i="3"/>
  <c r="BQ487" i="3" s="1"/>
  <c r="BD486" i="3"/>
  <c r="BG486" i="3"/>
  <c r="BH486" i="3" s="1"/>
  <c r="BI486" i="3" s="1"/>
  <c r="BB486" i="3"/>
  <c r="BQ486" i="3"/>
  <c r="BF486" i="3"/>
  <c r="BJ485" i="3" s="1"/>
  <c r="BK485" i="3" s="1"/>
  <c r="AW488" i="3"/>
  <c r="AX488" i="3"/>
  <c r="B490" i="3"/>
  <c r="AQ490" i="3"/>
  <c r="D490" i="3"/>
  <c r="C490" i="3"/>
  <c r="AR490" i="3"/>
  <c r="A491" i="3"/>
  <c r="F490" i="3"/>
  <c r="BM490" i="3" s="1"/>
  <c r="G490" i="3"/>
  <c r="H490" i="3" s="1"/>
  <c r="BN490" i="3" s="1"/>
  <c r="Q490" i="3"/>
  <c r="S490" i="3"/>
  <c r="O490" i="3"/>
  <c r="U490" i="3"/>
  <c r="M490" i="3"/>
  <c r="AD490" i="3"/>
  <c r="AE490" i="3"/>
  <c r="AM490" i="3"/>
  <c r="AK490" i="3"/>
  <c r="AF490" i="3"/>
  <c r="P490" i="3"/>
  <c r="R490" i="3"/>
  <c r="V490" i="3"/>
  <c r="T490" i="3"/>
  <c r="AO489" i="3"/>
  <c r="Y489" i="3"/>
  <c r="Z489" i="3" s="1"/>
  <c r="AU488" i="3"/>
  <c r="AH489" i="3"/>
  <c r="AT488" i="3"/>
  <c r="AG489" i="3"/>
  <c r="X489" i="3"/>
  <c r="AO490" i="3" l="1"/>
  <c r="BF487" i="3"/>
  <c r="BB487" i="3"/>
  <c r="AT489" i="3"/>
  <c r="AY488" i="3"/>
  <c r="AN490" i="3"/>
  <c r="AG490" i="3"/>
  <c r="AX489" i="3"/>
  <c r="C491" i="3"/>
  <c r="AR491" i="3"/>
  <c r="B491" i="3"/>
  <c r="AQ491" i="3"/>
  <c r="A492" i="3"/>
  <c r="D491" i="3"/>
  <c r="F491" i="3"/>
  <c r="BM491" i="3" s="1"/>
  <c r="G491" i="3"/>
  <c r="H491" i="3" s="1"/>
  <c r="BN491" i="3" s="1"/>
  <c r="Q491" i="3"/>
  <c r="S491" i="3"/>
  <c r="O491" i="3"/>
  <c r="U491" i="3"/>
  <c r="AD491" i="3"/>
  <c r="AE491" i="3"/>
  <c r="M491" i="3"/>
  <c r="AK491" i="3"/>
  <c r="AF491" i="3"/>
  <c r="AM491" i="3"/>
  <c r="V491" i="3"/>
  <c r="P491" i="3"/>
  <c r="R491" i="3"/>
  <c r="T491" i="3"/>
  <c r="Y490" i="3"/>
  <c r="Z490" i="3" s="1"/>
  <c r="BA488" i="3"/>
  <c r="AV488" i="3"/>
  <c r="BC488" i="3" s="1"/>
  <c r="AU489" i="3"/>
  <c r="X490" i="3"/>
  <c r="BJ486" i="3"/>
  <c r="BK486" i="3" s="1"/>
  <c r="AH490" i="3"/>
  <c r="AX490" i="3" s="1"/>
  <c r="BD487" i="3"/>
  <c r="BG487" i="3"/>
  <c r="BH487" i="3" s="1"/>
  <c r="BI487" i="3" s="1"/>
  <c r="AW489" i="3"/>
  <c r="AY489" i="3" s="1"/>
  <c r="AN491" i="3" l="1"/>
  <c r="BA489" i="3"/>
  <c r="AT490" i="3"/>
  <c r="Y491" i="3"/>
  <c r="Z491" i="3" s="1"/>
  <c r="BF489" i="3"/>
  <c r="BQ489" i="3"/>
  <c r="BB489" i="3"/>
  <c r="AO491" i="3"/>
  <c r="BQ488" i="3"/>
  <c r="BB488" i="3"/>
  <c r="BF488" i="3"/>
  <c r="BJ487" i="3" s="1"/>
  <c r="BK487" i="3" s="1"/>
  <c r="AG491" i="3"/>
  <c r="AU490" i="3"/>
  <c r="X491" i="3"/>
  <c r="BD488" i="3"/>
  <c r="BG488" i="3"/>
  <c r="BH488" i="3" s="1"/>
  <c r="BI488" i="3" s="1"/>
  <c r="B492" i="3"/>
  <c r="AQ492" i="3"/>
  <c r="AR492" i="3"/>
  <c r="A493" i="3"/>
  <c r="C492" i="3"/>
  <c r="D492" i="3"/>
  <c r="F492" i="3"/>
  <c r="G492" i="3"/>
  <c r="H492" i="3" s="1"/>
  <c r="BN492" i="3" s="1"/>
  <c r="Q492" i="3"/>
  <c r="S492" i="3"/>
  <c r="O492" i="3"/>
  <c r="U492" i="3"/>
  <c r="AE492" i="3"/>
  <c r="AD492" i="3"/>
  <c r="AF492" i="3"/>
  <c r="M492" i="3"/>
  <c r="AK492" i="3"/>
  <c r="AM492" i="3"/>
  <c r="V492" i="3"/>
  <c r="P492" i="3"/>
  <c r="R492" i="3"/>
  <c r="T492" i="3"/>
  <c r="AH491" i="3"/>
  <c r="AX491" i="3" s="1"/>
  <c r="AW490" i="3"/>
  <c r="AY490" i="3" s="1"/>
  <c r="AV489" i="3"/>
  <c r="BC489" i="3" s="1"/>
  <c r="AN492" i="3" l="1"/>
  <c r="AH492" i="3"/>
  <c r="BA490" i="3"/>
  <c r="BQ490" i="3" s="1"/>
  <c r="AQ493" i="3"/>
  <c r="B493" i="3"/>
  <c r="A494" i="3"/>
  <c r="C493" i="3"/>
  <c r="D493" i="3"/>
  <c r="AR493" i="3"/>
  <c r="G493" i="3"/>
  <c r="H493" i="3" s="1"/>
  <c r="BN493" i="3" s="1"/>
  <c r="F493" i="3"/>
  <c r="BM493" i="3" s="1"/>
  <c r="Q493" i="3"/>
  <c r="S493" i="3"/>
  <c r="O493" i="3"/>
  <c r="U493" i="3"/>
  <c r="AD493" i="3"/>
  <c r="AE493" i="3"/>
  <c r="M493" i="3"/>
  <c r="AM493" i="3"/>
  <c r="AK493" i="3"/>
  <c r="AF493" i="3"/>
  <c r="T493" i="3"/>
  <c r="R493" i="3"/>
  <c r="V493" i="3"/>
  <c r="P493" i="3"/>
  <c r="AW491" i="3"/>
  <c r="AY491" i="3" s="1"/>
  <c r="AV490" i="3"/>
  <c r="BC490" i="3" s="1"/>
  <c r="Y492" i="3"/>
  <c r="Z492" i="3" s="1"/>
  <c r="AO492" i="3"/>
  <c r="AG492" i="3"/>
  <c r="AW492" i="3" s="1"/>
  <c r="BM492" i="3"/>
  <c r="AT491" i="3"/>
  <c r="X492" i="3"/>
  <c r="AU491" i="3"/>
  <c r="BD489" i="3"/>
  <c r="BG489" i="3"/>
  <c r="BH489" i="3" s="1"/>
  <c r="BI489" i="3" s="1"/>
  <c r="BJ488" i="3"/>
  <c r="BK488" i="3" s="1"/>
  <c r="BB490" i="3" l="1"/>
  <c r="BF490" i="3"/>
  <c r="BJ489" i="3" s="1"/>
  <c r="BK489" i="3" s="1"/>
  <c r="AG493" i="3"/>
  <c r="AX492" i="3"/>
  <c r="AY492" i="3" s="1"/>
  <c r="AO493" i="3"/>
  <c r="X493" i="3"/>
  <c r="Y493" i="3"/>
  <c r="Z493" i="3" s="1"/>
  <c r="AT492" i="3"/>
  <c r="AH493" i="3"/>
  <c r="AU492" i="3"/>
  <c r="AV491" i="3"/>
  <c r="BC491" i="3" s="1"/>
  <c r="BA491" i="3"/>
  <c r="BD490" i="3"/>
  <c r="BG490" i="3"/>
  <c r="BH490" i="3" s="1"/>
  <c r="BI490" i="3" s="1"/>
  <c r="B494" i="3"/>
  <c r="A495" i="3"/>
  <c r="C494" i="3"/>
  <c r="D494" i="3"/>
  <c r="AQ494" i="3"/>
  <c r="AR494" i="3"/>
  <c r="G494" i="3"/>
  <c r="H494" i="3" s="1"/>
  <c r="BN494" i="3" s="1"/>
  <c r="F494" i="3"/>
  <c r="BM494" i="3" s="1"/>
  <c r="Q494" i="3"/>
  <c r="S494" i="3"/>
  <c r="O494" i="3"/>
  <c r="U494" i="3"/>
  <c r="AE494" i="3"/>
  <c r="M494" i="3"/>
  <c r="AD494" i="3"/>
  <c r="AM494" i="3"/>
  <c r="AK494" i="3"/>
  <c r="AO494" i="3" s="1"/>
  <c r="AF494" i="3"/>
  <c r="T494" i="3"/>
  <c r="R494" i="3"/>
  <c r="V494" i="3"/>
  <c r="P494" i="3"/>
  <c r="AU493" i="3"/>
  <c r="AN493" i="3"/>
  <c r="BD491" i="3" l="1"/>
  <c r="BG491" i="3"/>
  <c r="BH491" i="3" s="1"/>
  <c r="BI491" i="3" s="1"/>
  <c r="AX493" i="3"/>
  <c r="X494" i="3"/>
  <c r="BB491" i="3"/>
  <c r="BF491" i="3"/>
  <c r="BJ490" i="3" s="1"/>
  <c r="BK490" i="3" s="1"/>
  <c r="BQ491" i="3"/>
  <c r="Y494" i="3"/>
  <c r="Z494" i="3" s="1"/>
  <c r="AG494" i="3"/>
  <c r="B495" i="3"/>
  <c r="AQ495" i="3"/>
  <c r="A496" i="3"/>
  <c r="D495" i="3"/>
  <c r="C495" i="3"/>
  <c r="AR495" i="3"/>
  <c r="F495" i="3"/>
  <c r="BM495" i="3" s="1"/>
  <c r="G495" i="3"/>
  <c r="H495" i="3" s="1"/>
  <c r="BN495" i="3" s="1"/>
  <c r="Q495" i="3"/>
  <c r="S495" i="3"/>
  <c r="O495" i="3"/>
  <c r="U495" i="3"/>
  <c r="M495" i="3"/>
  <c r="AE495" i="3"/>
  <c r="AD495" i="3"/>
  <c r="AM495" i="3"/>
  <c r="AK495" i="3"/>
  <c r="AO495" i="3" s="1"/>
  <c r="AF495" i="3"/>
  <c r="P495" i="3"/>
  <c r="R495" i="3"/>
  <c r="V495" i="3"/>
  <c r="T495" i="3"/>
  <c r="AH494" i="3"/>
  <c r="AU494" i="3" s="1"/>
  <c r="AT493" i="3"/>
  <c r="AN494" i="3"/>
  <c r="BA492" i="3"/>
  <c r="AV492" i="3"/>
  <c r="BC492" i="3" s="1"/>
  <c r="AW493" i="3"/>
  <c r="AY493" i="3" s="1"/>
  <c r="AN495" i="3" l="1"/>
  <c r="BD492" i="3"/>
  <c r="BG492" i="3"/>
  <c r="BH492" i="3" s="1"/>
  <c r="BI492" i="3" s="1"/>
  <c r="AV493" i="3"/>
  <c r="BC493" i="3" s="1"/>
  <c r="BA493" i="3"/>
  <c r="BQ492" i="3"/>
  <c r="BB492" i="3"/>
  <c r="BF492" i="3"/>
  <c r="BJ491" i="3" s="1"/>
  <c r="BK491" i="3" s="1"/>
  <c r="Y495" i="3"/>
  <c r="Z495" i="3" s="1"/>
  <c r="AX494" i="3"/>
  <c r="X495" i="3"/>
  <c r="AH495" i="3"/>
  <c r="AT494" i="3"/>
  <c r="AQ496" i="3"/>
  <c r="AR496" i="3"/>
  <c r="A497" i="3"/>
  <c r="C496" i="3"/>
  <c r="B496" i="3"/>
  <c r="D496" i="3"/>
  <c r="F496" i="3"/>
  <c r="G496" i="3"/>
  <c r="H496" i="3" s="1"/>
  <c r="Q496" i="3"/>
  <c r="S496" i="3"/>
  <c r="O496" i="3"/>
  <c r="U496" i="3"/>
  <c r="AE496" i="3"/>
  <c r="M496" i="3"/>
  <c r="AF496" i="3"/>
  <c r="AD496" i="3"/>
  <c r="AM496" i="3"/>
  <c r="AK496" i="3"/>
  <c r="V496" i="3"/>
  <c r="R496" i="3"/>
  <c r="P496" i="3"/>
  <c r="T496" i="3"/>
  <c r="AW494" i="3"/>
  <c r="AG495" i="3"/>
  <c r="AW495" i="3" s="1"/>
  <c r="AY494" i="3" l="1"/>
  <c r="AO496" i="3"/>
  <c r="BN496" i="3"/>
  <c r="AH496" i="3"/>
  <c r="BA494" i="3"/>
  <c r="AV494" i="3"/>
  <c r="BC494" i="3" s="1"/>
  <c r="AG496" i="3"/>
  <c r="AQ497" i="3"/>
  <c r="A498" i="3"/>
  <c r="AR497" i="3"/>
  <c r="B497" i="3"/>
  <c r="C497" i="3"/>
  <c r="D497" i="3"/>
  <c r="G497" i="3"/>
  <c r="H497" i="3" s="1"/>
  <c r="BN497" i="3" s="1"/>
  <c r="F497" i="3"/>
  <c r="BM497" i="3" s="1"/>
  <c r="Q497" i="3"/>
  <c r="S497" i="3"/>
  <c r="O497" i="3"/>
  <c r="U497" i="3"/>
  <c r="M497" i="3"/>
  <c r="AD497" i="3"/>
  <c r="AE497" i="3"/>
  <c r="AM497" i="3"/>
  <c r="AF497" i="3"/>
  <c r="AK497" i="3"/>
  <c r="T497" i="3"/>
  <c r="R497" i="3"/>
  <c r="V497" i="3"/>
  <c r="P497" i="3"/>
  <c r="AX495" i="3"/>
  <c r="AY495" i="3" s="1"/>
  <c r="BD493" i="3"/>
  <c r="BG493" i="3"/>
  <c r="BH493" i="3" s="1"/>
  <c r="BI493" i="3" s="1"/>
  <c r="X496" i="3"/>
  <c r="BQ493" i="3"/>
  <c r="BB493" i="3"/>
  <c r="BF493" i="3"/>
  <c r="BJ492" i="3" s="1"/>
  <c r="BK492" i="3" s="1"/>
  <c r="AN496" i="3"/>
  <c r="AX496" i="3" s="1"/>
  <c r="BM496" i="3"/>
  <c r="AT495" i="3"/>
  <c r="Y496" i="3"/>
  <c r="Z496" i="3" s="1"/>
  <c r="AU495" i="3"/>
  <c r="X497" i="3" l="1"/>
  <c r="AO497" i="3"/>
  <c r="AR498" i="3"/>
  <c r="C498" i="3"/>
  <c r="D498" i="3"/>
  <c r="A499" i="3"/>
  <c r="B498" i="3"/>
  <c r="AQ498" i="3"/>
  <c r="G498" i="3"/>
  <c r="H498" i="3" s="1"/>
  <c r="BN498" i="3" s="1"/>
  <c r="F498" i="3"/>
  <c r="BM498" i="3" s="1"/>
  <c r="S498" i="3"/>
  <c r="Q498" i="3"/>
  <c r="O498" i="3"/>
  <c r="U498" i="3"/>
  <c r="AE498" i="3"/>
  <c r="M498" i="3"/>
  <c r="AD498" i="3"/>
  <c r="AK498" i="3"/>
  <c r="AF498" i="3"/>
  <c r="AM498" i="3"/>
  <c r="P498" i="3"/>
  <c r="T498" i="3"/>
  <c r="R498" i="3"/>
  <c r="V498" i="3"/>
  <c r="AV495" i="3"/>
  <c r="BC495" i="3" s="1"/>
  <c r="BA495" i="3"/>
  <c r="BF494" i="3"/>
  <c r="BJ493" i="3" s="1"/>
  <c r="BK493" i="3" s="1"/>
  <c r="BQ494" i="3"/>
  <c r="BB494" i="3"/>
  <c r="AW496" i="3"/>
  <c r="AY496" i="3" s="1"/>
  <c r="AH497" i="3"/>
  <c r="BD494" i="3"/>
  <c r="BG494" i="3"/>
  <c r="BH494" i="3" s="1"/>
  <c r="BI494" i="3" s="1"/>
  <c r="AN497" i="3"/>
  <c r="AU496" i="3"/>
  <c r="Y497" i="3"/>
  <c r="Z497" i="3" s="1"/>
  <c r="AG497" i="3"/>
  <c r="AW497" i="3" s="1"/>
  <c r="AT496" i="3"/>
  <c r="AN498" i="3" l="1"/>
  <c r="AU497" i="3"/>
  <c r="AG498" i="3"/>
  <c r="AO498" i="3"/>
  <c r="AX497" i="3"/>
  <c r="AY497" i="3" s="1"/>
  <c r="BD495" i="3"/>
  <c r="BG495" i="3"/>
  <c r="BH495" i="3" s="1"/>
  <c r="BI495" i="3" s="1"/>
  <c r="AR499" i="3"/>
  <c r="B499" i="3"/>
  <c r="A500" i="3"/>
  <c r="D499" i="3"/>
  <c r="C499" i="3"/>
  <c r="AQ499" i="3"/>
  <c r="G499" i="3"/>
  <c r="H499" i="3" s="1"/>
  <c r="BN499" i="3" s="1"/>
  <c r="F499" i="3"/>
  <c r="BM499" i="3" s="1"/>
  <c r="Q499" i="3"/>
  <c r="S499" i="3"/>
  <c r="O499" i="3"/>
  <c r="U499" i="3"/>
  <c r="AE499" i="3"/>
  <c r="AD499" i="3"/>
  <c r="M499" i="3"/>
  <c r="AF499" i="3"/>
  <c r="AK499" i="3"/>
  <c r="AM499" i="3"/>
  <c r="AN499" i="3" s="1"/>
  <c r="P499" i="3"/>
  <c r="V499" i="3"/>
  <c r="T499" i="3"/>
  <c r="R499" i="3"/>
  <c r="BA496" i="3"/>
  <c r="AV496" i="3"/>
  <c r="BC496" i="3" s="1"/>
  <c r="AT497" i="3"/>
  <c r="AH498" i="3"/>
  <c r="AX498" i="3" s="1"/>
  <c r="X498" i="3"/>
  <c r="BF495" i="3"/>
  <c r="BJ494" i="3" s="1"/>
  <c r="BK494" i="3" s="1"/>
  <c r="BB495" i="3"/>
  <c r="BQ495" i="3"/>
  <c r="Y498" i="3"/>
  <c r="Z498" i="3" s="1"/>
  <c r="AU498" i="3"/>
  <c r="AT498" i="3"/>
  <c r="AV498" i="3" l="1"/>
  <c r="AV497" i="3"/>
  <c r="BC497" i="3" s="1"/>
  <c r="BA497" i="3"/>
  <c r="AG499" i="3"/>
  <c r="BF496" i="3"/>
  <c r="BJ495" i="3" s="1"/>
  <c r="BK495" i="3" s="1"/>
  <c r="BB496" i="3"/>
  <c r="BQ496" i="3"/>
  <c r="B500" i="3"/>
  <c r="AR500" i="3"/>
  <c r="D500" i="3"/>
  <c r="C500" i="3"/>
  <c r="AQ500" i="3"/>
  <c r="A501" i="3"/>
  <c r="G500" i="3"/>
  <c r="H500" i="3" s="1"/>
  <c r="BN500" i="3" s="1"/>
  <c r="F500" i="3"/>
  <c r="BM500" i="3" s="1"/>
  <c r="Q500" i="3"/>
  <c r="S500" i="3"/>
  <c r="O500" i="3"/>
  <c r="U500" i="3"/>
  <c r="AE500" i="3"/>
  <c r="AD500" i="3"/>
  <c r="M500" i="3"/>
  <c r="AM500" i="3"/>
  <c r="AK500" i="3"/>
  <c r="AF500" i="3"/>
  <c r="P500" i="3"/>
  <c r="R500" i="3"/>
  <c r="V500" i="3"/>
  <c r="T500" i="3"/>
  <c r="Y499" i="3"/>
  <c r="Z499" i="3" s="1"/>
  <c r="AO499" i="3"/>
  <c r="X499" i="3"/>
  <c r="BD496" i="3"/>
  <c r="BG496" i="3"/>
  <c r="BH496" i="3" s="1"/>
  <c r="BI496" i="3" s="1"/>
  <c r="AH499" i="3"/>
  <c r="AX499" i="3" s="1"/>
  <c r="AW498" i="3"/>
  <c r="AY498" i="3" s="1"/>
  <c r="AO500" i="3" l="1"/>
  <c r="AG500" i="3"/>
  <c r="D501" i="3"/>
  <c r="A502" i="3"/>
  <c r="AR501" i="3"/>
  <c r="AQ501" i="3"/>
  <c r="B501" i="3"/>
  <c r="C501" i="3"/>
  <c r="F501" i="3"/>
  <c r="BM501" i="3" s="1"/>
  <c r="G501" i="3"/>
  <c r="H501" i="3" s="1"/>
  <c r="BN501" i="3" s="1"/>
  <c r="Q501" i="3"/>
  <c r="S501" i="3"/>
  <c r="O501" i="3"/>
  <c r="U501" i="3"/>
  <c r="AD501" i="3"/>
  <c r="AE501" i="3"/>
  <c r="AK501" i="3"/>
  <c r="AF501" i="3"/>
  <c r="AM501" i="3"/>
  <c r="M501" i="3"/>
  <c r="P501" i="3"/>
  <c r="R501" i="3"/>
  <c r="V501" i="3"/>
  <c r="T501" i="3"/>
  <c r="AT499" i="3"/>
  <c r="AW499" i="3"/>
  <c r="AY499" i="3" s="1"/>
  <c r="Y500" i="3"/>
  <c r="Z500" i="3" s="1"/>
  <c r="BF497" i="3"/>
  <c r="BJ496" i="3" s="1"/>
  <c r="BK496" i="3" s="1"/>
  <c r="BB497" i="3"/>
  <c r="BQ497" i="3"/>
  <c r="BD497" i="3"/>
  <c r="BG497" i="3"/>
  <c r="BH497" i="3" s="1"/>
  <c r="BI497" i="3" s="1"/>
  <c r="AN500" i="3"/>
  <c r="AU499" i="3"/>
  <c r="X500" i="3"/>
  <c r="BA498" i="3"/>
  <c r="AH500" i="3"/>
  <c r="AX500" i="3" s="1"/>
  <c r="BC498" i="3"/>
  <c r="AN501" i="3" l="1"/>
  <c r="AG501" i="3"/>
  <c r="X501" i="3"/>
  <c r="AT500" i="3"/>
  <c r="AO501" i="3"/>
  <c r="BQ498" i="3"/>
  <c r="BB498" i="3"/>
  <c r="BF498" i="3"/>
  <c r="BJ497" i="3" s="1"/>
  <c r="BK497" i="3" s="1"/>
  <c r="B502" i="3"/>
  <c r="A503" i="3"/>
  <c r="AQ502" i="3"/>
  <c r="AR502" i="3"/>
  <c r="D502" i="3"/>
  <c r="C502" i="3"/>
  <c r="G502" i="3"/>
  <c r="H502" i="3" s="1"/>
  <c r="BN502" i="3" s="1"/>
  <c r="F502" i="3"/>
  <c r="BM502" i="3" s="1"/>
  <c r="Q502" i="3"/>
  <c r="S502" i="3"/>
  <c r="O502" i="3"/>
  <c r="U502" i="3"/>
  <c r="AE502" i="3"/>
  <c r="M502" i="3"/>
  <c r="AD502" i="3"/>
  <c r="AM502" i="3"/>
  <c r="AK502" i="3"/>
  <c r="AF502" i="3"/>
  <c r="R502" i="3"/>
  <c r="V502" i="3"/>
  <c r="T502" i="3"/>
  <c r="P502" i="3"/>
  <c r="BA499" i="3"/>
  <c r="AV499" i="3"/>
  <c r="BC499" i="3" s="1"/>
  <c r="AH501" i="3"/>
  <c r="AX501" i="3" s="1"/>
  <c r="AW500" i="3"/>
  <c r="AY500" i="3" s="1"/>
  <c r="AU500" i="3"/>
  <c r="Y501" i="3"/>
  <c r="Z501" i="3" s="1"/>
  <c r="BD498" i="3"/>
  <c r="BG498" i="3"/>
  <c r="BH498" i="3" s="1"/>
  <c r="BI498" i="3" s="1"/>
  <c r="AN502" i="3" l="1"/>
  <c r="BD499" i="3"/>
  <c r="BG499" i="3"/>
  <c r="BH499" i="3" s="1"/>
  <c r="BI499" i="3" s="1"/>
  <c r="AR503" i="3"/>
  <c r="B503" i="3"/>
  <c r="AQ503" i="3"/>
  <c r="C503" i="3"/>
  <c r="A504" i="3"/>
  <c r="D503" i="3"/>
  <c r="F503" i="3"/>
  <c r="BM503" i="3" s="1"/>
  <c r="G503" i="3"/>
  <c r="H503" i="3" s="1"/>
  <c r="BN503" i="3" s="1"/>
  <c r="Q503" i="3"/>
  <c r="S503" i="3"/>
  <c r="O503" i="3"/>
  <c r="U503" i="3"/>
  <c r="AD503" i="3"/>
  <c r="AE503" i="3"/>
  <c r="AF503" i="3"/>
  <c r="AM503" i="3"/>
  <c r="AN503" i="3" s="1"/>
  <c r="M503" i="3"/>
  <c r="AK503" i="3"/>
  <c r="P503" i="3"/>
  <c r="R503" i="3"/>
  <c r="T503" i="3"/>
  <c r="V503" i="3"/>
  <c r="BB499" i="3"/>
  <c r="BQ499" i="3"/>
  <c r="BF499" i="3"/>
  <c r="BJ498" i="3" s="1"/>
  <c r="BK498" i="3" s="1"/>
  <c r="AU501" i="3"/>
  <c r="Y502" i="3"/>
  <c r="Z502" i="3" s="1"/>
  <c r="AH502" i="3"/>
  <c r="BA500" i="3"/>
  <c r="AV500" i="3"/>
  <c r="BC500" i="3" s="1"/>
  <c r="AG502" i="3"/>
  <c r="AU502" i="3" s="1"/>
  <c r="AO502" i="3"/>
  <c r="AT501" i="3"/>
  <c r="X502" i="3"/>
  <c r="AW501" i="3"/>
  <c r="AY501" i="3" s="1"/>
  <c r="AG503" i="3" l="1"/>
  <c r="AH503" i="3"/>
  <c r="AW502" i="3"/>
  <c r="BA501" i="3"/>
  <c r="AV501" i="3"/>
  <c r="BC501" i="3" s="1"/>
  <c r="AT502" i="3"/>
  <c r="BD500" i="3"/>
  <c r="BG500" i="3"/>
  <c r="BH500" i="3" s="1"/>
  <c r="BI500" i="3" s="1"/>
  <c r="X503" i="3"/>
  <c r="AX502" i="3"/>
  <c r="AY502" i="3" s="1"/>
  <c r="AT503" i="3"/>
  <c r="Y503" i="3"/>
  <c r="Z503" i="3" s="1"/>
  <c r="BF500" i="3"/>
  <c r="BJ499" i="3" s="1"/>
  <c r="BK499" i="3" s="1"/>
  <c r="BB500" i="3"/>
  <c r="BQ500" i="3"/>
  <c r="AU503" i="3"/>
  <c r="B504" i="3"/>
  <c r="AQ504" i="3"/>
  <c r="AR504" i="3"/>
  <c r="A505" i="3"/>
  <c r="D504" i="3"/>
  <c r="C504" i="3"/>
  <c r="F504" i="3"/>
  <c r="BM504" i="3" s="1"/>
  <c r="G504" i="3"/>
  <c r="H504" i="3" s="1"/>
  <c r="BN504" i="3" s="1"/>
  <c r="Q504" i="3"/>
  <c r="S504" i="3"/>
  <c r="O504" i="3"/>
  <c r="U504" i="3"/>
  <c r="M504" i="3"/>
  <c r="AD504" i="3"/>
  <c r="AE504" i="3"/>
  <c r="AM504" i="3"/>
  <c r="AK504" i="3"/>
  <c r="AF504" i="3"/>
  <c r="P504" i="3"/>
  <c r="V504" i="3"/>
  <c r="T504" i="3"/>
  <c r="R504" i="3"/>
  <c r="AO503" i="3"/>
  <c r="AX503" i="3" s="1"/>
  <c r="AO504" i="3" l="1"/>
  <c r="Y504" i="3"/>
  <c r="Z504" i="3" s="1"/>
  <c r="X504" i="3"/>
  <c r="AN504" i="3"/>
  <c r="BD501" i="3"/>
  <c r="BG501" i="3"/>
  <c r="BH501" i="3" s="1"/>
  <c r="BI501" i="3" s="1"/>
  <c r="AH504" i="3"/>
  <c r="BQ501" i="3"/>
  <c r="BB501" i="3"/>
  <c r="BF501" i="3"/>
  <c r="AW503" i="3"/>
  <c r="AY503" i="3" s="1"/>
  <c r="AG504" i="3"/>
  <c r="AW504" i="3" s="1"/>
  <c r="AV503" i="3"/>
  <c r="AV502" i="3"/>
  <c r="BC502" i="3" s="1"/>
  <c r="BA502" i="3"/>
  <c r="B505" i="3"/>
  <c r="A506" i="3"/>
  <c r="AR505" i="3"/>
  <c r="D505" i="3"/>
  <c r="C505" i="3"/>
  <c r="AQ505" i="3"/>
  <c r="F505" i="3"/>
  <c r="G505" i="3"/>
  <c r="H505" i="3" s="1"/>
  <c r="Q505" i="3"/>
  <c r="S505" i="3"/>
  <c r="O505" i="3"/>
  <c r="U505" i="3"/>
  <c r="AE505" i="3"/>
  <c r="AM505" i="3"/>
  <c r="AD505" i="3"/>
  <c r="AK505" i="3"/>
  <c r="AO505" i="3" s="1"/>
  <c r="AF505" i="3"/>
  <c r="M505" i="3"/>
  <c r="R505" i="3"/>
  <c r="P505" i="3"/>
  <c r="V505" i="3"/>
  <c r="T505" i="3"/>
  <c r="BM505" i="3" l="1"/>
  <c r="BC503" i="3"/>
  <c r="AU504" i="3"/>
  <c r="AN505" i="3"/>
  <c r="BB502" i="3"/>
  <c r="BQ502" i="3"/>
  <c r="BF502" i="3"/>
  <c r="BJ501" i="3" s="1"/>
  <c r="BK501" i="3" s="1"/>
  <c r="AG505" i="3"/>
  <c r="A507" i="3"/>
  <c r="AQ506" i="3"/>
  <c r="AR506" i="3"/>
  <c r="C506" i="3"/>
  <c r="B506" i="3"/>
  <c r="D506" i="3"/>
  <c r="G506" i="3"/>
  <c r="H506" i="3" s="1"/>
  <c r="BN506" i="3" s="1"/>
  <c r="F506" i="3"/>
  <c r="BM506" i="3" s="1"/>
  <c r="Q506" i="3"/>
  <c r="S506" i="3"/>
  <c r="O506" i="3"/>
  <c r="U506" i="3"/>
  <c r="AD506" i="3"/>
  <c r="AE506" i="3"/>
  <c r="AK506" i="3"/>
  <c r="AF506" i="3"/>
  <c r="M506" i="3"/>
  <c r="AM506" i="3"/>
  <c r="AN506" i="3" s="1"/>
  <c r="T506" i="3"/>
  <c r="P506" i="3"/>
  <c r="V506" i="3"/>
  <c r="R506" i="3"/>
  <c r="AH505" i="3"/>
  <c r="AX505" i="3" s="1"/>
  <c r="Y505" i="3"/>
  <c r="Z505" i="3" s="1"/>
  <c r="BD502" i="3"/>
  <c r="BG502" i="3"/>
  <c r="BH502" i="3" s="1"/>
  <c r="BI502" i="3" s="1"/>
  <c r="AT505" i="3"/>
  <c r="X505" i="3"/>
  <c r="BN505" i="3"/>
  <c r="AU505" i="3"/>
  <c r="BD503" i="3"/>
  <c r="BG503" i="3"/>
  <c r="BH503" i="3" s="1"/>
  <c r="BI503" i="3" s="1"/>
  <c r="BA503" i="3"/>
  <c r="BJ500" i="3"/>
  <c r="BK500" i="3" s="1"/>
  <c r="AX504" i="3"/>
  <c r="AY504" i="3" s="1"/>
  <c r="AT504" i="3"/>
  <c r="AG506" i="3" l="1"/>
  <c r="X506" i="3"/>
  <c r="AH506" i="3"/>
  <c r="AW505" i="3"/>
  <c r="AY505" i="3" s="1"/>
  <c r="BB503" i="3"/>
  <c r="BF503" i="3"/>
  <c r="BJ502" i="3" s="1"/>
  <c r="BK502" i="3" s="1"/>
  <c r="BQ503" i="3"/>
  <c r="AR507" i="3"/>
  <c r="AQ507" i="3"/>
  <c r="A508" i="3"/>
  <c r="B507" i="3"/>
  <c r="D507" i="3"/>
  <c r="C507" i="3"/>
  <c r="G507" i="3"/>
  <c r="H507" i="3" s="1"/>
  <c r="BN507" i="3" s="1"/>
  <c r="F507" i="3"/>
  <c r="BM507" i="3" s="1"/>
  <c r="Q507" i="3"/>
  <c r="S507" i="3"/>
  <c r="O507" i="3"/>
  <c r="U507" i="3"/>
  <c r="AE507" i="3"/>
  <c r="AD507" i="3"/>
  <c r="M507" i="3"/>
  <c r="AM507" i="3"/>
  <c r="AK507" i="3"/>
  <c r="AF507" i="3"/>
  <c r="P507" i="3"/>
  <c r="V507" i="3"/>
  <c r="T507" i="3"/>
  <c r="R507" i="3"/>
  <c r="BA505" i="3"/>
  <c r="AV505" i="3"/>
  <c r="BC505" i="3" s="1"/>
  <c r="Y506" i="3"/>
  <c r="Z506" i="3" s="1"/>
  <c r="AU506" i="3"/>
  <c r="AT506" i="3"/>
  <c r="AV504" i="3"/>
  <c r="BC504" i="3" s="1"/>
  <c r="BA504" i="3"/>
  <c r="AO506" i="3"/>
  <c r="AG507" i="3" l="1"/>
  <c r="X507" i="3"/>
  <c r="AN507" i="3"/>
  <c r="BD504" i="3"/>
  <c r="BG504" i="3"/>
  <c r="BH504" i="3" s="1"/>
  <c r="BI504" i="3" s="1"/>
  <c r="AV506" i="3"/>
  <c r="BD505" i="3"/>
  <c r="BG505" i="3"/>
  <c r="BH505" i="3" s="1"/>
  <c r="BI505" i="3" s="1"/>
  <c r="Y507" i="3"/>
  <c r="Z507" i="3" s="1"/>
  <c r="AH507" i="3"/>
  <c r="BB504" i="3"/>
  <c r="BQ504" i="3"/>
  <c r="BF504" i="3"/>
  <c r="BJ503" i="3" s="1"/>
  <c r="BK503" i="3" s="1"/>
  <c r="A509" i="3"/>
  <c r="D508" i="3"/>
  <c r="C508" i="3"/>
  <c r="B508" i="3"/>
  <c r="AQ508" i="3"/>
  <c r="AR508" i="3"/>
  <c r="F508" i="3"/>
  <c r="G508" i="3"/>
  <c r="H508" i="3" s="1"/>
  <c r="S508" i="3"/>
  <c r="Q508" i="3"/>
  <c r="O508" i="3"/>
  <c r="U508" i="3"/>
  <c r="AE508" i="3"/>
  <c r="M508" i="3"/>
  <c r="AK508" i="3"/>
  <c r="AD508" i="3"/>
  <c r="AM508" i="3"/>
  <c r="AF508" i="3"/>
  <c r="R508" i="3"/>
  <c r="T508" i="3"/>
  <c r="P508" i="3"/>
  <c r="V508" i="3"/>
  <c r="AX506" i="3"/>
  <c r="BB505" i="3"/>
  <c r="BQ505" i="3"/>
  <c r="BF505" i="3"/>
  <c r="AO507" i="3"/>
  <c r="AW506" i="3"/>
  <c r="AN508" i="3" l="1"/>
  <c r="BA506" i="3"/>
  <c r="AX507" i="3"/>
  <c r="Y508" i="3"/>
  <c r="Z508" i="3" s="1"/>
  <c r="AH508" i="3"/>
  <c r="BB506" i="3"/>
  <c r="BQ506" i="3"/>
  <c r="BF506" i="3"/>
  <c r="BJ505" i="3" s="1"/>
  <c r="BK505" i="3" s="1"/>
  <c r="AU507" i="3"/>
  <c r="AG508" i="3"/>
  <c r="AW507" i="3"/>
  <c r="AY507" i="3" s="1"/>
  <c r="AO508" i="3"/>
  <c r="BN508" i="3"/>
  <c r="AT507" i="3"/>
  <c r="BM508" i="3"/>
  <c r="AQ509" i="3"/>
  <c r="B509" i="3"/>
  <c r="AR509" i="3"/>
  <c r="C509" i="3"/>
  <c r="D509" i="3"/>
  <c r="A510" i="3"/>
  <c r="G509" i="3"/>
  <c r="H509" i="3" s="1"/>
  <c r="F509" i="3"/>
  <c r="Q509" i="3"/>
  <c r="S509" i="3"/>
  <c r="O509" i="3"/>
  <c r="U509" i="3"/>
  <c r="M509" i="3"/>
  <c r="AD509" i="3"/>
  <c r="AF509" i="3"/>
  <c r="AE509" i="3"/>
  <c r="AM509" i="3"/>
  <c r="AK509" i="3"/>
  <c r="R509" i="3"/>
  <c r="P509" i="3"/>
  <c r="T509" i="3"/>
  <c r="V509" i="3"/>
  <c r="X508" i="3"/>
  <c r="AY506" i="3"/>
  <c r="BC506" i="3" s="1"/>
  <c r="BJ504" i="3"/>
  <c r="BK504" i="3" s="1"/>
  <c r="AG509" i="3" l="1"/>
  <c r="AO509" i="3"/>
  <c r="BD506" i="3"/>
  <c r="BG506" i="3"/>
  <c r="BH506" i="3" s="1"/>
  <c r="BI506" i="3" s="1"/>
  <c r="AW508" i="3"/>
  <c r="Y509" i="3"/>
  <c r="Z509" i="3" s="1"/>
  <c r="AN509" i="3"/>
  <c r="BM509" i="3"/>
  <c r="AV507" i="3"/>
  <c r="BC507" i="3" s="1"/>
  <c r="BA507" i="3"/>
  <c r="X509" i="3"/>
  <c r="AU508" i="3"/>
  <c r="AX508" i="3"/>
  <c r="AH509" i="3"/>
  <c r="BN509" i="3"/>
  <c r="AT508" i="3"/>
  <c r="B510" i="3"/>
  <c r="AQ510" i="3"/>
  <c r="D510" i="3"/>
  <c r="C510" i="3"/>
  <c r="A511" i="3"/>
  <c r="AR510" i="3"/>
  <c r="G510" i="3"/>
  <c r="H510" i="3" s="1"/>
  <c r="F510" i="3"/>
  <c r="Q510" i="3"/>
  <c r="S510" i="3"/>
  <c r="O510" i="3"/>
  <c r="U510" i="3"/>
  <c r="AE510" i="3"/>
  <c r="M510" i="3"/>
  <c r="AD510" i="3"/>
  <c r="AM510" i="3"/>
  <c r="AF510" i="3"/>
  <c r="AK510" i="3"/>
  <c r="R510" i="3"/>
  <c r="T510" i="3"/>
  <c r="V510" i="3"/>
  <c r="P510" i="3"/>
  <c r="BM510" i="3" l="1"/>
  <c r="AO510" i="3"/>
  <c r="X510" i="3"/>
  <c r="BA508" i="3"/>
  <c r="AV508" i="3"/>
  <c r="AW509" i="3"/>
  <c r="AX509" i="3"/>
  <c r="AY508" i="3"/>
  <c r="AN510" i="3"/>
  <c r="BD507" i="3"/>
  <c r="BG507" i="3"/>
  <c r="BH507" i="3" s="1"/>
  <c r="BI507" i="3" s="1"/>
  <c r="AG510" i="3"/>
  <c r="BN510" i="3"/>
  <c r="AT509" i="3"/>
  <c r="Y510" i="3"/>
  <c r="Z510" i="3" s="1"/>
  <c r="AU509" i="3"/>
  <c r="BQ507" i="3"/>
  <c r="BF507" i="3"/>
  <c r="BJ506" i="3" s="1"/>
  <c r="BK506" i="3" s="1"/>
  <c r="BB507" i="3"/>
  <c r="AH510" i="3"/>
  <c r="AX510" i="3" s="1"/>
  <c r="C511" i="3"/>
  <c r="AQ511" i="3"/>
  <c r="A512" i="3"/>
  <c r="D511" i="3"/>
  <c r="AR511" i="3"/>
  <c r="B511" i="3"/>
  <c r="F511" i="3"/>
  <c r="BM511" i="3" s="1"/>
  <c r="G511" i="3"/>
  <c r="H511" i="3" s="1"/>
  <c r="BN511" i="3" s="1"/>
  <c r="Q511" i="3"/>
  <c r="S511" i="3"/>
  <c r="O511" i="3"/>
  <c r="U511" i="3"/>
  <c r="M511" i="3"/>
  <c r="AD511" i="3"/>
  <c r="AM511" i="3"/>
  <c r="AE511" i="3"/>
  <c r="AF511" i="3"/>
  <c r="AK511" i="3"/>
  <c r="T511" i="3"/>
  <c r="R511" i="3"/>
  <c r="V511" i="3"/>
  <c r="P511" i="3"/>
  <c r="AO511" i="3" l="1"/>
  <c r="AY509" i="3"/>
  <c r="AG511" i="3"/>
  <c r="AT510" i="3"/>
  <c r="AN511" i="3"/>
  <c r="AH511" i="3"/>
  <c r="AW510" i="3"/>
  <c r="AY510" i="3" s="1"/>
  <c r="AT511" i="3"/>
  <c r="BC508" i="3"/>
  <c r="AV509" i="3"/>
  <c r="BC509" i="3" s="1"/>
  <c r="BA509" i="3"/>
  <c r="AU511" i="3"/>
  <c r="BB508" i="3"/>
  <c r="BF508" i="3"/>
  <c r="BJ507" i="3" s="1"/>
  <c r="BK507" i="3" s="1"/>
  <c r="BQ508" i="3"/>
  <c r="X511" i="3"/>
  <c r="B512" i="3"/>
  <c r="AQ512" i="3"/>
  <c r="AR512" i="3"/>
  <c r="A513" i="3"/>
  <c r="D512" i="3"/>
  <c r="C512" i="3"/>
  <c r="G512" i="3"/>
  <c r="H512" i="3" s="1"/>
  <c r="F512" i="3"/>
  <c r="Q512" i="3"/>
  <c r="S512" i="3"/>
  <c r="O512" i="3"/>
  <c r="U512" i="3"/>
  <c r="AD512" i="3"/>
  <c r="M512" i="3"/>
  <c r="AE512" i="3"/>
  <c r="AK512" i="3"/>
  <c r="AF512" i="3"/>
  <c r="AM512" i="3"/>
  <c r="R512" i="3"/>
  <c r="T512" i="3"/>
  <c r="P512" i="3"/>
  <c r="V512" i="3"/>
  <c r="Y511" i="3"/>
  <c r="Z511" i="3" s="1"/>
  <c r="AU510" i="3"/>
  <c r="BA510" i="3" s="1"/>
  <c r="AX511" i="3" l="1"/>
  <c r="BM512" i="3"/>
  <c r="BN512" i="3"/>
  <c r="AN512" i="3"/>
  <c r="Y512" i="3"/>
  <c r="Z512" i="3" s="1"/>
  <c r="BQ510" i="3"/>
  <c r="BF510" i="3"/>
  <c r="BB510" i="3"/>
  <c r="AQ513" i="3"/>
  <c r="B513" i="3"/>
  <c r="A514" i="3"/>
  <c r="C513" i="3"/>
  <c r="AR513" i="3"/>
  <c r="D513" i="3"/>
  <c r="G513" i="3"/>
  <c r="H513" i="3" s="1"/>
  <c r="BN513" i="3" s="1"/>
  <c r="F513" i="3"/>
  <c r="BM513" i="3" s="1"/>
  <c r="Q513" i="3"/>
  <c r="S513" i="3"/>
  <c r="O513" i="3"/>
  <c r="U513" i="3"/>
  <c r="AE513" i="3"/>
  <c r="M513" i="3"/>
  <c r="AD513" i="3"/>
  <c r="AK513" i="3"/>
  <c r="AM513" i="3"/>
  <c r="AF513" i="3"/>
  <c r="V513" i="3"/>
  <c r="T513" i="3"/>
  <c r="R513" i="3"/>
  <c r="P513" i="3"/>
  <c r="X512" i="3"/>
  <c r="BQ509" i="3"/>
  <c r="BB509" i="3"/>
  <c r="BF509" i="3"/>
  <c r="BJ508" i="3" s="1"/>
  <c r="BK508" i="3" s="1"/>
  <c r="AO512" i="3"/>
  <c r="AH512" i="3"/>
  <c r="BD508" i="3"/>
  <c r="BG508" i="3"/>
  <c r="BH508" i="3" s="1"/>
  <c r="BI508" i="3" s="1"/>
  <c r="AG512" i="3"/>
  <c r="AW512" i="3" s="1"/>
  <c r="AW511" i="3"/>
  <c r="AY511" i="3" s="1"/>
  <c r="AV510" i="3"/>
  <c r="BC510" i="3" s="1"/>
  <c r="BD509" i="3"/>
  <c r="BG509" i="3"/>
  <c r="BH509" i="3" s="1"/>
  <c r="BI509" i="3" s="1"/>
  <c r="AV511" i="3"/>
  <c r="AH513" i="3" l="1"/>
  <c r="AT512" i="3"/>
  <c r="AN513" i="3"/>
  <c r="BD510" i="3"/>
  <c r="BG510" i="3"/>
  <c r="BH510" i="3" s="1"/>
  <c r="BI510" i="3" s="1"/>
  <c r="X513" i="3"/>
  <c r="AO513" i="3"/>
  <c r="AX512" i="3"/>
  <c r="AY512" i="3" s="1"/>
  <c r="B514" i="3"/>
  <c r="A515" i="3"/>
  <c r="D514" i="3"/>
  <c r="AQ514" i="3"/>
  <c r="AR514" i="3"/>
  <c r="C514" i="3"/>
  <c r="F514" i="3"/>
  <c r="BM514" i="3" s="1"/>
  <c r="G514" i="3"/>
  <c r="H514" i="3" s="1"/>
  <c r="BN514" i="3" s="1"/>
  <c r="Q514" i="3"/>
  <c r="S514" i="3"/>
  <c r="O514" i="3"/>
  <c r="U514" i="3"/>
  <c r="M514" i="3"/>
  <c r="AD514" i="3"/>
  <c r="AE514" i="3"/>
  <c r="AF514" i="3"/>
  <c r="AM514" i="3"/>
  <c r="AK514" i="3"/>
  <c r="P514" i="3"/>
  <c r="T514" i="3"/>
  <c r="R514" i="3"/>
  <c r="V514" i="3"/>
  <c r="BJ509" i="3"/>
  <c r="BK509" i="3" s="1"/>
  <c r="AG513" i="3"/>
  <c r="AW513" i="3" s="1"/>
  <c r="AU512" i="3"/>
  <c r="Y513" i="3"/>
  <c r="Z513" i="3" s="1"/>
  <c r="BA511" i="3"/>
  <c r="BC511" i="3"/>
  <c r="BA512" i="3" l="1"/>
  <c r="AO514" i="3"/>
  <c r="AN514" i="3"/>
  <c r="AH514" i="3"/>
  <c r="BB512" i="3"/>
  <c r="BF512" i="3"/>
  <c r="BQ512" i="3"/>
  <c r="AT514" i="3"/>
  <c r="Y514" i="3"/>
  <c r="Z514" i="3" s="1"/>
  <c r="AU513" i="3"/>
  <c r="B515" i="3"/>
  <c r="AQ515" i="3"/>
  <c r="A516" i="3"/>
  <c r="D515" i="3"/>
  <c r="C515" i="3"/>
  <c r="AR515" i="3"/>
  <c r="G515" i="3"/>
  <c r="H515" i="3" s="1"/>
  <c r="BN515" i="3" s="1"/>
  <c r="F515" i="3"/>
  <c r="BM515" i="3" s="1"/>
  <c r="Q515" i="3"/>
  <c r="S515" i="3"/>
  <c r="O515" i="3"/>
  <c r="U515" i="3"/>
  <c r="AD515" i="3"/>
  <c r="M515" i="3"/>
  <c r="AM515" i="3"/>
  <c r="AE515" i="3"/>
  <c r="AF515" i="3"/>
  <c r="AK515" i="3"/>
  <c r="AO515" i="3" s="1"/>
  <c r="T515" i="3"/>
  <c r="P515" i="3"/>
  <c r="V515" i="3"/>
  <c r="R515" i="3"/>
  <c r="AX514" i="3"/>
  <c r="BF511" i="3"/>
  <c r="BJ510" i="3" s="1"/>
  <c r="BK510" i="3" s="1"/>
  <c r="BQ511" i="3"/>
  <c r="BB511" i="3"/>
  <c r="AT513" i="3"/>
  <c r="BD511" i="3"/>
  <c r="BG511" i="3"/>
  <c r="BH511" i="3" s="1"/>
  <c r="BI511" i="3" s="1"/>
  <c r="AU514" i="3"/>
  <c r="AX513" i="3"/>
  <c r="AY513" i="3" s="1"/>
  <c r="AV512" i="3"/>
  <c r="BC512" i="3" s="1"/>
  <c r="AG514" i="3"/>
  <c r="X514" i="3"/>
  <c r="AW514" i="3" l="1"/>
  <c r="X515" i="3"/>
  <c r="AH515" i="3"/>
  <c r="Y515" i="3"/>
  <c r="Z515" i="3" s="1"/>
  <c r="AQ516" i="3"/>
  <c r="AR516" i="3"/>
  <c r="A517" i="3"/>
  <c r="C516" i="3"/>
  <c r="B516" i="3"/>
  <c r="D516" i="3"/>
  <c r="G516" i="3"/>
  <c r="H516" i="3" s="1"/>
  <c r="BN516" i="3" s="1"/>
  <c r="F516" i="3"/>
  <c r="BM516" i="3" s="1"/>
  <c r="Q516" i="3"/>
  <c r="S516" i="3"/>
  <c r="O516" i="3"/>
  <c r="U516" i="3"/>
  <c r="AD516" i="3"/>
  <c r="AE516" i="3"/>
  <c r="M516" i="3"/>
  <c r="AF516" i="3"/>
  <c r="AK516" i="3"/>
  <c r="AM516" i="3"/>
  <c r="P516" i="3"/>
  <c r="T516" i="3"/>
  <c r="R516" i="3"/>
  <c r="V516" i="3"/>
  <c r="AG515" i="3"/>
  <c r="BD512" i="3"/>
  <c r="BG512" i="3"/>
  <c r="BH512" i="3" s="1"/>
  <c r="BI512" i="3" s="1"/>
  <c r="AV514" i="3"/>
  <c r="BA514" i="3"/>
  <c r="AN515" i="3"/>
  <c r="AX515" i="3" s="1"/>
  <c r="BJ511" i="3"/>
  <c r="BK511" i="3" s="1"/>
  <c r="BA513" i="3"/>
  <c r="AV513" i="3"/>
  <c r="BC513" i="3" s="1"/>
  <c r="AY514" i="3"/>
  <c r="AH516" i="3" l="1"/>
  <c r="AN516" i="3"/>
  <c r="Y516" i="3"/>
  <c r="Z516" i="3" s="1"/>
  <c r="BD513" i="3"/>
  <c r="BG513" i="3"/>
  <c r="BH513" i="3" s="1"/>
  <c r="BI513" i="3" s="1"/>
  <c r="AW515" i="3"/>
  <c r="AY515" i="3" s="1"/>
  <c r="AU515" i="3"/>
  <c r="BF513" i="3"/>
  <c r="BJ512" i="3" s="1"/>
  <c r="BK512" i="3" s="1"/>
  <c r="BB513" i="3"/>
  <c r="BQ513" i="3"/>
  <c r="AQ517" i="3"/>
  <c r="A518" i="3"/>
  <c r="AR517" i="3"/>
  <c r="C517" i="3"/>
  <c r="B517" i="3"/>
  <c r="D517" i="3"/>
  <c r="F517" i="3"/>
  <c r="BM517" i="3" s="1"/>
  <c r="G517" i="3"/>
  <c r="H517" i="3" s="1"/>
  <c r="BN517" i="3" s="1"/>
  <c r="Q517" i="3"/>
  <c r="S517" i="3"/>
  <c r="O517" i="3"/>
  <c r="U517" i="3"/>
  <c r="AE517" i="3"/>
  <c r="M517" i="3"/>
  <c r="AD517" i="3"/>
  <c r="AM517" i="3"/>
  <c r="AF517" i="3"/>
  <c r="AK517" i="3"/>
  <c r="P517" i="3"/>
  <c r="V517" i="3"/>
  <c r="R517" i="3"/>
  <c r="T517" i="3"/>
  <c r="AG516" i="3"/>
  <c r="AT515" i="3"/>
  <c r="X516" i="3"/>
  <c r="BF514" i="3"/>
  <c r="BJ513" i="3" s="1"/>
  <c r="BK513" i="3" s="1"/>
  <c r="BB514" i="3"/>
  <c r="BQ514" i="3"/>
  <c r="BC514" i="3"/>
  <c r="AT516" i="3"/>
  <c r="AO516" i="3"/>
  <c r="AH517" i="3" l="1"/>
  <c r="AO517" i="3"/>
  <c r="AW516" i="3"/>
  <c r="BD514" i="3"/>
  <c r="BG514" i="3"/>
  <c r="BH514" i="3" s="1"/>
  <c r="BI514" i="3" s="1"/>
  <c r="AV515" i="3"/>
  <c r="BC515" i="3" s="1"/>
  <c r="BA515" i="3"/>
  <c r="AR518" i="3"/>
  <c r="C518" i="3"/>
  <c r="D518" i="3"/>
  <c r="A519" i="3"/>
  <c r="B518" i="3"/>
  <c r="AQ518" i="3"/>
  <c r="F518" i="3"/>
  <c r="BM518" i="3" s="1"/>
  <c r="G518" i="3"/>
  <c r="H518" i="3" s="1"/>
  <c r="BN518" i="3" s="1"/>
  <c r="Q518" i="3"/>
  <c r="S518" i="3"/>
  <c r="O518" i="3"/>
  <c r="U518" i="3"/>
  <c r="AD518" i="3"/>
  <c r="AE518" i="3"/>
  <c r="M518" i="3"/>
  <c r="AF518" i="3"/>
  <c r="AM518" i="3"/>
  <c r="AK518" i="3"/>
  <c r="V518" i="3"/>
  <c r="R518" i="3"/>
  <c r="T518" i="3"/>
  <c r="P518" i="3"/>
  <c r="Y517" i="3"/>
  <c r="Z517" i="3" s="1"/>
  <c r="AN517" i="3"/>
  <c r="AG517" i="3"/>
  <c r="AW517" i="3" s="1"/>
  <c r="X517" i="3"/>
  <c r="AU516" i="3"/>
  <c r="AV516" i="3" s="1"/>
  <c r="AX516" i="3"/>
  <c r="AY516" i="3" s="1"/>
  <c r="AO518" i="3" l="1"/>
  <c r="AG518" i="3"/>
  <c r="AX517" i="3"/>
  <c r="AY517" i="3" s="1"/>
  <c r="BC516" i="3"/>
  <c r="X518" i="3"/>
  <c r="AN518" i="3"/>
  <c r="BD516" i="3"/>
  <c r="BG516" i="3"/>
  <c r="BH516" i="3" s="1"/>
  <c r="BI516" i="3" s="1"/>
  <c r="AH518" i="3"/>
  <c r="AX518" i="3" s="1"/>
  <c r="BA516" i="3"/>
  <c r="BF515" i="3"/>
  <c r="BJ514" i="3" s="1"/>
  <c r="BK514" i="3" s="1"/>
  <c r="BB515" i="3"/>
  <c r="BQ515" i="3"/>
  <c r="BD515" i="3"/>
  <c r="BG515" i="3"/>
  <c r="BH515" i="3" s="1"/>
  <c r="BI515" i="3" s="1"/>
  <c r="Y518" i="3"/>
  <c r="Z518" i="3" s="1"/>
  <c r="AT517" i="3"/>
  <c r="AU518" i="3"/>
  <c r="AR519" i="3"/>
  <c r="B519" i="3"/>
  <c r="A520" i="3"/>
  <c r="D519" i="3"/>
  <c r="C519" i="3"/>
  <c r="AQ519" i="3"/>
  <c r="F519" i="3"/>
  <c r="G519" i="3"/>
  <c r="H519" i="3" s="1"/>
  <c r="Q519" i="3"/>
  <c r="S519" i="3"/>
  <c r="O519" i="3"/>
  <c r="U519" i="3"/>
  <c r="AD519" i="3"/>
  <c r="M519" i="3"/>
  <c r="AE519" i="3"/>
  <c r="AK519" i="3"/>
  <c r="AF519" i="3"/>
  <c r="AM519" i="3"/>
  <c r="AN519" i="3" s="1"/>
  <c r="R519" i="3"/>
  <c r="T519" i="3"/>
  <c r="P519" i="3"/>
  <c r="V519" i="3"/>
  <c r="AU517" i="3"/>
  <c r="AT518" i="3" l="1"/>
  <c r="X519" i="3"/>
  <c r="AG519" i="3"/>
  <c r="BA517" i="3"/>
  <c r="AV517" i="3"/>
  <c r="BC517" i="3" s="1"/>
  <c r="B520" i="3"/>
  <c r="AR520" i="3"/>
  <c r="C520" i="3"/>
  <c r="D520" i="3"/>
  <c r="AQ520" i="3"/>
  <c r="A521" i="3"/>
  <c r="F520" i="3"/>
  <c r="BM520" i="3" s="1"/>
  <c r="G520" i="3"/>
  <c r="H520" i="3" s="1"/>
  <c r="BN520" i="3" s="1"/>
  <c r="Q520" i="3"/>
  <c r="S520" i="3"/>
  <c r="O520" i="3"/>
  <c r="U520" i="3"/>
  <c r="M520" i="3"/>
  <c r="AD520" i="3"/>
  <c r="AE520" i="3"/>
  <c r="AK520" i="3"/>
  <c r="AM520" i="3"/>
  <c r="AF520" i="3"/>
  <c r="P520" i="3"/>
  <c r="V520" i="3"/>
  <c r="R520" i="3"/>
  <c r="T520" i="3"/>
  <c r="AV518" i="3"/>
  <c r="AH519" i="3"/>
  <c r="AU519" i="3" s="1"/>
  <c r="BQ516" i="3"/>
  <c r="BF516" i="3"/>
  <c r="BJ515" i="3" s="1"/>
  <c r="BK515" i="3" s="1"/>
  <c r="BB516" i="3"/>
  <c r="AT519" i="3"/>
  <c r="AW518" i="3"/>
  <c r="AY518" i="3" s="1"/>
  <c r="Y519" i="3"/>
  <c r="Z519" i="3" s="1"/>
  <c r="BN519" i="3"/>
  <c r="AO519" i="3"/>
  <c r="BM519" i="3"/>
  <c r="AG520" i="3" l="1"/>
  <c r="AN520" i="3"/>
  <c r="BA518" i="3"/>
  <c r="AV519" i="3"/>
  <c r="AW519" i="3"/>
  <c r="X520" i="3"/>
  <c r="BC518" i="3"/>
  <c r="AH520" i="3"/>
  <c r="AU520" i="3" s="1"/>
  <c r="BD517" i="3"/>
  <c r="BG517" i="3"/>
  <c r="BH517" i="3" s="1"/>
  <c r="BI517" i="3" s="1"/>
  <c r="AO520" i="3"/>
  <c r="AX519" i="3"/>
  <c r="D521" i="3"/>
  <c r="AQ521" i="3"/>
  <c r="B521" i="3"/>
  <c r="A522" i="3"/>
  <c r="AR521" i="3"/>
  <c r="C521" i="3"/>
  <c r="G521" i="3"/>
  <c r="H521" i="3" s="1"/>
  <c r="F521" i="3"/>
  <c r="Q521" i="3"/>
  <c r="S521" i="3"/>
  <c r="O521" i="3"/>
  <c r="U521" i="3"/>
  <c r="AD521" i="3"/>
  <c r="AE521" i="3"/>
  <c r="M521" i="3"/>
  <c r="AF521" i="3"/>
  <c r="AK521" i="3"/>
  <c r="AM521" i="3"/>
  <c r="T521" i="3"/>
  <c r="V521" i="3"/>
  <c r="R521" i="3"/>
  <c r="P521" i="3"/>
  <c r="Y520" i="3"/>
  <c r="Z520" i="3" s="1"/>
  <c r="BF517" i="3"/>
  <c r="BJ516" i="3" s="1"/>
  <c r="BK516" i="3" s="1"/>
  <c r="BQ517" i="3"/>
  <c r="BB517" i="3"/>
  <c r="AN521" i="3" l="1"/>
  <c r="X521" i="3"/>
  <c r="AG521" i="3"/>
  <c r="BD518" i="3"/>
  <c r="BG518" i="3"/>
  <c r="BH518" i="3" s="1"/>
  <c r="BI518" i="3" s="1"/>
  <c r="AY519" i="3"/>
  <c r="Y521" i="3"/>
  <c r="Z521" i="3" s="1"/>
  <c r="BA519" i="3"/>
  <c r="B522" i="3"/>
  <c r="A523" i="3"/>
  <c r="AQ522" i="3"/>
  <c r="AR522" i="3"/>
  <c r="D522" i="3"/>
  <c r="C522" i="3"/>
  <c r="G522" i="3"/>
  <c r="H522" i="3" s="1"/>
  <c r="BN522" i="3" s="1"/>
  <c r="F522" i="3"/>
  <c r="BM522" i="3" s="1"/>
  <c r="Q522" i="3"/>
  <c r="S522" i="3"/>
  <c r="O522" i="3"/>
  <c r="U522" i="3"/>
  <c r="AD522" i="3"/>
  <c r="AF522" i="3"/>
  <c r="AK522" i="3"/>
  <c r="M522" i="3"/>
  <c r="AE522" i="3"/>
  <c r="AM522" i="3"/>
  <c r="AN522" i="3" s="1"/>
  <c r="T522" i="3"/>
  <c r="R522" i="3"/>
  <c r="P522" i="3"/>
  <c r="V522" i="3"/>
  <c r="AX520" i="3"/>
  <c r="BC519" i="3"/>
  <c r="AO521" i="3"/>
  <c r="AH521" i="3"/>
  <c r="AX521" i="3" s="1"/>
  <c r="BM521" i="3"/>
  <c r="BQ518" i="3"/>
  <c r="BF518" i="3"/>
  <c r="BJ517" i="3" s="1"/>
  <c r="BK517" i="3" s="1"/>
  <c r="BB518" i="3"/>
  <c r="AT520" i="3"/>
  <c r="BN521" i="3"/>
  <c r="AW520" i="3"/>
  <c r="AG522" i="3" l="1"/>
  <c r="BA520" i="3"/>
  <c r="AV520" i="3"/>
  <c r="BG519" i="3"/>
  <c r="BH519" i="3" s="1"/>
  <c r="BI519" i="3" s="1"/>
  <c r="BD519" i="3"/>
  <c r="BB519" i="3"/>
  <c r="BQ519" i="3"/>
  <c r="BF519" i="3"/>
  <c r="BJ518" i="3" s="1"/>
  <c r="BK518" i="3" s="1"/>
  <c r="AW521" i="3"/>
  <c r="AY521" i="3" s="1"/>
  <c r="AT521" i="3"/>
  <c r="AR523" i="3"/>
  <c r="B523" i="3"/>
  <c r="AQ523" i="3"/>
  <c r="C523" i="3"/>
  <c r="A524" i="3"/>
  <c r="D523" i="3"/>
  <c r="G523" i="3"/>
  <c r="H523" i="3" s="1"/>
  <c r="BN523" i="3" s="1"/>
  <c r="F523" i="3"/>
  <c r="Q523" i="3"/>
  <c r="S523" i="3"/>
  <c r="O523" i="3"/>
  <c r="U523" i="3"/>
  <c r="AD523" i="3"/>
  <c r="AE523" i="3"/>
  <c r="M523" i="3"/>
  <c r="AK523" i="3"/>
  <c r="AF523" i="3"/>
  <c r="AM523" i="3"/>
  <c r="AN523" i="3" s="1"/>
  <c r="V523" i="3"/>
  <c r="R523" i="3"/>
  <c r="T523" i="3"/>
  <c r="P523" i="3"/>
  <c r="AO522" i="3"/>
  <c r="AH522" i="3"/>
  <c r="AU522" i="3" s="1"/>
  <c r="Y522" i="3"/>
  <c r="Z522" i="3" s="1"/>
  <c r="AY520" i="3"/>
  <c r="X522" i="3"/>
  <c r="AU521" i="3"/>
  <c r="B524" i="3" l="1"/>
  <c r="AQ524" i="3"/>
  <c r="AR524" i="3"/>
  <c r="A525" i="3"/>
  <c r="C524" i="3"/>
  <c r="D524" i="3"/>
  <c r="F524" i="3"/>
  <c r="BM524" i="3" s="1"/>
  <c r="G524" i="3"/>
  <c r="H524" i="3" s="1"/>
  <c r="BN524" i="3" s="1"/>
  <c r="Q524" i="3"/>
  <c r="S524" i="3"/>
  <c r="O524" i="3"/>
  <c r="U524" i="3"/>
  <c r="M524" i="3"/>
  <c r="AD524" i="3"/>
  <c r="AK524" i="3"/>
  <c r="AE524" i="3"/>
  <c r="AM524" i="3"/>
  <c r="AF524" i="3"/>
  <c r="V524" i="3"/>
  <c r="R524" i="3"/>
  <c r="P524" i="3"/>
  <c r="T524" i="3"/>
  <c r="AG523" i="3"/>
  <c r="AV521" i="3"/>
  <c r="BC521" i="3" s="1"/>
  <c r="BA521" i="3"/>
  <c r="AO523" i="3"/>
  <c r="AT522" i="3"/>
  <c r="X523" i="3"/>
  <c r="AW522" i="3"/>
  <c r="AX522" i="3"/>
  <c r="Y523" i="3"/>
  <c r="Z523" i="3" s="1"/>
  <c r="AH523" i="3"/>
  <c r="AX523" i="3" s="1"/>
  <c r="BC520" i="3"/>
  <c r="BM523" i="3"/>
  <c r="BB520" i="3"/>
  <c r="BQ520" i="3"/>
  <c r="BF520" i="3"/>
  <c r="BJ519" i="3" s="1"/>
  <c r="BK519" i="3" s="1"/>
  <c r="AN524" i="3" l="1"/>
  <c r="AT523" i="3"/>
  <c r="AY522" i="3"/>
  <c r="Y524" i="3"/>
  <c r="Z524" i="3" s="1"/>
  <c r="AG524" i="3"/>
  <c r="AH524" i="3"/>
  <c r="AU524" i="3" s="1"/>
  <c r="BD520" i="3"/>
  <c r="BG520" i="3"/>
  <c r="BH520" i="3" s="1"/>
  <c r="BI520" i="3" s="1"/>
  <c r="AO524" i="3"/>
  <c r="BA522" i="3"/>
  <c r="AV522" i="3"/>
  <c r="BC522" i="3" s="1"/>
  <c r="BD521" i="3"/>
  <c r="BG521" i="3"/>
  <c r="BH521" i="3" s="1"/>
  <c r="BI521" i="3" s="1"/>
  <c r="AU523" i="3"/>
  <c r="AV523" i="3" s="1"/>
  <c r="B525" i="3"/>
  <c r="A526" i="3"/>
  <c r="AR525" i="3"/>
  <c r="C525" i="3"/>
  <c r="D525" i="3"/>
  <c r="AQ525" i="3"/>
  <c r="G525" i="3"/>
  <c r="H525" i="3" s="1"/>
  <c r="BN525" i="3" s="1"/>
  <c r="F525" i="3"/>
  <c r="BM525" i="3" s="1"/>
  <c r="Q525" i="3"/>
  <c r="S525" i="3"/>
  <c r="O525" i="3"/>
  <c r="U525" i="3"/>
  <c r="AE525" i="3"/>
  <c r="AD525" i="3"/>
  <c r="M525" i="3"/>
  <c r="AF525" i="3"/>
  <c r="AK525" i="3"/>
  <c r="AM525" i="3"/>
  <c r="P525" i="3"/>
  <c r="V525" i="3"/>
  <c r="R525" i="3"/>
  <c r="T525" i="3"/>
  <c r="BB521" i="3"/>
  <c r="BQ521" i="3"/>
  <c r="BF521" i="3"/>
  <c r="BJ520" i="3" s="1"/>
  <c r="BK520" i="3" s="1"/>
  <c r="AT524" i="3"/>
  <c r="X524" i="3"/>
  <c r="AW523" i="3"/>
  <c r="AY523" i="3" s="1"/>
  <c r="AH525" i="3" l="1"/>
  <c r="AW524" i="3"/>
  <c r="AO525" i="3"/>
  <c r="BC523" i="3"/>
  <c r="BD523" i="3" s="1"/>
  <c r="AN525" i="3"/>
  <c r="BG523" i="3"/>
  <c r="BH523" i="3" s="1"/>
  <c r="BI523" i="3" s="1"/>
  <c r="A527" i="3"/>
  <c r="AQ526" i="3"/>
  <c r="AR526" i="3"/>
  <c r="C526" i="3"/>
  <c r="D526" i="3"/>
  <c r="B526" i="3"/>
  <c r="F526" i="3"/>
  <c r="BM526" i="3" s="1"/>
  <c r="G526" i="3"/>
  <c r="H526" i="3" s="1"/>
  <c r="BN526" i="3" s="1"/>
  <c r="Q526" i="3"/>
  <c r="S526" i="3"/>
  <c r="O526" i="3"/>
  <c r="U526" i="3"/>
  <c r="M526" i="3"/>
  <c r="AD526" i="3"/>
  <c r="AE526" i="3"/>
  <c r="AK526" i="3"/>
  <c r="AF526" i="3"/>
  <c r="AM526" i="3"/>
  <c r="P526" i="3"/>
  <c r="T526" i="3"/>
  <c r="R526" i="3"/>
  <c r="V526" i="3"/>
  <c r="AV524" i="3"/>
  <c r="Y525" i="3"/>
  <c r="Z525" i="3" s="1"/>
  <c r="BD522" i="3"/>
  <c r="BG522" i="3"/>
  <c r="BH522" i="3" s="1"/>
  <c r="BI522" i="3" s="1"/>
  <c r="AG525" i="3"/>
  <c r="AW525" i="3" s="1"/>
  <c r="BB522" i="3"/>
  <c r="BQ522" i="3"/>
  <c r="BF522" i="3"/>
  <c r="BJ521" i="3" s="1"/>
  <c r="BK521" i="3" s="1"/>
  <c r="X525" i="3"/>
  <c r="BA523" i="3"/>
  <c r="AX524" i="3"/>
  <c r="BA524" i="3" s="1"/>
  <c r="AG526" i="3" l="1"/>
  <c r="AY524" i="3"/>
  <c r="AN526" i="3"/>
  <c r="AH526" i="3"/>
  <c r="BQ524" i="3"/>
  <c r="BB524" i="3"/>
  <c r="BF524" i="3"/>
  <c r="AT526" i="3"/>
  <c r="AO526" i="3"/>
  <c r="X526" i="3"/>
  <c r="BC524" i="3"/>
  <c r="AU526" i="3"/>
  <c r="BB523" i="3"/>
  <c r="BF523" i="3"/>
  <c r="BJ522" i="3" s="1"/>
  <c r="BK522" i="3" s="1"/>
  <c r="BQ523" i="3"/>
  <c r="AT525" i="3"/>
  <c r="AR527" i="3"/>
  <c r="AQ527" i="3"/>
  <c r="A528" i="3"/>
  <c r="B527" i="3"/>
  <c r="C527" i="3"/>
  <c r="D527" i="3"/>
  <c r="F527" i="3"/>
  <c r="G527" i="3"/>
  <c r="H527" i="3" s="1"/>
  <c r="Q527" i="3"/>
  <c r="S527" i="3"/>
  <c r="O527" i="3"/>
  <c r="U527" i="3"/>
  <c r="AE527" i="3"/>
  <c r="AD527" i="3"/>
  <c r="AF527" i="3"/>
  <c r="AM527" i="3"/>
  <c r="AK527" i="3"/>
  <c r="M527" i="3"/>
  <c r="T527" i="3"/>
  <c r="V527" i="3"/>
  <c r="P527" i="3"/>
  <c r="R527" i="3"/>
  <c r="AU525" i="3"/>
  <c r="AX525" i="3"/>
  <c r="AY525" i="3" s="1"/>
  <c r="Y526" i="3"/>
  <c r="Z526" i="3" s="1"/>
  <c r="AO527" i="3" l="1"/>
  <c r="Y527" i="3"/>
  <c r="Z527" i="3" s="1"/>
  <c r="AH527" i="3"/>
  <c r="BJ523" i="3"/>
  <c r="BK523" i="3" s="1"/>
  <c r="AV526" i="3"/>
  <c r="AV525" i="3"/>
  <c r="BC525" i="3" s="1"/>
  <c r="BA525" i="3"/>
  <c r="AN527" i="3"/>
  <c r="BD524" i="3"/>
  <c r="BG524" i="3"/>
  <c r="BH524" i="3" s="1"/>
  <c r="BI524" i="3" s="1"/>
  <c r="X527" i="3"/>
  <c r="BN527" i="3"/>
  <c r="AX526" i="3"/>
  <c r="A529" i="3"/>
  <c r="C528" i="3"/>
  <c r="D528" i="3"/>
  <c r="B528" i="3"/>
  <c r="AQ528" i="3"/>
  <c r="AR528" i="3"/>
  <c r="G528" i="3"/>
  <c r="H528" i="3" s="1"/>
  <c r="F528" i="3"/>
  <c r="Q528" i="3"/>
  <c r="S528" i="3"/>
  <c r="O528" i="3"/>
  <c r="U528" i="3"/>
  <c r="AD528" i="3"/>
  <c r="M528" i="3"/>
  <c r="AF528" i="3"/>
  <c r="AK528" i="3"/>
  <c r="AE528" i="3"/>
  <c r="AM528" i="3"/>
  <c r="R528" i="3"/>
  <c r="V528" i="3"/>
  <c r="T528" i="3"/>
  <c r="P528" i="3"/>
  <c r="AG527" i="3"/>
  <c r="AW527" i="3" s="1"/>
  <c r="BM527" i="3"/>
  <c r="AW526" i="3"/>
  <c r="AN528" i="3" l="1"/>
  <c r="AG528" i="3"/>
  <c r="BA526" i="3"/>
  <c r="BF526" i="3" s="1"/>
  <c r="AO528" i="3"/>
  <c r="BQ525" i="3"/>
  <c r="BB525" i="3"/>
  <c r="BF525" i="3"/>
  <c r="BJ524" i="3" s="1"/>
  <c r="BK524" i="3" s="1"/>
  <c r="BC526" i="3"/>
  <c r="AQ529" i="3"/>
  <c r="B529" i="3"/>
  <c r="AR529" i="3"/>
  <c r="D529" i="3"/>
  <c r="C529" i="3"/>
  <c r="A530" i="3"/>
  <c r="G529" i="3"/>
  <c r="H529" i="3" s="1"/>
  <c r="BN529" i="3" s="1"/>
  <c r="F529" i="3"/>
  <c r="BM529" i="3" s="1"/>
  <c r="Q529" i="3"/>
  <c r="S529" i="3"/>
  <c r="O529" i="3"/>
  <c r="U529" i="3"/>
  <c r="AD529" i="3"/>
  <c r="M529" i="3"/>
  <c r="AE529" i="3"/>
  <c r="AK529" i="3"/>
  <c r="AM529" i="3"/>
  <c r="AF529" i="3"/>
  <c r="R529" i="3"/>
  <c r="T529" i="3"/>
  <c r="V529" i="3"/>
  <c r="P529" i="3"/>
  <c r="AU527" i="3"/>
  <c r="BM528" i="3"/>
  <c r="AX527" i="3"/>
  <c r="AY527" i="3" s="1"/>
  <c r="X528" i="3"/>
  <c r="BN528" i="3"/>
  <c r="AT527" i="3"/>
  <c r="AH528" i="3"/>
  <c r="AX528" i="3" s="1"/>
  <c r="BD525" i="3"/>
  <c r="BG525" i="3"/>
  <c r="BH525" i="3" s="1"/>
  <c r="BI525" i="3" s="1"/>
  <c r="Y528" i="3"/>
  <c r="Z528" i="3" s="1"/>
  <c r="AY526" i="3"/>
  <c r="BB526" i="3" l="1"/>
  <c r="BQ526" i="3"/>
  <c r="AN529" i="3"/>
  <c r="AO529" i="3"/>
  <c r="AW528" i="3"/>
  <c r="AY528" i="3" s="1"/>
  <c r="AG529" i="3"/>
  <c r="B530" i="3"/>
  <c r="AQ530" i="3"/>
  <c r="D530" i="3"/>
  <c r="C530" i="3"/>
  <c r="A531" i="3"/>
  <c r="AR530" i="3"/>
  <c r="F530" i="3"/>
  <c r="BM530" i="3" s="1"/>
  <c r="G530" i="3"/>
  <c r="H530" i="3" s="1"/>
  <c r="BN530" i="3" s="1"/>
  <c r="Q530" i="3"/>
  <c r="S530" i="3"/>
  <c r="O530" i="3"/>
  <c r="U530" i="3"/>
  <c r="AD530" i="3"/>
  <c r="AE530" i="3"/>
  <c r="AK530" i="3"/>
  <c r="AF530" i="3"/>
  <c r="AM530" i="3"/>
  <c r="M530" i="3"/>
  <c r="T530" i="3"/>
  <c r="R530" i="3"/>
  <c r="P530" i="3"/>
  <c r="V530" i="3"/>
  <c r="Y529" i="3"/>
  <c r="Z529" i="3" s="1"/>
  <c r="BD526" i="3"/>
  <c r="BG526" i="3"/>
  <c r="BH526" i="3" s="1"/>
  <c r="BI526" i="3" s="1"/>
  <c r="AV527" i="3"/>
  <c r="BC527" i="3" s="1"/>
  <c r="BA527" i="3"/>
  <c r="AU528" i="3"/>
  <c r="AT528" i="3"/>
  <c r="AH529" i="3"/>
  <c r="AX529" i="3" s="1"/>
  <c r="X529" i="3"/>
  <c r="BJ525" i="3"/>
  <c r="BK525" i="3" s="1"/>
  <c r="AG530" i="3" l="1"/>
  <c r="X530" i="3"/>
  <c r="AO530" i="3"/>
  <c r="AV528" i="3"/>
  <c r="BC528" i="3" s="1"/>
  <c r="BA528" i="3"/>
  <c r="BQ527" i="3"/>
  <c r="BB527" i="3"/>
  <c r="BF527" i="3"/>
  <c r="BJ526" i="3" s="1"/>
  <c r="BK526" i="3" s="1"/>
  <c r="AH530" i="3"/>
  <c r="AT530" i="3" s="1"/>
  <c r="AW529" i="3"/>
  <c r="AY529" i="3" s="1"/>
  <c r="AN530" i="3"/>
  <c r="AU529" i="3"/>
  <c r="AT529" i="3"/>
  <c r="BD527" i="3"/>
  <c r="BG527" i="3"/>
  <c r="BH527" i="3" s="1"/>
  <c r="BI527" i="3" s="1"/>
  <c r="D531" i="3"/>
  <c r="A532" i="3"/>
  <c r="AR531" i="3"/>
  <c r="B531" i="3"/>
  <c r="AQ531" i="3"/>
  <c r="C531" i="3"/>
  <c r="G531" i="3"/>
  <c r="H531" i="3" s="1"/>
  <c r="F531" i="3"/>
  <c r="BM531" i="3" s="1"/>
  <c r="Q531" i="3"/>
  <c r="S531" i="3"/>
  <c r="O531" i="3"/>
  <c r="U531" i="3"/>
  <c r="M531" i="3"/>
  <c r="AD531" i="3"/>
  <c r="AE531" i="3"/>
  <c r="AM531" i="3"/>
  <c r="AF531" i="3"/>
  <c r="AK531" i="3"/>
  <c r="AO531" i="3" s="1"/>
  <c r="T531" i="3"/>
  <c r="R531" i="3"/>
  <c r="P531" i="3"/>
  <c r="V531" i="3"/>
  <c r="Y530" i="3"/>
  <c r="Z530" i="3" s="1"/>
  <c r="AH531" i="3" l="1"/>
  <c r="AU530" i="3"/>
  <c r="AN531" i="3"/>
  <c r="Y531" i="3"/>
  <c r="Z531" i="3" s="1"/>
  <c r="AG531" i="3"/>
  <c r="AW531" i="3" s="1"/>
  <c r="AX530" i="3"/>
  <c r="BB528" i="3"/>
  <c r="BF528" i="3"/>
  <c r="BJ527" i="3" s="1"/>
  <c r="BK527" i="3" s="1"/>
  <c r="BQ528" i="3"/>
  <c r="BN531" i="3"/>
  <c r="BD528" i="3"/>
  <c r="BG528" i="3"/>
  <c r="BH528" i="3" s="1"/>
  <c r="BI528" i="3" s="1"/>
  <c r="B532" i="3"/>
  <c r="AQ532" i="3"/>
  <c r="AR532" i="3"/>
  <c r="A533" i="3"/>
  <c r="C532" i="3"/>
  <c r="D532" i="3"/>
  <c r="G532" i="3"/>
  <c r="H532" i="3" s="1"/>
  <c r="BN532" i="3" s="1"/>
  <c r="F532" i="3"/>
  <c r="BM532" i="3" s="1"/>
  <c r="Q532" i="3"/>
  <c r="S532" i="3"/>
  <c r="O532" i="3"/>
  <c r="U532" i="3"/>
  <c r="AD532" i="3"/>
  <c r="M532" i="3"/>
  <c r="AM532" i="3"/>
  <c r="AK532" i="3"/>
  <c r="AO532" i="3" s="1"/>
  <c r="AF532" i="3"/>
  <c r="AE532" i="3"/>
  <c r="P532" i="3"/>
  <c r="R532" i="3"/>
  <c r="T532" i="3"/>
  <c r="V532" i="3"/>
  <c r="BA529" i="3"/>
  <c r="AV529" i="3"/>
  <c r="BC529" i="3" s="1"/>
  <c r="AV530" i="3"/>
  <c r="X531" i="3"/>
  <c r="AU531" i="3"/>
  <c r="AW530" i="3"/>
  <c r="AT531" i="3" l="1"/>
  <c r="AY530" i="3"/>
  <c r="Y532" i="3"/>
  <c r="Z532" i="3" s="1"/>
  <c r="BD529" i="3"/>
  <c r="BG529" i="3"/>
  <c r="BH529" i="3" s="1"/>
  <c r="BI529" i="3" s="1"/>
  <c r="BB529" i="3"/>
  <c r="BF529" i="3"/>
  <c r="BJ528" i="3" s="1"/>
  <c r="BK528" i="3" s="1"/>
  <c r="BQ529" i="3"/>
  <c r="AG532" i="3"/>
  <c r="BC530" i="3"/>
  <c r="AQ533" i="3"/>
  <c r="B533" i="3"/>
  <c r="A534" i="3"/>
  <c r="C533" i="3"/>
  <c r="AR533" i="3"/>
  <c r="D533" i="3"/>
  <c r="F533" i="3"/>
  <c r="BM533" i="3" s="1"/>
  <c r="G533" i="3"/>
  <c r="H533" i="3" s="1"/>
  <c r="BN533" i="3" s="1"/>
  <c r="Q533" i="3"/>
  <c r="S533" i="3"/>
  <c r="O533" i="3"/>
  <c r="U533" i="3"/>
  <c r="AD533" i="3"/>
  <c r="M533" i="3"/>
  <c r="AM533" i="3"/>
  <c r="AK533" i="3"/>
  <c r="AO533" i="3" s="1"/>
  <c r="AE533" i="3"/>
  <c r="AF533" i="3"/>
  <c r="R533" i="3"/>
  <c r="T533" i="3"/>
  <c r="V533" i="3"/>
  <c r="P533" i="3"/>
  <c r="AV531" i="3"/>
  <c r="AN532" i="3"/>
  <c r="BA530" i="3"/>
  <c r="AH532" i="3"/>
  <c r="AX532" i="3" s="1"/>
  <c r="X532" i="3"/>
  <c r="AX531" i="3"/>
  <c r="AY531" i="3" s="1"/>
  <c r="AG533" i="3" l="1"/>
  <c r="Y533" i="3"/>
  <c r="Z533" i="3" s="1"/>
  <c r="AU532" i="3"/>
  <c r="BC531" i="3"/>
  <c r="BA531" i="3"/>
  <c r="BG530" i="3"/>
  <c r="BH530" i="3" s="1"/>
  <c r="BI530" i="3" s="1"/>
  <c r="BD530" i="3"/>
  <c r="AN533" i="3"/>
  <c r="X533" i="3"/>
  <c r="B534" i="3"/>
  <c r="A535" i="3"/>
  <c r="D534" i="3"/>
  <c r="C534" i="3"/>
  <c r="AQ534" i="3"/>
  <c r="AR534" i="3"/>
  <c r="F534" i="3"/>
  <c r="BM534" i="3" s="1"/>
  <c r="G534" i="3"/>
  <c r="H534" i="3" s="1"/>
  <c r="BN534" i="3" s="1"/>
  <c r="Q534" i="3"/>
  <c r="S534" i="3"/>
  <c r="O534" i="3"/>
  <c r="U534" i="3"/>
  <c r="M534" i="3"/>
  <c r="AE534" i="3"/>
  <c r="AD534" i="3"/>
  <c r="AM534" i="3"/>
  <c r="AK534" i="3"/>
  <c r="AO534" i="3" s="1"/>
  <c r="AF534" i="3"/>
  <c r="V534" i="3"/>
  <c r="P534" i="3"/>
  <c r="R534" i="3"/>
  <c r="T534" i="3"/>
  <c r="BB530" i="3"/>
  <c r="BF530" i="3"/>
  <c r="BJ529" i="3" s="1"/>
  <c r="BK529" i="3" s="1"/>
  <c r="BQ530" i="3"/>
  <c r="AT532" i="3"/>
  <c r="AW532" i="3"/>
  <c r="AY532" i="3" s="1"/>
  <c r="AH533" i="3"/>
  <c r="AX533" i="3" s="1"/>
  <c r="AH534" i="3" l="1"/>
  <c r="BA532" i="3"/>
  <c r="AV532" i="3"/>
  <c r="BC532" i="3" s="1"/>
  <c r="AU533" i="3"/>
  <c r="AG534" i="3"/>
  <c r="AT534" i="3" s="1"/>
  <c r="BD531" i="3"/>
  <c r="BG531" i="3"/>
  <c r="BH531" i="3" s="1"/>
  <c r="BI531" i="3" s="1"/>
  <c r="Y534" i="3"/>
  <c r="Z534" i="3" s="1"/>
  <c r="AN534" i="3"/>
  <c r="AX534" i="3" s="1"/>
  <c r="X534" i="3"/>
  <c r="AT533" i="3"/>
  <c r="BB531" i="3"/>
  <c r="BF531" i="3"/>
  <c r="BJ530" i="3" s="1"/>
  <c r="BK530" i="3" s="1"/>
  <c r="BQ531" i="3"/>
  <c r="AU534" i="3"/>
  <c r="B535" i="3"/>
  <c r="AQ535" i="3"/>
  <c r="A536" i="3"/>
  <c r="D535" i="3"/>
  <c r="C535" i="3"/>
  <c r="AR535" i="3"/>
  <c r="G535" i="3"/>
  <c r="H535" i="3" s="1"/>
  <c r="F535" i="3"/>
  <c r="Q535" i="3"/>
  <c r="S535" i="3"/>
  <c r="O535" i="3"/>
  <c r="U535" i="3"/>
  <c r="M535" i="3"/>
  <c r="AE535" i="3"/>
  <c r="AD535" i="3"/>
  <c r="AM535" i="3"/>
  <c r="AK535" i="3"/>
  <c r="AF535" i="3"/>
  <c r="T535" i="3"/>
  <c r="P535" i="3"/>
  <c r="R535" i="3"/>
  <c r="V535" i="3"/>
  <c r="AW533" i="3"/>
  <c r="AY533" i="3" s="1"/>
  <c r="AO535" i="3" l="1"/>
  <c r="Y535" i="3"/>
  <c r="Z535" i="3" s="1"/>
  <c r="BM535" i="3"/>
  <c r="BN535" i="3"/>
  <c r="AN535" i="3"/>
  <c r="AH535" i="3"/>
  <c r="BA533" i="3"/>
  <c r="AV533" i="3"/>
  <c r="BC533" i="3" s="1"/>
  <c r="AQ536" i="3"/>
  <c r="AR536" i="3"/>
  <c r="A537" i="3"/>
  <c r="D536" i="3"/>
  <c r="C536" i="3"/>
  <c r="B536" i="3"/>
  <c r="F536" i="3"/>
  <c r="BM536" i="3" s="1"/>
  <c r="G536" i="3"/>
  <c r="H536" i="3" s="1"/>
  <c r="BN536" i="3" s="1"/>
  <c r="Q536" i="3"/>
  <c r="S536" i="3"/>
  <c r="O536" i="3"/>
  <c r="U536" i="3"/>
  <c r="M536" i="3"/>
  <c r="AD536" i="3"/>
  <c r="AM536" i="3"/>
  <c r="AE536" i="3"/>
  <c r="AF536" i="3"/>
  <c r="AK536" i="3"/>
  <c r="P536" i="3"/>
  <c r="R536" i="3"/>
  <c r="T536" i="3"/>
  <c r="V536" i="3"/>
  <c r="AG535" i="3"/>
  <c r="AW535" i="3" s="1"/>
  <c r="AV534" i="3"/>
  <c r="BD532" i="3"/>
  <c r="BG532" i="3"/>
  <c r="BH532" i="3" s="1"/>
  <c r="BI532" i="3" s="1"/>
  <c r="X535" i="3"/>
  <c r="AW534" i="3"/>
  <c r="AY534" i="3" s="1"/>
  <c r="BB532" i="3"/>
  <c r="BF532" i="3"/>
  <c r="BJ531" i="3" s="1"/>
  <c r="BK531" i="3" s="1"/>
  <c r="BQ532" i="3"/>
  <c r="AH536" i="3" l="1"/>
  <c r="AO536" i="3"/>
  <c r="AQ537" i="3"/>
  <c r="A538" i="3"/>
  <c r="AR537" i="3"/>
  <c r="B537" i="3"/>
  <c r="D537" i="3"/>
  <c r="C537" i="3"/>
  <c r="G537" i="3"/>
  <c r="H537" i="3" s="1"/>
  <c r="BN537" i="3" s="1"/>
  <c r="F537" i="3"/>
  <c r="BM537" i="3" s="1"/>
  <c r="Q537" i="3"/>
  <c r="S537" i="3"/>
  <c r="O537" i="3"/>
  <c r="U537" i="3"/>
  <c r="AD537" i="3"/>
  <c r="M537" i="3"/>
  <c r="AF537" i="3"/>
  <c r="AK537" i="3"/>
  <c r="AE537" i="3"/>
  <c r="AM537" i="3"/>
  <c r="T537" i="3"/>
  <c r="R537" i="3"/>
  <c r="P537" i="3"/>
  <c r="V537" i="3"/>
  <c r="X536" i="3"/>
  <c r="Y536" i="3"/>
  <c r="Z536" i="3" s="1"/>
  <c r="AT535" i="3"/>
  <c r="BC534" i="3"/>
  <c r="BQ533" i="3"/>
  <c r="BF533" i="3"/>
  <c r="BJ532" i="3" s="1"/>
  <c r="BK532" i="3" s="1"/>
  <c r="BB533" i="3"/>
  <c r="AX535" i="3"/>
  <c r="AY535" i="3" s="1"/>
  <c r="BA534" i="3"/>
  <c r="BD533" i="3"/>
  <c r="BG533" i="3"/>
  <c r="BH533" i="3" s="1"/>
  <c r="BI533" i="3" s="1"/>
  <c r="AG536" i="3"/>
  <c r="AU535" i="3"/>
  <c r="AN536" i="3"/>
  <c r="AN537" i="3" l="1"/>
  <c r="AG537" i="3"/>
  <c r="AX536" i="3"/>
  <c r="AW536" i="3"/>
  <c r="BB534" i="3"/>
  <c r="BF534" i="3"/>
  <c r="BJ533" i="3" s="1"/>
  <c r="BK533" i="3" s="1"/>
  <c r="BQ534" i="3"/>
  <c r="AO537" i="3"/>
  <c r="BA535" i="3"/>
  <c r="AV535" i="3"/>
  <c r="BC535" i="3" s="1"/>
  <c r="AH537" i="3"/>
  <c r="AX537" i="3" s="1"/>
  <c r="AU536" i="3"/>
  <c r="X537" i="3"/>
  <c r="Y537" i="3"/>
  <c r="Z537" i="3" s="1"/>
  <c r="AR538" i="3"/>
  <c r="C538" i="3"/>
  <c r="D538" i="3"/>
  <c r="B538" i="3"/>
  <c r="A539" i="3"/>
  <c r="AQ538" i="3"/>
  <c r="G538" i="3"/>
  <c r="H538" i="3" s="1"/>
  <c r="BN538" i="3" s="1"/>
  <c r="F538" i="3"/>
  <c r="Q538" i="3"/>
  <c r="S538" i="3"/>
  <c r="O538" i="3"/>
  <c r="U538" i="3"/>
  <c r="AD538" i="3"/>
  <c r="M538" i="3"/>
  <c r="AM538" i="3"/>
  <c r="AE538" i="3"/>
  <c r="AF538" i="3"/>
  <c r="AK538" i="3"/>
  <c r="AO538" i="3" s="1"/>
  <c r="R538" i="3"/>
  <c r="V538" i="3"/>
  <c r="T538" i="3"/>
  <c r="P538" i="3"/>
  <c r="AU537" i="3"/>
  <c r="AT536" i="3"/>
  <c r="BD534" i="3"/>
  <c r="BG534" i="3"/>
  <c r="BH534" i="3" s="1"/>
  <c r="BI534" i="3" s="1"/>
  <c r="AY536" i="3" l="1"/>
  <c r="AW537" i="3"/>
  <c r="AT537" i="3"/>
  <c r="AG538" i="3"/>
  <c r="AV536" i="3"/>
  <c r="BC536" i="3" s="1"/>
  <c r="BA536" i="3"/>
  <c r="AN538" i="3"/>
  <c r="BQ535" i="3"/>
  <c r="BB535" i="3"/>
  <c r="BF535" i="3"/>
  <c r="BJ534" i="3" s="1"/>
  <c r="BK534" i="3" s="1"/>
  <c r="AY537" i="3"/>
  <c r="AR539" i="3"/>
  <c r="B539" i="3"/>
  <c r="A540" i="3"/>
  <c r="C539" i="3"/>
  <c r="D539" i="3"/>
  <c r="AQ539" i="3"/>
  <c r="G539" i="3"/>
  <c r="H539" i="3" s="1"/>
  <c r="BN539" i="3" s="1"/>
  <c r="F539" i="3"/>
  <c r="BM539" i="3" s="1"/>
  <c r="Q539" i="3"/>
  <c r="S539" i="3"/>
  <c r="O539" i="3"/>
  <c r="U539" i="3"/>
  <c r="M539" i="3"/>
  <c r="AD539" i="3"/>
  <c r="AK539" i="3"/>
  <c r="AE539" i="3"/>
  <c r="AM539" i="3"/>
  <c r="AN539" i="3" s="1"/>
  <c r="AF539" i="3"/>
  <c r="R539" i="3"/>
  <c r="V539" i="3"/>
  <c r="P539" i="3"/>
  <c r="T539" i="3"/>
  <c r="BD535" i="3"/>
  <c r="BG535" i="3"/>
  <c r="BH535" i="3" s="1"/>
  <c r="BI535" i="3" s="1"/>
  <c r="Y538" i="3"/>
  <c r="Z538" i="3" s="1"/>
  <c r="AV537" i="3"/>
  <c r="BC537" i="3" s="1"/>
  <c r="BA537" i="3"/>
  <c r="X538" i="3"/>
  <c r="AH538" i="3"/>
  <c r="AX538" i="3" s="1"/>
  <c r="BM538" i="3"/>
  <c r="X539" i="3" l="1"/>
  <c r="B540" i="3"/>
  <c r="AR540" i="3"/>
  <c r="C540" i="3"/>
  <c r="D540" i="3"/>
  <c r="AQ540" i="3"/>
  <c r="A541" i="3"/>
  <c r="G540" i="3"/>
  <c r="H540" i="3" s="1"/>
  <c r="BN540" i="3" s="1"/>
  <c r="F540" i="3"/>
  <c r="BM540" i="3" s="1"/>
  <c r="Q540" i="3"/>
  <c r="S540" i="3"/>
  <c r="O540" i="3"/>
  <c r="U540" i="3"/>
  <c r="AE540" i="3"/>
  <c r="AD540" i="3"/>
  <c r="M540" i="3"/>
  <c r="AM540" i="3"/>
  <c r="AF540" i="3"/>
  <c r="AK540" i="3"/>
  <c r="R540" i="3"/>
  <c r="V540" i="3"/>
  <c r="T540" i="3"/>
  <c r="P540" i="3"/>
  <c r="AT538" i="3"/>
  <c r="BB537" i="3"/>
  <c r="BF537" i="3"/>
  <c r="BQ537" i="3"/>
  <c r="BD537" i="3"/>
  <c r="BG537" i="3"/>
  <c r="BH537" i="3" s="1"/>
  <c r="BI537" i="3" s="1"/>
  <c r="AO539" i="3"/>
  <c r="AW538" i="3"/>
  <c r="AY538" i="3" s="1"/>
  <c r="Y539" i="3"/>
  <c r="Z539" i="3" s="1"/>
  <c r="AG539" i="3"/>
  <c r="AH539" i="3"/>
  <c r="BB536" i="3"/>
  <c r="BF536" i="3"/>
  <c r="BJ535" i="3" s="1"/>
  <c r="BK535" i="3" s="1"/>
  <c r="BQ536" i="3"/>
  <c r="AU538" i="3"/>
  <c r="BD536" i="3"/>
  <c r="BG536" i="3"/>
  <c r="BH536" i="3" s="1"/>
  <c r="BI536" i="3" s="1"/>
  <c r="AO540" i="3" l="1"/>
  <c r="AX539" i="3"/>
  <c r="AN540" i="3"/>
  <c r="X540" i="3"/>
  <c r="AH540" i="3"/>
  <c r="AW539" i="3"/>
  <c r="AY539" i="3" s="1"/>
  <c r="BJ536" i="3"/>
  <c r="BK536" i="3" s="1"/>
  <c r="D541" i="3"/>
  <c r="AQ541" i="3"/>
  <c r="B541" i="3"/>
  <c r="A542" i="3"/>
  <c r="AR541" i="3"/>
  <c r="C541" i="3"/>
  <c r="F541" i="3"/>
  <c r="BM541" i="3" s="1"/>
  <c r="G541" i="3"/>
  <c r="H541" i="3" s="1"/>
  <c r="BN541" i="3" s="1"/>
  <c r="Q541" i="3"/>
  <c r="S541" i="3"/>
  <c r="O541" i="3"/>
  <c r="U541" i="3"/>
  <c r="AD541" i="3"/>
  <c r="M541" i="3"/>
  <c r="AE541" i="3"/>
  <c r="AM541" i="3"/>
  <c r="AK541" i="3"/>
  <c r="AF541" i="3"/>
  <c r="V541" i="3"/>
  <c r="R541" i="3"/>
  <c r="P541" i="3"/>
  <c r="T541" i="3"/>
  <c r="AV538" i="3"/>
  <c r="BC538" i="3" s="1"/>
  <c r="BA538" i="3"/>
  <c r="AG540" i="3"/>
  <c r="AW540" i="3" s="1"/>
  <c r="AT539" i="3"/>
  <c r="Y540" i="3"/>
  <c r="Z540" i="3" s="1"/>
  <c r="AU539" i="3"/>
  <c r="AO541" i="3" l="1"/>
  <c r="AH541" i="3"/>
  <c r="AU540" i="3"/>
  <c r="BQ538" i="3"/>
  <c r="BF538" i="3"/>
  <c r="BJ537" i="3" s="1"/>
  <c r="BK537" i="3" s="1"/>
  <c r="BB538" i="3"/>
  <c r="BA539" i="3"/>
  <c r="AV539" i="3"/>
  <c r="BC539" i="3" s="1"/>
  <c r="AT540" i="3"/>
  <c r="Y541" i="3"/>
  <c r="Z541" i="3" s="1"/>
  <c r="X541" i="3"/>
  <c r="BD538" i="3"/>
  <c r="BG538" i="3"/>
  <c r="BH538" i="3" s="1"/>
  <c r="BI538" i="3" s="1"/>
  <c r="AN541" i="3"/>
  <c r="AX540" i="3"/>
  <c r="AY540" i="3" s="1"/>
  <c r="B542" i="3"/>
  <c r="A543" i="3"/>
  <c r="AQ542" i="3"/>
  <c r="AR542" i="3"/>
  <c r="D542" i="3"/>
  <c r="C542" i="3"/>
  <c r="F542" i="3"/>
  <c r="G542" i="3"/>
  <c r="H542" i="3" s="1"/>
  <c r="Q542" i="3"/>
  <c r="S542" i="3"/>
  <c r="O542" i="3"/>
  <c r="U542" i="3"/>
  <c r="AE542" i="3"/>
  <c r="AD542" i="3"/>
  <c r="AF542" i="3"/>
  <c r="M542" i="3"/>
  <c r="AK542" i="3"/>
  <c r="AM542" i="3"/>
  <c r="P542" i="3"/>
  <c r="R542" i="3"/>
  <c r="T542" i="3"/>
  <c r="V542" i="3"/>
  <c r="AG541" i="3"/>
  <c r="AW541" i="3" s="1"/>
  <c r="BN542" i="3" l="1"/>
  <c r="BM542" i="3"/>
  <c r="AN542" i="3"/>
  <c r="Y542" i="3"/>
  <c r="Z542" i="3" s="1"/>
  <c r="AX541" i="3"/>
  <c r="AO542" i="3"/>
  <c r="AG542" i="3"/>
  <c r="AT541" i="3"/>
  <c r="BD539" i="3"/>
  <c r="BG539" i="3"/>
  <c r="BH539" i="3" s="1"/>
  <c r="BI539" i="3" s="1"/>
  <c r="AH542" i="3"/>
  <c r="AX542" i="3" s="1"/>
  <c r="AR543" i="3"/>
  <c r="B543" i="3"/>
  <c r="AQ543" i="3"/>
  <c r="C543" i="3"/>
  <c r="D543" i="3"/>
  <c r="A544" i="3"/>
  <c r="G543" i="3"/>
  <c r="H543" i="3" s="1"/>
  <c r="BN543" i="3" s="1"/>
  <c r="F543" i="3"/>
  <c r="BM543" i="3" s="1"/>
  <c r="Q543" i="3"/>
  <c r="S543" i="3"/>
  <c r="O543" i="3"/>
  <c r="U543" i="3"/>
  <c r="M543" i="3"/>
  <c r="AD543" i="3"/>
  <c r="AE543" i="3"/>
  <c r="AF543" i="3"/>
  <c r="AM543" i="3"/>
  <c r="AK543" i="3"/>
  <c r="AO543" i="3" s="1"/>
  <c r="T543" i="3"/>
  <c r="V543" i="3"/>
  <c r="R543" i="3"/>
  <c r="P543" i="3"/>
  <c r="X542" i="3"/>
  <c r="AY541" i="3"/>
  <c r="AV540" i="3"/>
  <c r="BC540" i="3" s="1"/>
  <c r="BA540" i="3"/>
  <c r="AU541" i="3"/>
  <c r="BQ539" i="3"/>
  <c r="BB539" i="3"/>
  <c r="BF539" i="3"/>
  <c r="BJ538" i="3" s="1"/>
  <c r="BK538" i="3" s="1"/>
  <c r="AH543" i="3" l="1"/>
  <c r="AT542" i="3"/>
  <c r="X543" i="3"/>
  <c r="Y543" i="3"/>
  <c r="Z543" i="3" s="1"/>
  <c r="BD540" i="3"/>
  <c r="BG540" i="3"/>
  <c r="BH540" i="3" s="1"/>
  <c r="BI540" i="3" s="1"/>
  <c r="AG543" i="3"/>
  <c r="AU542" i="3"/>
  <c r="BB540" i="3"/>
  <c r="BQ540" i="3"/>
  <c r="BF540" i="3"/>
  <c r="BJ539" i="3" s="1"/>
  <c r="BK539" i="3" s="1"/>
  <c r="AT543" i="3"/>
  <c r="AN543" i="3"/>
  <c r="AX543" i="3" s="1"/>
  <c r="AW542" i="3"/>
  <c r="AY542" i="3" s="1"/>
  <c r="B544" i="3"/>
  <c r="AQ544" i="3"/>
  <c r="C544" i="3"/>
  <c r="D544" i="3"/>
  <c r="AR544" i="3"/>
  <c r="A545" i="3"/>
  <c r="F544" i="3"/>
  <c r="G544" i="3"/>
  <c r="H544" i="3" s="1"/>
  <c r="Q544" i="3"/>
  <c r="S544" i="3"/>
  <c r="O544" i="3"/>
  <c r="U544" i="3"/>
  <c r="AD544" i="3"/>
  <c r="M544" i="3"/>
  <c r="AE544" i="3"/>
  <c r="AF544" i="3"/>
  <c r="AK544" i="3"/>
  <c r="AM544" i="3"/>
  <c r="P544" i="3"/>
  <c r="V544" i="3"/>
  <c r="T544" i="3"/>
  <c r="R544" i="3"/>
  <c r="AV542" i="3"/>
  <c r="AV541" i="3"/>
  <c r="BC541" i="3" s="1"/>
  <c r="BA541" i="3"/>
  <c r="AN544" i="3" l="1"/>
  <c r="BA542" i="3"/>
  <c r="BC542" i="3"/>
  <c r="AO544" i="3"/>
  <c r="Y544" i="3"/>
  <c r="Z544" i="3" s="1"/>
  <c r="BF542" i="3"/>
  <c r="BQ542" i="3"/>
  <c r="BB542" i="3"/>
  <c r="AV543" i="3"/>
  <c r="BG541" i="3"/>
  <c r="BH541" i="3" s="1"/>
  <c r="BI541" i="3" s="1"/>
  <c r="BD541" i="3"/>
  <c r="AH544" i="3"/>
  <c r="AX544" i="3" s="1"/>
  <c r="B545" i="3"/>
  <c r="A546" i="3"/>
  <c r="AR545" i="3"/>
  <c r="D545" i="3"/>
  <c r="C545" i="3"/>
  <c r="AQ545" i="3"/>
  <c r="G545" i="3"/>
  <c r="H545" i="3" s="1"/>
  <c r="BN545" i="3" s="1"/>
  <c r="F545" i="3"/>
  <c r="BM545" i="3" s="1"/>
  <c r="Q545" i="3"/>
  <c r="S545" i="3"/>
  <c r="O545" i="3"/>
  <c r="U545" i="3"/>
  <c r="AD545" i="3"/>
  <c r="M545" i="3"/>
  <c r="AE545" i="3"/>
  <c r="AK545" i="3"/>
  <c r="AM545" i="3"/>
  <c r="AF545" i="3"/>
  <c r="P545" i="3"/>
  <c r="R545" i="3"/>
  <c r="T545" i="3"/>
  <c r="V545" i="3"/>
  <c r="BG542" i="3"/>
  <c r="BH542" i="3" s="1"/>
  <c r="BI542" i="3" s="1"/>
  <c r="BD542" i="3"/>
  <c r="BB541" i="3"/>
  <c r="BF541" i="3"/>
  <c r="BJ540" i="3" s="1"/>
  <c r="BK540" i="3" s="1"/>
  <c r="BQ541" i="3"/>
  <c r="AW543" i="3"/>
  <c r="AY543" i="3" s="1"/>
  <c r="BN544" i="3"/>
  <c r="AG544" i="3"/>
  <c r="X544" i="3"/>
  <c r="AU543" i="3"/>
  <c r="BM544" i="3"/>
  <c r="AN545" i="3" l="1"/>
  <c r="A547" i="3"/>
  <c r="AQ546" i="3"/>
  <c r="AR546" i="3"/>
  <c r="C546" i="3"/>
  <c r="B546" i="3"/>
  <c r="D546" i="3"/>
  <c r="G546" i="3"/>
  <c r="H546" i="3" s="1"/>
  <c r="BN546" i="3" s="1"/>
  <c r="F546" i="3"/>
  <c r="BM546" i="3" s="1"/>
  <c r="Q546" i="3"/>
  <c r="S546" i="3"/>
  <c r="O546" i="3"/>
  <c r="U546" i="3"/>
  <c r="AD546" i="3"/>
  <c r="AF546" i="3"/>
  <c r="AK546" i="3"/>
  <c r="AE546" i="3"/>
  <c r="M546" i="3"/>
  <c r="AM546" i="3"/>
  <c r="V546" i="3"/>
  <c r="P546" i="3"/>
  <c r="T546" i="3"/>
  <c r="R546" i="3"/>
  <c r="AG545" i="3"/>
  <c r="AU544" i="3"/>
  <c r="BJ541" i="3"/>
  <c r="BK541" i="3" s="1"/>
  <c r="AO545" i="3"/>
  <c r="AH545" i="3"/>
  <c r="AX545" i="3" s="1"/>
  <c r="Y545" i="3"/>
  <c r="Z545" i="3" s="1"/>
  <c r="BA543" i="3"/>
  <c r="AW544" i="3"/>
  <c r="AY544" i="3" s="1"/>
  <c r="AT544" i="3"/>
  <c r="AT545" i="3"/>
  <c r="BC543" i="3"/>
  <c r="X545" i="3"/>
  <c r="AN546" i="3" l="1"/>
  <c r="AO546" i="3"/>
  <c r="Y546" i="3"/>
  <c r="Z546" i="3" s="1"/>
  <c r="AG546" i="3"/>
  <c r="AV544" i="3"/>
  <c r="BC544" i="3" s="1"/>
  <c r="BA544" i="3"/>
  <c r="AH546" i="3"/>
  <c r="AX546" i="3" s="1"/>
  <c r="AU545" i="3"/>
  <c r="AV545" i="3" s="1"/>
  <c r="BD543" i="3"/>
  <c r="BG543" i="3"/>
  <c r="BH543" i="3" s="1"/>
  <c r="BI543" i="3" s="1"/>
  <c r="X546" i="3"/>
  <c r="AU546" i="3"/>
  <c r="BB543" i="3"/>
  <c r="BQ543" i="3"/>
  <c r="BF543" i="3"/>
  <c r="BJ542" i="3" s="1"/>
  <c r="BK542" i="3" s="1"/>
  <c r="AW545" i="3"/>
  <c r="AY545" i="3" s="1"/>
  <c r="AR547" i="3"/>
  <c r="AQ547" i="3"/>
  <c r="A548" i="3"/>
  <c r="B547" i="3"/>
  <c r="D547" i="3"/>
  <c r="C547" i="3"/>
  <c r="G547" i="3"/>
  <c r="H547" i="3" s="1"/>
  <c r="F547" i="3"/>
  <c r="Q547" i="3"/>
  <c r="S547" i="3"/>
  <c r="O547" i="3"/>
  <c r="U547" i="3"/>
  <c r="AE547" i="3"/>
  <c r="AD547" i="3"/>
  <c r="M547" i="3"/>
  <c r="AF547" i="3"/>
  <c r="AM547" i="3"/>
  <c r="AK547" i="3"/>
  <c r="T547" i="3"/>
  <c r="P547" i="3"/>
  <c r="V547" i="3"/>
  <c r="R547" i="3"/>
  <c r="AO547" i="3" l="1"/>
  <c r="BM547" i="3"/>
  <c r="BN547" i="3"/>
  <c r="AT546" i="3"/>
  <c r="AW546" i="3"/>
  <c r="A549" i="3"/>
  <c r="C548" i="3"/>
  <c r="D548" i="3"/>
  <c r="AQ548" i="3"/>
  <c r="B548" i="3"/>
  <c r="AR548" i="3"/>
  <c r="F548" i="3"/>
  <c r="BM548" i="3" s="1"/>
  <c r="G548" i="3"/>
  <c r="H548" i="3" s="1"/>
  <c r="BN548" i="3" s="1"/>
  <c r="Q548" i="3"/>
  <c r="S548" i="3"/>
  <c r="O548" i="3"/>
  <c r="U548" i="3"/>
  <c r="M548" i="3"/>
  <c r="AD548" i="3"/>
  <c r="AE548" i="3"/>
  <c r="AF548" i="3"/>
  <c r="AK548" i="3"/>
  <c r="AM548" i="3"/>
  <c r="R548" i="3"/>
  <c r="T548" i="3"/>
  <c r="V548" i="3"/>
  <c r="P548" i="3"/>
  <c r="AH547" i="3"/>
  <c r="Y547" i="3"/>
  <c r="Z547" i="3" s="1"/>
  <c r="AY546" i="3"/>
  <c r="AN547" i="3"/>
  <c r="BA545" i="3"/>
  <c r="BC545" i="3"/>
  <c r="X547" i="3"/>
  <c r="BB544" i="3"/>
  <c r="BF544" i="3"/>
  <c r="BJ543" i="3" s="1"/>
  <c r="BK543" i="3" s="1"/>
  <c r="BQ544" i="3"/>
  <c r="AG547" i="3"/>
  <c r="AW547" i="3" s="1"/>
  <c r="BA546" i="3"/>
  <c r="AV546" i="3"/>
  <c r="BC546" i="3" s="1"/>
  <c r="BD544" i="3"/>
  <c r="BG544" i="3"/>
  <c r="BH544" i="3" s="1"/>
  <c r="BI544" i="3" s="1"/>
  <c r="AO548" i="3" l="1"/>
  <c r="AG548" i="3"/>
  <c r="AH548" i="3"/>
  <c r="AT548" i="3" s="1"/>
  <c r="AN548" i="3"/>
  <c r="BQ546" i="3"/>
  <c r="BB546" i="3"/>
  <c r="BF546" i="3"/>
  <c r="AW548" i="3"/>
  <c r="BB545" i="3"/>
  <c r="BF545" i="3"/>
  <c r="BJ544" i="3" s="1"/>
  <c r="BK544" i="3" s="1"/>
  <c r="BQ545" i="3"/>
  <c r="BD546" i="3"/>
  <c r="BG546" i="3"/>
  <c r="BH546" i="3" s="1"/>
  <c r="BI546" i="3" s="1"/>
  <c r="AU548" i="3"/>
  <c r="Y548" i="3"/>
  <c r="Z548" i="3" s="1"/>
  <c r="AQ549" i="3"/>
  <c r="B549" i="3"/>
  <c r="AR549" i="3"/>
  <c r="D549" i="3"/>
  <c r="C549" i="3"/>
  <c r="A550" i="3"/>
  <c r="G549" i="3"/>
  <c r="H549" i="3" s="1"/>
  <c r="F549" i="3"/>
  <c r="Q549" i="3"/>
  <c r="S549" i="3"/>
  <c r="O549" i="3"/>
  <c r="U549" i="3"/>
  <c r="AE549" i="3"/>
  <c r="AD549" i="3"/>
  <c r="AM549" i="3"/>
  <c r="AF549" i="3"/>
  <c r="M549" i="3"/>
  <c r="AK549" i="3"/>
  <c r="AO549" i="3" s="1"/>
  <c r="P549" i="3"/>
  <c r="R549" i="3"/>
  <c r="T549" i="3"/>
  <c r="V549" i="3"/>
  <c r="AX548" i="3"/>
  <c r="AY548" i="3" s="1"/>
  <c r="X548" i="3"/>
  <c r="BD545" i="3"/>
  <c r="BG545" i="3"/>
  <c r="BH545" i="3" s="1"/>
  <c r="BI545" i="3" s="1"/>
  <c r="AX547" i="3"/>
  <c r="AY547" i="3" s="1"/>
  <c r="AU547" i="3"/>
  <c r="AT547" i="3"/>
  <c r="AG549" i="3" l="1"/>
  <c r="B550" i="3"/>
  <c r="AQ550" i="3"/>
  <c r="C550" i="3"/>
  <c r="A551" i="3"/>
  <c r="AR550" i="3"/>
  <c r="D550" i="3"/>
  <c r="G550" i="3"/>
  <c r="H550" i="3" s="1"/>
  <c r="BN550" i="3" s="1"/>
  <c r="F550" i="3"/>
  <c r="BM550" i="3" s="1"/>
  <c r="Q550" i="3"/>
  <c r="S550" i="3"/>
  <c r="O550" i="3"/>
  <c r="U550" i="3"/>
  <c r="AE550" i="3"/>
  <c r="AD550" i="3"/>
  <c r="M550" i="3"/>
  <c r="AK550" i="3"/>
  <c r="AM550" i="3"/>
  <c r="AF550" i="3"/>
  <c r="T550" i="3"/>
  <c r="V550" i="3"/>
  <c r="P550" i="3"/>
  <c r="R550" i="3"/>
  <c r="AN549" i="3"/>
  <c r="Y549" i="3"/>
  <c r="Z549" i="3" s="1"/>
  <c r="BJ545" i="3"/>
  <c r="BK545" i="3" s="1"/>
  <c r="AH549" i="3"/>
  <c r="X549" i="3"/>
  <c r="BA547" i="3"/>
  <c r="AV547" i="3"/>
  <c r="BC547" i="3" s="1"/>
  <c r="BM549" i="3"/>
  <c r="BA548" i="3"/>
  <c r="AV548" i="3"/>
  <c r="BC548" i="3" s="1"/>
  <c r="BN549" i="3"/>
  <c r="AN550" i="3" l="1"/>
  <c r="X550" i="3"/>
  <c r="BB547" i="3"/>
  <c r="BF547" i="3"/>
  <c r="BJ546" i="3" s="1"/>
  <c r="BK546" i="3" s="1"/>
  <c r="BQ547" i="3"/>
  <c r="AW549" i="3"/>
  <c r="AX549" i="3"/>
  <c r="AO550" i="3"/>
  <c r="BD548" i="3"/>
  <c r="BG548" i="3"/>
  <c r="BH548" i="3" s="1"/>
  <c r="BI548" i="3" s="1"/>
  <c r="BD547" i="3"/>
  <c r="BG547" i="3"/>
  <c r="BH547" i="3" s="1"/>
  <c r="BI547" i="3" s="1"/>
  <c r="BF548" i="3"/>
  <c r="BJ547" i="3" s="1"/>
  <c r="BK547" i="3" s="1"/>
  <c r="BQ548" i="3"/>
  <c r="BB548" i="3"/>
  <c r="AU549" i="3"/>
  <c r="AG550" i="3"/>
  <c r="AH550" i="3"/>
  <c r="AX550" i="3" s="1"/>
  <c r="C551" i="3"/>
  <c r="AR551" i="3"/>
  <c r="B551" i="3"/>
  <c r="AQ551" i="3"/>
  <c r="D551" i="3"/>
  <c r="A552" i="3"/>
  <c r="G551" i="3"/>
  <c r="H551" i="3" s="1"/>
  <c r="BN551" i="3" s="1"/>
  <c r="F551" i="3"/>
  <c r="S551" i="3"/>
  <c r="Q551" i="3"/>
  <c r="O551" i="3"/>
  <c r="U551" i="3"/>
  <c r="AE551" i="3"/>
  <c r="AD551" i="3"/>
  <c r="AK551" i="3"/>
  <c r="M551" i="3"/>
  <c r="AM551" i="3"/>
  <c r="AF551" i="3"/>
  <c r="AH551" i="3" s="1"/>
  <c r="R551" i="3"/>
  <c r="T551" i="3"/>
  <c r="V551" i="3"/>
  <c r="P551" i="3"/>
  <c r="Y550" i="3"/>
  <c r="Z550" i="3" s="1"/>
  <c r="AT549" i="3"/>
  <c r="AN551" i="3" l="1"/>
  <c r="Y551" i="3"/>
  <c r="Z551" i="3" s="1"/>
  <c r="AO551" i="3"/>
  <c r="AW550" i="3"/>
  <c r="AY550" i="3" s="1"/>
  <c r="AY549" i="3"/>
  <c r="AT550" i="3"/>
  <c r="AG551" i="3"/>
  <c r="AW551" i="3" s="1"/>
  <c r="B552" i="3"/>
  <c r="AQ552" i="3"/>
  <c r="AR552" i="3"/>
  <c r="A553" i="3"/>
  <c r="C552" i="3"/>
  <c r="D552" i="3"/>
  <c r="F552" i="3"/>
  <c r="BM552" i="3" s="1"/>
  <c r="G552" i="3"/>
  <c r="H552" i="3" s="1"/>
  <c r="BN552" i="3" s="1"/>
  <c r="Q552" i="3"/>
  <c r="S552" i="3"/>
  <c r="O552" i="3"/>
  <c r="U552" i="3"/>
  <c r="AD552" i="3"/>
  <c r="AE552" i="3"/>
  <c r="M552" i="3"/>
  <c r="AM552" i="3"/>
  <c r="AK552" i="3"/>
  <c r="AF552" i="3"/>
  <c r="T552" i="3"/>
  <c r="P552" i="3"/>
  <c r="R552" i="3"/>
  <c r="V552" i="3"/>
  <c r="AU550" i="3"/>
  <c r="X551" i="3"/>
  <c r="BA549" i="3"/>
  <c r="AV549" i="3"/>
  <c r="BM551" i="3"/>
  <c r="AT551" i="3"/>
  <c r="BC549" i="3" l="1"/>
  <c r="AO552" i="3"/>
  <c r="AU551" i="3"/>
  <c r="AG552" i="3"/>
  <c r="AN552" i="3"/>
  <c r="BQ549" i="3"/>
  <c r="BB549" i="3"/>
  <c r="BF549" i="3"/>
  <c r="BJ548" i="3" s="1"/>
  <c r="BK548" i="3" s="1"/>
  <c r="BD549" i="3"/>
  <c r="BG549" i="3"/>
  <c r="BH549" i="3" s="1"/>
  <c r="BI549" i="3" s="1"/>
  <c r="AQ553" i="3"/>
  <c r="B553" i="3"/>
  <c r="A554" i="3"/>
  <c r="D553" i="3"/>
  <c r="AR553" i="3"/>
  <c r="C553" i="3"/>
  <c r="F553" i="3"/>
  <c r="BM553" i="3" s="1"/>
  <c r="G553" i="3"/>
  <c r="H553" i="3" s="1"/>
  <c r="BN553" i="3" s="1"/>
  <c r="Q553" i="3"/>
  <c r="S553" i="3"/>
  <c r="O553" i="3"/>
  <c r="U553" i="3"/>
  <c r="AD553" i="3"/>
  <c r="AE553" i="3"/>
  <c r="M553" i="3"/>
  <c r="AM553" i="3"/>
  <c r="AK553" i="3"/>
  <c r="AO553" i="3" s="1"/>
  <c r="AF553" i="3"/>
  <c r="P553" i="3"/>
  <c r="R553" i="3"/>
  <c r="T553" i="3"/>
  <c r="V553" i="3"/>
  <c r="X552" i="3"/>
  <c r="AH552" i="3"/>
  <c r="AX552" i="3" s="1"/>
  <c r="AV551" i="3"/>
  <c r="AV550" i="3"/>
  <c r="BC550" i="3" s="1"/>
  <c r="BA550" i="3"/>
  <c r="AX551" i="3"/>
  <c r="AY551" i="3" s="1"/>
  <c r="Y552" i="3"/>
  <c r="Z552" i="3" s="1"/>
  <c r="X553" i="3" l="1"/>
  <c r="AU552" i="3"/>
  <c r="AG553" i="3"/>
  <c r="AT552" i="3"/>
  <c r="AN553" i="3"/>
  <c r="AH553" i="3"/>
  <c r="BQ550" i="3"/>
  <c r="BB550" i="3"/>
  <c r="BF550" i="3"/>
  <c r="BJ549" i="3" s="1"/>
  <c r="BK549" i="3" s="1"/>
  <c r="AT553" i="3"/>
  <c r="A555" i="3"/>
  <c r="B554" i="3"/>
  <c r="AR554" i="3"/>
  <c r="AQ554" i="3"/>
  <c r="D554" i="3"/>
  <c r="C554" i="3"/>
  <c r="G554" i="3"/>
  <c r="H554" i="3" s="1"/>
  <c r="BN554" i="3" s="1"/>
  <c r="F554" i="3"/>
  <c r="BM554" i="3" s="1"/>
  <c r="Q554" i="3"/>
  <c r="S554" i="3"/>
  <c r="O554" i="3"/>
  <c r="U554" i="3"/>
  <c r="AE554" i="3"/>
  <c r="AD554" i="3"/>
  <c r="M554" i="3"/>
  <c r="AM554" i="3"/>
  <c r="AK554" i="3"/>
  <c r="AF554" i="3"/>
  <c r="T554" i="3"/>
  <c r="V554" i="3"/>
  <c r="P554" i="3"/>
  <c r="R554" i="3"/>
  <c r="Y553" i="3"/>
  <c r="Z553" i="3" s="1"/>
  <c r="BC551" i="3"/>
  <c r="AU553" i="3"/>
  <c r="BD550" i="3"/>
  <c r="BG550" i="3"/>
  <c r="BH550" i="3" s="1"/>
  <c r="BI550" i="3" s="1"/>
  <c r="AV552" i="3"/>
  <c r="BA551" i="3"/>
  <c r="AW552" i="3"/>
  <c r="AY552" i="3" s="1"/>
  <c r="AX553" i="3" l="1"/>
  <c r="AG554" i="3"/>
  <c r="AN554" i="3"/>
  <c r="AH554" i="3"/>
  <c r="AW553" i="3"/>
  <c r="AY553" i="3" s="1"/>
  <c r="X554" i="3"/>
  <c r="BC552" i="3"/>
  <c r="BB551" i="3"/>
  <c r="BQ551" i="3"/>
  <c r="BF551" i="3"/>
  <c r="BJ550" i="3" s="1"/>
  <c r="BK550" i="3" s="1"/>
  <c r="BA552" i="3"/>
  <c r="BD551" i="3"/>
  <c r="BG551" i="3"/>
  <c r="BH551" i="3" s="1"/>
  <c r="BI551" i="3" s="1"/>
  <c r="AV553" i="3"/>
  <c r="BC553" i="3" s="1"/>
  <c r="BA553" i="3"/>
  <c r="AT554" i="3"/>
  <c r="Y554" i="3"/>
  <c r="Z554" i="3" s="1"/>
  <c r="AU554" i="3"/>
  <c r="B555" i="3"/>
  <c r="AQ555" i="3"/>
  <c r="A556" i="3"/>
  <c r="D555" i="3"/>
  <c r="C555" i="3"/>
  <c r="AR555" i="3"/>
  <c r="G555" i="3"/>
  <c r="H555" i="3" s="1"/>
  <c r="F555" i="3"/>
  <c r="BM555" i="3" s="1"/>
  <c r="Q555" i="3"/>
  <c r="S555" i="3"/>
  <c r="O555" i="3"/>
  <c r="U555" i="3"/>
  <c r="AD555" i="3"/>
  <c r="M555" i="3"/>
  <c r="AF555" i="3"/>
  <c r="AE555" i="3"/>
  <c r="AM555" i="3"/>
  <c r="AK555" i="3"/>
  <c r="R555" i="3"/>
  <c r="V555" i="3"/>
  <c r="T555" i="3"/>
  <c r="P555" i="3"/>
  <c r="AO554" i="3"/>
  <c r="AN555" i="3" l="1"/>
  <c r="AX554" i="3"/>
  <c r="AG555" i="3"/>
  <c r="AO555" i="3"/>
  <c r="AV554" i="3"/>
  <c r="Y555" i="3"/>
  <c r="Z555" i="3" s="1"/>
  <c r="BD553" i="3"/>
  <c r="BG553" i="3"/>
  <c r="BH553" i="3" s="1"/>
  <c r="BI553" i="3" s="1"/>
  <c r="AQ556" i="3"/>
  <c r="AR556" i="3"/>
  <c r="A557" i="3"/>
  <c r="D556" i="3"/>
  <c r="B556" i="3"/>
  <c r="C556" i="3"/>
  <c r="F556" i="3"/>
  <c r="BM556" i="3" s="1"/>
  <c r="G556" i="3"/>
  <c r="H556" i="3" s="1"/>
  <c r="BN556" i="3" s="1"/>
  <c r="Q556" i="3"/>
  <c r="S556" i="3"/>
  <c r="O556" i="3"/>
  <c r="U556" i="3"/>
  <c r="AE556" i="3"/>
  <c r="AD556" i="3"/>
  <c r="AF556" i="3"/>
  <c r="AK556" i="3"/>
  <c r="AM556" i="3"/>
  <c r="M556" i="3"/>
  <c r="T556" i="3"/>
  <c r="V556" i="3"/>
  <c r="R556" i="3"/>
  <c r="P556" i="3"/>
  <c r="AW554" i="3"/>
  <c r="AY554" i="3" s="1"/>
  <c r="AH555" i="3"/>
  <c r="AX555" i="3" s="1"/>
  <c r="BF553" i="3"/>
  <c r="BB553" i="3"/>
  <c r="BQ553" i="3"/>
  <c r="X555" i="3"/>
  <c r="AT555" i="3"/>
  <c r="BD552" i="3"/>
  <c r="BG552" i="3"/>
  <c r="BH552" i="3" s="1"/>
  <c r="BI552" i="3" s="1"/>
  <c r="AW555" i="3"/>
  <c r="AY555" i="3" s="1"/>
  <c r="BF552" i="3"/>
  <c r="BJ551" i="3" s="1"/>
  <c r="BK551" i="3" s="1"/>
  <c r="BB552" i="3"/>
  <c r="BQ552" i="3"/>
  <c r="BN555" i="3"/>
  <c r="AN556" i="3" l="1"/>
  <c r="AG556" i="3"/>
  <c r="BA554" i="3"/>
  <c r="BC554" i="3"/>
  <c r="X556" i="3"/>
  <c r="AQ557" i="3"/>
  <c r="AR557" i="3"/>
  <c r="A558" i="3"/>
  <c r="B557" i="3"/>
  <c r="D557" i="3"/>
  <c r="C557" i="3"/>
  <c r="F557" i="3"/>
  <c r="BM557" i="3" s="1"/>
  <c r="G557" i="3"/>
  <c r="H557" i="3" s="1"/>
  <c r="BN557" i="3" s="1"/>
  <c r="Q557" i="3"/>
  <c r="S557" i="3"/>
  <c r="O557" i="3"/>
  <c r="U557" i="3"/>
  <c r="AE557" i="3"/>
  <c r="M557" i="3"/>
  <c r="AD557" i="3"/>
  <c r="AM557" i="3"/>
  <c r="AK557" i="3"/>
  <c r="AF557" i="3"/>
  <c r="V557" i="3"/>
  <c r="P557" i="3"/>
  <c r="T557" i="3"/>
  <c r="R557" i="3"/>
  <c r="AU555" i="3"/>
  <c r="BA555" i="3" s="1"/>
  <c r="BJ552" i="3"/>
  <c r="BK552" i="3" s="1"/>
  <c r="Y556" i="3"/>
  <c r="Z556" i="3" s="1"/>
  <c r="AO556" i="3"/>
  <c r="AH556" i="3"/>
  <c r="AX556" i="3" l="1"/>
  <c r="AO557" i="3"/>
  <c r="BQ555" i="3"/>
  <c r="BB555" i="3"/>
  <c r="BF555" i="3"/>
  <c r="AU556" i="3"/>
  <c r="Y557" i="3"/>
  <c r="Z557" i="3" s="1"/>
  <c r="AH557" i="3"/>
  <c r="AT556" i="3"/>
  <c r="AR558" i="3"/>
  <c r="D558" i="3"/>
  <c r="C558" i="3"/>
  <c r="A559" i="3"/>
  <c r="AQ558" i="3"/>
  <c r="B558" i="3"/>
  <c r="F558" i="3"/>
  <c r="BM558" i="3" s="1"/>
  <c r="G558" i="3"/>
  <c r="H558" i="3" s="1"/>
  <c r="BN558" i="3" s="1"/>
  <c r="Q558" i="3"/>
  <c r="S558" i="3"/>
  <c r="O558" i="3"/>
  <c r="U558" i="3"/>
  <c r="AD558" i="3"/>
  <c r="AE558" i="3"/>
  <c r="M558" i="3"/>
  <c r="AM558" i="3"/>
  <c r="AF558" i="3"/>
  <c r="AH558" i="3" s="1"/>
  <c r="AK558" i="3"/>
  <c r="AO558" i="3" s="1"/>
  <c r="P558" i="3"/>
  <c r="T558" i="3"/>
  <c r="R558" i="3"/>
  <c r="V558" i="3"/>
  <c r="AV555" i="3"/>
  <c r="BC555" i="3" s="1"/>
  <c r="AG557" i="3"/>
  <c r="AW556" i="3"/>
  <c r="AY556" i="3" s="1"/>
  <c r="BD554" i="3"/>
  <c r="BG554" i="3"/>
  <c r="BH554" i="3" s="1"/>
  <c r="BI554" i="3" s="1"/>
  <c r="AN557" i="3"/>
  <c r="BF554" i="3"/>
  <c r="BJ553" i="3" s="1"/>
  <c r="BK553" i="3" s="1"/>
  <c r="BB554" i="3"/>
  <c r="BQ554" i="3"/>
  <c r="X557" i="3"/>
  <c r="AT557" i="3" l="1"/>
  <c r="AR559" i="3"/>
  <c r="B559" i="3"/>
  <c r="A560" i="3"/>
  <c r="C559" i="3"/>
  <c r="D559" i="3"/>
  <c r="AQ559" i="3"/>
  <c r="G559" i="3"/>
  <c r="H559" i="3" s="1"/>
  <c r="BN559" i="3" s="1"/>
  <c r="F559" i="3"/>
  <c r="BM559" i="3" s="1"/>
  <c r="Q559" i="3"/>
  <c r="S559" i="3"/>
  <c r="O559" i="3"/>
  <c r="U559" i="3"/>
  <c r="AE559" i="3"/>
  <c r="AD559" i="3"/>
  <c r="AK559" i="3"/>
  <c r="AM559" i="3"/>
  <c r="AF559" i="3"/>
  <c r="M559" i="3"/>
  <c r="R559" i="3"/>
  <c r="T559" i="3"/>
  <c r="P559" i="3"/>
  <c r="V559" i="3"/>
  <c r="AN558" i="3"/>
  <c r="BD555" i="3"/>
  <c r="BG555" i="3"/>
  <c r="BH555" i="3" s="1"/>
  <c r="BI555" i="3" s="1"/>
  <c r="AV556" i="3"/>
  <c r="BC556" i="3" s="1"/>
  <c r="BA556" i="3"/>
  <c r="AU557" i="3"/>
  <c r="BJ554" i="3"/>
  <c r="BK554" i="3" s="1"/>
  <c r="AG558" i="3"/>
  <c r="AW558" i="3" s="1"/>
  <c r="X558" i="3"/>
  <c r="AW557" i="3"/>
  <c r="Y558" i="3"/>
  <c r="Z558" i="3" s="1"/>
  <c r="AX557" i="3"/>
  <c r="AN559" i="3" l="1"/>
  <c r="BA557" i="3"/>
  <c r="BQ557" i="3" s="1"/>
  <c r="AY557" i="3"/>
  <c r="BF557" i="3"/>
  <c r="BB557" i="3"/>
  <c r="AH559" i="3"/>
  <c r="X559" i="3"/>
  <c r="AX558" i="3"/>
  <c r="AY558" i="3" s="1"/>
  <c r="AT558" i="3"/>
  <c r="AO559" i="3"/>
  <c r="AG559" i="3"/>
  <c r="BB556" i="3"/>
  <c r="BF556" i="3"/>
  <c r="BJ555" i="3" s="1"/>
  <c r="BK555" i="3" s="1"/>
  <c r="BQ556" i="3"/>
  <c r="BD556" i="3"/>
  <c r="BG556" i="3"/>
  <c r="BH556" i="3" s="1"/>
  <c r="BI556" i="3" s="1"/>
  <c r="AU558" i="3"/>
  <c r="Y559" i="3"/>
  <c r="Z559" i="3" s="1"/>
  <c r="AV557" i="3"/>
  <c r="BC557" i="3" s="1"/>
  <c r="AU559" i="3"/>
  <c r="B560" i="3"/>
  <c r="AR560" i="3"/>
  <c r="D560" i="3"/>
  <c r="A561" i="3"/>
  <c r="C560" i="3"/>
  <c r="AQ560" i="3"/>
  <c r="F560" i="3"/>
  <c r="BM560" i="3" s="1"/>
  <c r="G560" i="3"/>
  <c r="H560" i="3" s="1"/>
  <c r="BN560" i="3" s="1"/>
  <c r="Q560" i="3"/>
  <c r="S560" i="3"/>
  <c r="O560" i="3"/>
  <c r="U560" i="3"/>
  <c r="AD560" i="3"/>
  <c r="M560" i="3"/>
  <c r="AK560" i="3"/>
  <c r="AM560" i="3"/>
  <c r="AN560" i="3" s="1"/>
  <c r="AF560" i="3"/>
  <c r="AE560" i="3"/>
  <c r="P560" i="3"/>
  <c r="T560" i="3"/>
  <c r="R560" i="3"/>
  <c r="V560" i="3"/>
  <c r="AW559" i="3" l="1"/>
  <c r="AG560" i="3"/>
  <c r="AO560" i="3"/>
  <c r="BD557" i="3"/>
  <c r="BG557" i="3"/>
  <c r="BH557" i="3" s="1"/>
  <c r="BI557" i="3" s="1"/>
  <c r="AH560" i="3"/>
  <c r="AX560" i="3" s="1"/>
  <c r="AX559" i="3"/>
  <c r="AY559" i="3" s="1"/>
  <c r="X560" i="3"/>
  <c r="AT559" i="3"/>
  <c r="AV558" i="3"/>
  <c r="BC558" i="3" s="1"/>
  <c r="BA558" i="3"/>
  <c r="AT560" i="3"/>
  <c r="BJ556" i="3"/>
  <c r="BK556" i="3" s="1"/>
  <c r="C561" i="3"/>
  <c r="AQ561" i="3"/>
  <c r="B561" i="3"/>
  <c r="A562" i="3"/>
  <c r="AR561" i="3"/>
  <c r="D561" i="3"/>
  <c r="F561" i="3"/>
  <c r="G561" i="3"/>
  <c r="H561" i="3" s="1"/>
  <c r="Q561" i="3"/>
  <c r="S561" i="3"/>
  <c r="O561" i="3"/>
  <c r="U561" i="3"/>
  <c r="AE561" i="3"/>
  <c r="AD561" i="3"/>
  <c r="M561" i="3"/>
  <c r="AM561" i="3"/>
  <c r="AK561" i="3"/>
  <c r="AO561" i="3" s="1"/>
  <c r="AF561" i="3"/>
  <c r="P561" i="3"/>
  <c r="R561" i="3"/>
  <c r="V561" i="3"/>
  <c r="T561" i="3"/>
  <c r="Y560" i="3"/>
  <c r="Z560" i="3" s="1"/>
  <c r="AW560" i="3" l="1"/>
  <c r="AY560" i="3" s="1"/>
  <c r="AU560" i="3"/>
  <c r="AV560" i="3" s="1"/>
  <c r="AG561" i="3"/>
  <c r="B562" i="3"/>
  <c r="A563" i="3"/>
  <c r="AQ562" i="3"/>
  <c r="AR562" i="3"/>
  <c r="D562" i="3"/>
  <c r="C562" i="3"/>
  <c r="G562" i="3"/>
  <c r="H562" i="3" s="1"/>
  <c r="BN562" i="3" s="1"/>
  <c r="F562" i="3"/>
  <c r="BM562" i="3" s="1"/>
  <c r="Q562" i="3"/>
  <c r="S562" i="3"/>
  <c r="O562" i="3"/>
  <c r="U562" i="3"/>
  <c r="AE562" i="3"/>
  <c r="M562" i="3"/>
  <c r="AD562" i="3"/>
  <c r="AK562" i="3"/>
  <c r="AM562" i="3"/>
  <c r="AF562" i="3"/>
  <c r="R562" i="3"/>
  <c r="V562" i="3"/>
  <c r="P562" i="3"/>
  <c r="T562" i="3"/>
  <c r="AN561" i="3"/>
  <c r="AV559" i="3"/>
  <c r="BC559" i="3" s="1"/>
  <c r="BA559" i="3"/>
  <c r="Y561" i="3"/>
  <c r="Z561" i="3" s="1"/>
  <c r="BQ558" i="3"/>
  <c r="BB558" i="3"/>
  <c r="BF558" i="3"/>
  <c r="BJ557" i="3" s="1"/>
  <c r="BK557" i="3" s="1"/>
  <c r="BD558" i="3"/>
  <c r="BG558" i="3"/>
  <c r="BH558" i="3" s="1"/>
  <c r="BI558" i="3" s="1"/>
  <c r="AH561" i="3"/>
  <c r="AX561" i="3" s="1"/>
  <c r="X561" i="3"/>
  <c r="BN561" i="3"/>
  <c r="BM561" i="3"/>
  <c r="BC560" i="3" l="1"/>
  <c r="BA560" i="3"/>
  <c r="AO562" i="3"/>
  <c r="AG562" i="3"/>
  <c r="AH562" i="3"/>
  <c r="AU562" i="3" s="1"/>
  <c r="AT561" i="3"/>
  <c r="AW561" i="3"/>
  <c r="AY561" i="3" s="1"/>
  <c r="X562" i="3"/>
  <c r="BQ559" i="3"/>
  <c r="BF559" i="3"/>
  <c r="BJ558" i="3" s="1"/>
  <c r="BK558" i="3" s="1"/>
  <c r="BB559" i="3"/>
  <c r="Y562" i="3"/>
  <c r="Z562" i="3" s="1"/>
  <c r="BQ560" i="3"/>
  <c r="BB560" i="3"/>
  <c r="BF560" i="3"/>
  <c r="BJ559" i="3" s="1"/>
  <c r="BK559" i="3" s="1"/>
  <c r="BD560" i="3"/>
  <c r="BG560" i="3"/>
  <c r="BH560" i="3" s="1"/>
  <c r="BI560" i="3" s="1"/>
  <c r="BD559" i="3"/>
  <c r="BG559" i="3"/>
  <c r="BH559" i="3" s="1"/>
  <c r="BI559" i="3" s="1"/>
  <c r="AR563" i="3"/>
  <c r="B563" i="3"/>
  <c r="AQ563" i="3"/>
  <c r="C563" i="3"/>
  <c r="D563" i="3"/>
  <c r="A564" i="3"/>
  <c r="G563" i="3"/>
  <c r="H563" i="3" s="1"/>
  <c r="BN563" i="3" s="1"/>
  <c r="F563" i="3"/>
  <c r="BM563" i="3" s="1"/>
  <c r="Q563" i="3"/>
  <c r="S563" i="3"/>
  <c r="O563" i="3"/>
  <c r="U563" i="3"/>
  <c r="AD563" i="3"/>
  <c r="AE563" i="3"/>
  <c r="M563" i="3"/>
  <c r="AM563" i="3"/>
  <c r="AK563" i="3"/>
  <c r="AF563" i="3"/>
  <c r="R563" i="3"/>
  <c r="T563" i="3"/>
  <c r="V563" i="3"/>
  <c r="P563" i="3"/>
  <c r="AN562" i="3"/>
  <c r="AU561" i="3"/>
  <c r="AX562" i="3" l="1"/>
  <c r="AN563" i="3"/>
  <c r="AO563" i="3"/>
  <c r="AT562" i="3"/>
  <c r="AW562" i="3"/>
  <c r="AQ564" i="3"/>
  <c r="B564" i="3"/>
  <c r="AR564" i="3"/>
  <c r="A565" i="3"/>
  <c r="C564" i="3"/>
  <c r="D564" i="3"/>
  <c r="G564" i="3"/>
  <c r="H564" i="3" s="1"/>
  <c r="BN564" i="3" s="1"/>
  <c r="F564" i="3"/>
  <c r="BM564" i="3" s="1"/>
  <c r="Q564" i="3"/>
  <c r="S564" i="3"/>
  <c r="O564" i="3"/>
  <c r="U564" i="3"/>
  <c r="AD564" i="3"/>
  <c r="M564" i="3"/>
  <c r="AE564" i="3"/>
  <c r="AK564" i="3"/>
  <c r="AF564" i="3"/>
  <c r="AM564" i="3"/>
  <c r="P564" i="3"/>
  <c r="T564" i="3"/>
  <c r="R564" i="3"/>
  <c r="V564" i="3"/>
  <c r="AH563" i="3"/>
  <c r="X563" i="3"/>
  <c r="AV561" i="3"/>
  <c r="BC561" i="3" s="1"/>
  <c r="BA561" i="3"/>
  <c r="AG563" i="3"/>
  <c r="AW563" i="3" s="1"/>
  <c r="AV562" i="3"/>
  <c r="BA562" i="3"/>
  <c r="Y563" i="3"/>
  <c r="Z563" i="3" s="1"/>
  <c r="AT563" i="3"/>
  <c r="AY562" i="3" l="1"/>
  <c r="AN564" i="3"/>
  <c r="BC562" i="3"/>
  <c r="AH564" i="3"/>
  <c r="BD561" i="3"/>
  <c r="BG561" i="3"/>
  <c r="BH561" i="3" s="1"/>
  <c r="BI561" i="3" s="1"/>
  <c r="B565" i="3"/>
  <c r="A566" i="3"/>
  <c r="AR565" i="3"/>
  <c r="D565" i="3"/>
  <c r="C565" i="3"/>
  <c r="AQ565" i="3"/>
  <c r="G565" i="3"/>
  <c r="H565" i="3" s="1"/>
  <c r="BN565" i="3" s="1"/>
  <c r="F565" i="3"/>
  <c r="BM565" i="3" s="1"/>
  <c r="Q565" i="3"/>
  <c r="S565" i="3"/>
  <c r="O565" i="3"/>
  <c r="U565" i="3"/>
  <c r="AD565" i="3"/>
  <c r="M565" i="3"/>
  <c r="AM565" i="3"/>
  <c r="AF565" i="3"/>
  <c r="AE565" i="3"/>
  <c r="AK565" i="3"/>
  <c r="P565" i="3"/>
  <c r="T565" i="3"/>
  <c r="V565" i="3"/>
  <c r="R565" i="3"/>
  <c r="AG564" i="3"/>
  <c r="AU564" i="3" s="1"/>
  <c r="AO564" i="3"/>
  <c r="Y564" i="3"/>
  <c r="Z564" i="3" s="1"/>
  <c r="X564" i="3"/>
  <c r="BB562" i="3"/>
  <c r="BF562" i="3"/>
  <c r="BQ562" i="3"/>
  <c r="BD562" i="3"/>
  <c r="BG562" i="3"/>
  <c r="BH562" i="3" s="1"/>
  <c r="BI562" i="3" s="1"/>
  <c r="AU563" i="3"/>
  <c r="BQ561" i="3"/>
  <c r="BB561" i="3"/>
  <c r="BF561" i="3"/>
  <c r="BJ560" i="3" s="1"/>
  <c r="BK560" i="3" s="1"/>
  <c r="AX563" i="3"/>
  <c r="AY563" i="3" s="1"/>
  <c r="AH565" i="3" l="1"/>
  <c r="BA563" i="3"/>
  <c r="BQ563" i="3" s="1"/>
  <c r="BJ561" i="3"/>
  <c r="BK561" i="3" s="1"/>
  <c r="AO565" i="3"/>
  <c r="BB563" i="3"/>
  <c r="BF563" i="3"/>
  <c r="BJ562" i="3" s="1"/>
  <c r="BK562" i="3" s="1"/>
  <c r="X565" i="3"/>
  <c r="Y565" i="3"/>
  <c r="Z565" i="3" s="1"/>
  <c r="AT564" i="3"/>
  <c r="AX564" i="3"/>
  <c r="AG565" i="3"/>
  <c r="AT565" i="3" s="1"/>
  <c r="AV563" i="3"/>
  <c r="BC563" i="3" s="1"/>
  <c r="AW564" i="3"/>
  <c r="A567" i="3"/>
  <c r="AQ566" i="3"/>
  <c r="AR566" i="3"/>
  <c r="D566" i="3"/>
  <c r="B566" i="3"/>
  <c r="C566" i="3"/>
  <c r="G566" i="3"/>
  <c r="H566" i="3" s="1"/>
  <c r="F566" i="3"/>
  <c r="Q566" i="3"/>
  <c r="S566" i="3"/>
  <c r="O566" i="3"/>
  <c r="U566" i="3"/>
  <c r="AE566" i="3"/>
  <c r="M566" i="3"/>
  <c r="AD566" i="3"/>
  <c r="AF566" i="3"/>
  <c r="AM566" i="3"/>
  <c r="AK566" i="3"/>
  <c r="T566" i="3"/>
  <c r="V566" i="3"/>
  <c r="P566" i="3"/>
  <c r="R566" i="3"/>
  <c r="AN565" i="3"/>
  <c r="AX565" i="3" s="1"/>
  <c r="AO566" i="3" l="1"/>
  <c r="AH566" i="3"/>
  <c r="AR567" i="3"/>
  <c r="A568" i="3"/>
  <c r="C567" i="3"/>
  <c r="D567" i="3"/>
  <c r="B567" i="3"/>
  <c r="AQ567" i="3"/>
  <c r="G567" i="3"/>
  <c r="H567" i="3" s="1"/>
  <c r="BN567" i="3" s="1"/>
  <c r="F567" i="3"/>
  <c r="BM567" i="3" s="1"/>
  <c r="Q567" i="3"/>
  <c r="S567" i="3"/>
  <c r="O567" i="3"/>
  <c r="U567" i="3"/>
  <c r="M567" i="3"/>
  <c r="AD567" i="3"/>
  <c r="AM567" i="3"/>
  <c r="AE567" i="3"/>
  <c r="AF567" i="3"/>
  <c r="AK567" i="3"/>
  <c r="P567" i="3"/>
  <c r="V567" i="3"/>
  <c r="T567" i="3"/>
  <c r="R567" i="3"/>
  <c r="Y566" i="3"/>
  <c r="Z566" i="3" s="1"/>
  <c r="AN566" i="3"/>
  <c r="AY564" i="3"/>
  <c r="X566" i="3"/>
  <c r="AW565" i="3"/>
  <c r="AY565" i="3" s="1"/>
  <c r="AG566" i="3"/>
  <c r="AW566" i="3" s="1"/>
  <c r="AU565" i="3"/>
  <c r="AV565" i="3" s="1"/>
  <c r="BM566" i="3"/>
  <c r="BD563" i="3"/>
  <c r="BG563" i="3"/>
  <c r="BH563" i="3" s="1"/>
  <c r="BI563" i="3" s="1"/>
  <c r="AV564" i="3"/>
  <c r="BC564" i="3" s="1"/>
  <c r="BA564" i="3"/>
  <c r="BN566" i="3"/>
  <c r="AG567" i="3" l="1"/>
  <c r="BC565" i="3"/>
  <c r="AX566" i="3"/>
  <c r="AY566" i="3" s="1"/>
  <c r="AN567" i="3"/>
  <c r="X567" i="3"/>
  <c r="BD565" i="3"/>
  <c r="BG565" i="3"/>
  <c r="BH565" i="3" s="1"/>
  <c r="BI565" i="3" s="1"/>
  <c r="AH567" i="3"/>
  <c r="BD564" i="3"/>
  <c r="BG564" i="3"/>
  <c r="BH564" i="3" s="1"/>
  <c r="BI564" i="3" s="1"/>
  <c r="AU567" i="3"/>
  <c r="BB564" i="3"/>
  <c r="BQ564" i="3"/>
  <c r="BF564" i="3"/>
  <c r="BJ563" i="3" s="1"/>
  <c r="BK563" i="3" s="1"/>
  <c r="A569" i="3"/>
  <c r="C568" i="3"/>
  <c r="D568" i="3"/>
  <c r="B568" i="3"/>
  <c r="AQ568" i="3"/>
  <c r="AR568" i="3"/>
  <c r="G568" i="3"/>
  <c r="H568" i="3" s="1"/>
  <c r="F568" i="3"/>
  <c r="Q568" i="3"/>
  <c r="S568" i="3"/>
  <c r="O568" i="3"/>
  <c r="U568" i="3"/>
  <c r="M568" i="3"/>
  <c r="AE568" i="3"/>
  <c r="AD568" i="3"/>
  <c r="AK568" i="3"/>
  <c r="AM568" i="3"/>
  <c r="AF568" i="3"/>
  <c r="R568" i="3"/>
  <c r="V568" i="3"/>
  <c r="T568" i="3"/>
  <c r="P568" i="3"/>
  <c r="BA565" i="3"/>
  <c r="AT567" i="3"/>
  <c r="AO567" i="3"/>
  <c r="AU566" i="3"/>
  <c r="Y567" i="3"/>
  <c r="Z567" i="3" s="1"/>
  <c r="AT566" i="3"/>
  <c r="BM568" i="3" l="1"/>
  <c r="BN568" i="3"/>
  <c r="AN568" i="3"/>
  <c r="AW567" i="3"/>
  <c r="AQ569" i="3"/>
  <c r="B569" i="3"/>
  <c r="AR569" i="3"/>
  <c r="C569" i="3"/>
  <c r="D569" i="3"/>
  <c r="A570" i="3"/>
  <c r="G569" i="3"/>
  <c r="H569" i="3" s="1"/>
  <c r="BN569" i="3" s="1"/>
  <c r="F569" i="3"/>
  <c r="BM569" i="3" s="1"/>
  <c r="Q569" i="3"/>
  <c r="S569" i="3"/>
  <c r="O569" i="3"/>
  <c r="U569" i="3"/>
  <c r="AD569" i="3"/>
  <c r="AE569" i="3"/>
  <c r="AF569" i="3"/>
  <c r="AM569" i="3"/>
  <c r="AK569" i="3"/>
  <c r="M569" i="3"/>
  <c r="V569" i="3"/>
  <c r="P569" i="3"/>
  <c r="R569" i="3"/>
  <c r="T569" i="3"/>
  <c r="AG568" i="3"/>
  <c r="AV566" i="3"/>
  <c r="BC566" i="3" s="1"/>
  <c r="BA566" i="3"/>
  <c r="AV567" i="3"/>
  <c r="Y568" i="3"/>
  <c r="Z568" i="3" s="1"/>
  <c r="AO568" i="3"/>
  <c r="X568" i="3"/>
  <c r="AH568" i="3"/>
  <c r="AX568" i="3" s="1"/>
  <c r="BB565" i="3"/>
  <c r="BQ565" i="3"/>
  <c r="BF565" i="3"/>
  <c r="BJ564" i="3" s="1"/>
  <c r="BK564" i="3" s="1"/>
  <c r="AX567" i="3"/>
  <c r="AY567" i="3" s="1"/>
  <c r="AH569" i="3" l="1"/>
  <c r="AN569" i="3"/>
  <c r="AG569" i="3"/>
  <c r="X569" i="3"/>
  <c r="AO569" i="3"/>
  <c r="B570" i="3"/>
  <c r="AQ570" i="3"/>
  <c r="D570" i="3"/>
  <c r="A571" i="3"/>
  <c r="AR570" i="3"/>
  <c r="C570" i="3"/>
  <c r="F570" i="3"/>
  <c r="BM570" i="3" s="1"/>
  <c r="G570" i="3"/>
  <c r="H570" i="3" s="1"/>
  <c r="BN570" i="3" s="1"/>
  <c r="Q570" i="3"/>
  <c r="S570" i="3"/>
  <c r="O570" i="3"/>
  <c r="U570" i="3"/>
  <c r="AD570" i="3"/>
  <c r="AE570" i="3"/>
  <c r="AK570" i="3"/>
  <c r="AM570" i="3"/>
  <c r="M570" i="3"/>
  <c r="AF570" i="3"/>
  <c r="P570" i="3"/>
  <c r="R570" i="3"/>
  <c r="T570" i="3"/>
  <c r="V570" i="3"/>
  <c r="AU568" i="3"/>
  <c r="BQ566" i="3"/>
  <c r="BB566" i="3"/>
  <c r="BF566" i="3"/>
  <c r="BJ565" i="3" s="1"/>
  <c r="BK565" i="3" s="1"/>
  <c r="BA567" i="3"/>
  <c r="BG566" i="3"/>
  <c r="BH566" i="3" s="1"/>
  <c r="BI566" i="3" s="1"/>
  <c r="BD566" i="3"/>
  <c r="AT568" i="3"/>
  <c r="AW568" i="3"/>
  <c r="AY568" i="3" s="1"/>
  <c r="Y569" i="3"/>
  <c r="Z569" i="3" s="1"/>
  <c r="BC567" i="3"/>
  <c r="AU569" i="3" l="1"/>
  <c r="AX569" i="3"/>
  <c r="AW569" i="3"/>
  <c r="AT569" i="3"/>
  <c r="AN570" i="3"/>
  <c r="AG570" i="3"/>
  <c r="AO570" i="3"/>
  <c r="BQ567" i="3"/>
  <c r="BB567" i="3"/>
  <c r="BF567" i="3"/>
  <c r="BJ566" i="3" s="1"/>
  <c r="BK566" i="3" s="1"/>
  <c r="X570" i="3"/>
  <c r="C571" i="3"/>
  <c r="AR571" i="3"/>
  <c r="B571" i="3"/>
  <c r="AQ571" i="3"/>
  <c r="A572" i="3"/>
  <c r="D571" i="3"/>
  <c r="F571" i="3"/>
  <c r="BM571" i="3" s="1"/>
  <c r="G571" i="3"/>
  <c r="H571" i="3" s="1"/>
  <c r="BN571" i="3" s="1"/>
  <c r="Q571" i="3"/>
  <c r="S571" i="3"/>
  <c r="O571" i="3"/>
  <c r="U571" i="3"/>
  <c r="AE571" i="3"/>
  <c r="M571" i="3"/>
  <c r="AD571" i="3"/>
  <c r="AF571" i="3"/>
  <c r="AK571" i="3"/>
  <c r="AM571" i="3"/>
  <c r="AN571" i="3" s="1"/>
  <c r="R571" i="3"/>
  <c r="T571" i="3"/>
  <c r="P571" i="3"/>
  <c r="V571" i="3"/>
  <c r="AV568" i="3"/>
  <c r="BC568" i="3" s="1"/>
  <c r="BA568" i="3"/>
  <c r="AV569" i="3"/>
  <c r="BA569" i="3"/>
  <c r="BD567" i="3"/>
  <c r="BG567" i="3"/>
  <c r="BH567" i="3" s="1"/>
  <c r="BI567" i="3" s="1"/>
  <c r="AH570" i="3"/>
  <c r="AX570" i="3" s="1"/>
  <c r="Y570" i="3"/>
  <c r="Z570" i="3" s="1"/>
  <c r="AG571" i="3" l="1"/>
  <c r="AY569" i="3"/>
  <c r="BC569" i="3" s="1"/>
  <c r="AT570" i="3"/>
  <c r="Y571" i="3"/>
  <c r="Z571" i="3" s="1"/>
  <c r="X571" i="3"/>
  <c r="AU570" i="3"/>
  <c r="AV570" i="3" s="1"/>
  <c r="BF569" i="3"/>
  <c r="BB569" i="3"/>
  <c r="BQ569" i="3"/>
  <c r="BB568" i="3"/>
  <c r="BF568" i="3"/>
  <c r="BJ567" i="3" s="1"/>
  <c r="BK567" i="3" s="1"/>
  <c r="BQ568" i="3"/>
  <c r="B572" i="3"/>
  <c r="AQ572" i="3"/>
  <c r="AR572" i="3"/>
  <c r="D572" i="3"/>
  <c r="C572" i="3"/>
  <c r="A573" i="3"/>
  <c r="F572" i="3"/>
  <c r="BM572" i="3" s="1"/>
  <c r="G572" i="3"/>
  <c r="H572" i="3" s="1"/>
  <c r="BN572" i="3" s="1"/>
  <c r="S572" i="3"/>
  <c r="Q572" i="3"/>
  <c r="O572" i="3"/>
  <c r="U572" i="3"/>
  <c r="M572" i="3"/>
  <c r="AE572" i="3"/>
  <c r="AD572" i="3"/>
  <c r="AK572" i="3"/>
  <c r="AF572" i="3"/>
  <c r="AM572" i="3"/>
  <c r="AN572" i="3" s="1"/>
  <c r="R572" i="3"/>
  <c r="P572" i="3"/>
  <c r="V572" i="3"/>
  <c r="T572" i="3"/>
  <c r="AO571" i="3"/>
  <c r="BD568" i="3"/>
  <c r="BG568" i="3"/>
  <c r="BH568" i="3" s="1"/>
  <c r="BI568" i="3" s="1"/>
  <c r="AH571" i="3"/>
  <c r="AU571" i="3" s="1"/>
  <c r="AW570" i="3"/>
  <c r="AY570" i="3" s="1"/>
  <c r="BD569" i="3" l="1"/>
  <c r="BG569" i="3"/>
  <c r="BH569" i="3" s="1"/>
  <c r="BI569" i="3" s="1"/>
  <c r="BA570" i="3"/>
  <c r="BQ570" i="3" s="1"/>
  <c r="BC570" i="3"/>
  <c r="BD570" i="3" s="1"/>
  <c r="BF570" i="3"/>
  <c r="BJ569" i="3" s="1"/>
  <c r="BK569" i="3" s="1"/>
  <c r="BB570" i="3"/>
  <c r="Y572" i="3"/>
  <c r="Z572" i="3" s="1"/>
  <c r="AO572" i="3"/>
  <c r="AG572" i="3"/>
  <c r="AQ573" i="3"/>
  <c r="B573" i="3"/>
  <c r="A574" i="3"/>
  <c r="D573" i="3"/>
  <c r="AR573" i="3"/>
  <c r="C573" i="3"/>
  <c r="G573" i="3"/>
  <c r="H573" i="3" s="1"/>
  <c r="BN573" i="3" s="1"/>
  <c r="F573" i="3"/>
  <c r="BM573" i="3" s="1"/>
  <c r="Q573" i="3"/>
  <c r="S573" i="3"/>
  <c r="O573" i="3"/>
  <c r="U573" i="3"/>
  <c r="M573" i="3"/>
  <c r="AD573" i="3"/>
  <c r="AF573" i="3"/>
  <c r="AE573" i="3"/>
  <c r="AM573" i="3"/>
  <c r="AK573" i="3"/>
  <c r="AO573" i="3" s="1"/>
  <c r="T573" i="3"/>
  <c r="P573" i="3"/>
  <c r="V573" i="3"/>
  <c r="R573" i="3"/>
  <c r="BJ568" i="3"/>
  <c r="BK568" i="3" s="1"/>
  <c r="X572" i="3"/>
  <c r="AH572" i="3"/>
  <c r="AX572" i="3" s="1"/>
  <c r="AX571" i="3"/>
  <c r="AT571" i="3"/>
  <c r="AW571" i="3"/>
  <c r="BG570" i="3" l="1"/>
  <c r="BH570" i="3" s="1"/>
  <c r="BI570" i="3" s="1"/>
  <c r="AY571" i="3"/>
  <c r="AG573" i="3"/>
  <c r="AN573" i="3"/>
  <c r="AV571" i="3"/>
  <c r="BC571" i="3" s="1"/>
  <c r="BA571" i="3"/>
  <c r="AU572" i="3"/>
  <c r="AH573" i="3"/>
  <c r="AX573" i="3" s="1"/>
  <c r="A575" i="3"/>
  <c r="AR574" i="3"/>
  <c r="C574" i="3"/>
  <c r="D574" i="3"/>
  <c r="B574" i="3"/>
  <c r="AQ574" i="3"/>
  <c r="F574" i="3"/>
  <c r="BM574" i="3" s="1"/>
  <c r="G574" i="3"/>
  <c r="H574" i="3" s="1"/>
  <c r="BN574" i="3" s="1"/>
  <c r="Q574" i="3"/>
  <c r="S574" i="3"/>
  <c r="O574" i="3"/>
  <c r="U574" i="3"/>
  <c r="AE574" i="3"/>
  <c r="AD574" i="3"/>
  <c r="M574" i="3"/>
  <c r="AM574" i="3"/>
  <c r="AF574" i="3"/>
  <c r="AK574" i="3"/>
  <c r="AO574" i="3" s="1"/>
  <c r="V574" i="3"/>
  <c r="P574" i="3"/>
  <c r="T574" i="3"/>
  <c r="R574" i="3"/>
  <c r="X573" i="3"/>
  <c r="AT572" i="3"/>
  <c r="Y573" i="3"/>
  <c r="Z573" i="3" s="1"/>
  <c r="AW573" i="3"/>
  <c r="AW572" i="3"/>
  <c r="AY572" i="3" s="1"/>
  <c r="AT573" i="3" l="1"/>
  <c r="AG574" i="3"/>
  <c r="X574" i="3"/>
  <c r="AH574" i="3"/>
  <c r="AT574" i="3" s="1"/>
  <c r="AQ575" i="3"/>
  <c r="A576" i="3"/>
  <c r="B575" i="3"/>
  <c r="D575" i="3"/>
  <c r="AR575" i="3"/>
  <c r="C575" i="3"/>
  <c r="G575" i="3"/>
  <c r="H575" i="3" s="1"/>
  <c r="BN575" i="3" s="1"/>
  <c r="F575" i="3"/>
  <c r="BM575" i="3" s="1"/>
  <c r="Q575" i="3"/>
  <c r="S575" i="3"/>
  <c r="O575" i="3"/>
  <c r="U575" i="3"/>
  <c r="M575" i="3"/>
  <c r="AE575" i="3"/>
  <c r="AD575" i="3"/>
  <c r="AK575" i="3"/>
  <c r="AO575" i="3" s="1"/>
  <c r="AF575" i="3"/>
  <c r="AM575" i="3"/>
  <c r="P575" i="3"/>
  <c r="T575" i="3"/>
  <c r="V575" i="3"/>
  <c r="R575" i="3"/>
  <c r="BA572" i="3"/>
  <c r="AV572" i="3"/>
  <c r="BC572" i="3" s="1"/>
  <c r="AU573" i="3"/>
  <c r="BA573" i="3" s="1"/>
  <c r="AY573" i="3"/>
  <c r="BF571" i="3"/>
  <c r="BJ570" i="3" s="1"/>
  <c r="BK570" i="3" s="1"/>
  <c r="BB571" i="3"/>
  <c r="BQ571" i="3"/>
  <c r="Y574" i="3"/>
  <c r="Z574" i="3" s="1"/>
  <c r="AN574" i="3"/>
  <c r="AW574" i="3" s="1"/>
  <c r="BD571" i="3"/>
  <c r="BG571" i="3"/>
  <c r="BH571" i="3" s="1"/>
  <c r="BI571" i="3" s="1"/>
  <c r="AV573" i="3" l="1"/>
  <c r="AU574" i="3"/>
  <c r="AH575" i="3"/>
  <c r="BF573" i="3"/>
  <c r="BQ573" i="3"/>
  <c r="BB573" i="3"/>
  <c r="AG575" i="3"/>
  <c r="BQ572" i="3"/>
  <c r="BF572" i="3"/>
  <c r="BJ571" i="3" s="1"/>
  <c r="BK571" i="3" s="1"/>
  <c r="BB572" i="3"/>
  <c r="BC573" i="3"/>
  <c r="Y575" i="3"/>
  <c r="Z575" i="3" s="1"/>
  <c r="X575" i="3"/>
  <c r="AR576" i="3"/>
  <c r="B576" i="3"/>
  <c r="AQ576" i="3"/>
  <c r="D576" i="3"/>
  <c r="A577" i="3"/>
  <c r="C576" i="3"/>
  <c r="G576" i="3"/>
  <c r="H576" i="3" s="1"/>
  <c r="BN576" i="3" s="1"/>
  <c r="F576" i="3"/>
  <c r="Q576" i="3"/>
  <c r="S576" i="3"/>
  <c r="O576" i="3"/>
  <c r="U576" i="3"/>
  <c r="M576" i="3"/>
  <c r="AE576" i="3"/>
  <c r="AD576" i="3"/>
  <c r="AF576" i="3"/>
  <c r="AK576" i="3"/>
  <c r="AM576" i="3"/>
  <c r="P576" i="3"/>
  <c r="T576" i="3"/>
  <c r="V576" i="3"/>
  <c r="R576" i="3"/>
  <c r="AV574" i="3"/>
  <c r="AX574" i="3"/>
  <c r="AY574" i="3" s="1"/>
  <c r="AT575" i="3"/>
  <c r="AU575" i="3"/>
  <c r="AN575" i="3"/>
  <c r="AX575" i="3" s="1"/>
  <c r="BD572" i="3"/>
  <c r="BG572" i="3"/>
  <c r="BH572" i="3" s="1"/>
  <c r="BI572" i="3" s="1"/>
  <c r="AH576" i="3" l="1"/>
  <c r="AN576" i="3"/>
  <c r="AW575" i="3"/>
  <c r="BA575" i="3" s="1"/>
  <c r="BA574" i="3"/>
  <c r="AV575" i="3"/>
  <c r="BD573" i="3"/>
  <c r="BG573" i="3"/>
  <c r="BH573" i="3" s="1"/>
  <c r="BI573" i="3" s="1"/>
  <c r="AG576" i="3"/>
  <c r="AR577" i="3"/>
  <c r="B577" i="3"/>
  <c r="C577" i="3"/>
  <c r="A578" i="3"/>
  <c r="AQ577" i="3"/>
  <c r="D577" i="3"/>
  <c r="F577" i="3"/>
  <c r="BM577" i="3" s="1"/>
  <c r="G577" i="3"/>
  <c r="H577" i="3" s="1"/>
  <c r="BN577" i="3" s="1"/>
  <c r="Q577" i="3"/>
  <c r="S577" i="3"/>
  <c r="O577" i="3"/>
  <c r="U577" i="3"/>
  <c r="AD577" i="3"/>
  <c r="AE577" i="3"/>
  <c r="AK577" i="3"/>
  <c r="M577" i="3"/>
  <c r="AM577" i="3"/>
  <c r="AN577" i="3" s="1"/>
  <c r="AF577" i="3"/>
  <c r="R577" i="3"/>
  <c r="V577" i="3"/>
  <c r="T577" i="3"/>
  <c r="P577" i="3"/>
  <c r="AT576" i="3"/>
  <c r="BJ572" i="3"/>
  <c r="BK572" i="3" s="1"/>
  <c r="Y576" i="3"/>
  <c r="Z576" i="3" s="1"/>
  <c r="X576" i="3"/>
  <c r="BC574" i="3"/>
  <c r="AO576" i="3"/>
  <c r="AX576" i="3" s="1"/>
  <c r="AY575" i="3"/>
  <c r="BM576" i="3"/>
  <c r="X577" i="3" l="1"/>
  <c r="AW576" i="3"/>
  <c r="AY576" i="3" s="1"/>
  <c r="BD574" i="3"/>
  <c r="BG574" i="3"/>
  <c r="BH574" i="3" s="1"/>
  <c r="BI574" i="3" s="1"/>
  <c r="Y577" i="3"/>
  <c r="Z577" i="3" s="1"/>
  <c r="AO577" i="3"/>
  <c r="BC575" i="3"/>
  <c r="A579" i="3"/>
  <c r="C578" i="3"/>
  <c r="D578" i="3"/>
  <c r="AR578" i="3"/>
  <c r="AQ578" i="3"/>
  <c r="B578" i="3"/>
  <c r="F578" i="3"/>
  <c r="BM578" i="3" s="1"/>
  <c r="G578" i="3"/>
  <c r="H578" i="3" s="1"/>
  <c r="BN578" i="3" s="1"/>
  <c r="Q578" i="3"/>
  <c r="S578" i="3"/>
  <c r="O578" i="3"/>
  <c r="U578" i="3"/>
  <c r="M578" i="3"/>
  <c r="AD578" i="3"/>
  <c r="AE578" i="3"/>
  <c r="AK578" i="3"/>
  <c r="AM578" i="3"/>
  <c r="AN578" i="3" s="1"/>
  <c r="AF578" i="3"/>
  <c r="AG578" i="3" s="1"/>
  <c r="P578" i="3"/>
  <c r="T578" i="3"/>
  <c r="R578" i="3"/>
  <c r="V578" i="3"/>
  <c r="AG577" i="3"/>
  <c r="BF575" i="3"/>
  <c r="BB575" i="3"/>
  <c r="BQ575" i="3"/>
  <c r="AU576" i="3"/>
  <c r="AV576" i="3" s="1"/>
  <c r="BC576" i="3" s="1"/>
  <c r="AH577" i="3"/>
  <c r="AT577" i="3" s="1"/>
  <c r="BQ574" i="3"/>
  <c r="BB574" i="3"/>
  <c r="BF574" i="3"/>
  <c r="BJ573" i="3" s="1"/>
  <c r="BK573" i="3" s="1"/>
  <c r="AO578" i="3" l="1"/>
  <c r="BJ574" i="3"/>
  <c r="BK574" i="3" s="1"/>
  <c r="BD576" i="3"/>
  <c r="BG576" i="3"/>
  <c r="BH576" i="3" s="1"/>
  <c r="BI576" i="3" s="1"/>
  <c r="AU577" i="3"/>
  <c r="AV577" i="3" s="1"/>
  <c r="BA576" i="3"/>
  <c r="BD575" i="3"/>
  <c r="BG575" i="3"/>
  <c r="BH575" i="3" s="1"/>
  <c r="BI575" i="3" s="1"/>
  <c r="AW577" i="3"/>
  <c r="AX577" i="3"/>
  <c r="Y578" i="3"/>
  <c r="Z578" i="3" s="1"/>
  <c r="AH578" i="3"/>
  <c r="AX578" i="3" s="1"/>
  <c r="A580" i="3"/>
  <c r="B579" i="3"/>
  <c r="C579" i="3"/>
  <c r="D579" i="3"/>
  <c r="AQ579" i="3"/>
  <c r="AR579" i="3"/>
  <c r="G579" i="3"/>
  <c r="H579" i="3" s="1"/>
  <c r="F579" i="3"/>
  <c r="Q579" i="3"/>
  <c r="S579" i="3"/>
  <c r="O579" i="3"/>
  <c r="U579" i="3"/>
  <c r="M579" i="3"/>
  <c r="AE579" i="3"/>
  <c r="AD579" i="3"/>
  <c r="AF579" i="3"/>
  <c r="AM579" i="3"/>
  <c r="AK579" i="3"/>
  <c r="T579" i="3"/>
  <c r="P579" i="3"/>
  <c r="R579" i="3"/>
  <c r="V579" i="3"/>
  <c r="X578" i="3"/>
  <c r="AO579" i="3" l="1"/>
  <c r="AU578" i="3"/>
  <c r="AW578" i="3"/>
  <c r="AY578" i="3" s="1"/>
  <c r="AY577" i="3"/>
  <c r="BC577" i="3" s="1"/>
  <c r="Y579" i="3"/>
  <c r="Z579" i="3" s="1"/>
  <c r="A581" i="3"/>
  <c r="B580" i="3"/>
  <c r="D580" i="3"/>
  <c r="AQ580" i="3"/>
  <c r="AR580" i="3"/>
  <c r="C580" i="3"/>
  <c r="F580" i="3"/>
  <c r="BM580" i="3" s="1"/>
  <c r="G580" i="3"/>
  <c r="H580" i="3" s="1"/>
  <c r="BN580" i="3" s="1"/>
  <c r="Q580" i="3"/>
  <c r="S580" i="3"/>
  <c r="O580" i="3"/>
  <c r="U580" i="3"/>
  <c r="AD580" i="3"/>
  <c r="M580" i="3"/>
  <c r="AK580" i="3"/>
  <c r="AE580" i="3"/>
  <c r="AM580" i="3"/>
  <c r="AF580" i="3"/>
  <c r="V580" i="3"/>
  <c r="P580" i="3"/>
  <c r="T580" i="3"/>
  <c r="R580" i="3"/>
  <c r="AT578" i="3"/>
  <c r="AG579" i="3"/>
  <c r="X579" i="3"/>
  <c r="BM579" i="3"/>
  <c r="BA577" i="3"/>
  <c r="AN579" i="3"/>
  <c r="AH579" i="3"/>
  <c r="BB576" i="3"/>
  <c r="BF576" i="3"/>
  <c r="BJ575" i="3" s="1"/>
  <c r="BK575" i="3" s="1"/>
  <c r="BQ576" i="3"/>
  <c r="BN579" i="3"/>
  <c r="AX579" i="3" l="1"/>
  <c r="BD577" i="3"/>
  <c r="BG577" i="3"/>
  <c r="BH577" i="3" s="1"/>
  <c r="BI577" i="3" s="1"/>
  <c r="AG580" i="3"/>
  <c r="AO580" i="3"/>
  <c r="X580" i="3"/>
  <c r="AH580" i="3"/>
  <c r="AW579" i="3"/>
  <c r="AY579" i="3" s="1"/>
  <c r="BQ577" i="3"/>
  <c r="BB577" i="3"/>
  <c r="BF577" i="3"/>
  <c r="BJ576" i="3" s="1"/>
  <c r="BK576" i="3" s="1"/>
  <c r="AU580" i="3"/>
  <c r="Y580" i="3"/>
  <c r="Z580" i="3" s="1"/>
  <c r="AU579" i="3"/>
  <c r="BA578" i="3"/>
  <c r="AV578" i="3"/>
  <c r="BC578" i="3" s="1"/>
  <c r="AT580" i="3"/>
  <c r="AT579" i="3"/>
  <c r="D581" i="3"/>
  <c r="A582" i="3"/>
  <c r="AQ581" i="3"/>
  <c r="B581" i="3"/>
  <c r="C581" i="3"/>
  <c r="AR581" i="3"/>
  <c r="F581" i="3"/>
  <c r="G581" i="3"/>
  <c r="H581" i="3" s="1"/>
  <c r="Q581" i="3"/>
  <c r="S581" i="3"/>
  <c r="O581" i="3"/>
  <c r="U581" i="3"/>
  <c r="AD581" i="3"/>
  <c r="AE581" i="3"/>
  <c r="AM581" i="3"/>
  <c r="AF581" i="3"/>
  <c r="M581" i="3"/>
  <c r="AK581" i="3"/>
  <c r="AO581" i="3" s="1"/>
  <c r="P581" i="3"/>
  <c r="T581" i="3"/>
  <c r="R581" i="3"/>
  <c r="V581" i="3"/>
  <c r="AN580" i="3"/>
  <c r="AW580" i="3" l="1"/>
  <c r="Y581" i="3"/>
  <c r="Z581" i="3" s="1"/>
  <c r="AH581" i="3"/>
  <c r="AV579" i="3"/>
  <c r="BC579" i="3" s="1"/>
  <c r="BA579" i="3"/>
  <c r="AR582" i="3"/>
  <c r="AQ582" i="3"/>
  <c r="B582" i="3"/>
  <c r="D582" i="3"/>
  <c r="A583" i="3"/>
  <c r="C582" i="3"/>
  <c r="F582" i="3"/>
  <c r="BM582" i="3" s="1"/>
  <c r="G582" i="3"/>
  <c r="H582" i="3" s="1"/>
  <c r="BN582" i="3" s="1"/>
  <c r="Q582" i="3"/>
  <c r="S582" i="3"/>
  <c r="O582" i="3"/>
  <c r="U582" i="3"/>
  <c r="AE582" i="3"/>
  <c r="AM582" i="3"/>
  <c r="AK582" i="3"/>
  <c r="AD582" i="3"/>
  <c r="AF582" i="3"/>
  <c r="M582" i="3"/>
  <c r="V582" i="3"/>
  <c r="P582" i="3"/>
  <c r="T582" i="3"/>
  <c r="R582" i="3"/>
  <c r="AV580" i="3"/>
  <c r="X581" i="3"/>
  <c r="AN581" i="3"/>
  <c r="BD578" i="3"/>
  <c r="BG578" i="3"/>
  <c r="BH578" i="3" s="1"/>
  <c r="BI578" i="3" s="1"/>
  <c r="BN581" i="3"/>
  <c r="BF578" i="3"/>
  <c r="BJ577" i="3" s="1"/>
  <c r="BK577" i="3" s="1"/>
  <c r="BB578" i="3"/>
  <c r="BQ578" i="3"/>
  <c r="BM581" i="3"/>
  <c r="AX580" i="3"/>
  <c r="AY580" i="3" s="1"/>
  <c r="AG581" i="3"/>
  <c r="AW581" i="3" s="1"/>
  <c r="AO582" i="3" l="1"/>
  <c r="AN582" i="3"/>
  <c r="X582" i="3"/>
  <c r="AX581" i="3"/>
  <c r="AY581" i="3" s="1"/>
  <c r="A584" i="3"/>
  <c r="AQ583" i="3"/>
  <c r="AR583" i="3"/>
  <c r="C583" i="3"/>
  <c r="B583" i="3"/>
  <c r="D583" i="3"/>
  <c r="G583" i="3"/>
  <c r="H583" i="3" s="1"/>
  <c r="BN583" i="3" s="1"/>
  <c r="F583" i="3"/>
  <c r="BM583" i="3" s="1"/>
  <c r="Q583" i="3"/>
  <c r="S583" i="3"/>
  <c r="O583" i="3"/>
  <c r="U583" i="3"/>
  <c r="AE583" i="3"/>
  <c r="AD583" i="3"/>
  <c r="M583" i="3"/>
  <c r="AF583" i="3"/>
  <c r="AM583" i="3"/>
  <c r="AK583" i="3"/>
  <c r="V583" i="3"/>
  <c r="T583" i="3"/>
  <c r="P583" i="3"/>
  <c r="R583" i="3"/>
  <c r="BQ579" i="3"/>
  <c r="BF579" i="3"/>
  <c r="BJ578" i="3" s="1"/>
  <c r="BK578" i="3" s="1"/>
  <c r="BB579" i="3"/>
  <c r="AG582" i="3"/>
  <c r="AU581" i="3"/>
  <c r="BC580" i="3"/>
  <c r="BD579" i="3"/>
  <c r="BG579" i="3"/>
  <c r="BH579" i="3" s="1"/>
  <c r="BI579" i="3" s="1"/>
  <c r="BA580" i="3"/>
  <c r="Y582" i="3"/>
  <c r="Z582" i="3" s="1"/>
  <c r="AT581" i="3"/>
  <c r="AH582" i="3"/>
  <c r="AX582" i="3" s="1"/>
  <c r="AH583" i="3" l="1"/>
  <c r="Y583" i="3"/>
  <c r="Z583" i="3" s="1"/>
  <c r="AO583" i="3"/>
  <c r="AN583" i="3"/>
  <c r="X583" i="3"/>
  <c r="AV581" i="3"/>
  <c r="BC581" i="3" s="1"/>
  <c r="BA581" i="3"/>
  <c r="BB580" i="3"/>
  <c r="BF580" i="3"/>
  <c r="BJ579" i="3" s="1"/>
  <c r="BK579" i="3" s="1"/>
  <c r="BQ580" i="3"/>
  <c r="AW582" i="3"/>
  <c r="AY582" i="3" s="1"/>
  <c r="AT582" i="3"/>
  <c r="BD580" i="3"/>
  <c r="BG580" i="3"/>
  <c r="BH580" i="3" s="1"/>
  <c r="BI580" i="3" s="1"/>
  <c r="AG583" i="3"/>
  <c r="AW583" i="3" s="1"/>
  <c r="AU582" i="3"/>
  <c r="AR584" i="3"/>
  <c r="C584" i="3"/>
  <c r="B584" i="3"/>
  <c r="A585" i="3"/>
  <c r="AQ584" i="3"/>
  <c r="D584" i="3"/>
  <c r="F584" i="3"/>
  <c r="G584" i="3"/>
  <c r="H584" i="3" s="1"/>
  <c r="BN584" i="3" s="1"/>
  <c r="Q584" i="3"/>
  <c r="S584" i="3"/>
  <c r="O584" i="3"/>
  <c r="U584" i="3"/>
  <c r="AM584" i="3"/>
  <c r="AF584" i="3"/>
  <c r="AD584" i="3"/>
  <c r="M584" i="3"/>
  <c r="AE584" i="3"/>
  <c r="AK584" i="3"/>
  <c r="AO584" i="3" s="1"/>
  <c r="P584" i="3"/>
  <c r="V584" i="3"/>
  <c r="R584" i="3"/>
  <c r="T584" i="3"/>
  <c r="AG584" i="3" l="1"/>
  <c r="AX583" i="3"/>
  <c r="AY583" i="3" s="1"/>
  <c r="X584" i="3"/>
  <c r="AH584" i="3"/>
  <c r="AU583" i="3"/>
  <c r="AN584" i="3"/>
  <c r="BM584" i="3"/>
  <c r="Y584" i="3"/>
  <c r="Z584" i="3" s="1"/>
  <c r="BA582" i="3"/>
  <c r="AV582" i="3"/>
  <c r="BC582" i="3" s="1"/>
  <c r="AU584" i="3"/>
  <c r="AW584" i="3"/>
  <c r="AT583" i="3"/>
  <c r="BQ581" i="3"/>
  <c r="BB581" i="3"/>
  <c r="BF581" i="3"/>
  <c r="BJ580" i="3" s="1"/>
  <c r="BK580" i="3" s="1"/>
  <c r="BD581" i="3"/>
  <c r="BG581" i="3"/>
  <c r="BH581" i="3" s="1"/>
  <c r="BI581" i="3" s="1"/>
  <c r="A586" i="3"/>
  <c r="AQ585" i="3"/>
  <c r="B585" i="3"/>
  <c r="D585" i="3"/>
  <c r="AR585" i="3"/>
  <c r="C585" i="3"/>
  <c r="F585" i="3"/>
  <c r="BM585" i="3" s="1"/>
  <c r="G585" i="3"/>
  <c r="H585" i="3" s="1"/>
  <c r="BN585" i="3" s="1"/>
  <c r="Q585" i="3"/>
  <c r="S585" i="3"/>
  <c r="O585" i="3"/>
  <c r="U585" i="3"/>
  <c r="AD585" i="3"/>
  <c r="M585" i="3"/>
  <c r="AK585" i="3"/>
  <c r="AE585" i="3"/>
  <c r="AF585" i="3"/>
  <c r="AM585" i="3"/>
  <c r="AN585" i="3" s="1"/>
  <c r="T585" i="3"/>
  <c r="R585" i="3"/>
  <c r="V585" i="3"/>
  <c r="P585" i="3"/>
  <c r="Y585" i="3" l="1"/>
  <c r="Z585" i="3" s="1"/>
  <c r="X585" i="3"/>
  <c r="AQ586" i="3"/>
  <c r="B586" i="3"/>
  <c r="A587" i="3"/>
  <c r="D586" i="3"/>
  <c r="C586" i="3"/>
  <c r="AR586" i="3"/>
  <c r="F586" i="3"/>
  <c r="BM586" i="3" s="1"/>
  <c r="G586" i="3"/>
  <c r="H586" i="3" s="1"/>
  <c r="BN586" i="3" s="1"/>
  <c r="Q586" i="3"/>
  <c r="S586" i="3"/>
  <c r="O586" i="3"/>
  <c r="U586" i="3"/>
  <c r="M586" i="3"/>
  <c r="AD586" i="3"/>
  <c r="AE586" i="3"/>
  <c r="AF586" i="3"/>
  <c r="AM586" i="3"/>
  <c r="AK586" i="3"/>
  <c r="P586" i="3"/>
  <c r="T586" i="3"/>
  <c r="V586" i="3"/>
  <c r="R586" i="3"/>
  <c r="BD582" i="3"/>
  <c r="BG582" i="3"/>
  <c r="BH582" i="3" s="1"/>
  <c r="BI582" i="3" s="1"/>
  <c r="AO585" i="3"/>
  <c r="AG585" i="3"/>
  <c r="AX584" i="3"/>
  <c r="AY584" i="3" s="1"/>
  <c r="AH585" i="3"/>
  <c r="AX585" i="3" s="1"/>
  <c r="BB582" i="3"/>
  <c r="BQ582" i="3"/>
  <c r="BF582" i="3"/>
  <c r="BJ581" i="3" s="1"/>
  <c r="BK581" i="3" s="1"/>
  <c r="AV583" i="3"/>
  <c r="BC583" i="3" s="1"/>
  <c r="BA583" i="3"/>
  <c r="AT585" i="3"/>
  <c r="AT584" i="3"/>
  <c r="AO586" i="3" l="1"/>
  <c r="AN586" i="3"/>
  <c r="AG586" i="3"/>
  <c r="X586" i="3"/>
  <c r="AH586" i="3"/>
  <c r="AX586" i="3" s="1"/>
  <c r="AW585" i="3"/>
  <c r="AY585" i="3" s="1"/>
  <c r="AU585" i="3"/>
  <c r="A588" i="3"/>
  <c r="B587" i="3"/>
  <c r="D587" i="3"/>
  <c r="AQ587" i="3"/>
  <c r="AR587" i="3"/>
  <c r="C587" i="3"/>
  <c r="G587" i="3"/>
  <c r="H587" i="3" s="1"/>
  <c r="BN587" i="3" s="1"/>
  <c r="F587" i="3"/>
  <c r="BM587" i="3" s="1"/>
  <c r="Q587" i="3"/>
  <c r="S587" i="3"/>
  <c r="O587" i="3"/>
  <c r="U587" i="3"/>
  <c r="M587" i="3"/>
  <c r="AD587" i="3"/>
  <c r="AE587" i="3"/>
  <c r="AK587" i="3"/>
  <c r="AM587" i="3"/>
  <c r="AF587" i="3"/>
  <c r="R587" i="3"/>
  <c r="P587" i="3"/>
  <c r="V587" i="3"/>
  <c r="T587" i="3"/>
  <c r="AV584" i="3"/>
  <c r="BC584" i="3" s="1"/>
  <c r="BA584" i="3"/>
  <c r="BF583" i="3"/>
  <c r="BJ582" i="3" s="1"/>
  <c r="BK582" i="3" s="1"/>
  <c r="BB583" i="3"/>
  <c r="BQ583" i="3"/>
  <c r="AT586" i="3"/>
  <c r="AV585" i="3"/>
  <c r="BC585" i="3" s="1"/>
  <c r="BA585" i="3"/>
  <c r="BD583" i="3"/>
  <c r="BG583" i="3"/>
  <c r="BH583" i="3" s="1"/>
  <c r="BI583" i="3" s="1"/>
  <c r="Y586" i="3"/>
  <c r="Z586" i="3" s="1"/>
  <c r="AU586" i="3" l="1"/>
  <c r="AO587" i="3"/>
  <c r="BD585" i="3"/>
  <c r="BG585" i="3"/>
  <c r="BH585" i="3" s="1"/>
  <c r="BI585" i="3" s="1"/>
  <c r="BB584" i="3"/>
  <c r="BF584" i="3"/>
  <c r="BJ583" i="3" s="1"/>
  <c r="BK583" i="3" s="1"/>
  <c r="BQ584" i="3"/>
  <c r="AV586" i="3"/>
  <c r="BA586" i="3"/>
  <c r="BQ585" i="3"/>
  <c r="BB585" i="3"/>
  <c r="BF585" i="3"/>
  <c r="AH587" i="3"/>
  <c r="AX587" i="3" s="1"/>
  <c r="X587" i="3"/>
  <c r="Y587" i="3"/>
  <c r="Z587" i="3" s="1"/>
  <c r="AY586" i="3"/>
  <c r="BD584" i="3"/>
  <c r="BG584" i="3"/>
  <c r="BH584" i="3" s="1"/>
  <c r="BI584" i="3" s="1"/>
  <c r="AQ588" i="3"/>
  <c r="C588" i="3"/>
  <c r="D588" i="3"/>
  <c r="A589" i="3"/>
  <c r="AR588" i="3"/>
  <c r="B588" i="3"/>
  <c r="F588" i="3"/>
  <c r="G588" i="3"/>
  <c r="H588" i="3" s="1"/>
  <c r="BN588" i="3" s="1"/>
  <c r="Q588" i="3"/>
  <c r="S588" i="3"/>
  <c r="O588" i="3"/>
  <c r="U588" i="3"/>
  <c r="M588" i="3"/>
  <c r="AD588" i="3"/>
  <c r="AF588" i="3"/>
  <c r="AE588" i="3"/>
  <c r="AK588" i="3"/>
  <c r="AM588" i="3"/>
  <c r="AN588" i="3" s="1"/>
  <c r="R588" i="3"/>
  <c r="V588" i="3"/>
  <c r="T588" i="3"/>
  <c r="P588" i="3"/>
  <c r="AN587" i="3"/>
  <c r="AG587" i="3"/>
  <c r="AW586" i="3"/>
  <c r="BM588" i="3" l="1"/>
  <c r="AU587" i="3"/>
  <c r="BJ584" i="3"/>
  <c r="BK584" i="3" s="1"/>
  <c r="AG588" i="3"/>
  <c r="AO588" i="3"/>
  <c r="Y588" i="3"/>
  <c r="Z588" i="3" s="1"/>
  <c r="AT587" i="3"/>
  <c r="AH588" i="3"/>
  <c r="AX588" i="3" s="1"/>
  <c r="AW587" i="3"/>
  <c r="AY587" i="3" s="1"/>
  <c r="AR589" i="3"/>
  <c r="B589" i="3"/>
  <c r="C589" i="3"/>
  <c r="D589" i="3"/>
  <c r="A590" i="3"/>
  <c r="AQ589" i="3"/>
  <c r="F589" i="3"/>
  <c r="BM589" i="3" s="1"/>
  <c r="G589" i="3"/>
  <c r="H589" i="3" s="1"/>
  <c r="BN589" i="3" s="1"/>
  <c r="Q589" i="3"/>
  <c r="S589" i="3"/>
  <c r="O589" i="3"/>
  <c r="U589" i="3"/>
  <c r="AD589" i="3"/>
  <c r="AE589" i="3"/>
  <c r="M589" i="3"/>
  <c r="AK589" i="3"/>
  <c r="AF589" i="3"/>
  <c r="AM589" i="3"/>
  <c r="T589" i="3"/>
  <c r="R589" i="3"/>
  <c r="V589" i="3"/>
  <c r="P589" i="3"/>
  <c r="BC586" i="3"/>
  <c r="X588" i="3"/>
  <c r="BQ586" i="3"/>
  <c r="BF586" i="3"/>
  <c r="BJ585" i="3" s="1"/>
  <c r="BK585" i="3" s="1"/>
  <c r="BB586" i="3"/>
  <c r="AT588" i="3"/>
  <c r="AG589" i="3" l="1"/>
  <c r="AN589" i="3"/>
  <c r="AH589" i="3"/>
  <c r="AR590" i="3"/>
  <c r="B590" i="3"/>
  <c r="C590" i="3"/>
  <c r="AQ590" i="3"/>
  <c r="A591" i="3"/>
  <c r="D590" i="3"/>
  <c r="F590" i="3"/>
  <c r="BM590" i="3" s="1"/>
  <c r="G590" i="3"/>
  <c r="H590" i="3" s="1"/>
  <c r="BN590" i="3" s="1"/>
  <c r="Q590" i="3"/>
  <c r="S590" i="3"/>
  <c r="O590" i="3"/>
  <c r="U590" i="3"/>
  <c r="AD590" i="3"/>
  <c r="M590" i="3"/>
  <c r="AF590" i="3"/>
  <c r="AK590" i="3"/>
  <c r="AE590" i="3"/>
  <c r="AM590" i="3"/>
  <c r="R590" i="3"/>
  <c r="V590" i="3"/>
  <c r="T590" i="3"/>
  <c r="P590" i="3"/>
  <c r="BD586" i="3"/>
  <c r="BG586" i="3"/>
  <c r="BH586" i="3" s="1"/>
  <c r="BI586" i="3" s="1"/>
  <c r="BA587" i="3"/>
  <c r="AV587" i="3"/>
  <c r="BC587" i="3" s="1"/>
  <c r="AT589" i="3"/>
  <c r="X589" i="3"/>
  <c r="Y589" i="3"/>
  <c r="Z589" i="3" s="1"/>
  <c r="AW588" i="3"/>
  <c r="AY588" i="3" s="1"/>
  <c r="AO589" i="3"/>
  <c r="AW589" i="3" s="1"/>
  <c r="AU588" i="3"/>
  <c r="AV588" i="3" s="1"/>
  <c r="AU589" i="3" l="1"/>
  <c r="AG590" i="3"/>
  <c r="BC588" i="3"/>
  <c r="BD588" i="3" s="1"/>
  <c r="AO590" i="3"/>
  <c r="BG588" i="3"/>
  <c r="BH588" i="3" s="1"/>
  <c r="BI588" i="3" s="1"/>
  <c r="X590" i="3"/>
  <c r="BD587" i="3"/>
  <c r="BG587" i="3"/>
  <c r="BH587" i="3" s="1"/>
  <c r="BI587" i="3" s="1"/>
  <c r="AX589" i="3"/>
  <c r="AY589" i="3" s="1"/>
  <c r="AV589" i="3"/>
  <c r="BB587" i="3"/>
  <c r="BQ587" i="3"/>
  <c r="BF587" i="3"/>
  <c r="BJ586" i="3" s="1"/>
  <c r="BK586" i="3" s="1"/>
  <c r="D591" i="3"/>
  <c r="A592" i="3"/>
  <c r="B591" i="3"/>
  <c r="AQ591" i="3"/>
  <c r="AR591" i="3"/>
  <c r="C591" i="3"/>
  <c r="G591" i="3"/>
  <c r="H591" i="3" s="1"/>
  <c r="F591" i="3"/>
  <c r="BM591" i="3" s="1"/>
  <c r="Q591" i="3"/>
  <c r="S591" i="3"/>
  <c r="O591" i="3"/>
  <c r="U591" i="3"/>
  <c r="M591" i="3"/>
  <c r="AE591" i="3"/>
  <c r="AD591" i="3"/>
  <c r="AM591" i="3"/>
  <c r="AK591" i="3"/>
  <c r="AF591" i="3"/>
  <c r="V591" i="3"/>
  <c r="P591" i="3"/>
  <c r="T591" i="3"/>
  <c r="R591" i="3"/>
  <c r="BA588" i="3"/>
  <c r="AH590" i="3"/>
  <c r="Y590" i="3"/>
  <c r="Z590" i="3" s="1"/>
  <c r="AN590" i="3"/>
  <c r="AH591" i="3" l="1"/>
  <c r="AX590" i="3"/>
  <c r="AN591" i="3"/>
  <c r="BF588" i="3"/>
  <c r="BJ587" i="3" s="1"/>
  <c r="BK587" i="3" s="1"/>
  <c r="BB588" i="3"/>
  <c r="BQ588" i="3"/>
  <c r="BA589" i="3"/>
  <c r="AU590" i="3"/>
  <c r="BC589" i="3"/>
  <c r="AW590" i="3"/>
  <c r="AY590" i="3" s="1"/>
  <c r="A593" i="3"/>
  <c r="AR592" i="3"/>
  <c r="B592" i="3"/>
  <c r="C592" i="3"/>
  <c r="D592" i="3"/>
  <c r="AQ592" i="3"/>
  <c r="G592" i="3"/>
  <c r="H592" i="3" s="1"/>
  <c r="BN592" i="3" s="1"/>
  <c r="F592" i="3"/>
  <c r="BM592" i="3" s="1"/>
  <c r="Q592" i="3"/>
  <c r="S592" i="3"/>
  <c r="O592" i="3"/>
  <c r="U592" i="3"/>
  <c r="AD592" i="3"/>
  <c r="M592" i="3"/>
  <c r="AF592" i="3"/>
  <c r="AK592" i="3"/>
  <c r="AM592" i="3"/>
  <c r="AE592" i="3"/>
  <c r="P592" i="3"/>
  <c r="V592" i="3"/>
  <c r="R592" i="3"/>
  <c r="T592" i="3"/>
  <c r="AO591" i="3"/>
  <c r="AG591" i="3"/>
  <c r="BN591" i="3"/>
  <c r="Y591" i="3"/>
  <c r="Z591" i="3" s="1"/>
  <c r="AT590" i="3"/>
  <c r="X591" i="3"/>
  <c r="AT591" i="3"/>
  <c r="AG592" i="3" l="1"/>
  <c r="AN592" i="3"/>
  <c r="AW591" i="3"/>
  <c r="AU591" i="3"/>
  <c r="AV591" i="3" s="1"/>
  <c r="AR593" i="3"/>
  <c r="A594" i="3"/>
  <c r="AQ593" i="3"/>
  <c r="D593" i="3"/>
  <c r="B593" i="3"/>
  <c r="C593" i="3"/>
  <c r="G593" i="3"/>
  <c r="H593" i="3" s="1"/>
  <c r="BN593" i="3" s="1"/>
  <c r="F593" i="3"/>
  <c r="BM593" i="3" s="1"/>
  <c r="S593" i="3"/>
  <c r="Q593" i="3"/>
  <c r="O593" i="3"/>
  <c r="U593" i="3"/>
  <c r="AE593" i="3"/>
  <c r="AD593" i="3"/>
  <c r="AF593" i="3"/>
  <c r="AK593" i="3"/>
  <c r="M593" i="3"/>
  <c r="AM593" i="3"/>
  <c r="P593" i="3"/>
  <c r="T593" i="3"/>
  <c r="R593" i="3"/>
  <c r="V593" i="3"/>
  <c r="BD589" i="3"/>
  <c r="BG589" i="3"/>
  <c r="BH589" i="3" s="1"/>
  <c r="BI589" i="3" s="1"/>
  <c r="AX591" i="3"/>
  <c r="AY591" i="3" s="1"/>
  <c r="AO592" i="3"/>
  <c r="AH592" i="3"/>
  <c r="AX592" i="3" s="1"/>
  <c r="BQ589" i="3"/>
  <c r="BF589" i="3"/>
  <c r="BJ588" i="3" s="1"/>
  <c r="BK588" i="3" s="1"/>
  <c r="BB589" i="3"/>
  <c r="X592" i="3"/>
  <c r="BA590" i="3"/>
  <c r="AV590" i="3"/>
  <c r="BC590" i="3" s="1"/>
  <c r="Y592" i="3"/>
  <c r="Z592" i="3" s="1"/>
  <c r="AO593" i="3" l="1"/>
  <c r="BC591" i="3"/>
  <c r="BD591" i="3" s="1"/>
  <c r="BG591" i="3"/>
  <c r="BH591" i="3" s="1"/>
  <c r="BI591" i="3" s="1"/>
  <c r="BF590" i="3"/>
  <c r="BJ589" i="3" s="1"/>
  <c r="BK589" i="3" s="1"/>
  <c r="BB590" i="3"/>
  <c r="BQ590" i="3"/>
  <c r="Y593" i="3"/>
  <c r="Z593" i="3" s="1"/>
  <c r="BD590" i="3"/>
  <c r="BG590" i="3"/>
  <c r="BH590" i="3" s="1"/>
  <c r="BI590" i="3" s="1"/>
  <c r="X593" i="3"/>
  <c r="AH593" i="3"/>
  <c r="AQ594" i="3"/>
  <c r="A595" i="3"/>
  <c r="C594" i="3"/>
  <c r="D594" i="3"/>
  <c r="AR594" i="3"/>
  <c r="B594" i="3"/>
  <c r="F594" i="3"/>
  <c r="BM594" i="3" s="1"/>
  <c r="G594" i="3"/>
  <c r="H594" i="3" s="1"/>
  <c r="BN594" i="3" s="1"/>
  <c r="Q594" i="3"/>
  <c r="S594" i="3"/>
  <c r="O594" i="3"/>
  <c r="U594" i="3"/>
  <c r="AE594" i="3"/>
  <c r="AD594" i="3"/>
  <c r="M594" i="3"/>
  <c r="AM594" i="3"/>
  <c r="AK594" i="3"/>
  <c r="AO594" i="3" s="1"/>
  <c r="AF594" i="3"/>
  <c r="V594" i="3"/>
  <c r="P594" i="3"/>
  <c r="R594" i="3"/>
  <c r="T594" i="3"/>
  <c r="AT592" i="3"/>
  <c r="AW592" i="3"/>
  <c r="AY592" i="3" s="1"/>
  <c r="AN593" i="3"/>
  <c r="BA591" i="3"/>
  <c r="AG593" i="3"/>
  <c r="AW593" i="3" s="1"/>
  <c r="AU592" i="3"/>
  <c r="AU593" i="3" l="1"/>
  <c r="AV592" i="3"/>
  <c r="BC592" i="3" s="1"/>
  <c r="BA592" i="3"/>
  <c r="Y594" i="3"/>
  <c r="Z594" i="3" s="1"/>
  <c r="AH594" i="3"/>
  <c r="BF591" i="3"/>
  <c r="BJ590" i="3" s="1"/>
  <c r="BK590" i="3" s="1"/>
  <c r="BB591" i="3"/>
  <c r="BQ591" i="3"/>
  <c r="AQ595" i="3"/>
  <c r="AR595" i="3"/>
  <c r="B595" i="3"/>
  <c r="D595" i="3"/>
  <c r="A596" i="3"/>
  <c r="C595" i="3"/>
  <c r="G595" i="3"/>
  <c r="H595" i="3" s="1"/>
  <c r="BN595" i="3" s="1"/>
  <c r="F595" i="3"/>
  <c r="BM595" i="3" s="1"/>
  <c r="Q595" i="3"/>
  <c r="S595" i="3"/>
  <c r="O595" i="3"/>
  <c r="U595" i="3"/>
  <c r="AE595" i="3"/>
  <c r="AD595" i="3"/>
  <c r="M595" i="3"/>
  <c r="AK595" i="3"/>
  <c r="AM595" i="3"/>
  <c r="AN595" i="3" s="1"/>
  <c r="AF595" i="3"/>
  <c r="AH595" i="3" s="1"/>
  <c r="T595" i="3"/>
  <c r="V595" i="3"/>
  <c r="R595" i="3"/>
  <c r="P595" i="3"/>
  <c r="AX593" i="3"/>
  <c r="AY593" i="3" s="1"/>
  <c r="AN594" i="3"/>
  <c r="AG594" i="3"/>
  <c r="AW594" i="3" s="1"/>
  <c r="X594" i="3"/>
  <c r="AT593" i="3"/>
  <c r="Y595" i="3" l="1"/>
  <c r="Z595" i="3" s="1"/>
  <c r="AR596" i="3"/>
  <c r="B596" i="3"/>
  <c r="AQ596" i="3"/>
  <c r="D596" i="3"/>
  <c r="A597" i="3"/>
  <c r="C596" i="3"/>
  <c r="G596" i="3"/>
  <c r="H596" i="3" s="1"/>
  <c r="BN596" i="3" s="1"/>
  <c r="F596" i="3"/>
  <c r="BM596" i="3" s="1"/>
  <c r="Q596" i="3"/>
  <c r="S596" i="3"/>
  <c r="O596" i="3"/>
  <c r="U596" i="3"/>
  <c r="AE596" i="3"/>
  <c r="M596" i="3"/>
  <c r="AF596" i="3"/>
  <c r="AM596" i="3"/>
  <c r="AD596" i="3"/>
  <c r="AK596" i="3"/>
  <c r="V596" i="3"/>
  <c r="R596" i="3"/>
  <c r="T596" i="3"/>
  <c r="P596" i="3"/>
  <c r="AX594" i="3"/>
  <c r="AY594" i="3" s="1"/>
  <c r="AO595" i="3"/>
  <c r="BQ592" i="3"/>
  <c r="BB592" i="3"/>
  <c r="BF592" i="3"/>
  <c r="BJ591" i="3" s="1"/>
  <c r="BK591" i="3" s="1"/>
  <c r="AV593" i="3"/>
  <c r="BC593" i="3" s="1"/>
  <c r="BA593" i="3"/>
  <c r="AT594" i="3"/>
  <c r="AG595" i="3"/>
  <c r="AW595" i="3" s="1"/>
  <c r="BD592" i="3"/>
  <c r="BG592" i="3"/>
  <c r="BH592" i="3" s="1"/>
  <c r="BI592" i="3" s="1"/>
  <c r="AU594" i="3"/>
  <c r="X595" i="3"/>
  <c r="AH596" i="3" l="1"/>
  <c r="AO596" i="3"/>
  <c r="AG596" i="3"/>
  <c r="BA594" i="3"/>
  <c r="AV594" i="3"/>
  <c r="BC594" i="3" s="1"/>
  <c r="X596" i="3"/>
  <c r="AX595" i="3"/>
  <c r="AY595" i="3" s="1"/>
  <c r="AT595" i="3"/>
  <c r="BD593" i="3"/>
  <c r="BG593" i="3"/>
  <c r="BH593" i="3" s="1"/>
  <c r="BI593" i="3" s="1"/>
  <c r="AU595" i="3"/>
  <c r="AR597" i="3"/>
  <c r="B597" i="3"/>
  <c r="C597" i="3"/>
  <c r="A598" i="3"/>
  <c r="AQ597" i="3"/>
  <c r="D597" i="3"/>
  <c r="F597" i="3"/>
  <c r="BM597" i="3" s="1"/>
  <c r="G597" i="3"/>
  <c r="H597" i="3" s="1"/>
  <c r="BN597" i="3" s="1"/>
  <c r="Q597" i="3"/>
  <c r="S597" i="3"/>
  <c r="O597" i="3"/>
  <c r="U597" i="3"/>
  <c r="AE597" i="3"/>
  <c r="M597" i="3"/>
  <c r="AD597" i="3"/>
  <c r="AM597" i="3"/>
  <c r="AF597" i="3"/>
  <c r="AK597" i="3"/>
  <c r="AO597" i="3" s="1"/>
  <c r="T597" i="3"/>
  <c r="R597" i="3"/>
  <c r="P597" i="3"/>
  <c r="V597" i="3"/>
  <c r="AT596" i="3"/>
  <c r="AN596" i="3"/>
  <c r="AX596" i="3" s="1"/>
  <c r="BF593" i="3"/>
  <c r="BJ592" i="3" s="1"/>
  <c r="BK592" i="3" s="1"/>
  <c r="BQ593" i="3"/>
  <c r="BB593" i="3"/>
  <c r="AU596" i="3"/>
  <c r="Y596" i="3"/>
  <c r="Z596" i="3" s="1"/>
  <c r="AH597" i="3" l="1"/>
  <c r="Y597" i="3"/>
  <c r="Z597" i="3" s="1"/>
  <c r="AN597" i="3"/>
  <c r="AV596" i="3"/>
  <c r="AV595" i="3"/>
  <c r="BC595" i="3" s="1"/>
  <c r="BA595" i="3"/>
  <c r="BD594" i="3"/>
  <c r="BG594" i="3"/>
  <c r="BH594" i="3" s="1"/>
  <c r="BI594" i="3" s="1"/>
  <c r="A599" i="3"/>
  <c r="C598" i="3"/>
  <c r="D598" i="3"/>
  <c r="AR598" i="3"/>
  <c r="AQ598" i="3"/>
  <c r="B598" i="3"/>
  <c r="F598" i="3"/>
  <c r="BM598" i="3" s="1"/>
  <c r="G598" i="3"/>
  <c r="H598" i="3" s="1"/>
  <c r="BN598" i="3" s="1"/>
  <c r="Q598" i="3"/>
  <c r="S598" i="3"/>
  <c r="O598" i="3"/>
  <c r="U598" i="3"/>
  <c r="AE598" i="3"/>
  <c r="AD598" i="3"/>
  <c r="M598" i="3"/>
  <c r="AF598" i="3"/>
  <c r="AK598" i="3"/>
  <c r="AM598" i="3"/>
  <c r="R598" i="3"/>
  <c r="T598" i="3"/>
  <c r="V598" i="3"/>
  <c r="P598" i="3"/>
  <c r="BQ594" i="3"/>
  <c r="BF594" i="3"/>
  <c r="BJ593" i="3" s="1"/>
  <c r="BK593" i="3" s="1"/>
  <c r="BB594" i="3"/>
  <c r="AW596" i="3"/>
  <c r="AY596" i="3" s="1"/>
  <c r="AG597" i="3"/>
  <c r="AW597" i="3" s="1"/>
  <c r="X597" i="3"/>
  <c r="AN598" i="3" l="1"/>
  <c r="AT597" i="3"/>
  <c r="Y598" i="3"/>
  <c r="Z598" i="3" s="1"/>
  <c r="AH598" i="3"/>
  <c r="AU597" i="3"/>
  <c r="A600" i="3"/>
  <c r="B599" i="3"/>
  <c r="C599" i="3"/>
  <c r="D599" i="3"/>
  <c r="AR599" i="3"/>
  <c r="AQ599" i="3"/>
  <c r="G599" i="3"/>
  <c r="H599" i="3" s="1"/>
  <c r="BN599" i="3" s="1"/>
  <c r="F599" i="3"/>
  <c r="BM599" i="3" s="1"/>
  <c r="Q599" i="3"/>
  <c r="S599" i="3"/>
  <c r="O599" i="3"/>
  <c r="U599" i="3"/>
  <c r="AE599" i="3"/>
  <c r="AD599" i="3"/>
  <c r="M599" i="3"/>
  <c r="AF599" i="3"/>
  <c r="AK599" i="3"/>
  <c r="AM599" i="3"/>
  <c r="AN599" i="3" s="1"/>
  <c r="T599" i="3"/>
  <c r="P599" i="3"/>
  <c r="R599" i="3"/>
  <c r="V599" i="3"/>
  <c r="AX597" i="3"/>
  <c r="AY597" i="3" s="1"/>
  <c r="BA596" i="3"/>
  <c r="BB595" i="3"/>
  <c r="BQ595" i="3"/>
  <c r="BF595" i="3"/>
  <c r="BJ594" i="3" s="1"/>
  <c r="BK594" i="3" s="1"/>
  <c r="BC596" i="3"/>
  <c r="X598" i="3"/>
  <c r="AO598" i="3"/>
  <c r="BD595" i="3"/>
  <c r="BG595" i="3"/>
  <c r="BH595" i="3" s="1"/>
  <c r="BI595" i="3" s="1"/>
  <c r="AG598" i="3"/>
  <c r="AW598" i="3" s="1"/>
  <c r="AH599" i="3" l="1"/>
  <c r="X599" i="3"/>
  <c r="BD596" i="3"/>
  <c r="BG596" i="3"/>
  <c r="BH596" i="3" s="1"/>
  <c r="BI596" i="3" s="1"/>
  <c r="BF596" i="3"/>
  <c r="BJ595" i="3" s="1"/>
  <c r="BK595" i="3" s="1"/>
  <c r="BQ596" i="3"/>
  <c r="BB596" i="3"/>
  <c r="AU598" i="3"/>
  <c r="A601" i="3"/>
  <c r="B600" i="3"/>
  <c r="C600" i="3"/>
  <c r="AR600" i="3"/>
  <c r="AQ600" i="3"/>
  <c r="D600" i="3"/>
  <c r="G600" i="3"/>
  <c r="H600" i="3" s="1"/>
  <c r="BN600" i="3" s="1"/>
  <c r="F600" i="3"/>
  <c r="BM600" i="3" s="1"/>
  <c r="Q600" i="3"/>
  <c r="S600" i="3"/>
  <c r="O600" i="3"/>
  <c r="U600" i="3"/>
  <c r="AD600" i="3"/>
  <c r="M600" i="3"/>
  <c r="AE600" i="3"/>
  <c r="AF600" i="3"/>
  <c r="AM600" i="3"/>
  <c r="AK600" i="3"/>
  <c r="P600" i="3"/>
  <c r="R600" i="3"/>
  <c r="T600" i="3"/>
  <c r="V600" i="3"/>
  <c r="AX598" i="3"/>
  <c r="AY598" i="3" s="1"/>
  <c r="AG599" i="3"/>
  <c r="Y599" i="3"/>
  <c r="Z599" i="3" s="1"/>
  <c r="AV597" i="3"/>
  <c r="BC597" i="3" s="1"/>
  <c r="BA597" i="3"/>
  <c r="AO599" i="3"/>
  <c r="AT598" i="3"/>
  <c r="AN600" i="3" l="1"/>
  <c r="AG600" i="3"/>
  <c r="AW599" i="3"/>
  <c r="BD597" i="3"/>
  <c r="BG597" i="3"/>
  <c r="BH597" i="3" s="1"/>
  <c r="BI597" i="3" s="1"/>
  <c r="AX599" i="3"/>
  <c r="AV598" i="3"/>
  <c r="BC598" i="3" s="1"/>
  <c r="BA598" i="3"/>
  <c r="X600" i="3"/>
  <c r="BF597" i="3"/>
  <c r="BJ596" i="3" s="1"/>
  <c r="BK596" i="3" s="1"/>
  <c r="BQ597" i="3"/>
  <c r="BB597" i="3"/>
  <c r="C601" i="3"/>
  <c r="A602" i="3"/>
  <c r="AQ601" i="3"/>
  <c r="B601" i="3"/>
  <c r="D601" i="3"/>
  <c r="AR601" i="3"/>
  <c r="F601" i="3"/>
  <c r="G601" i="3"/>
  <c r="H601" i="3" s="1"/>
  <c r="Q601" i="3"/>
  <c r="S601" i="3"/>
  <c r="O601" i="3"/>
  <c r="U601" i="3"/>
  <c r="M601" i="3"/>
  <c r="AD601" i="3"/>
  <c r="AE601" i="3"/>
  <c r="AF601" i="3"/>
  <c r="AM601" i="3"/>
  <c r="AK601" i="3"/>
  <c r="T601" i="3"/>
  <c r="R601" i="3"/>
  <c r="V601" i="3"/>
  <c r="P601" i="3"/>
  <c r="AU599" i="3"/>
  <c r="AT599" i="3"/>
  <c r="Y600" i="3"/>
  <c r="Z600" i="3" s="1"/>
  <c r="AO600" i="3"/>
  <c r="AH600" i="3"/>
  <c r="AT600" i="3" s="1"/>
  <c r="AW600" i="3" l="1"/>
  <c r="AU600" i="3"/>
  <c r="AG601" i="3"/>
  <c r="AO601" i="3"/>
  <c r="BB598" i="3"/>
  <c r="BF598" i="3"/>
  <c r="BJ597" i="3" s="1"/>
  <c r="BK597" i="3" s="1"/>
  <c r="BQ598" i="3"/>
  <c r="BD598" i="3"/>
  <c r="BG598" i="3"/>
  <c r="BH598" i="3" s="1"/>
  <c r="BI598" i="3" s="1"/>
  <c r="AR602" i="3"/>
  <c r="AQ602" i="3"/>
  <c r="B602" i="3"/>
  <c r="D602" i="3"/>
  <c r="A603" i="3"/>
  <c r="C602" i="3"/>
  <c r="G602" i="3"/>
  <c r="H602" i="3" s="1"/>
  <c r="BN602" i="3" s="1"/>
  <c r="F602" i="3"/>
  <c r="BM602" i="3" s="1"/>
  <c r="S602" i="3"/>
  <c r="Q602" i="3"/>
  <c r="O602" i="3"/>
  <c r="U602" i="3"/>
  <c r="AD602" i="3"/>
  <c r="AE602" i="3"/>
  <c r="AM602" i="3"/>
  <c r="AK602" i="3"/>
  <c r="M602" i="3"/>
  <c r="AF602" i="3"/>
  <c r="V602" i="3"/>
  <c r="T602" i="3"/>
  <c r="P602" i="3"/>
  <c r="R602" i="3"/>
  <c r="AN601" i="3"/>
  <c r="Y601" i="3"/>
  <c r="Z601" i="3" s="1"/>
  <c r="AV600" i="3"/>
  <c r="BA600" i="3"/>
  <c r="BN601" i="3"/>
  <c r="BA599" i="3"/>
  <c r="AV599" i="3"/>
  <c r="BC599" i="3" s="1"/>
  <c r="AH601" i="3"/>
  <c r="AX601" i="3" s="1"/>
  <c r="X601" i="3"/>
  <c r="AX600" i="3"/>
  <c r="AY600" i="3" s="1"/>
  <c r="BM601" i="3"/>
  <c r="AY599" i="3"/>
  <c r="AO602" i="3" l="1"/>
  <c r="BB599" i="3"/>
  <c r="BQ599" i="3"/>
  <c r="BF599" i="3"/>
  <c r="BJ598" i="3" s="1"/>
  <c r="BK598" i="3" s="1"/>
  <c r="AU601" i="3"/>
  <c r="BD599" i="3"/>
  <c r="BG599" i="3"/>
  <c r="BH599" i="3" s="1"/>
  <c r="BI599" i="3" s="1"/>
  <c r="BF600" i="3"/>
  <c r="BJ599" i="3" s="1"/>
  <c r="BK599" i="3" s="1"/>
  <c r="BQ600" i="3"/>
  <c r="BB600" i="3"/>
  <c r="AG602" i="3"/>
  <c r="AW601" i="3"/>
  <c r="AY601" i="3" s="1"/>
  <c r="BC600" i="3"/>
  <c r="AH602" i="3"/>
  <c r="AT602" i="3" s="1"/>
  <c r="AT601" i="3"/>
  <c r="AN602" i="3"/>
  <c r="X602" i="3"/>
  <c r="A604" i="3"/>
  <c r="AQ603" i="3"/>
  <c r="AR603" i="3"/>
  <c r="D603" i="3"/>
  <c r="B603" i="3"/>
  <c r="C603" i="3"/>
  <c r="F603" i="3"/>
  <c r="BM603" i="3" s="1"/>
  <c r="G603" i="3"/>
  <c r="H603" i="3" s="1"/>
  <c r="Q603" i="3"/>
  <c r="S603" i="3"/>
  <c r="O603" i="3"/>
  <c r="U603" i="3"/>
  <c r="AD603" i="3"/>
  <c r="M603" i="3"/>
  <c r="AF603" i="3"/>
  <c r="AE603" i="3"/>
  <c r="AM603" i="3"/>
  <c r="AK603" i="3"/>
  <c r="P603" i="3"/>
  <c r="V603" i="3"/>
  <c r="R603" i="3"/>
  <c r="T603" i="3"/>
  <c r="Y602" i="3"/>
  <c r="Z602" i="3" s="1"/>
  <c r="AO603" i="3" l="1"/>
  <c r="AG603" i="3"/>
  <c r="BN603" i="3"/>
  <c r="AW602" i="3"/>
  <c r="AH603" i="3"/>
  <c r="BD600" i="3"/>
  <c r="BG600" i="3"/>
  <c r="BH600" i="3" s="1"/>
  <c r="BI600" i="3" s="1"/>
  <c r="AU602" i="3"/>
  <c r="AV602" i="3" s="1"/>
  <c r="AN603" i="3"/>
  <c r="AU603" i="3"/>
  <c r="Y603" i="3"/>
  <c r="Z603" i="3" s="1"/>
  <c r="AV601" i="3"/>
  <c r="BC601" i="3" s="1"/>
  <c r="BA601" i="3"/>
  <c r="AR604" i="3"/>
  <c r="C604" i="3"/>
  <c r="B604" i="3"/>
  <c r="A605" i="3"/>
  <c r="AQ604" i="3"/>
  <c r="D604" i="3"/>
  <c r="G604" i="3"/>
  <c r="H604" i="3" s="1"/>
  <c r="F604" i="3"/>
  <c r="Q604" i="3"/>
  <c r="S604" i="3"/>
  <c r="O604" i="3"/>
  <c r="U604" i="3"/>
  <c r="AE604" i="3"/>
  <c r="AD604" i="3"/>
  <c r="M604" i="3"/>
  <c r="AF604" i="3"/>
  <c r="AM604" i="3"/>
  <c r="AK604" i="3"/>
  <c r="P604" i="3"/>
  <c r="T604" i="3"/>
  <c r="V604" i="3"/>
  <c r="R604" i="3"/>
  <c r="AX602" i="3"/>
  <c r="X603" i="3"/>
  <c r="AT603" i="3"/>
  <c r="AO604" i="3" l="1"/>
  <c r="AN604" i="3"/>
  <c r="AW603" i="3"/>
  <c r="Y604" i="3"/>
  <c r="Z604" i="3" s="1"/>
  <c r="BD601" i="3"/>
  <c r="BG601" i="3"/>
  <c r="BH601" i="3" s="1"/>
  <c r="BI601" i="3" s="1"/>
  <c r="AV603" i="3"/>
  <c r="BF601" i="3"/>
  <c r="BJ600" i="3" s="1"/>
  <c r="BK600" i="3" s="1"/>
  <c r="BB601" i="3"/>
  <c r="BQ601" i="3"/>
  <c r="AH604" i="3"/>
  <c r="AY602" i="3"/>
  <c r="BC602" i="3" s="1"/>
  <c r="X604" i="3"/>
  <c r="AG604" i="3"/>
  <c r="AW604" i="3" s="1"/>
  <c r="BM604" i="3"/>
  <c r="BA602" i="3"/>
  <c r="A606" i="3"/>
  <c r="AQ605" i="3"/>
  <c r="B605" i="3"/>
  <c r="C605" i="3"/>
  <c r="AR605" i="3"/>
  <c r="D605" i="3"/>
  <c r="F605" i="3"/>
  <c r="G605" i="3"/>
  <c r="H605" i="3" s="1"/>
  <c r="BN605" i="3" s="1"/>
  <c r="S605" i="3"/>
  <c r="Q605" i="3"/>
  <c r="O605" i="3"/>
  <c r="U605" i="3"/>
  <c r="AD605" i="3"/>
  <c r="AE605" i="3"/>
  <c r="AF605" i="3"/>
  <c r="AM605" i="3"/>
  <c r="AK605" i="3"/>
  <c r="M605" i="3"/>
  <c r="T605" i="3"/>
  <c r="V605" i="3"/>
  <c r="P605" i="3"/>
  <c r="R605" i="3"/>
  <c r="AX603" i="3"/>
  <c r="AY603" i="3" s="1"/>
  <c r="BN604" i="3"/>
  <c r="BM605" i="3" l="1"/>
  <c r="AG605" i="3"/>
  <c r="AO605" i="3"/>
  <c r="BC603" i="3"/>
  <c r="BA603" i="3"/>
  <c r="BQ603" i="3" s="1"/>
  <c r="BG602" i="3"/>
  <c r="BH602" i="3" s="1"/>
  <c r="BI602" i="3" s="1"/>
  <c r="BD602" i="3"/>
  <c r="BF602" i="3"/>
  <c r="BJ601" i="3" s="1"/>
  <c r="BK601" i="3" s="1"/>
  <c r="BB602" i="3"/>
  <c r="BQ602" i="3"/>
  <c r="Y605" i="3"/>
  <c r="Z605" i="3" s="1"/>
  <c r="X605" i="3"/>
  <c r="AQ606" i="3"/>
  <c r="B606" i="3"/>
  <c r="A607" i="3"/>
  <c r="D606" i="3"/>
  <c r="C606" i="3"/>
  <c r="AR606" i="3"/>
  <c r="F606" i="3"/>
  <c r="BM606" i="3" s="1"/>
  <c r="G606" i="3"/>
  <c r="H606" i="3" s="1"/>
  <c r="BN606" i="3" s="1"/>
  <c r="Q606" i="3"/>
  <c r="S606" i="3"/>
  <c r="O606" i="3"/>
  <c r="U606" i="3"/>
  <c r="M606" i="3"/>
  <c r="AE606" i="3"/>
  <c r="AD606" i="3"/>
  <c r="AM606" i="3"/>
  <c r="AK606" i="3"/>
  <c r="AF606" i="3"/>
  <c r="R606" i="3"/>
  <c r="V606" i="3"/>
  <c r="P606" i="3"/>
  <c r="T606" i="3"/>
  <c r="AN605" i="3"/>
  <c r="AH605" i="3"/>
  <c r="AT604" i="3"/>
  <c r="AU604" i="3"/>
  <c r="BD603" i="3"/>
  <c r="BG603" i="3"/>
  <c r="BH603" i="3" s="1"/>
  <c r="BI603" i="3" s="1"/>
  <c r="AX604" i="3"/>
  <c r="AY604" i="3" s="1"/>
  <c r="AX605" i="3" l="1"/>
  <c r="BB603" i="3"/>
  <c r="AW605" i="3"/>
  <c r="BF603" i="3"/>
  <c r="BJ602" i="3" s="1"/>
  <c r="BK602" i="3" s="1"/>
  <c r="AT605" i="3"/>
  <c r="AN606" i="3"/>
  <c r="X606" i="3"/>
  <c r="A608" i="3"/>
  <c r="B607" i="3"/>
  <c r="D607" i="3"/>
  <c r="AQ607" i="3"/>
  <c r="AR607" i="3"/>
  <c r="C607" i="3"/>
  <c r="F607" i="3"/>
  <c r="BM607" i="3" s="1"/>
  <c r="G607" i="3"/>
  <c r="H607" i="3" s="1"/>
  <c r="BN607" i="3" s="1"/>
  <c r="Q607" i="3"/>
  <c r="S607" i="3"/>
  <c r="O607" i="3"/>
  <c r="U607" i="3"/>
  <c r="AD607" i="3"/>
  <c r="AE607" i="3"/>
  <c r="M607" i="3"/>
  <c r="AM607" i="3"/>
  <c r="AF607" i="3"/>
  <c r="AK607" i="3"/>
  <c r="R607" i="3"/>
  <c r="T607" i="3"/>
  <c r="V607" i="3"/>
  <c r="P607" i="3"/>
  <c r="AY605" i="3"/>
  <c r="AU605" i="3"/>
  <c r="BA605" i="3" s="1"/>
  <c r="AO606" i="3"/>
  <c r="BA604" i="3"/>
  <c r="AV604" i="3"/>
  <c r="BC604" i="3" s="1"/>
  <c r="AH606" i="3"/>
  <c r="Y606" i="3"/>
  <c r="Z606" i="3" s="1"/>
  <c r="AG606" i="3"/>
  <c r="AW606" i="3" l="1"/>
  <c r="AG607" i="3"/>
  <c r="AN607" i="3"/>
  <c r="X607" i="3"/>
  <c r="AU606" i="3"/>
  <c r="BQ605" i="3"/>
  <c r="BF605" i="3"/>
  <c r="BB605" i="3"/>
  <c r="AH607" i="3"/>
  <c r="AU607" i="3" s="1"/>
  <c r="Y607" i="3"/>
  <c r="Z607" i="3" s="1"/>
  <c r="AT606" i="3"/>
  <c r="BF604" i="3"/>
  <c r="BJ603" i="3" s="1"/>
  <c r="BK603" i="3" s="1"/>
  <c r="BQ604" i="3"/>
  <c r="BB604" i="3"/>
  <c r="AO607" i="3"/>
  <c r="AV605" i="3"/>
  <c r="BC605" i="3" s="1"/>
  <c r="AX606" i="3"/>
  <c r="AY606" i="3" s="1"/>
  <c r="BD604" i="3"/>
  <c r="BG604" i="3"/>
  <c r="BH604" i="3" s="1"/>
  <c r="BI604" i="3" s="1"/>
  <c r="AQ608" i="3"/>
  <c r="D608" i="3"/>
  <c r="C608" i="3"/>
  <c r="A609" i="3"/>
  <c r="AR608" i="3"/>
  <c r="B608" i="3"/>
  <c r="G608" i="3"/>
  <c r="H608" i="3" s="1"/>
  <c r="F608" i="3"/>
  <c r="BM608" i="3" s="1"/>
  <c r="Q608" i="3"/>
  <c r="S608" i="3"/>
  <c r="O608" i="3"/>
  <c r="U608" i="3"/>
  <c r="M608" i="3"/>
  <c r="AD608" i="3"/>
  <c r="AE608" i="3"/>
  <c r="AF608" i="3"/>
  <c r="AK608" i="3"/>
  <c r="AM608" i="3"/>
  <c r="P608" i="3"/>
  <c r="R608" i="3"/>
  <c r="V608" i="3"/>
  <c r="T608" i="3"/>
  <c r="BN608" i="3" l="1"/>
  <c r="AT607" i="3"/>
  <c r="AO608" i="3"/>
  <c r="AW607" i="3"/>
  <c r="Y608" i="3"/>
  <c r="Z608" i="3" s="1"/>
  <c r="AG608" i="3"/>
  <c r="AH608" i="3"/>
  <c r="BD605" i="3"/>
  <c r="BG605" i="3"/>
  <c r="BH605" i="3" s="1"/>
  <c r="BI605" i="3" s="1"/>
  <c r="AV606" i="3"/>
  <c r="BC606" i="3" s="1"/>
  <c r="BA606" i="3"/>
  <c r="AT608" i="3"/>
  <c r="AR609" i="3"/>
  <c r="B609" i="3"/>
  <c r="C609" i="3"/>
  <c r="D609" i="3"/>
  <c r="AQ609" i="3"/>
  <c r="A610" i="3"/>
  <c r="G609" i="3"/>
  <c r="H609" i="3" s="1"/>
  <c r="BN609" i="3" s="1"/>
  <c r="F609" i="3"/>
  <c r="BM609" i="3" s="1"/>
  <c r="Q609" i="3"/>
  <c r="S609" i="3"/>
  <c r="O609" i="3"/>
  <c r="U609" i="3"/>
  <c r="AD609" i="3"/>
  <c r="AE609" i="3"/>
  <c r="M609" i="3"/>
  <c r="AK609" i="3"/>
  <c r="AM609" i="3"/>
  <c r="AN609" i="3" s="1"/>
  <c r="AF609" i="3"/>
  <c r="P609" i="3"/>
  <c r="R609" i="3"/>
  <c r="V609" i="3"/>
  <c r="T609" i="3"/>
  <c r="X608" i="3"/>
  <c r="AV607" i="3"/>
  <c r="AX607" i="3"/>
  <c r="AY607" i="3" s="1"/>
  <c r="BJ604" i="3"/>
  <c r="BK604" i="3" s="1"/>
  <c r="AN608" i="3"/>
  <c r="AW608" i="3" s="1"/>
  <c r="X609" i="3" l="1"/>
  <c r="BC607" i="3"/>
  <c r="BD606" i="3"/>
  <c r="BG606" i="3"/>
  <c r="BH606" i="3" s="1"/>
  <c r="BI606" i="3" s="1"/>
  <c r="BA607" i="3"/>
  <c r="AR610" i="3"/>
  <c r="B610" i="3"/>
  <c r="C610" i="3"/>
  <c r="AQ610" i="3"/>
  <c r="A611" i="3"/>
  <c r="D610" i="3"/>
  <c r="G610" i="3"/>
  <c r="H610" i="3" s="1"/>
  <c r="BN610" i="3" s="1"/>
  <c r="F610" i="3"/>
  <c r="BM610" i="3" s="1"/>
  <c r="Q610" i="3"/>
  <c r="S610" i="3"/>
  <c r="O610" i="3"/>
  <c r="U610" i="3"/>
  <c r="AE610" i="3"/>
  <c r="AD610" i="3"/>
  <c r="AF610" i="3"/>
  <c r="AM610" i="3"/>
  <c r="M610" i="3"/>
  <c r="AK610" i="3"/>
  <c r="V610" i="3"/>
  <c r="P610" i="3"/>
  <c r="R610" i="3"/>
  <c r="T610" i="3"/>
  <c r="Y609" i="3"/>
  <c r="Z609" i="3" s="1"/>
  <c r="AX608" i="3"/>
  <c r="AY608" i="3" s="1"/>
  <c r="AG609" i="3"/>
  <c r="AU608" i="3"/>
  <c r="AV608" i="3" s="1"/>
  <c r="BQ606" i="3"/>
  <c r="BB606" i="3"/>
  <c r="BF606" i="3"/>
  <c r="BJ605" i="3" s="1"/>
  <c r="BK605" i="3" s="1"/>
  <c r="AO609" i="3"/>
  <c r="AH609" i="3"/>
  <c r="AX609" i="3" l="1"/>
  <c r="BC608" i="3"/>
  <c r="BD608" i="3" s="1"/>
  <c r="AN610" i="3"/>
  <c r="BG608" i="3"/>
  <c r="BH608" i="3" s="1"/>
  <c r="BI608" i="3" s="1"/>
  <c r="AT609" i="3"/>
  <c r="AW609" i="3"/>
  <c r="BF607" i="3"/>
  <c r="BJ606" i="3" s="1"/>
  <c r="BK606" i="3" s="1"/>
  <c r="BQ607" i="3"/>
  <c r="BB607" i="3"/>
  <c r="D611" i="3"/>
  <c r="A612" i="3"/>
  <c r="AQ611" i="3"/>
  <c r="AR611" i="3"/>
  <c r="B611" i="3"/>
  <c r="C611" i="3"/>
  <c r="F611" i="3"/>
  <c r="BM611" i="3" s="1"/>
  <c r="G611" i="3"/>
  <c r="H611" i="3" s="1"/>
  <c r="BN611" i="3" s="1"/>
  <c r="Q611" i="3"/>
  <c r="S611" i="3"/>
  <c r="O611" i="3"/>
  <c r="U611" i="3"/>
  <c r="M611" i="3"/>
  <c r="AE611" i="3"/>
  <c r="AD611" i="3"/>
  <c r="AM611" i="3"/>
  <c r="AF611" i="3"/>
  <c r="AK611" i="3"/>
  <c r="AO611" i="3" s="1"/>
  <c r="T611" i="3"/>
  <c r="R611" i="3"/>
  <c r="V611" i="3"/>
  <c r="P611" i="3"/>
  <c r="BA608" i="3"/>
  <c r="X610" i="3"/>
  <c r="Y610" i="3"/>
  <c r="Z610" i="3" s="1"/>
  <c r="AH610" i="3"/>
  <c r="BD607" i="3"/>
  <c r="BG607" i="3"/>
  <c r="BH607" i="3" s="1"/>
  <c r="BI607" i="3" s="1"/>
  <c r="AY609" i="3"/>
  <c r="AT610" i="3"/>
  <c r="AO610" i="3"/>
  <c r="AG610" i="3"/>
  <c r="AU609" i="3"/>
  <c r="X611" i="3" l="1"/>
  <c r="AX610" i="3"/>
  <c r="BF608" i="3"/>
  <c r="BJ607" i="3" s="1"/>
  <c r="BK607" i="3" s="1"/>
  <c r="BB608" i="3"/>
  <c r="BQ608" i="3"/>
  <c r="A613" i="3"/>
  <c r="AR612" i="3"/>
  <c r="B612" i="3"/>
  <c r="D612" i="3"/>
  <c r="C612" i="3"/>
  <c r="AQ612" i="3"/>
  <c r="G612" i="3"/>
  <c r="H612" i="3" s="1"/>
  <c r="BN612" i="3" s="1"/>
  <c r="F612" i="3"/>
  <c r="BM612" i="3" s="1"/>
  <c r="Q612" i="3"/>
  <c r="S612" i="3"/>
  <c r="O612" i="3"/>
  <c r="U612" i="3"/>
  <c r="AD612" i="3"/>
  <c r="M612" i="3"/>
  <c r="AM612" i="3"/>
  <c r="AK612" i="3"/>
  <c r="AF612" i="3"/>
  <c r="AE612" i="3"/>
  <c r="T612" i="3"/>
  <c r="P612" i="3"/>
  <c r="R612" i="3"/>
  <c r="V612" i="3"/>
  <c r="AU610" i="3"/>
  <c r="AH611" i="3"/>
  <c r="AV609" i="3"/>
  <c r="BC609" i="3" s="1"/>
  <c r="BA609" i="3"/>
  <c r="Y611" i="3"/>
  <c r="Z611" i="3" s="1"/>
  <c r="AG611" i="3"/>
  <c r="AU611" i="3" s="1"/>
  <c r="AN611" i="3"/>
  <c r="AW610" i="3"/>
  <c r="AY610" i="3" s="1"/>
  <c r="BA610" i="3" l="1"/>
  <c r="AT611" i="3"/>
  <c r="AG612" i="3"/>
  <c r="AO612" i="3"/>
  <c r="AV611" i="3"/>
  <c r="BB610" i="3"/>
  <c r="BQ610" i="3"/>
  <c r="BF610" i="3"/>
  <c r="Y612" i="3"/>
  <c r="Z612" i="3" s="1"/>
  <c r="AU612" i="3"/>
  <c r="BB609" i="3"/>
  <c r="BF609" i="3"/>
  <c r="BJ608" i="3" s="1"/>
  <c r="BK608" i="3" s="1"/>
  <c r="BQ609" i="3"/>
  <c r="AX611" i="3"/>
  <c r="AR613" i="3"/>
  <c r="A614" i="3"/>
  <c r="AQ613" i="3"/>
  <c r="C613" i="3"/>
  <c r="B613" i="3"/>
  <c r="D613" i="3"/>
  <c r="F613" i="3"/>
  <c r="G613" i="3"/>
  <c r="H613" i="3" s="1"/>
  <c r="Q613" i="3"/>
  <c r="S613" i="3"/>
  <c r="O613" i="3"/>
  <c r="U613" i="3"/>
  <c r="AE613" i="3"/>
  <c r="AD613" i="3"/>
  <c r="M613" i="3"/>
  <c r="AF613" i="3"/>
  <c r="AK613" i="3"/>
  <c r="AM613" i="3"/>
  <c r="R613" i="3"/>
  <c r="V613" i="3"/>
  <c r="T613" i="3"/>
  <c r="P613" i="3"/>
  <c r="AT612" i="3"/>
  <c r="BD609" i="3"/>
  <c r="BG609" i="3"/>
  <c r="BH609" i="3" s="1"/>
  <c r="BI609" i="3" s="1"/>
  <c r="AW612" i="3"/>
  <c r="X612" i="3"/>
  <c r="AV610" i="3"/>
  <c r="BC610" i="3" s="1"/>
  <c r="AW611" i="3"/>
  <c r="AN612" i="3"/>
  <c r="AH612" i="3"/>
  <c r="AX612" i="3" l="1"/>
  <c r="AY612" i="3" s="1"/>
  <c r="AN613" i="3"/>
  <c r="BN613" i="3"/>
  <c r="BM613" i="3"/>
  <c r="AO613" i="3"/>
  <c r="BA611" i="3"/>
  <c r="BF611" i="3" s="1"/>
  <c r="BJ610" i="3" s="1"/>
  <c r="BK610" i="3" s="1"/>
  <c r="BA612" i="3"/>
  <c r="AV612" i="3"/>
  <c r="BJ609" i="3"/>
  <c r="BK609" i="3" s="1"/>
  <c r="Y613" i="3"/>
  <c r="Z613" i="3" s="1"/>
  <c r="AG613" i="3"/>
  <c r="X613" i="3"/>
  <c r="BD610" i="3"/>
  <c r="BG610" i="3"/>
  <c r="BH610" i="3" s="1"/>
  <c r="BI610" i="3" s="1"/>
  <c r="AQ614" i="3"/>
  <c r="A615" i="3"/>
  <c r="C614" i="3"/>
  <c r="D614" i="3"/>
  <c r="B614" i="3"/>
  <c r="AR614" i="3"/>
  <c r="F614" i="3"/>
  <c r="BM614" i="3" s="1"/>
  <c r="G614" i="3"/>
  <c r="H614" i="3" s="1"/>
  <c r="Q614" i="3"/>
  <c r="S614" i="3"/>
  <c r="O614" i="3"/>
  <c r="U614" i="3"/>
  <c r="AE614" i="3"/>
  <c r="AD614" i="3"/>
  <c r="M614" i="3"/>
  <c r="AF614" i="3"/>
  <c r="AM614" i="3"/>
  <c r="AK614" i="3"/>
  <c r="AO614" i="3" s="1"/>
  <c r="V614" i="3"/>
  <c r="T614" i="3"/>
  <c r="R614" i="3"/>
  <c r="P614" i="3"/>
  <c r="AH613" i="3"/>
  <c r="AX613" i="3" s="1"/>
  <c r="AY611" i="3"/>
  <c r="BC611" i="3" s="1"/>
  <c r="BC612" i="3" l="1"/>
  <c r="BQ611" i="3"/>
  <c r="BB611" i="3"/>
  <c r="BD611" i="3"/>
  <c r="BG611" i="3"/>
  <c r="BH611" i="3" s="1"/>
  <c r="BI611" i="3" s="1"/>
  <c r="AQ615" i="3"/>
  <c r="AR615" i="3"/>
  <c r="B615" i="3"/>
  <c r="D615" i="3"/>
  <c r="A616" i="3"/>
  <c r="C615" i="3"/>
  <c r="F615" i="3"/>
  <c r="BM615" i="3" s="1"/>
  <c r="G615" i="3"/>
  <c r="H615" i="3" s="1"/>
  <c r="BN615" i="3" s="1"/>
  <c r="Q615" i="3"/>
  <c r="S615" i="3"/>
  <c r="O615" i="3"/>
  <c r="U615" i="3"/>
  <c r="M615" i="3"/>
  <c r="AE615" i="3"/>
  <c r="AD615" i="3"/>
  <c r="AM615" i="3"/>
  <c r="AF615" i="3"/>
  <c r="AK615" i="3"/>
  <c r="T615" i="3"/>
  <c r="V615" i="3"/>
  <c r="P615" i="3"/>
  <c r="R615" i="3"/>
  <c r="AU613" i="3"/>
  <c r="AW613" i="3"/>
  <c r="AY613" i="3" s="1"/>
  <c r="BD612" i="3"/>
  <c r="BG612" i="3"/>
  <c r="BH612" i="3" s="1"/>
  <c r="BI612" i="3" s="1"/>
  <c r="Y614" i="3"/>
  <c r="Z614" i="3" s="1"/>
  <c r="AG614" i="3"/>
  <c r="AN614" i="3"/>
  <c r="AH614" i="3"/>
  <c r="X614" i="3"/>
  <c r="AT613" i="3"/>
  <c r="BQ612" i="3"/>
  <c r="BB612" i="3"/>
  <c r="BF612" i="3"/>
  <c r="BJ611" i="3" s="1"/>
  <c r="BK611" i="3" s="1"/>
  <c r="BN614" i="3"/>
  <c r="AX614" i="3" l="1"/>
  <c r="AO615" i="3"/>
  <c r="AW614" i="3"/>
  <c r="X615" i="3"/>
  <c r="AG615" i="3"/>
  <c r="AV613" i="3"/>
  <c r="BC613" i="3" s="1"/>
  <c r="BA613" i="3"/>
  <c r="AH615" i="3"/>
  <c r="AT615" i="3" s="1"/>
  <c r="AT614" i="3"/>
  <c r="AU614" i="3"/>
  <c r="AU615" i="3"/>
  <c r="AN615" i="3"/>
  <c r="Y615" i="3"/>
  <c r="Z615" i="3" s="1"/>
  <c r="AY614" i="3"/>
  <c r="AR616" i="3"/>
  <c r="B616" i="3"/>
  <c r="AQ616" i="3"/>
  <c r="C616" i="3"/>
  <c r="A617" i="3"/>
  <c r="D616" i="3"/>
  <c r="F616" i="3"/>
  <c r="G616" i="3"/>
  <c r="H616" i="3" s="1"/>
  <c r="Q616" i="3"/>
  <c r="S616" i="3"/>
  <c r="O616" i="3"/>
  <c r="U616" i="3"/>
  <c r="AE616" i="3"/>
  <c r="M616" i="3"/>
  <c r="AD616" i="3"/>
  <c r="AK616" i="3"/>
  <c r="AM616" i="3"/>
  <c r="AN616" i="3" s="1"/>
  <c r="AF616" i="3"/>
  <c r="V616" i="3"/>
  <c r="P616" i="3"/>
  <c r="R616" i="3"/>
  <c r="T616" i="3"/>
  <c r="AV615" i="3" l="1"/>
  <c r="AV614" i="3"/>
  <c r="BC614" i="3" s="1"/>
  <c r="BA614" i="3"/>
  <c r="BB613" i="3"/>
  <c r="BF613" i="3"/>
  <c r="BJ612" i="3" s="1"/>
  <c r="BK612" i="3" s="1"/>
  <c r="BQ613" i="3"/>
  <c r="AR617" i="3"/>
  <c r="B617" i="3"/>
  <c r="A618" i="3"/>
  <c r="AQ617" i="3"/>
  <c r="D617" i="3"/>
  <c r="C617" i="3"/>
  <c r="F617" i="3"/>
  <c r="BM617" i="3" s="1"/>
  <c r="G617" i="3"/>
  <c r="H617" i="3" s="1"/>
  <c r="BN617" i="3" s="1"/>
  <c r="Q617" i="3"/>
  <c r="S617" i="3"/>
  <c r="O617" i="3"/>
  <c r="U617" i="3"/>
  <c r="M617" i="3"/>
  <c r="AD617" i="3"/>
  <c r="AF617" i="3"/>
  <c r="AE617" i="3"/>
  <c r="AK617" i="3"/>
  <c r="AM617" i="3"/>
  <c r="AN617" i="3" s="1"/>
  <c r="R617" i="3"/>
  <c r="P617" i="3"/>
  <c r="V617" i="3"/>
  <c r="T617" i="3"/>
  <c r="AO616" i="3"/>
  <c r="X616" i="3"/>
  <c r="BD613" i="3"/>
  <c r="BG613" i="3"/>
  <c r="BH613" i="3" s="1"/>
  <c r="BI613" i="3" s="1"/>
  <c r="AH616" i="3"/>
  <c r="AW615" i="3"/>
  <c r="Y616" i="3"/>
  <c r="Z616" i="3" s="1"/>
  <c r="AG616" i="3"/>
  <c r="AW616" i="3" s="1"/>
  <c r="BN616" i="3"/>
  <c r="AX615" i="3"/>
  <c r="BM616" i="3"/>
  <c r="BA615" i="3" l="1"/>
  <c r="BB615" i="3" s="1"/>
  <c r="AG617" i="3"/>
  <c r="BQ615" i="3"/>
  <c r="AX616" i="3"/>
  <c r="AY616" i="3" s="1"/>
  <c r="AT616" i="3"/>
  <c r="BD614" i="3"/>
  <c r="BG614" i="3"/>
  <c r="BH614" i="3" s="1"/>
  <c r="BI614" i="3" s="1"/>
  <c r="Y617" i="3"/>
  <c r="Z617" i="3" s="1"/>
  <c r="AU616" i="3"/>
  <c r="A619" i="3"/>
  <c r="C618" i="3"/>
  <c r="D618" i="3"/>
  <c r="AR618" i="3"/>
  <c r="AQ618" i="3"/>
  <c r="B618" i="3"/>
  <c r="G618" i="3"/>
  <c r="H618" i="3" s="1"/>
  <c r="BN618" i="3" s="1"/>
  <c r="F618" i="3"/>
  <c r="Q618" i="3"/>
  <c r="S618" i="3"/>
  <c r="O618" i="3"/>
  <c r="U618" i="3"/>
  <c r="AE618" i="3"/>
  <c r="M618" i="3"/>
  <c r="AD618" i="3"/>
  <c r="AF618" i="3"/>
  <c r="AK618" i="3"/>
  <c r="AM618" i="3"/>
  <c r="R618" i="3"/>
  <c r="P618" i="3"/>
  <c r="T618" i="3"/>
  <c r="V618" i="3"/>
  <c r="AO617" i="3"/>
  <c r="AH617" i="3"/>
  <c r="AX617" i="3" s="1"/>
  <c r="X617" i="3"/>
  <c r="BB614" i="3"/>
  <c r="BF614" i="3"/>
  <c r="BJ613" i="3" s="1"/>
  <c r="BK613" i="3" s="1"/>
  <c r="BQ614" i="3"/>
  <c r="AY615" i="3"/>
  <c r="BC615" i="3" s="1"/>
  <c r="BF615" i="3" l="1"/>
  <c r="AG618" i="3"/>
  <c r="AO618" i="3"/>
  <c r="AN618" i="3"/>
  <c r="AU617" i="3"/>
  <c r="AW617" i="3"/>
  <c r="X618" i="3"/>
  <c r="BD615" i="3"/>
  <c r="BG615" i="3"/>
  <c r="BH615" i="3" s="1"/>
  <c r="BI615" i="3" s="1"/>
  <c r="Y618" i="3"/>
  <c r="Z618" i="3" s="1"/>
  <c r="BJ614" i="3"/>
  <c r="BK614" i="3" s="1"/>
  <c r="AY617" i="3"/>
  <c r="A620" i="3"/>
  <c r="B619" i="3"/>
  <c r="C619" i="3"/>
  <c r="D619" i="3"/>
  <c r="AQ619" i="3"/>
  <c r="AR619" i="3"/>
  <c r="F619" i="3"/>
  <c r="BM619" i="3" s="1"/>
  <c r="G619" i="3"/>
  <c r="H619" i="3" s="1"/>
  <c r="BN619" i="3" s="1"/>
  <c r="Q619" i="3"/>
  <c r="S619" i="3"/>
  <c r="O619" i="3"/>
  <c r="U619" i="3"/>
  <c r="AD619" i="3"/>
  <c r="M619" i="3"/>
  <c r="AE619" i="3"/>
  <c r="AM619" i="3"/>
  <c r="AK619" i="3"/>
  <c r="AF619" i="3"/>
  <c r="V619" i="3"/>
  <c r="P619" i="3"/>
  <c r="T619" i="3"/>
  <c r="R619" i="3"/>
  <c r="AT617" i="3"/>
  <c r="AH618" i="3"/>
  <c r="AU618" i="3" s="1"/>
  <c r="AV616" i="3"/>
  <c r="BC616" i="3" s="1"/>
  <c r="BA616" i="3"/>
  <c r="BM618" i="3"/>
  <c r="AO619" i="3" l="1"/>
  <c r="BF616" i="3"/>
  <c r="BJ615" i="3" s="1"/>
  <c r="BK615" i="3" s="1"/>
  <c r="BB616" i="3"/>
  <c r="BQ616" i="3"/>
  <c r="AV617" i="3"/>
  <c r="BC617" i="3" s="1"/>
  <c r="BA617" i="3"/>
  <c r="BD616" i="3"/>
  <c r="BG616" i="3"/>
  <c r="BH616" i="3" s="1"/>
  <c r="BI616" i="3" s="1"/>
  <c r="X619" i="3"/>
  <c r="Y619" i="3"/>
  <c r="Z619" i="3" s="1"/>
  <c r="AG619" i="3"/>
  <c r="AH619" i="3"/>
  <c r="A621" i="3"/>
  <c r="B620" i="3"/>
  <c r="D620" i="3"/>
  <c r="AR620" i="3"/>
  <c r="AQ620" i="3"/>
  <c r="C620" i="3"/>
  <c r="F620" i="3"/>
  <c r="G620" i="3"/>
  <c r="H620" i="3" s="1"/>
  <c r="Q620" i="3"/>
  <c r="S620" i="3"/>
  <c r="O620" i="3"/>
  <c r="U620" i="3"/>
  <c r="AE620" i="3"/>
  <c r="AD620" i="3"/>
  <c r="AM620" i="3"/>
  <c r="AF620" i="3"/>
  <c r="M620" i="3"/>
  <c r="AK620" i="3"/>
  <c r="AO620" i="3" s="1"/>
  <c r="T620" i="3"/>
  <c r="R620" i="3"/>
  <c r="V620" i="3"/>
  <c r="P620" i="3"/>
  <c r="AW618" i="3"/>
  <c r="AX618" i="3"/>
  <c r="AN619" i="3"/>
  <c r="AT618" i="3"/>
  <c r="AU619" i="3" l="1"/>
  <c r="AY618" i="3"/>
  <c r="AV618" i="3"/>
  <c r="BA618" i="3"/>
  <c r="D621" i="3"/>
  <c r="AR621" i="3"/>
  <c r="A622" i="3"/>
  <c r="AQ621" i="3"/>
  <c r="C621" i="3"/>
  <c r="B621" i="3"/>
  <c r="G621" i="3"/>
  <c r="H621" i="3" s="1"/>
  <c r="BN621" i="3" s="1"/>
  <c r="F621" i="3"/>
  <c r="BM621" i="3" s="1"/>
  <c r="Q621" i="3"/>
  <c r="S621" i="3"/>
  <c r="O621" i="3"/>
  <c r="U621" i="3"/>
  <c r="AD621" i="3"/>
  <c r="M621" i="3"/>
  <c r="AE621" i="3"/>
  <c r="AM621" i="3"/>
  <c r="AF621" i="3"/>
  <c r="AK621" i="3"/>
  <c r="P621" i="3"/>
  <c r="R621" i="3"/>
  <c r="V621" i="3"/>
  <c r="T621" i="3"/>
  <c r="AN620" i="3"/>
  <c r="BB617" i="3"/>
  <c r="BQ617" i="3"/>
  <c r="BF617" i="3"/>
  <c r="BJ616" i="3" s="1"/>
  <c r="BK616" i="3" s="1"/>
  <c r="Y620" i="3"/>
  <c r="Z620" i="3" s="1"/>
  <c r="AH620" i="3"/>
  <c r="AT619" i="3"/>
  <c r="BD617" i="3"/>
  <c r="BG617" i="3"/>
  <c r="BH617" i="3" s="1"/>
  <c r="BI617" i="3" s="1"/>
  <c r="X620" i="3"/>
  <c r="BN620" i="3"/>
  <c r="AW619" i="3"/>
  <c r="AX619" i="3"/>
  <c r="AG620" i="3"/>
  <c r="AU620" i="3" s="1"/>
  <c r="BM620" i="3"/>
  <c r="BC618" i="3" l="1"/>
  <c r="AH621" i="3"/>
  <c r="AY619" i="3"/>
  <c r="AN621" i="3"/>
  <c r="AX620" i="3"/>
  <c r="X621" i="3"/>
  <c r="AV619" i="3"/>
  <c r="BC619" i="3" s="1"/>
  <c r="BA619" i="3"/>
  <c r="AR622" i="3"/>
  <c r="AQ622" i="3"/>
  <c r="B622" i="3"/>
  <c r="C622" i="3"/>
  <c r="A623" i="3"/>
  <c r="D622" i="3"/>
  <c r="G622" i="3"/>
  <c r="H622" i="3" s="1"/>
  <c r="BN622" i="3" s="1"/>
  <c r="F622" i="3"/>
  <c r="BM622" i="3" s="1"/>
  <c r="Q622" i="3"/>
  <c r="S622" i="3"/>
  <c r="O622" i="3"/>
  <c r="U622" i="3"/>
  <c r="M622" i="3"/>
  <c r="AE622" i="3"/>
  <c r="AM622" i="3"/>
  <c r="AF622" i="3"/>
  <c r="AD622" i="3"/>
  <c r="AK622" i="3"/>
  <c r="P622" i="3"/>
  <c r="R622" i="3"/>
  <c r="V622" i="3"/>
  <c r="T622" i="3"/>
  <c r="BF618" i="3"/>
  <c r="BJ617" i="3" s="1"/>
  <c r="BK617" i="3" s="1"/>
  <c r="BB618" i="3"/>
  <c r="BQ618" i="3"/>
  <c r="Y621" i="3"/>
  <c r="Z621" i="3" s="1"/>
  <c r="BD618" i="3"/>
  <c r="BG618" i="3"/>
  <c r="BH618" i="3" s="1"/>
  <c r="BI618" i="3" s="1"/>
  <c r="AG621" i="3"/>
  <c r="AT621" i="3" s="1"/>
  <c r="AW620" i="3"/>
  <c r="AY620" i="3" s="1"/>
  <c r="AO621" i="3"/>
  <c r="AT620" i="3"/>
  <c r="AO622" i="3" l="1"/>
  <c r="AV620" i="3"/>
  <c r="BC620" i="3" s="1"/>
  <c r="BA620" i="3"/>
  <c r="AW621" i="3"/>
  <c r="BB619" i="3"/>
  <c r="BQ619" i="3"/>
  <c r="BF619" i="3"/>
  <c r="BJ618" i="3" s="1"/>
  <c r="BK618" i="3" s="1"/>
  <c r="BD619" i="3"/>
  <c r="BG619" i="3"/>
  <c r="BH619" i="3" s="1"/>
  <c r="BI619" i="3" s="1"/>
  <c r="A624" i="3"/>
  <c r="AQ623" i="3"/>
  <c r="AR623" i="3"/>
  <c r="C623" i="3"/>
  <c r="D623" i="3"/>
  <c r="B623" i="3"/>
  <c r="G623" i="3"/>
  <c r="H623" i="3" s="1"/>
  <c r="BN623" i="3" s="1"/>
  <c r="F623" i="3"/>
  <c r="BM623" i="3" s="1"/>
  <c r="Q623" i="3"/>
  <c r="S623" i="3"/>
  <c r="O623" i="3"/>
  <c r="U623" i="3"/>
  <c r="AD623" i="3"/>
  <c r="AE623" i="3"/>
  <c r="AF623" i="3"/>
  <c r="AK623" i="3"/>
  <c r="AM623" i="3"/>
  <c r="AN623" i="3" s="1"/>
  <c r="M623" i="3"/>
  <c r="V623" i="3"/>
  <c r="R623" i="3"/>
  <c r="T623" i="3"/>
  <c r="P623" i="3"/>
  <c r="Y622" i="3"/>
  <c r="Z622" i="3" s="1"/>
  <c r="AU621" i="3"/>
  <c r="AN622" i="3"/>
  <c r="X622" i="3"/>
  <c r="AH622" i="3"/>
  <c r="AG622" i="3"/>
  <c r="AX621" i="3"/>
  <c r="AY621" i="3" s="1"/>
  <c r="AX622" i="3" l="1"/>
  <c r="AH623" i="3"/>
  <c r="BA621" i="3"/>
  <c r="BB621" i="3" s="1"/>
  <c r="AV621" i="3"/>
  <c r="BC621" i="3" s="1"/>
  <c r="AT622" i="3"/>
  <c r="AU622" i="3"/>
  <c r="AO623" i="3"/>
  <c r="Y623" i="3"/>
  <c r="Z623" i="3" s="1"/>
  <c r="BQ620" i="3"/>
  <c r="BB620" i="3"/>
  <c r="BF620" i="3"/>
  <c r="BJ619" i="3" s="1"/>
  <c r="BK619" i="3" s="1"/>
  <c r="B624" i="3"/>
  <c r="A625" i="3"/>
  <c r="AR624" i="3"/>
  <c r="AQ624" i="3"/>
  <c r="D624" i="3"/>
  <c r="C624" i="3"/>
  <c r="F624" i="3"/>
  <c r="BM624" i="3" s="1"/>
  <c r="G624" i="3"/>
  <c r="H624" i="3" s="1"/>
  <c r="Q624" i="3"/>
  <c r="S624" i="3"/>
  <c r="O624" i="3"/>
  <c r="U624" i="3"/>
  <c r="M624" i="3"/>
  <c r="AD624" i="3"/>
  <c r="AE624" i="3"/>
  <c r="AK624" i="3"/>
  <c r="AF624" i="3"/>
  <c r="AM624" i="3"/>
  <c r="R624" i="3"/>
  <c r="V624" i="3"/>
  <c r="P624" i="3"/>
  <c r="T624" i="3"/>
  <c r="AG623" i="3"/>
  <c r="AW623" i="3" s="1"/>
  <c r="X623" i="3"/>
  <c r="AW622" i="3"/>
  <c r="AY622" i="3" s="1"/>
  <c r="BD620" i="3"/>
  <c r="BG620" i="3"/>
  <c r="BH620" i="3" s="1"/>
  <c r="BI620" i="3" s="1"/>
  <c r="AN624" i="3" l="1"/>
  <c r="BQ621" i="3"/>
  <c r="BF621" i="3"/>
  <c r="Y624" i="3"/>
  <c r="Z624" i="3" s="1"/>
  <c r="X624" i="3"/>
  <c r="A626" i="3"/>
  <c r="AQ625" i="3"/>
  <c r="B625" i="3"/>
  <c r="D625" i="3"/>
  <c r="AR625" i="3"/>
  <c r="C625" i="3"/>
  <c r="F625" i="3"/>
  <c r="BM625" i="3" s="1"/>
  <c r="G625" i="3"/>
  <c r="H625" i="3" s="1"/>
  <c r="BN625" i="3" s="1"/>
  <c r="Q625" i="3"/>
  <c r="S625" i="3"/>
  <c r="O625" i="3"/>
  <c r="U625" i="3"/>
  <c r="AE625" i="3"/>
  <c r="AD625" i="3"/>
  <c r="M625" i="3"/>
  <c r="AK625" i="3"/>
  <c r="AF625" i="3"/>
  <c r="AM625" i="3"/>
  <c r="P625" i="3"/>
  <c r="R625" i="3"/>
  <c r="T625" i="3"/>
  <c r="V625" i="3"/>
  <c r="AO624" i="3"/>
  <c r="BA622" i="3"/>
  <c r="AV622" i="3"/>
  <c r="BC622" i="3" s="1"/>
  <c r="AX623" i="3"/>
  <c r="AY623" i="3" s="1"/>
  <c r="AU623" i="3"/>
  <c r="AT623" i="3"/>
  <c r="BD621" i="3"/>
  <c r="BG621" i="3"/>
  <c r="BH621" i="3" s="1"/>
  <c r="BI621" i="3" s="1"/>
  <c r="AH624" i="3"/>
  <c r="BJ620" i="3"/>
  <c r="BK620" i="3" s="1"/>
  <c r="AG624" i="3"/>
  <c r="AW624" i="3" s="1"/>
  <c r="BN624" i="3"/>
  <c r="AO625" i="3" l="1"/>
  <c r="AX624" i="3"/>
  <c r="AY624" i="3" s="1"/>
  <c r="BD622" i="3"/>
  <c r="BG622" i="3"/>
  <c r="BH622" i="3" s="1"/>
  <c r="BI622" i="3" s="1"/>
  <c r="AH625" i="3"/>
  <c r="AQ626" i="3"/>
  <c r="B626" i="3"/>
  <c r="A627" i="3"/>
  <c r="D626" i="3"/>
  <c r="AR626" i="3"/>
  <c r="C626" i="3"/>
  <c r="G626" i="3"/>
  <c r="H626" i="3" s="1"/>
  <c r="BN626" i="3" s="1"/>
  <c r="F626" i="3"/>
  <c r="BM626" i="3" s="1"/>
  <c r="Q626" i="3"/>
  <c r="S626" i="3"/>
  <c r="O626" i="3"/>
  <c r="U626" i="3"/>
  <c r="AD626" i="3"/>
  <c r="M626" i="3"/>
  <c r="AE626" i="3"/>
  <c r="AF626" i="3"/>
  <c r="AK626" i="3"/>
  <c r="AM626" i="3"/>
  <c r="V626" i="3"/>
  <c r="R626" i="3"/>
  <c r="T626" i="3"/>
  <c r="P626" i="3"/>
  <c r="AG625" i="3"/>
  <c r="AU625" i="3" s="1"/>
  <c r="AV623" i="3"/>
  <c r="BC623" i="3" s="1"/>
  <c r="BA623" i="3"/>
  <c r="AU624" i="3"/>
  <c r="BF622" i="3"/>
  <c r="BJ621" i="3" s="1"/>
  <c r="BK621" i="3" s="1"/>
  <c r="BB622" i="3"/>
  <c r="BQ622" i="3"/>
  <c r="X625" i="3"/>
  <c r="Y625" i="3"/>
  <c r="Z625" i="3" s="1"/>
  <c r="AN625" i="3"/>
  <c r="AT624" i="3"/>
  <c r="AN626" i="3" l="1"/>
  <c r="X626" i="3"/>
  <c r="BD623" i="3"/>
  <c r="BG623" i="3"/>
  <c r="BH623" i="3" s="1"/>
  <c r="BI623" i="3" s="1"/>
  <c r="Y626" i="3"/>
  <c r="Z626" i="3" s="1"/>
  <c r="A628" i="3"/>
  <c r="AQ627" i="3"/>
  <c r="AR627" i="3"/>
  <c r="B627" i="3"/>
  <c r="D627" i="3"/>
  <c r="C627" i="3"/>
  <c r="F627" i="3"/>
  <c r="BM627" i="3" s="1"/>
  <c r="G627" i="3"/>
  <c r="H627" i="3" s="1"/>
  <c r="BN627" i="3" s="1"/>
  <c r="Q627" i="3"/>
  <c r="S627" i="3"/>
  <c r="O627" i="3"/>
  <c r="U627" i="3"/>
  <c r="AD627" i="3"/>
  <c r="M627" i="3"/>
  <c r="AE627" i="3"/>
  <c r="AK627" i="3"/>
  <c r="AF627" i="3"/>
  <c r="AM627" i="3"/>
  <c r="R627" i="3"/>
  <c r="T627" i="3"/>
  <c r="V627" i="3"/>
  <c r="P627" i="3"/>
  <c r="AX625" i="3"/>
  <c r="AW625" i="3"/>
  <c r="AO626" i="3"/>
  <c r="AT625" i="3"/>
  <c r="AH626" i="3"/>
  <c r="BQ623" i="3"/>
  <c r="BB623" i="3"/>
  <c r="BF623" i="3"/>
  <c r="BJ622" i="3" s="1"/>
  <c r="BK622" i="3" s="1"/>
  <c r="AV624" i="3"/>
  <c r="BC624" i="3" s="1"/>
  <c r="BA624" i="3"/>
  <c r="AG626" i="3"/>
  <c r="AW626" i="3" s="1"/>
  <c r="AG627" i="3" l="1"/>
  <c r="AY625" i="3"/>
  <c r="AT626" i="3"/>
  <c r="AN627" i="3"/>
  <c r="BG624" i="3"/>
  <c r="BH624" i="3" s="1"/>
  <c r="BI624" i="3" s="1"/>
  <c r="BD624" i="3"/>
  <c r="AX626" i="3"/>
  <c r="AY626" i="3" s="1"/>
  <c r="AV625" i="3"/>
  <c r="BC625" i="3" s="1"/>
  <c r="BA625" i="3"/>
  <c r="AQ628" i="3"/>
  <c r="C628" i="3"/>
  <c r="D628" i="3"/>
  <c r="A629" i="3"/>
  <c r="AR628" i="3"/>
  <c r="B628" i="3"/>
  <c r="G628" i="3"/>
  <c r="H628" i="3" s="1"/>
  <c r="BN628" i="3" s="1"/>
  <c r="F628" i="3"/>
  <c r="BM628" i="3" s="1"/>
  <c r="Q628" i="3"/>
  <c r="S628" i="3"/>
  <c r="O628" i="3"/>
  <c r="U628" i="3"/>
  <c r="AE628" i="3"/>
  <c r="AD628" i="3"/>
  <c r="M628" i="3"/>
  <c r="AK628" i="3"/>
  <c r="AF628" i="3"/>
  <c r="AM628" i="3"/>
  <c r="V628" i="3"/>
  <c r="P628" i="3"/>
  <c r="R628" i="3"/>
  <c r="T628" i="3"/>
  <c r="BQ624" i="3"/>
  <c r="BF624" i="3"/>
  <c r="BJ623" i="3" s="1"/>
  <c r="BK623" i="3" s="1"/>
  <c r="BB624" i="3"/>
  <c r="Y627" i="3"/>
  <c r="Z627" i="3" s="1"/>
  <c r="AH627" i="3"/>
  <c r="X627" i="3"/>
  <c r="AO627" i="3"/>
  <c r="AU626" i="3"/>
  <c r="AV626" i="3" s="1"/>
  <c r="BC626" i="3" s="1"/>
  <c r="AH628" i="3" l="1"/>
  <c r="AO628" i="3"/>
  <c r="BD626" i="3"/>
  <c r="BG626" i="3"/>
  <c r="BH626" i="3" s="1"/>
  <c r="BI626" i="3" s="1"/>
  <c r="AX627" i="3"/>
  <c r="AW627" i="3"/>
  <c r="BB625" i="3"/>
  <c r="BF625" i="3"/>
  <c r="BJ624" i="3" s="1"/>
  <c r="BK624" i="3" s="1"/>
  <c r="BQ625" i="3"/>
  <c r="AN628" i="3"/>
  <c r="AX628" i="3" s="1"/>
  <c r="Y628" i="3"/>
  <c r="Z628" i="3" s="1"/>
  <c r="BD625" i="3"/>
  <c r="BG625" i="3"/>
  <c r="BH625" i="3" s="1"/>
  <c r="BI625" i="3" s="1"/>
  <c r="AT627" i="3"/>
  <c r="AT628" i="3"/>
  <c r="X628" i="3"/>
  <c r="BA626" i="3"/>
  <c r="AR629" i="3"/>
  <c r="B629" i="3"/>
  <c r="D629" i="3"/>
  <c r="C629" i="3"/>
  <c r="AQ629" i="3"/>
  <c r="A630" i="3"/>
  <c r="G629" i="3"/>
  <c r="H629" i="3" s="1"/>
  <c r="F629" i="3"/>
  <c r="BM629" i="3" s="1"/>
  <c r="Q629" i="3"/>
  <c r="S629" i="3"/>
  <c r="O629" i="3"/>
  <c r="U629" i="3"/>
  <c r="AE629" i="3"/>
  <c r="AD629" i="3"/>
  <c r="AM629" i="3"/>
  <c r="M629" i="3"/>
  <c r="AK629" i="3"/>
  <c r="AF629" i="3"/>
  <c r="T629" i="3"/>
  <c r="V629" i="3"/>
  <c r="P629" i="3"/>
  <c r="R629" i="3"/>
  <c r="AU627" i="3"/>
  <c r="AG628" i="3"/>
  <c r="AU628" i="3" s="1"/>
  <c r="AO629" i="3" l="1"/>
  <c r="AN629" i="3"/>
  <c r="BA627" i="3"/>
  <c r="AV627" i="3"/>
  <c r="BF626" i="3"/>
  <c r="BJ625" i="3" s="1"/>
  <c r="BK625" i="3" s="1"/>
  <c r="BQ626" i="3"/>
  <c r="BB626" i="3"/>
  <c r="AG629" i="3"/>
  <c r="BN629" i="3"/>
  <c r="AY627" i="3"/>
  <c r="X629" i="3"/>
  <c r="AW628" i="3"/>
  <c r="AY628" i="3" s="1"/>
  <c r="Y629" i="3"/>
  <c r="Z629" i="3" s="1"/>
  <c r="AV628" i="3"/>
  <c r="AH629" i="3"/>
  <c r="AX629" i="3" s="1"/>
  <c r="AR630" i="3"/>
  <c r="B630" i="3"/>
  <c r="AQ630" i="3"/>
  <c r="A631" i="3"/>
  <c r="C630" i="3"/>
  <c r="D630" i="3"/>
  <c r="F630" i="3"/>
  <c r="G630" i="3"/>
  <c r="H630" i="3" s="1"/>
  <c r="BN630" i="3" s="1"/>
  <c r="Q630" i="3"/>
  <c r="S630" i="3"/>
  <c r="O630" i="3"/>
  <c r="U630" i="3"/>
  <c r="AE630" i="3"/>
  <c r="AD630" i="3"/>
  <c r="M630" i="3"/>
  <c r="AF630" i="3"/>
  <c r="AM630" i="3"/>
  <c r="AK630" i="3"/>
  <c r="R630" i="3"/>
  <c r="V630" i="3"/>
  <c r="T630" i="3"/>
  <c r="P630" i="3"/>
  <c r="AO630" i="3" l="1"/>
  <c r="AU629" i="3"/>
  <c r="BM630" i="3"/>
  <c r="AN630" i="3"/>
  <c r="AG630" i="3"/>
  <c r="BA628" i="3"/>
  <c r="Y630" i="3"/>
  <c r="Z630" i="3" s="1"/>
  <c r="BC628" i="3"/>
  <c r="AW629" i="3"/>
  <c r="AY629" i="3" s="1"/>
  <c r="BC627" i="3"/>
  <c r="BQ627" i="3"/>
  <c r="BB627" i="3"/>
  <c r="BF627" i="3"/>
  <c r="BJ626" i="3" s="1"/>
  <c r="AT629" i="3"/>
  <c r="AH630" i="3"/>
  <c r="AX630" i="3" s="1"/>
  <c r="X630" i="3"/>
  <c r="D631" i="3"/>
  <c r="AR631" i="3"/>
  <c r="AQ631" i="3"/>
  <c r="A632" i="3"/>
  <c r="B631" i="3"/>
  <c r="C631" i="3"/>
  <c r="G631" i="3"/>
  <c r="H631" i="3" s="1"/>
  <c r="F631" i="3"/>
  <c r="Q631" i="3"/>
  <c r="S631" i="3"/>
  <c r="O631" i="3"/>
  <c r="U631" i="3"/>
  <c r="AE631" i="3"/>
  <c r="M631" i="3"/>
  <c r="AD631" i="3"/>
  <c r="AF631" i="3"/>
  <c r="AM631" i="3"/>
  <c r="AK631" i="3"/>
  <c r="T631" i="3"/>
  <c r="P631" i="3"/>
  <c r="R631" i="3"/>
  <c r="V631" i="3"/>
  <c r="AO631" i="3" l="1"/>
  <c r="BM631" i="3"/>
  <c r="AH631" i="3"/>
  <c r="AT630" i="3"/>
  <c r="AV629" i="3"/>
  <c r="BC629" i="3" s="1"/>
  <c r="BA629" i="3"/>
  <c r="AG631" i="3"/>
  <c r="Y631" i="3"/>
  <c r="Z631" i="3" s="1"/>
  <c r="AN631" i="3"/>
  <c r="AX631" i="3" s="1"/>
  <c r="BD627" i="3"/>
  <c r="BG627" i="3"/>
  <c r="BH627" i="3" s="1"/>
  <c r="BI627" i="3" s="1"/>
  <c r="AU630" i="3"/>
  <c r="AT631" i="3"/>
  <c r="BK626" i="3"/>
  <c r="BK5" i="3"/>
  <c r="X631" i="3"/>
  <c r="BN631" i="3"/>
  <c r="A633" i="3"/>
  <c r="AR632" i="3"/>
  <c r="B632" i="3"/>
  <c r="C632" i="3"/>
  <c r="D632" i="3"/>
  <c r="AQ632" i="3"/>
  <c r="F632" i="3"/>
  <c r="G632" i="3"/>
  <c r="H632" i="3" s="1"/>
  <c r="BN632" i="3" s="1"/>
  <c r="Q632" i="3"/>
  <c r="S632" i="3"/>
  <c r="O632" i="3"/>
  <c r="U632" i="3"/>
  <c r="AD632" i="3"/>
  <c r="AE632" i="3"/>
  <c r="AK632" i="3"/>
  <c r="AM632" i="3"/>
  <c r="M632" i="3"/>
  <c r="AF632" i="3"/>
  <c r="P632" i="3"/>
  <c r="T632" i="3"/>
  <c r="R632" i="3"/>
  <c r="V632" i="3"/>
  <c r="BD628" i="3"/>
  <c r="BG628" i="3"/>
  <c r="BH628" i="3" s="1"/>
  <c r="BI628" i="3" s="1"/>
  <c r="AW630" i="3"/>
  <c r="AY630" i="3" s="1"/>
  <c r="BB628" i="3"/>
  <c r="BF628" i="3"/>
  <c r="BJ627" i="3" s="1"/>
  <c r="BK627" i="3" s="1"/>
  <c r="BK6" i="3" s="1"/>
  <c r="BQ628" i="3"/>
  <c r="AN632" i="3" l="1"/>
  <c r="BM632" i="3"/>
  <c r="Y632" i="3"/>
  <c r="Z632" i="3" s="1"/>
  <c r="AR633" i="3"/>
  <c r="A634" i="3"/>
  <c r="AQ633" i="3"/>
  <c r="C633" i="3"/>
  <c r="B633" i="3"/>
  <c r="D633" i="3"/>
  <c r="F633" i="3"/>
  <c r="BM633" i="3" s="1"/>
  <c r="G633" i="3"/>
  <c r="H633" i="3" s="1"/>
  <c r="BN633" i="3" s="1"/>
  <c r="Q633" i="3"/>
  <c r="S633" i="3"/>
  <c r="O633" i="3"/>
  <c r="U633" i="3"/>
  <c r="AD633" i="3"/>
  <c r="M633" i="3"/>
  <c r="AM633" i="3"/>
  <c r="AE633" i="3"/>
  <c r="AF633" i="3"/>
  <c r="AK633" i="3"/>
  <c r="P633" i="3"/>
  <c r="V633" i="3"/>
  <c r="R633" i="3"/>
  <c r="T633" i="3"/>
  <c r="AH632" i="3"/>
  <c r="A690" i="3"/>
  <c r="B690" i="3" s="1"/>
  <c r="A260" i="2"/>
  <c r="B260" i="2"/>
  <c r="A691" i="3"/>
  <c r="B691" i="3" s="1"/>
  <c r="A688" i="3"/>
  <c r="C260" i="2"/>
  <c r="A692" i="3"/>
  <c r="B692" i="3" s="1"/>
  <c r="AV631" i="3"/>
  <c r="BQ629" i="3"/>
  <c r="BF629" i="3"/>
  <c r="BJ628" i="3" s="1"/>
  <c r="BK628" i="3" s="1"/>
  <c r="BB629" i="3"/>
  <c r="AW631" i="3"/>
  <c r="AY631" i="3" s="1"/>
  <c r="BD629" i="3"/>
  <c r="BG629" i="3"/>
  <c r="BH629" i="3" s="1"/>
  <c r="BI629" i="3" s="1"/>
  <c r="AO632" i="3"/>
  <c r="BA630" i="3"/>
  <c r="AV630" i="3"/>
  <c r="BC630" i="3" s="1"/>
  <c r="AG632" i="3"/>
  <c r="A261" i="2"/>
  <c r="B261" i="2"/>
  <c r="X632" i="3"/>
  <c r="AU631" i="3"/>
  <c r="AO633" i="3" l="1"/>
  <c r="AU632" i="3"/>
  <c r="Y633" i="3"/>
  <c r="Z633" i="3" s="1"/>
  <c r="AG633" i="3"/>
  <c r="X633" i="3"/>
  <c r="BC631" i="3"/>
  <c r="AH633" i="3"/>
  <c r="AU633" i="3" s="1"/>
  <c r="BA631" i="3"/>
  <c r="AW632" i="3"/>
  <c r="BB630" i="3"/>
  <c r="BF630" i="3"/>
  <c r="BJ629" i="3" s="1"/>
  <c r="BK629" i="3" s="1"/>
  <c r="BQ630" i="3"/>
  <c r="AN633" i="3"/>
  <c r="C688" i="3"/>
  <c r="D688" i="3"/>
  <c r="O688" i="3"/>
  <c r="Q688" i="3"/>
  <c r="AQ688" i="3"/>
  <c r="S688" i="3"/>
  <c r="U688" i="3"/>
  <c r="AR688" i="3"/>
  <c r="AF688" i="3"/>
  <c r="G688" i="3"/>
  <c r="H688" i="3" s="1"/>
  <c r="B688" i="3"/>
  <c r="AK688" i="3"/>
  <c r="F688" i="3"/>
  <c r="AM688" i="3"/>
  <c r="P688" i="3"/>
  <c r="V688" i="3"/>
  <c r="AD688" i="3"/>
  <c r="M688" i="3"/>
  <c r="AE688" i="3"/>
  <c r="R688" i="3"/>
  <c r="T688" i="3"/>
  <c r="AX632" i="3"/>
  <c r="AT632" i="3"/>
  <c r="AR634" i="3"/>
  <c r="AQ634" i="3"/>
  <c r="B634" i="3"/>
  <c r="A635" i="3"/>
  <c r="C634" i="3"/>
  <c r="D634" i="3"/>
  <c r="F634" i="3"/>
  <c r="G634" i="3"/>
  <c r="H634" i="3" s="1"/>
  <c r="Q634" i="3"/>
  <c r="S634" i="3"/>
  <c r="O634" i="3"/>
  <c r="U634" i="3"/>
  <c r="M634" i="3"/>
  <c r="AD634" i="3"/>
  <c r="AF634" i="3"/>
  <c r="AE634" i="3"/>
  <c r="AM634" i="3"/>
  <c r="AK634" i="3"/>
  <c r="V634" i="3"/>
  <c r="P634" i="3"/>
  <c r="T634" i="3"/>
  <c r="R634" i="3"/>
  <c r="BD630" i="3"/>
  <c r="BG630" i="3"/>
  <c r="BH630" i="3" s="1"/>
  <c r="BI630" i="3" s="1"/>
  <c r="AT633" i="3" l="1"/>
  <c r="AN688" i="3"/>
  <c r="AG634" i="3"/>
  <c r="AN634" i="3"/>
  <c r="AX633" i="3"/>
  <c r="AO634" i="3"/>
  <c r="Y688" i="3"/>
  <c r="Z688" i="3" s="1"/>
  <c r="BA632" i="3"/>
  <c r="AV632" i="3"/>
  <c r="AY632" i="3"/>
  <c r="X688" i="3"/>
  <c r="AH688" i="3"/>
  <c r="BF631" i="3"/>
  <c r="BJ630" i="3" s="1"/>
  <c r="BK630" i="3" s="1"/>
  <c r="BQ631" i="3"/>
  <c r="BB631" i="3"/>
  <c r="AQ635" i="3"/>
  <c r="AR635" i="3"/>
  <c r="B635" i="3"/>
  <c r="C635" i="3"/>
  <c r="A636" i="3"/>
  <c r="D635" i="3"/>
  <c r="G635" i="3"/>
  <c r="H635" i="3" s="1"/>
  <c r="F635" i="3"/>
  <c r="Q635" i="3"/>
  <c r="S635" i="3"/>
  <c r="O635" i="3"/>
  <c r="U635" i="3"/>
  <c r="M635" i="3"/>
  <c r="AD635" i="3"/>
  <c r="AF635" i="3"/>
  <c r="AM635" i="3"/>
  <c r="AE635" i="3"/>
  <c r="AK635" i="3"/>
  <c r="V635" i="3"/>
  <c r="R635" i="3"/>
  <c r="P635" i="3"/>
  <c r="T635" i="3"/>
  <c r="AG688" i="3"/>
  <c r="AH634" i="3"/>
  <c r="AX634" i="3" s="1"/>
  <c r="BA633" i="3"/>
  <c r="AV633" i="3"/>
  <c r="X634" i="3"/>
  <c r="AO688" i="3"/>
  <c r="BG631" i="3"/>
  <c r="BH631" i="3" s="1"/>
  <c r="BI631" i="3" s="1"/>
  <c r="BD631" i="3"/>
  <c r="BN634" i="3"/>
  <c r="AW633" i="3"/>
  <c r="AY633" i="3" s="1"/>
  <c r="Y634" i="3"/>
  <c r="Z634" i="3" s="1"/>
  <c r="BM634" i="3"/>
  <c r="BC633" i="3" l="1"/>
  <c r="AG635" i="3"/>
  <c r="AO635" i="3"/>
  <c r="AW688" i="3"/>
  <c r="BG633" i="3"/>
  <c r="BH633" i="3" s="1"/>
  <c r="BI633" i="3" s="1"/>
  <c r="BD633" i="3"/>
  <c r="AX688" i="3"/>
  <c r="AY688" i="3" s="1"/>
  <c r="BC632" i="3"/>
  <c r="AH635" i="3"/>
  <c r="BB632" i="3"/>
  <c r="BQ632" i="3"/>
  <c r="BF632" i="3"/>
  <c r="AT635" i="3"/>
  <c r="Y635" i="3"/>
  <c r="Z635" i="3" s="1"/>
  <c r="AU634" i="3"/>
  <c r="AT688" i="3"/>
  <c r="X635" i="3"/>
  <c r="AN635" i="3"/>
  <c r="AT634" i="3"/>
  <c r="AR636" i="3"/>
  <c r="B636" i="3"/>
  <c r="AQ636" i="3"/>
  <c r="D636" i="3"/>
  <c r="C636" i="3"/>
  <c r="A637" i="3"/>
  <c r="F636" i="3"/>
  <c r="BM636" i="3" s="1"/>
  <c r="G636" i="3"/>
  <c r="H636" i="3" s="1"/>
  <c r="BN636" i="3" s="1"/>
  <c r="Q636" i="3"/>
  <c r="S636" i="3"/>
  <c r="O636" i="3"/>
  <c r="U636" i="3"/>
  <c r="M636" i="3"/>
  <c r="AE636" i="3"/>
  <c r="AD636" i="3"/>
  <c r="AK636" i="3"/>
  <c r="AM636" i="3"/>
  <c r="AF636" i="3"/>
  <c r="P636" i="3"/>
  <c r="R636" i="3"/>
  <c r="V636" i="3"/>
  <c r="T636" i="3"/>
  <c r="BM635" i="3"/>
  <c r="AW634" i="3"/>
  <c r="AY634" i="3" s="1"/>
  <c r="BF633" i="3"/>
  <c r="BB633" i="3"/>
  <c r="BQ633" i="3"/>
  <c r="BN635" i="3"/>
  <c r="AU688" i="3"/>
  <c r="AN636" i="3" l="1"/>
  <c r="AH636" i="3"/>
  <c r="Y636" i="3"/>
  <c r="Z636" i="3" s="1"/>
  <c r="AG636" i="3"/>
  <c r="BD632" i="3"/>
  <c r="BG632" i="3"/>
  <c r="BH632" i="3" s="1"/>
  <c r="BI632" i="3" s="1"/>
  <c r="AX635" i="3"/>
  <c r="AT636" i="3"/>
  <c r="AV634" i="3"/>
  <c r="BC634" i="3" s="1"/>
  <c r="BA634" i="3"/>
  <c r="AV688" i="3"/>
  <c r="BC688" i="3" s="1"/>
  <c r="BA688" i="3"/>
  <c r="BB688" i="3" s="1"/>
  <c r="AR637" i="3"/>
  <c r="B637" i="3"/>
  <c r="D637" i="3"/>
  <c r="A638" i="3"/>
  <c r="AQ637" i="3"/>
  <c r="C637" i="3"/>
  <c r="G637" i="3"/>
  <c r="H637" i="3" s="1"/>
  <c r="BN637" i="3" s="1"/>
  <c r="F637" i="3"/>
  <c r="BM637" i="3" s="1"/>
  <c r="Q637" i="3"/>
  <c r="S637" i="3"/>
  <c r="O637" i="3"/>
  <c r="U637" i="3"/>
  <c r="AD637" i="3"/>
  <c r="AE637" i="3"/>
  <c r="M637" i="3"/>
  <c r="AM637" i="3"/>
  <c r="AF637" i="3"/>
  <c r="AK637" i="3"/>
  <c r="V637" i="3"/>
  <c r="P637" i="3"/>
  <c r="T637" i="3"/>
  <c r="R637" i="3"/>
  <c r="X636" i="3"/>
  <c r="AU635" i="3"/>
  <c r="AV635" i="3" s="1"/>
  <c r="AO636" i="3"/>
  <c r="AX636" i="3" s="1"/>
  <c r="BJ632" i="3"/>
  <c r="BK632" i="3" s="1"/>
  <c r="BJ631" i="3"/>
  <c r="BK631" i="3" s="1"/>
  <c r="AU636" i="3"/>
  <c r="AW635" i="3"/>
  <c r="AO637" i="3" l="1"/>
  <c r="AH637" i="3"/>
  <c r="BA635" i="3"/>
  <c r="AN637" i="3"/>
  <c r="AV636" i="3"/>
  <c r="BD688" i="3"/>
  <c r="BG688" i="3"/>
  <c r="BF634" i="3"/>
  <c r="BJ633" i="3" s="1"/>
  <c r="BK633" i="3" s="1"/>
  <c r="BB634" i="3"/>
  <c r="BQ634" i="3"/>
  <c r="BD634" i="3"/>
  <c r="BG634" i="3"/>
  <c r="BH634" i="3" s="1"/>
  <c r="BI634" i="3" s="1"/>
  <c r="AY635" i="3"/>
  <c r="BC635" i="3" s="1"/>
  <c r="A639" i="3"/>
  <c r="D638" i="3"/>
  <c r="C638" i="3"/>
  <c r="B638" i="3"/>
  <c r="AR638" i="3"/>
  <c r="AQ638" i="3"/>
  <c r="G638" i="3"/>
  <c r="H638" i="3" s="1"/>
  <c r="F638" i="3"/>
  <c r="BM638" i="3" s="1"/>
  <c r="Q638" i="3"/>
  <c r="S638" i="3"/>
  <c r="O638" i="3"/>
  <c r="U638" i="3"/>
  <c r="AE638" i="3"/>
  <c r="AD638" i="3"/>
  <c r="AF638" i="3"/>
  <c r="AM638" i="3"/>
  <c r="M638" i="3"/>
  <c r="AK638" i="3"/>
  <c r="AO638" i="3" s="1"/>
  <c r="V638" i="3"/>
  <c r="R638" i="3"/>
  <c r="T638" i="3"/>
  <c r="P638" i="3"/>
  <c r="Y637" i="3"/>
  <c r="Z637" i="3" s="1"/>
  <c r="AG637" i="3"/>
  <c r="AT637" i="3" s="1"/>
  <c r="X637" i="3"/>
  <c r="AW636" i="3"/>
  <c r="AY636" i="3" s="1"/>
  <c r="AX637" i="3" l="1"/>
  <c r="AU637" i="3"/>
  <c r="AV637" i="3" s="1"/>
  <c r="BA636" i="3"/>
  <c r="BQ636" i="3" s="1"/>
  <c r="BG635" i="3"/>
  <c r="BH635" i="3" s="1"/>
  <c r="BI635" i="3" s="1"/>
  <c r="BD635" i="3"/>
  <c r="AN638" i="3"/>
  <c r="Y638" i="3"/>
  <c r="Z638" i="3" s="1"/>
  <c r="AH638" i="3"/>
  <c r="BH688" i="3"/>
  <c r="BI688" i="3" s="1"/>
  <c r="BG689" i="3"/>
  <c r="BH689" i="3" s="1"/>
  <c r="BI689" i="3" s="1"/>
  <c r="BG690" i="3"/>
  <c r="BH690" i="3" s="1"/>
  <c r="BI690" i="3" s="1"/>
  <c r="BC636" i="3"/>
  <c r="AG638" i="3"/>
  <c r="AW638" i="3" s="1"/>
  <c r="BB635" i="3"/>
  <c r="BQ635" i="3"/>
  <c r="BF635" i="3"/>
  <c r="BJ634" i="3" s="1"/>
  <c r="BK634" i="3" s="1"/>
  <c r="A640" i="3"/>
  <c r="B639" i="3"/>
  <c r="C639" i="3"/>
  <c r="D639" i="3"/>
  <c r="AQ639" i="3"/>
  <c r="AR639" i="3"/>
  <c r="F639" i="3"/>
  <c r="G639" i="3"/>
  <c r="H639" i="3" s="1"/>
  <c r="BN639" i="3" s="1"/>
  <c r="Q639" i="3"/>
  <c r="S639" i="3"/>
  <c r="O639" i="3"/>
  <c r="U639" i="3"/>
  <c r="AE639" i="3"/>
  <c r="M639" i="3"/>
  <c r="AD639" i="3"/>
  <c r="AK639" i="3"/>
  <c r="AM639" i="3"/>
  <c r="AF639" i="3"/>
  <c r="V639" i="3"/>
  <c r="T639" i="3"/>
  <c r="R639" i="3"/>
  <c r="P639" i="3"/>
  <c r="AW637" i="3"/>
  <c r="AY637" i="3" s="1"/>
  <c r="X638" i="3"/>
  <c r="BN638" i="3"/>
  <c r="AN639" i="3" l="1"/>
  <c r="BA637" i="3"/>
  <c r="AT638" i="3"/>
  <c r="AO639" i="3"/>
  <c r="BB636" i="3"/>
  <c r="BF636" i="3"/>
  <c r="BJ635" i="3" s="1"/>
  <c r="BK635" i="3" s="1"/>
  <c r="BB637" i="3"/>
  <c r="BF637" i="3"/>
  <c r="BJ636" i="3" s="1"/>
  <c r="BK636" i="3" s="1"/>
  <c r="BQ637" i="3"/>
  <c r="Y639" i="3"/>
  <c r="Z639" i="3" s="1"/>
  <c r="AG639" i="3"/>
  <c r="BD636" i="3"/>
  <c r="BG636" i="3"/>
  <c r="BH636" i="3" s="1"/>
  <c r="BI636" i="3" s="1"/>
  <c r="A641" i="3"/>
  <c r="B640" i="3"/>
  <c r="D640" i="3"/>
  <c r="C640" i="3"/>
  <c r="AR640" i="3"/>
  <c r="AQ640" i="3"/>
  <c r="F640" i="3"/>
  <c r="BM640" i="3" s="1"/>
  <c r="G640" i="3"/>
  <c r="H640" i="3" s="1"/>
  <c r="BN640" i="3" s="1"/>
  <c r="Q640" i="3"/>
  <c r="S640" i="3"/>
  <c r="O640" i="3"/>
  <c r="U640" i="3"/>
  <c r="AD640" i="3"/>
  <c r="AE640" i="3"/>
  <c r="M640" i="3"/>
  <c r="AK640" i="3"/>
  <c r="AM640" i="3"/>
  <c r="AF640" i="3"/>
  <c r="R640" i="3"/>
  <c r="P640" i="3"/>
  <c r="V640" i="3"/>
  <c r="T640" i="3"/>
  <c r="AH639" i="3"/>
  <c r="AX639" i="3" s="1"/>
  <c r="BM639" i="3"/>
  <c r="AX638" i="3"/>
  <c r="AY638" i="3" s="1"/>
  <c r="X639" i="3"/>
  <c r="BC637" i="3"/>
  <c r="AU638" i="3"/>
  <c r="AN640" i="3" l="1"/>
  <c r="AU639" i="3"/>
  <c r="AV638" i="3"/>
  <c r="BC638" i="3" s="1"/>
  <c r="AT639" i="3"/>
  <c r="AV639" i="3" s="1"/>
  <c r="D641" i="3"/>
  <c r="AR641" i="3"/>
  <c r="A642" i="3"/>
  <c r="AQ641" i="3"/>
  <c r="B641" i="3"/>
  <c r="C641" i="3"/>
  <c r="F641" i="3"/>
  <c r="BM641" i="3" s="1"/>
  <c r="G641" i="3"/>
  <c r="H641" i="3" s="1"/>
  <c r="BN641" i="3" s="1"/>
  <c r="Q641" i="3"/>
  <c r="S641" i="3"/>
  <c r="O641" i="3"/>
  <c r="U641" i="3"/>
  <c r="AD641" i="3"/>
  <c r="M641" i="3"/>
  <c r="AF641" i="3"/>
  <c r="AE641" i="3"/>
  <c r="AK641" i="3"/>
  <c r="AM641" i="3"/>
  <c r="T641" i="3"/>
  <c r="V641" i="3"/>
  <c r="R641" i="3"/>
  <c r="P641" i="3"/>
  <c r="BA638" i="3"/>
  <c r="AW639" i="3"/>
  <c r="AY639" i="3" s="1"/>
  <c r="BD637" i="3"/>
  <c r="BG637" i="3"/>
  <c r="BH637" i="3" s="1"/>
  <c r="BI637" i="3" s="1"/>
  <c r="Y640" i="3"/>
  <c r="Z640" i="3" s="1"/>
  <c r="AO640" i="3"/>
  <c r="AG640" i="3"/>
  <c r="AH640" i="3"/>
  <c r="X640" i="3"/>
  <c r="BD638" i="3" l="1"/>
  <c r="BG638" i="3"/>
  <c r="BH638" i="3" s="1"/>
  <c r="BI638" i="3" s="1"/>
  <c r="AX640" i="3"/>
  <c r="AG641" i="3"/>
  <c r="AN641" i="3"/>
  <c r="AH641" i="3"/>
  <c r="X641" i="3"/>
  <c r="AU640" i="3"/>
  <c r="AT641" i="3"/>
  <c r="BA639" i="3"/>
  <c r="BQ638" i="3"/>
  <c r="BF638" i="3"/>
  <c r="BJ637" i="3" s="1"/>
  <c r="BK637" i="3" s="1"/>
  <c r="BB638" i="3"/>
  <c r="AT640" i="3"/>
  <c r="BC639" i="3"/>
  <c r="AW640" i="3"/>
  <c r="AY640" i="3" s="1"/>
  <c r="AR642" i="3"/>
  <c r="AQ642" i="3"/>
  <c r="B642" i="3"/>
  <c r="A643" i="3"/>
  <c r="C642" i="3"/>
  <c r="D642" i="3"/>
  <c r="F642" i="3"/>
  <c r="BM642" i="3" s="1"/>
  <c r="G642" i="3"/>
  <c r="H642" i="3" s="1"/>
  <c r="Q642" i="3"/>
  <c r="S642" i="3"/>
  <c r="O642" i="3"/>
  <c r="U642" i="3"/>
  <c r="AD642" i="3"/>
  <c r="AE642" i="3"/>
  <c r="M642" i="3"/>
  <c r="AM642" i="3"/>
  <c r="AF642" i="3"/>
  <c r="AK642" i="3"/>
  <c r="AO642" i="3" s="1"/>
  <c r="V642" i="3"/>
  <c r="T642" i="3"/>
  <c r="P642" i="3"/>
  <c r="R642" i="3"/>
  <c r="AU641" i="3"/>
  <c r="Y641" i="3"/>
  <c r="Z641" i="3" s="1"/>
  <c r="AO641" i="3"/>
  <c r="AW641" i="3" l="1"/>
  <c r="AH642" i="3"/>
  <c r="D643" i="3"/>
  <c r="AQ643" i="3"/>
  <c r="A644" i="3"/>
  <c r="AR643" i="3"/>
  <c r="B643" i="3"/>
  <c r="C643" i="3"/>
  <c r="G643" i="3"/>
  <c r="H643" i="3" s="1"/>
  <c r="BN643" i="3" s="1"/>
  <c r="F643" i="3"/>
  <c r="BM643" i="3" s="1"/>
  <c r="Q643" i="3"/>
  <c r="S643" i="3"/>
  <c r="O643" i="3"/>
  <c r="U643" i="3"/>
  <c r="AE643" i="3"/>
  <c r="AD643" i="3"/>
  <c r="AF643" i="3"/>
  <c r="AM643" i="3"/>
  <c r="M643" i="3"/>
  <c r="AK643" i="3"/>
  <c r="V643" i="3"/>
  <c r="R643" i="3"/>
  <c r="T643" i="3"/>
  <c r="P643" i="3"/>
  <c r="AV640" i="3"/>
  <c r="BC640" i="3" s="1"/>
  <c r="BA640" i="3"/>
  <c r="X642" i="3"/>
  <c r="AN642" i="3"/>
  <c r="Y642" i="3"/>
  <c r="Z642" i="3" s="1"/>
  <c r="BF639" i="3"/>
  <c r="BJ638" i="3" s="1"/>
  <c r="BK638" i="3" s="1"/>
  <c r="BQ639" i="3"/>
  <c r="BB639" i="3"/>
  <c r="BD639" i="3"/>
  <c r="BG639" i="3"/>
  <c r="BH639" i="3" s="1"/>
  <c r="BI639" i="3" s="1"/>
  <c r="AG642" i="3"/>
  <c r="AW642" i="3" s="1"/>
  <c r="AV641" i="3"/>
  <c r="BN642" i="3"/>
  <c r="AX641" i="3"/>
  <c r="AY641" i="3" s="1"/>
  <c r="AO643" i="3" l="1"/>
  <c r="BA641" i="3"/>
  <c r="AX642" i="3"/>
  <c r="AY642" i="3" s="1"/>
  <c r="BC641" i="3"/>
  <c r="BQ641" i="3"/>
  <c r="BF641" i="3"/>
  <c r="BB641" i="3"/>
  <c r="AN643" i="3"/>
  <c r="AT642" i="3"/>
  <c r="BD640" i="3"/>
  <c r="BG640" i="3"/>
  <c r="BH640" i="3" s="1"/>
  <c r="BI640" i="3" s="1"/>
  <c r="A645" i="3"/>
  <c r="AR644" i="3"/>
  <c r="B644" i="3"/>
  <c r="AQ644" i="3"/>
  <c r="D644" i="3"/>
  <c r="C644" i="3"/>
  <c r="G644" i="3"/>
  <c r="H644" i="3" s="1"/>
  <c r="BN644" i="3" s="1"/>
  <c r="F644" i="3"/>
  <c r="BM644" i="3" s="1"/>
  <c r="Q644" i="3"/>
  <c r="S644" i="3"/>
  <c r="O644" i="3"/>
  <c r="U644" i="3"/>
  <c r="AD644" i="3"/>
  <c r="AE644" i="3"/>
  <c r="M644" i="3"/>
  <c r="AF644" i="3"/>
  <c r="AM644" i="3"/>
  <c r="AK644" i="3"/>
  <c r="P644" i="3"/>
  <c r="T644" i="3"/>
  <c r="R644" i="3"/>
  <c r="V644" i="3"/>
  <c r="AH643" i="3"/>
  <c r="AG643" i="3"/>
  <c r="AU642" i="3"/>
  <c r="X643" i="3"/>
  <c r="BB640" i="3"/>
  <c r="BQ640" i="3"/>
  <c r="BF640" i="3"/>
  <c r="BJ639" i="3" s="1"/>
  <c r="BK639" i="3" s="1"/>
  <c r="Y643" i="3"/>
  <c r="Z643" i="3" s="1"/>
  <c r="AH644" i="3" l="1"/>
  <c r="AW643" i="3"/>
  <c r="AN644" i="3"/>
  <c r="AU643" i="3"/>
  <c r="X644" i="3"/>
  <c r="AV642" i="3"/>
  <c r="BC642" i="3" s="1"/>
  <c r="BA642" i="3"/>
  <c r="AT643" i="3"/>
  <c r="AX643" i="3"/>
  <c r="AY643" i="3" s="1"/>
  <c r="BJ640" i="3"/>
  <c r="BK640" i="3" s="1"/>
  <c r="B645" i="3"/>
  <c r="AR645" i="3"/>
  <c r="A646" i="3"/>
  <c r="AQ645" i="3"/>
  <c r="C645" i="3"/>
  <c r="D645" i="3"/>
  <c r="G645" i="3"/>
  <c r="H645" i="3" s="1"/>
  <c r="BN645" i="3" s="1"/>
  <c r="F645" i="3"/>
  <c r="BM645" i="3" s="1"/>
  <c r="Q645" i="3"/>
  <c r="S645" i="3"/>
  <c r="O645" i="3"/>
  <c r="U645" i="3"/>
  <c r="M645" i="3"/>
  <c r="AD645" i="3"/>
  <c r="AE645" i="3"/>
  <c r="AF645" i="3"/>
  <c r="AK645" i="3"/>
  <c r="AM645" i="3"/>
  <c r="V645" i="3"/>
  <c r="P645" i="3"/>
  <c r="T645" i="3"/>
  <c r="R645" i="3"/>
  <c r="AO644" i="3"/>
  <c r="AG644" i="3"/>
  <c r="Y644" i="3"/>
  <c r="Z644" i="3" s="1"/>
  <c r="BD641" i="3"/>
  <c r="BG641" i="3"/>
  <c r="BH641" i="3" s="1"/>
  <c r="BI641" i="3" s="1"/>
  <c r="AW644" i="3" l="1"/>
  <c r="AN645" i="3"/>
  <c r="AG645" i="3"/>
  <c r="AU644" i="3"/>
  <c r="AX644" i="3"/>
  <c r="AY644" i="3" s="1"/>
  <c r="BD642" i="3"/>
  <c r="BG642" i="3"/>
  <c r="BH642" i="3" s="1"/>
  <c r="BI642" i="3" s="1"/>
  <c r="AT644" i="3"/>
  <c r="AR646" i="3"/>
  <c r="C646" i="3"/>
  <c r="AQ646" i="3"/>
  <c r="A647" i="3"/>
  <c r="B646" i="3"/>
  <c r="D646" i="3"/>
  <c r="G646" i="3"/>
  <c r="H646" i="3" s="1"/>
  <c r="BN646" i="3" s="1"/>
  <c r="F646" i="3"/>
  <c r="BM646" i="3" s="1"/>
  <c r="Q646" i="3"/>
  <c r="S646" i="3"/>
  <c r="O646" i="3"/>
  <c r="U646" i="3"/>
  <c r="AD646" i="3"/>
  <c r="AF646" i="3"/>
  <c r="AE646" i="3"/>
  <c r="M646" i="3"/>
  <c r="AK646" i="3"/>
  <c r="AM646" i="3"/>
  <c r="V646" i="3"/>
  <c r="P646" i="3"/>
  <c r="R646" i="3"/>
  <c r="T646" i="3"/>
  <c r="BA643" i="3"/>
  <c r="BB642" i="3"/>
  <c r="BQ642" i="3"/>
  <c r="BF642" i="3"/>
  <c r="BJ641" i="3" s="1"/>
  <c r="BK641" i="3" s="1"/>
  <c r="Y645" i="3"/>
  <c r="Z645" i="3" s="1"/>
  <c r="AO645" i="3"/>
  <c r="AH645" i="3"/>
  <c r="AX645" i="3" s="1"/>
  <c r="X645" i="3"/>
  <c r="AV643" i="3"/>
  <c r="BC643" i="3" s="1"/>
  <c r="X646" i="3" l="1"/>
  <c r="AO646" i="3"/>
  <c r="BD643" i="3"/>
  <c r="BG643" i="3"/>
  <c r="BH643" i="3" s="1"/>
  <c r="BI643" i="3" s="1"/>
  <c r="AV644" i="3"/>
  <c r="BC644" i="3" s="1"/>
  <c r="BA644" i="3"/>
  <c r="AR647" i="3"/>
  <c r="B647" i="3"/>
  <c r="C647" i="3"/>
  <c r="D647" i="3"/>
  <c r="A648" i="3"/>
  <c r="AQ647" i="3"/>
  <c r="F647" i="3"/>
  <c r="BM647" i="3" s="1"/>
  <c r="G647" i="3"/>
  <c r="H647" i="3" s="1"/>
  <c r="BN647" i="3" s="1"/>
  <c r="Q647" i="3"/>
  <c r="S647" i="3"/>
  <c r="O647" i="3"/>
  <c r="U647" i="3"/>
  <c r="AE647" i="3"/>
  <c r="AD647" i="3"/>
  <c r="M647" i="3"/>
  <c r="AF647" i="3"/>
  <c r="AM647" i="3"/>
  <c r="AK647" i="3"/>
  <c r="AO647" i="3" s="1"/>
  <c r="T647" i="3"/>
  <c r="R647" i="3"/>
  <c r="V647" i="3"/>
  <c r="P647" i="3"/>
  <c r="AN646" i="3"/>
  <c r="AT645" i="3"/>
  <c r="BF643" i="3"/>
  <c r="BJ642" i="3" s="1"/>
  <c r="BK642" i="3" s="1"/>
  <c r="BB643" i="3"/>
  <c r="BQ643" i="3"/>
  <c r="AU645" i="3"/>
  <c r="Y646" i="3"/>
  <c r="Z646" i="3" s="1"/>
  <c r="AW645" i="3"/>
  <c r="AY645" i="3" s="1"/>
  <c r="AG646" i="3"/>
  <c r="AH646" i="3"/>
  <c r="AX646" i="3" s="1"/>
  <c r="X647" i="3" l="1"/>
  <c r="AH647" i="3"/>
  <c r="AN647" i="3"/>
  <c r="AV645" i="3"/>
  <c r="BC645" i="3" s="1"/>
  <c r="BA645" i="3"/>
  <c r="AW646" i="3"/>
  <c r="AY646" i="3" s="1"/>
  <c r="BQ644" i="3"/>
  <c r="BF644" i="3"/>
  <c r="BJ643" i="3" s="1"/>
  <c r="BK643" i="3" s="1"/>
  <c r="BB644" i="3"/>
  <c r="AG647" i="3"/>
  <c r="AW647" i="3" s="1"/>
  <c r="BD644" i="3"/>
  <c r="BG644" i="3"/>
  <c r="BH644" i="3" s="1"/>
  <c r="BI644" i="3" s="1"/>
  <c r="AT646" i="3"/>
  <c r="AU646" i="3"/>
  <c r="AU647" i="3"/>
  <c r="AR648" i="3"/>
  <c r="B648" i="3"/>
  <c r="A649" i="3"/>
  <c r="C648" i="3"/>
  <c r="AQ648" i="3"/>
  <c r="D648" i="3"/>
  <c r="F648" i="3"/>
  <c r="G648" i="3"/>
  <c r="H648" i="3" s="1"/>
  <c r="BN648" i="3" s="1"/>
  <c r="Q648" i="3"/>
  <c r="S648" i="3"/>
  <c r="O648" i="3"/>
  <c r="U648" i="3"/>
  <c r="AD648" i="3"/>
  <c r="AE648" i="3"/>
  <c r="AF648" i="3"/>
  <c r="M648" i="3"/>
  <c r="AK648" i="3"/>
  <c r="AM648" i="3"/>
  <c r="V648" i="3"/>
  <c r="P648" i="3"/>
  <c r="R648" i="3"/>
  <c r="T648" i="3"/>
  <c r="Y647" i="3"/>
  <c r="Z647" i="3" s="1"/>
  <c r="AN648" i="3" l="1"/>
  <c r="AH648" i="3"/>
  <c r="AG648" i="3"/>
  <c r="AU648" i="3" s="1"/>
  <c r="D649" i="3"/>
  <c r="AR649" i="3"/>
  <c r="A650" i="3"/>
  <c r="AQ649" i="3"/>
  <c r="B649" i="3"/>
  <c r="C649" i="3"/>
  <c r="F649" i="3"/>
  <c r="BM649" i="3" s="1"/>
  <c r="G649" i="3"/>
  <c r="H649" i="3" s="1"/>
  <c r="BN649" i="3" s="1"/>
  <c r="Q649" i="3"/>
  <c r="S649" i="3"/>
  <c r="O649" i="3"/>
  <c r="U649" i="3"/>
  <c r="AD649" i="3"/>
  <c r="AE649" i="3"/>
  <c r="M649" i="3"/>
  <c r="AM649" i="3"/>
  <c r="AK649" i="3"/>
  <c r="AF649" i="3"/>
  <c r="V649" i="3"/>
  <c r="R649" i="3"/>
  <c r="P649" i="3"/>
  <c r="T649" i="3"/>
  <c r="BA646" i="3"/>
  <c r="AV646" i="3"/>
  <c r="BC646" i="3" s="1"/>
  <c r="Y648" i="3"/>
  <c r="Z648" i="3" s="1"/>
  <c r="BF645" i="3"/>
  <c r="BJ644" i="3" s="1"/>
  <c r="BK644" i="3" s="1"/>
  <c r="BB645" i="3"/>
  <c r="BQ645" i="3"/>
  <c r="AT647" i="3"/>
  <c r="X648" i="3"/>
  <c r="BM648" i="3"/>
  <c r="BG645" i="3"/>
  <c r="BH645" i="3" s="1"/>
  <c r="BI645" i="3" s="1"/>
  <c r="BD645" i="3"/>
  <c r="AO648" i="3"/>
  <c r="AW648" i="3" s="1"/>
  <c r="AX647" i="3"/>
  <c r="AY647" i="3" s="1"/>
  <c r="AO649" i="3" l="1"/>
  <c r="Y649" i="3"/>
  <c r="Z649" i="3" s="1"/>
  <c r="AT648" i="3"/>
  <c r="AV648" i="3" s="1"/>
  <c r="AG649" i="3"/>
  <c r="AX648" i="3"/>
  <c r="AY648" i="3" s="1"/>
  <c r="BC648" i="3" s="1"/>
  <c r="X649" i="3"/>
  <c r="BD646" i="3"/>
  <c r="BG646" i="3"/>
  <c r="BH646" i="3" s="1"/>
  <c r="BI646" i="3" s="1"/>
  <c r="BB646" i="3"/>
  <c r="BQ646" i="3"/>
  <c r="BF646" i="3"/>
  <c r="BJ645" i="3" s="1"/>
  <c r="BK645" i="3" s="1"/>
  <c r="C650" i="3"/>
  <c r="D650" i="3"/>
  <c r="AR650" i="3"/>
  <c r="B650" i="3"/>
  <c r="A651" i="3"/>
  <c r="AQ650" i="3"/>
  <c r="F650" i="3"/>
  <c r="BM650" i="3" s="1"/>
  <c r="G650" i="3"/>
  <c r="H650" i="3" s="1"/>
  <c r="BN650" i="3" s="1"/>
  <c r="Q650" i="3"/>
  <c r="S650" i="3"/>
  <c r="O650" i="3"/>
  <c r="U650" i="3"/>
  <c r="AD650" i="3"/>
  <c r="AE650" i="3"/>
  <c r="M650" i="3"/>
  <c r="AK650" i="3"/>
  <c r="AF650" i="3"/>
  <c r="AM650" i="3"/>
  <c r="AN650" i="3" s="1"/>
  <c r="T650" i="3"/>
  <c r="P650" i="3"/>
  <c r="V650" i="3"/>
  <c r="R650" i="3"/>
  <c r="AN649" i="3"/>
  <c r="AV647" i="3"/>
  <c r="BC647" i="3" s="1"/>
  <c r="BA647" i="3"/>
  <c r="AH649" i="3"/>
  <c r="AX649" i="3" s="1"/>
  <c r="AG650" i="3" l="1"/>
  <c r="BD647" i="3"/>
  <c r="BG647" i="3"/>
  <c r="BH647" i="3" s="1"/>
  <c r="BI647" i="3" s="1"/>
  <c r="BQ647" i="3"/>
  <c r="BB647" i="3"/>
  <c r="BF647" i="3"/>
  <c r="BJ646" i="3" s="1"/>
  <c r="BK646" i="3" s="1"/>
  <c r="A652" i="3"/>
  <c r="B651" i="3"/>
  <c r="AQ651" i="3"/>
  <c r="AR651" i="3"/>
  <c r="C651" i="3"/>
  <c r="D651" i="3"/>
  <c r="G651" i="3"/>
  <c r="H651" i="3" s="1"/>
  <c r="BN651" i="3" s="1"/>
  <c r="F651" i="3"/>
  <c r="BM651" i="3" s="1"/>
  <c r="Q651" i="3"/>
  <c r="S651" i="3"/>
  <c r="O651" i="3"/>
  <c r="U651" i="3"/>
  <c r="AD651" i="3"/>
  <c r="AM651" i="3"/>
  <c r="M651" i="3"/>
  <c r="AK651" i="3"/>
  <c r="AE651" i="3"/>
  <c r="AF651" i="3"/>
  <c r="V651" i="3"/>
  <c r="R651" i="3"/>
  <c r="T651" i="3"/>
  <c r="P651" i="3"/>
  <c r="Y650" i="3"/>
  <c r="Z650" i="3" s="1"/>
  <c r="AO650" i="3"/>
  <c r="BD648" i="3"/>
  <c r="BG648" i="3"/>
  <c r="BH648" i="3" s="1"/>
  <c r="BI648" i="3" s="1"/>
  <c r="AU649" i="3"/>
  <c r="AW649" i="3"/>
  <c r="AY649" i="3" s="1"/>
  <c r="AT649" i="3"/>
  <c r="AH650" i="3"/>
  <c r="AX650" i="3" s="1"/>
  <c r="X650" i="3"/>
  <c r="BA648" i="3"/>
  <c r="X651" i="3" l="1"/>
  <c r="AO651" i="3"/>
  <c r="AV649" i="3"/>
  <c r="BC649" i="3" s="1"/>
  <c r="BA649" i="3"/>
  <c r="Y651" i="3"/>
  <c r="Z651" i="3" s="1"/>
  <c r="AR652" i="3"/>
  <c r="D652" i="3"/>
  <c r="A653" i="3"/>
  <c r="B652" i="3"/>
  <c r="AQ652" i="3"/>
  <c r="C652" i="3"/>
  <c r="G652" i="3"/>
  <c r="H652" i="3" s="1"/>
  <c r="BN652" i="3" s="1"/>
  <c r="F652" i="3"/>
  <c r="BM652" i="3" s="1"/>
  <c r="Q652" i="3"/>
  <c r="S652" i="3"/>
  <c r="O652" i="3"/>
  <c r="U652" i="3"/>
  <c r="AE652" i="3"/>
  <c r="AD652" i="3"/>
  <c r="M652" i="3"/>
  <c r="AM652" i="3"/>
  <c r="AF652" i="3"/>
  <c r="AK652" i="3"/>
  <c r="R652" i="3"/>
  <c r="T652" i="3"/>
  <c r="V652" i="3"/>
  <c r="P652" i="3"/>
  <c r="AG651" i="3"/>
  <c r="AN651" i="3"/>
  <c r="AU650" i="3"/>
  <c r="AW650" i="3"/>
  <c r="AY650" i="3" s="1"/>
  <c r="BB648" i="3"/>
  <c r="BF648" i="3"/>
  <c r="BJ647" i="3" s="1"/>
  <c r="BK647" i="3" s="1"/>
  <c r="BQ648" i="3"/>
  <c r="AH651" i="3"/>
  <c r="AX651" i="3" s="1"/>
  <c r="AT650" i="3"/>
  <c r="AG652" i="3" l="1"/>
  <c r="AO652" i="3"/>
  <c r="A654" i="3"/>
  <c r="B653" i="3"/>
  <c r="AQ653" i="3"/>
  <c r="D653" i="3"/>
  <c r="AR653" i="3"/>
  <c r="C653" i="3"/>
  <c r="G653" i="3"/>
  <c r="H653" i="3" s="1"/>
  <c r="BN653" i="3" s="1"/>
  <c r="F653" i="3"/>
  <c r="BM653" i="3" s="1"/>
  <c r="Q653" i="3"/>
  <c r="S653" i="3"/>
  <c r="O653" i="3"/>
  <c r="U653" i="3"/>
  <c r="AE653" i="3"/>
  <c r="AD653" i="3"/>
  <c r="M653" i="3"/>
  <c r="AK653" i="3"/>
  <c r="AM653" i="3"/>
  <c r="AN653" i="3" s="1"/>
  <c r="AF653" i="3"/>
  <c r="P653" i="3"/>
  <c r="V653" i="3"/>
  <c r="R653" i="3"/>
  <c r="T653" i="3"/>
  <c r="X652" i="3"/>
  <c r="AU651" i="3"/>
  <c r="AW651" i="3"/>
  <c r="AY651" i="3" s="1"/>
  <c r="AT651" i="3"/>
  <c r="Y652" i="3"/>
  <c r="Z652" i="3" s="1"/>
  <c r="AH652" i="3"/>
  <c r="BF649" i="3"/>
  <c r="BJ648" i="3" s="1"/>
  <c r="BK648" i="3" s="1"/>
  <c r="BB649" i="3"/>
  <c r="BQ649" i="3"/>
  <c r="BA650" i="3"/>
  <c r="AV650" i="3"/>
  <c r="BC650" i="3" s="1"/>
  <c r="AU652" i="3"/>
  <c r="AT652" i="3"/>
  <c r="AN652" i="3"/>
  <c r="BD649" i="3"/>
  <c r="BG649" i="3"/>
  <c r="BH649" i="3" s="1"/>
  <c r="BI649" i="3" s="1"/>
  <c r="Y653" i="3" l="1"/>
  <c r="Z653" i="3" s="1"/>
  <c r="BB650" i="3"/>
  <c r="BQ650" i="3"/>
  <c r="BF650" i="3"/>
  <c r="BJ649" i="3" s="1"/>
  <c r="BK649" i="3" s="1"/>
  <c r="X653" i="3"/>
  <c r="AO653" i="3"/>
  <c r="AH653" i="3"/>
  <c r="AV652" i="3"/>
  <c r="BD650" i="3"/>
  <c r="BG650" i="3"/>
  <c r="BH650" i="3" s="1"/>
  <c r="BI650" i="3" s="1"/>
  <c r="AX652" i="3"/>
  <c r="AG653" i="3"/>
  <c r="AW653" i="3" s="1"/>
  <c r="AV651" i="3"/>
  <c r="BC651" i="3" s="1"/>
  <c r="BA651" i="3"/>
  <c r="AW652" i="3"/>
  <c r="BA652" i="3" s="1"/>
  <c r="AR654" i="3"/>
  <c r="AQ654" i="3"/>
  <c r="D654" i="3"/>
  <c r="B654" i="3"/>
  <c r="A655" i="3"/>
  <c r="C654" i="3"/>
  <c r="F654" i="3"/>
  <c r="BM654" i="3" s="1"/>
  <c r="G654" i="3"/>
  <c r="H654" i="3" s="1"/>
  <c r="Q654" i="3"/>
  <c r="S654" i="3"/>
  <c r="O654" i="3"/>
  <c r="U654" i="3"/>
  <c r="AE654" i="3"/>
  <c r="AD654" i="3"/>
  <c r="M654" i="3"/>
  <c r="AM654" i="3"/>
  <c r="AK654" i="3"/>
  <c r="AF654" i="3"/>
  <c r="T654" i="3"/>
  <c r="V654" i="3"/>
  <c r="P654" i="3"/>
  <c r="R654" i="3"/>
  <c r="BN654" i="3" l="1"/>
  <c r="AN654" i="3"/>
  <c r="BQ652" i="3"/>
  <c r="BF652" i="3"/>
  <c r="BB652" i="3"/>
  <c r="AU653" i="3"/>
  <c r="BF651" i="3"/>
  <c r="BJ650" i="3" s="1"/>
  <c r="BK650" i="3" s="1"/>
  <c r="BQ651" i="3"/>
  <c r="BB651" i="3"/>
  <c r="AY652" i="3"/>
  <c r="BC652" i="3" s="1"/>
  <c r="BD651" i="3"/>
  <c r="BG651" i="3"/>
  <c r="BH651" i="3" s="1"/>
  <c r="BI651" i="3" s="1"/>
  <c r="AH654" i="3"/>
  <c r="AT653" i="3"/>
  <c r="AO654" i="3"/>
  <c r="AG654" i="3"/>
  <c r="Y654" i="3"/>
  <c r="Z654" i="3" s="1"/>
  <c r="X654" i="3"/>
  <c r="AX653" i="3"/>
  <c r="AY653" i="3" s="1"/>
  <c r="A656" i="3"/>
  <c r="B655" i="3"/>
  <c r="AQ655" i="3"/>
  <c r="AR655" i="3"/>
  <c r="C655" i="3"/>
  <c r="D655" i="3"/>
  <c r="F655" i="3"/>
  <c r="BM655" i="3" s="1"/>
  <c r="G655" i="3"/>
  <c r="H655" i="3" s="1"/>
  <c r="BN655" i="3" s="1"/>
  <c r="Q655" i="3"/>
  <c r="S655" i="3"/>
  <c r="O655" i="3"/>
  <c r="U655" i="3"/>
  <c r="AD655" i="3"/>
  <c r="M655" i="3"/>
  <c r="AE655" i="3"/>
  <c r="AM655" i="3"/>
  <c r="AK655" i="3"/>
  <c r="AF655" i="3"/>
  <c r="V655" i="3"/>
  <c r="P655" i="3"/>
  <c r="T655" i="3"/>
  <c r="R655" i="3"/>
  <c r="AW654" i="3" l="1"/>
  <c r="AO655" i="3"/>
  <c r="AU654" i="3"/>
  <c r="Y655" i="3"/>
  <c r="Z655" i="3" s="1"/>
  <c r="AH655" i="3"/>
  <c r="AN655" i="3"/>
  <c r="BD652" i="3"/>
  <c r="BG652" i="3"/>
  <c r="BH652" i="3" s="1"/>
  <c r="BI652" i="3" s="1"/>
  <c r="AT654" i="3"/>
  <c r="AG655" i="3"/>
  <c r="AW655" i="3" s="1"/>
  <c r="BA653" i="3"/>
  <c r="AV653" i="3"/>
  <c r="BC653" i="3" s="1"/>
  <c r="AT655" i="3"/>
  <c r="BJ651" i="3"/>
  <c r="BK651" i="3" s="1"/>
  <c r="AX654" i="3"/>
  <c r="AY654" i="3" s="1"/>
  <c r="X655" i="3"/>
  <c r="AU655" i="3"/>
  <c r="A657" i="3"/>
  <c r="C656" i="3"/>
  <c r="AQ656" i="3"/>
  <c r="AR656" i="3"/>
  <c r="B656" i="3"/>
  <c r="D656" i="3"/>
  <c r="G656" i="3"/>
  <c r="H656" i="3" s="1"/>
  <c r="BN656" i="3" s="1"/>
  <c r="F656" i="3"/>
  <c r="Q656" i="3"/>
  <c r="S656" i="3"/>
  <c r="O656" i="3"/>
  <c r="U656" i="3"/>
  <c r="AE656" i="3"/>
  <c r="AD656" i="3"/>
  <c r="AK656" i="3"/>
  <c r="AF656" i="3"/>
  <c r="M656" i="3"/>
  <c r="AM656" i="3"/>
  <c r="AN656" i="3" s="1"/>
  <c r="T656" i="3"/>
  <c r="V656" i="3"/>
  <c r="P656" i="3"/>
  <c r="R656" i="3"/>
  <c r="AO656" i="3" l="1"/>
  <c r="BD653" i="3"/>
  <c r="BG653" i="3"/>
  <c r="BH653" i="3" s="1"/>
  <c r="BI653" i="3" s="1"/>
  <c r="BQ653" i="3"/>
  <c r="BB653" i="3"/>
  <c r="BF653" i="3"/>
  <c r="BJ652" i="3" s="1"/>
  <c r="BK652" i="3" s="1"/>
  <c r="Y656" i="3"/>
  <c r="Z656" i="3" s="1"/>
  <c r="AH656" i="3"/>
  <c r="AV654" i="3"/>
  <c r="BC654" i="3" s="1"/>
  <c r="BA654" i="3"/>
  <c r="AX655" i="3"/>
  <c r="AY655" i="3" s="1"/>
  <c r="AQ657" i="3"/>
  <c r="B657" i="3"/>
  <c r="C657" i="3"/>
  <c r="D657" i="3"/>
  <c r="AR657" i="3"/>
  <c r="A658" i="3"/>
  <c r="G657" i="3"/>
  <c r="H657" i="3" s="1"/>
  <c r="F657" i="3"/>
  <c r="S657" i="3"/>
  <c r="Q657" i="3"/>
  <c r="O657" i="3"/>
  <c r="U657" i="3"/>
  <c r="AD657" i="3"/>
  <c r="M657" i="3"/>
  <c r="AM657" i="3"/>
  <c r="AE657" i="3"/>
  <c r="AF657" i="3"/>
  <c r="AK657" i="3"/>
  <c r="AO657" i="3" s="1"/>
  <c r="V657" i="3"/>
  <c r="P657" i="3"/>
  <c r="R657" i="3"/>
  <c r="T657" i="3"/>
  <c r="AV655" i="3"/>
  <c r="X656" i="3"/>
  <c r="BM656" i="3"/>
  <c r="AG656" i="3"/>
  <c r="AU656" i="3" s="1"/>
  <c r="BA655" i="3" l="1"/>
  <c r="AX656" i="3"/>
  <c r="BC655" i="3"/>
  <c r="BF654" i="3"/>
  <c r="BJ653" i="3" s="1"/>
  <c r="BK653" i="3" s="1"/>
  <c r="BB654" i="3"/>
  <c r="BQ654" i="3"/>
  <c r="BG654" i="3"/>
  <c r="BH654" i="3" s="1"/>
  <c r="BI654" i="3" s="1"/>
  <c r="BD654" i="3"/>
  <c r="BQ655" i="3"/>
  <c r="BB655" i="3"/>
  <c r="BF655" i="3"/>
  <c r="BJ654" i="3" s="1"/>
  <c r="BK654" i="3" s="1"/>
  <c r="AT656" i="3"/>
  <c r="AN657" i="3"/>
  <c r="X657" i="3"/>
  <c r="D658" i="3"/>
  <c r="B658" i="3"/>
  <c r="AR658" i="3"/>
  <c r="AQ658" i="3"/>
  <c r="A659" i="3"/>
  <c r="C658" i="3"/>
  <c r="F658" i="3"/>
  <c r="G658" i="3"/>
  <c r="H658" i="3" s="1"/>
  <c r="Q658" i="3"/>
  <c r="S658" i="3"/>
  <c r="O658" i="3"/>
  <c r="U658" i="3"/>
  <c r="AE658" i="3"/>
  <c r="AD658" i="3"/>
  <c r="AM658" i="3"/>
  <c r="AK658" i="3"/>
  <c r="AF658" i="3"/>
  <c r="M658" i="3"/>
  <c r="V658" i="3"/>
  <c r="T658" i="3"/>
  <c r="R658" i="3"/>
  <c r="P658" i="3"/>
  <c r="Y657" i="3"/>
  <c r="Z657" i="3" s="1"/>
  <c r="AG657" i="3"/>
  <c r="AH657" i="3"/>
  <c r="AX657" i="3" s="1"/>
  <c r="AW656" i="3"/>
  <c r="AY656" i="3" s="1"/>
  <c r="BM657" i="3"/>
  <c r="BN657" i="3"/>
  <c r="AO658" i="3" l="1"/>
  <c r="AH658" i="3"/>
  <c r="AW657" i="3"/>
  <c r="AQ659" i="3"/>
  <c r="D659" i="3"/>
  <c r="AR659" i="3"/>
  <c r="B659" i="3"/>
  <c r="A660" i="3"/>
  <c r="C659" i="3"/>
  <c r="G659" i="3"/>
  <c r="H659" i="3" s="1"/>
  <c r="BN659" i="3" s="1"/>
  <c r="F659" i="3"/>
  <c r="BM659" i="3" s="1"/>
  <c r="Q659" i="3"/>
  <c r="S659" i="3"/>
  <c r="O659" i="3"/>
  <c r="U659" i="3"/>
  <c r="AD659" i="3"/>
  <c r="AE659" i="3"/>
  <c r="M659" i="3"/>
  <c r="AK659" i="3"/>
  <c r="AF659" i="3"/>
  <c r="AM659" i="3"/>
  <c r="V659" i="3"/>
  <c r="T659" i="3"/>
  <c r="P659" i="3"/>
  <c r="R659" i="3"/>
  <c r="AV656" i="3"/>
  <c r="BC656" i="3" s="1"/>
  <c r="BA656" i="3"/>
  <c r="AN658" i="3"/>
  <c r="Y658" i="3"/>
  <c r="Z658" i="3" s="1"/>
  <c r="AT657" i="3"/>
  <c r="AY657" i="3"/>
  <c r="AG658" i="3"/>
  <c r="AW658" i="3" s="1"/>
  <c r="BN658" i="3"/>
  <c r="X658" i="3"/>
  <c r="AU657" i="3"/>
  <c r="BM658" i="3"/>
  <c r="BD655" i="3"/>
  <c r="BG655" i="3"/>
  <c r="BH655" i="3" s="1"/>
  <c r="BI655" i="3" s="1"/>
  <c r="AN659" i="3" l="1"/>
  <c r="AX658" i="3"/>
  <c r="AY658" i="3" s="1"/>
  <c r="Y659" i="3"/>
  <c r="Z659" i="3" s="1"/>
  <c r="AG659" i="3"/>
  <c r="AH659" i="3"/>
  <c r="BA657" i="3"/>
  <c r="AV657" i="3"/>
  <c r="BC657" i="3" s="1"/>
  <c r="AO659" i="3"/>
  <c r="X659" i="3"/>
  <c r="AT659" i="3"/>
  <c r="AT658" i="3"/>
  <c r="D660" i="3"/>
  <c r="C660" i="3"/>
  <c r="A661" i="3"/>
  <c r="B660" i="3"/>
  <c r="AR660" i="3"/>
  <c r="AQ660" i="3"/>
  <c r="F660" i="3"/>
  <c r="BM660" i="3" s="1"/>
  <c r="G660" i="3"/>
  <c r="H660" i="3" s="1"/>
  <c r="BN660" i="3" s="1"/>
  <c r="Q660" i="3"/>
  <c r="S660" i="3"/>
  <c r="O660" i="3"/>
  <c r="U660" i="3"/>
  <c r="AD660" i="3"/>
  <c r="AE660" i="3"/>
  <c r="M660" i="3"/>
  <c r="AM660" i="3"/>
  <c r="AF660" i="3"/>
  <c r="AK660" i="3"/>
  <c r="AO660" i="3" s="1"/>
  <c r="P660" i="3"/>
  <c r="T660" i="3"/>
  <c r="V660" i="3"/>
  <c r="R660" i="3"/>
  <c r="AU659" i="3"/>
  <c r="BQ656" i="3"/>
  <c r="BB656" i="3"/>
  <c r="BF656" i="3"/>
  <c r="BJ655" i="3" s="1"/>
  <c r="BK655" i="3" s="1"/>
  <c r="BD656" i="3"/>
  <c r="BG656" i="3"/>
  <c r="BH656" i="3" s="1"/>
  <c r="BI656" i="3" s="1"/>
  <c r="AU658" i="3"/>
  <c r="X660" i="3" l="1"/>
  <c r="BD657" i="3"/>
  <c r="BG657" i="3"/>
  <c r="BH657" i="3" s="1"/>
  <c r="BI657" i="3" s="1"/>
  <c r="B661" i="3"/>
  <c r="C661" i="3"/>
  <c r="AQ661" i="3"/>
  <c r="A662" i="3"/>
  <c r="AR661" i="3"/>
  <c r="D661" i="3"/>
  <c r="F661" i="3"/>
  <c r="BM661" i="3" s="1"/>
  <c r="G661" i="3"/>
  <c r="H661" i="3" s="1"/>
  <c r="BN661" i="3" s="1"/>
  <c r="Q661" i="3"/>
  <c r="S661" i="3"/>
  <c r="O661" i="3"/>
  <c r="U661" i="3"/>
  <c r="AD661" i="3"/>
  <c r="AE661" i="3"/>
  <c r="M661" i="3"/>
  <c r="AM661" i="3"/>
  <c r="AK661" i="3"/>
  <c r="AF661" i="3"/>
  <c r="T661" i="3"/>
  <c r="V661" i="3"/>
  <c r="P661" i="3"/>
  <c r="R661" i="3"/>
  <c r="AG660" i="3"/>
  <c r="BQ657" i="3"/>
  <c r="BB657" i="3"/>
  <c r="BF657" i="3"/>
  <c r="BJ656" i="3" s="1"/>
  <c r="BK656" i="3" s="1"/>
  <c r="Y660" i="3"/>
  <c r="Z660" i="3" s="1"/>
  <c r="BA658" i="3"/>
  <c r="AV658" i="3"/>
  <c r="BC658" i="3" s="1"/>
  <c r="AV659" i="3"/>
  <c r="AN660" i="3"/>
  <c r="AH660" i="3"/>
  <c r="AW659" i="3"/>
  <c r="AX659" i="3"/>
  <c r="AX660" i="3" l="1"/>
  <c r="AG661" i="3"/>
  <c r="AN661" i="3"/>
  <c r="BA659" i="3"/>
  <c r="BQ659" i="3" s="1"/>
  <c r="AY659" i="3"/>
  <c r="X661" i="3"/>
  <c r="AT660" i="3"/>
  <c r="BD658" i="3"/>
  <c r="BG658" i="3"/>
  <c r="BH658" i="3" s="1"/>
  <c r="BI658" i="3" s="1"/>
  <c r="AQ662" i="3"/>
  <c r="C662" i="3"/>
  <c r="AR662" i="3"/>
  <c r="B662" i="3"/>
  <c r="A663" i="3"/>
  <c r="D662" i="3"/>
  <c r="G662" i="3"/>
  <c r="H662" i="3" s="1"/>
  <c r="BN662" i="3" s="1"/>
  <c r="F662" i="3"/>
  <c r="BM662" i="3" s="1"/>
  <c r="Q662" i="3"/>
  <c r="S662" i="3"/>
  <c r="O662" i="3"/>
  <c r="U662" i="3"/>
  <c r="AD662" i="3"/>
  <c r="AE662" i="3"/>
  <c r="M662" i="3"/>
  <c r="AK662" i="3"/>
  <c r="AF662" i="3"/>
  <c r="AM662" i="3"/>
  <c r="P662" i="3"/>
  <c r="T662" i="3"/>
  <c r="R662" i="3"/>
  <c r="V662" i="3"/>
  <c r="AW660" i="3"/>
  <c r="AY660" i="3" s="1"/>
  <c r="BC659" i="3"/>
  <c r="Y661" i="3"/>
  <c r="Z661" i="3" s="1"/>
  <c r="AH661" i="3"/>
  <c r="AU660" i="3"/>
  <c r="BB658" i="3"/>
  <c r="BF658" i="3"/>
  <c r="BJ657" i="3" s="1"/>
  <c r="BK657" i="3" s="1"/>
  <c r="BQ658" i="3"/>
  <c r="AO661" i="3"/>
  <c r="BB659" i="3" l="1"/>
  <c r="BF659" i="3"/>
  <c r="AN662" i="3"/>
  <c r="AX661" i="3"/>
  <c r="BD659" i="3"/>
  <c r="BG659" i="3"/>
  <c r="BH659" i="3" s="1"/>
  <c r="BI659" i="3" s="1"/>
  <c r="AW661" i="3"/>
  <c r="X662" i="3"/>
  <c r="AQ663" i="3"/>
  <c r="AR663" i="3"/>
  <c r="A664" i="3"/>
  <c r="B663" i="3"/>
  <c r="C663" i="3"/>
  <c r="D663" i="3"/>
  <c r="G663" i="3"/>
  <c r="H663" i="3" s="1"/>
  <c r="BN663" i="3" s="1"/>
  <c r="F663" i="3"/>
  <c r="BM663" i="3" s="1"/>
  <c r="Q663" i="3"/>
  <c r="S663" i="3"/>
  <c r="O663" i="3"/>
  <c r="U663" i="3"/>
  <c r="AD663" i="3"/>
  <c r="M663" i="3"/>
  <c r="AK663" i="3"/>
  <c r="AF663" i="3"/>
  <c r="AE663" i="3"/>
  <c r="AM663" i="3"/>
  <c r="R663" i="3"/>
  <c r="T663" i="3"/>
  <c r="P663" i="3"/>
  <c r="V663" i="3"/>
  <c r="BA660" i="3"/>
  <c r="AV660" i="3"/>
  <c r="BC660" i="3" s="1"/>
  <c r="AT661" i="3"/>
  <c r="AU661" i="3"/>
  <c r="AO662" i="3"/>
  <c r="AG662" i="3"/>
  <c r="BJ658" i="3"/>
  <c r="BK658" i="3" s="1"/>
  <c r="AY661" i="3"/>
  <c r="Y662" i="3"/>
  <c r="Z662" i="3" s="1"/>
  <c r="AH662" i="3"/>
  <c r="AX662" i="3" s="1"/>
  <c r="AH663" i="3" l="1"/>
  <c r="AO663" i="3"/>
  <c r="X663" i="3"/>
  <c r="BG660" i="3"/>
  <c r="BH660" i="3" s="1"/>
  <c r="BI660" i="3" s="1"/>
  <c r="BD660" i="3"/>
  <c r="AU662" i="3"/>
  <c r="Y663" i="3"/>
  <c r="Z663" i="3" s="1"/>
  <c r="AT662" i="3"/>
  <c r="AW662" i="3"/>
  <c r="AY662" i="3" s="1"/>
  <c r="BQ660" i="3"/>
  <c r="BF660" i="3"/>
  <c r="BJ659" i="3" s="1"/>
  <c r="BK659" i="3" s="1"/>
  <c r="BB660" i="3"/>
  <c r="A665" i="3"/>
  <c r="AR664" i="3"/>
  <c r="B664" i="3"/>
  <c r="C664" i="3"/>
  <c r="D664" i="3"/>
  <c r="AQ664" i="3"/>
  <c r="F664" i="3"/>
  <c r="BM664" i="3" s="1"/>
  <c r="G664" i="3"/>
  <c r="H664" i="3" s="1"/>
  <c r="S664" i="3"/>
  <c r="Q664" i="3"/>
  <c r="O664" i="3"/>
  <c r="U664" i="3"/>
  <c r="M664" i="3"/>
  <c r="AD664" i="3"/>
  <c r="AE664" i="3"/>
  <c r="AF664" i="3"/>
  <c r="AM664" i="3"/>
  <c r="AK664" i="3"/>
  <c r="V664" i="3"/>
  <c r="P664" i="3"/>
  <c r="T664" i="3"/>
  <c r="R664" i="3"/>
  <c r="BA661" i="3"/>
  <c r="AV661" i="3"/>
  <c r="BC661" i="3" s="1"/>
  <c r="AN663" i="3"/>
  <c r="AG663" i="3"/>
  <c r="AW663" i="3" l="1"/>
  <c r="AO664" i="3"/>
  <c r="AX663" i="3"/>
  <c r="AN664" i="3"/>
  <c r="AG664" i="3"/>
  <c r="BQ661" i="3"/>
  <c r="BF661" i="3"/>
  <c r="BJ660" i="3" s="1"/>
  <c r="BK660" i="3" s="1"/>
  <c r="BB661" i="3"/>
  <c r="AT663" i="3"/>
  <c r="AU663" i="3"/>
  <c r="AY663" i="3"/>
  <c r="AR665" i="3"/>
  <c r="B665" i="3"/>
  <c r="A666" i="3"/>
  <c r="AQ665" i="3"/>
  <c r="C665" i="3"/>
  <c r="D665" i="3"/>
  <c r="G665" i="3"/>
  <c r="H665" i="3" s="1"/>
  <c r="BN665" i="3" s="1"/>
  <c r="F665" i="3"/>
  <c r="BM665" i="3" s="1"/>
  <c r="Q665" i="3"/>
  <c r="S665" i="3"/>
  <c r="O665" i="3"/>
  <c r="U665" i="3"/>
  <c r="AE665" i="3"/>
  <c r="M665" i="3"/>
  <c r="AD665" i="3"/>
  <c r="AK665" i="3"/>
  <c r="AM665" i="3"/>
  <c r="AF665" i="3"/>
  <c r="R665" i="3"/>
  <c r="T665" i="3"/>
  <c r="P665" i="3"/>
  <c r="V665" i="3"/>
  <c r="BA662" i="3"/>
  <c r="AV662" i="3"/>
  <c r="BC662" i="3" s="1"/>
  <c r="BD661" i="3"/>
  <c r="BG661" i="3"/>
  <c r="BH661" i="3" s="1"/>
  <c r="BI661" i="3" s="1"/>
  <c r="Y664" i="3"/>
  <c r="Z664" i="3" s="1"/>
  <c r="AH664" i="3"/>
  <c r="AX664" i="3" s="1"/>
  <c r="X664" i="3"/>
  <c r="BN664" i="3"/>
  <c r="AN665" i="3" l="1"/>
  <c r="BF662" i="3"/>
  <c r="BJ661" i="3" s="1"/>
  <c r="BK661" i="3" s="1"/>
  <c r="BQ662" i="3"/>
  <c r="BB662" i="3"/>
  <c r="X665" i="3"/>
  <c r="AU664" i="3"/>
  <c r="BA663" i="3"/>
  <c r="AV663" i="3"/>
  <c r="BC663" i="3" s="1"/>
  <c r="C666" i="3"/>
  <c r="AR666" i="3"/>
  <c r="A667" i="3"/>
  <c r="AQ666" i="3"/>
  <c r="B666" i="3"/>
  <c r="D666" i="3"/>
  <c r="G666" i="3"/>
  <c r="H666" i="3" s="1"/>
  <c r="BN666" i="3" s="1"/>
  <c r="F666" i="3"/>
  <c r="BM666" i="3" s="1"/>
  <c r="Q666" i="3"/>
  <c r="S666" i="3"/>
  <c r="O666" i="3"/>
  <c r="U666" i="3"/>
  <c r="M666" i="3"/>
  <c r="AD666" i="3"/>
  <c r="AF666" i="3"/>
  <c r="AE666" i="3"/>
  <c r="AK666" i="3"/>
  <c r="AM666" i="3"/>
  <c r="T666" i="3"/>
  <c r="R666" i="3"/>
  <c r="V666" i="3"/>
  <c r="P666" i="3"/>
  <c r="AH665" i="3"/>
  <c r="AW664" i="3"/>
  <c r="AY664" i="3" s="1"/>
  <c r="BG662" i="3"/>
  <c r="BH662" i="3" s="1"/>
  <c r="BI662" i="3" s="1"/>
  <c r="BD662" i="3"/>
  <c r="AT664" i="3"/>
  <c r="Y665" i="3"/>
  <c r="Z665" i="3" s="1"/>
  <c r="AO665" i="3"/>
  <c r="AG665" i="3"/>
  <c r="AW665" i="3" l="1"/>
  <c r="AG666" i="3"/>
  <c r="X666" i="3"/>
  <c r="AO666" i="3"/>
  <c r="AT665" i="3"/>
  <c r="AR667" i="3"/>
  <c r="B667" i="3"/>
  <c r="D667" i="3"/>
  <c r="C667" i="3"/>
  <c r="A668" i="3"/>
  <c r="AQ667" i="3"/>
  <c r="G667" i="3"/>
  <c r="H667" i="3" s="1"/>
  <c r="BN667" i="3" s="1"/>
  <c r="F667" i="3"/>
  <c r="BM667" i="3" s="1"/>
  <c r="Q667" i="3"/>
  <c r="S667" i="3"/>
  <c r="O667" i="3"/>
  <c r="U667" i="3"/>
  <c r="AD667" i="3"/>
  <c r="M667" i="3"/>
  <c r="AE667" i="3"/>
  <c r="AG667" i="3" s="1"/>
  <c r="AM667" i="3"/>
  <c r="AK667" i="3"/>
  <c r="AF667" i="3"/>
  <c r="R667" i="3"/>
  <c r="T667" i="3"/>
  <c r="P667" i="3"/>
  <c r="V667" i="3"/>
  <c r="BD663" i="3"/>
  <c r="BG663" i="3"/>
  <c r="BH663" i="3" s="1"/>
  <c r="BI663" i="3" s="1"/>
  <c r="AN666" i="3"/>
  <c r="BQ663" i="3"/>
  <c r="BF663" i="3"/>
  <c r="BJ662" i="3" s="1"/>
  <c r="BK662" i="3" s="1"/>
  <c r="BB663" i="3"/>
  <c r="Y666" i="3"/>
  <c r="Z666" i="3" s="1"/>
  <c r="AH666" i="3"/>
  <c r="AX666" i="3" s="1"/>
  <c r="AV664" i="3"/>
  <c r="BC664" i="3" s="1"/>
  <c r="BA664" i="3"/>
  <c r="AX665" i="3"/>
  <c r="AY665" i="3" s="1"/>
  <c r="AU665" i="3"/>
  <c r="AO667" i="3" l="1"/>
  <c r="BD664" i="3"/>
  <c r="BG664" i="3"/>
  <c r="BH664" i="3" s="1"/>
  <c r="BI664" i="3" s="1"/>
  <c r="AW666" i="3"/>
  <c r="AY666" i="3" s="1"/>
  <c r="AN667" i="3"/>
  <c r="X667" i="3"/>
  <c r="AT666" i="3"/>
  <c r="Y667" i="3"/>
  <c r="Z667" i="3" s="1"/>
  <c r="BB664" i="3"/>
  <c r="BF664" i="3"/>
  <c r="BJ663" i="3" s="1"/>
  <c r="BK663" i="3" s="1"/>
  <c r="BQ664" i="3"/>
  <c r="A669" i="3"/>
  <c r="B668" i="3"/>
  <c r="AR668" i="3"/>
  <c r="D668" i="3"/>
  <c r="AQ668" i="3"/>
  <c r="C668" i="3"/>
  <c r="F668" i="3"/>
  <c r="BM668" i="3" s="1"/>
  <c r="G668" i="3"/>
  <c r="H668" i="3" s="1"/>
  <c r="Q668" i="3"/>
  <c r="S668" i="3"/>
  <c r="O668" i="3"/>
  <c r="U668" i="3"/>
  <c r="M668" i="3"/>
  <c r="AD668" i="3"/>
  <c r="AE668" i="3"/>
  <c r="AF668" i="3"/>
  <c r="AM668" i="3"/>
  <c r="AK668" i="3"/>
  <c r="V668" i="3"/>
  <c r="T668" i="3"/>
  <c r="R668" i="3"/>
  <c r="P668" i="3"/>
  <c r="AH667" i="3"/>
  <c r="AX667" i="3" s="1"/>
  <c r="AU666" i="3"/>
  <c r="BA665" i="3"/>
  <c r="AV665" i="3"/>
  <c r="BC665" i="3" s="1"/>
  <c r="AO668" i="3" l="1"/>
  <c r="AN668" i="3"/>
  <c r="BF665" i="3"/>
  <c r="BJ664" i="3" s="1"/>
  <c r="BK664" i="3" s="1"/>
  <c r="BQ665" i="3"/>
  <c r="BB665" i="3"/>
  <c r="C669" i="3"/>
  <c r="A670" i="3"/>
  <c r="AQ669" i="3"/>
  <c r="B669" i="3"/>
  <c r="AR669" i="3"/>
  <c r="D669" i="3"/>
  <c r="F669" i="3"/>
  <c r="BM669" i="3" s="1"/>
  <c r="G669" i="3"/>
  <c r="H669" i="3" s="1"/>
  <c r="BN669" i="3" s="1"/>
  <c r="Q669" i="3"/>
  <c r="S669" i="3"/>
  <c r="O669" i="3"/>
  <c r="U669" i="3"/>
  <c r="M669" i="3"/>
  <c r="AD669" i="3"/>
  <c r="AE669" i="3"/>
  <c r="AK669" i="3"/>
  <c r="AF669" i="3"/>
  <c r="AM669" i="3"/>
  <c r="R669" i="3"/>
  <c r="T669" i="3"/>
  <c r="V669" i="3"/>
  <c r="P669" i="3"/>
  <c r="AH668" i="3"/>
  <c r="Y668" i="3"/>
  <c r="Z668" i="3" s="1"/>
  <c r="AG668" i="3"/>
  <c r="AT667" i="3"/>
  <c r="AU667" i="3"/>
  <c r="AV666" i="3"/>
  <c r="BC666" i="3" s="1"/>
  <c r="BA666" i="3"/>
  <c r="X668" i="3"/>
  <c r="BD665" i="3"/>
  <c r="BG665" i="3"/>
  <c r="BH665" i="3" s="1"/>
  <c r="BI665" i="3" s="1"/>
  <c r="BN668" i="3"/>
  <c r="AW667" i="3"/>
  <c r="AY667" i="3" s="1"/>
  <c r="AO669" i="3" l="1"/>
  <c r="AW668" i="3"/>
  <c r="AG669" i="3"/>
  <c r="X669" i="3"/>
  <c r="AX668" i="3"/>
  <c r="AY668" i="3" s="1"/>
  <c r="AH669" i="3"/>
  <c r="AU669" i="3" s="1"/>
  <c r="BF666" i="3"/>
  <c r="BJ665" i="3" s="1"/>
  <c r="BK665" i="3" s="1"/>
  <c r="BQ666" i="3"/>
  <c r="BB666" i="3"/>
  <c r="AU668" i="3"/>
  <c r="AT669" i="3"/>
  <c r="AT668" i="3"/>
  <c r="D670" i="3"/>
  <c r="C670" i="3"/>
  <c r="AR670" i="3"/>
  <c r="A671" i="3"/>
  <c r="AQ670" i="3"/>
  <c r="B670" i="3"/>
  <c r="G670" i="3"/>
  <c r="H670" i="3" s="1"/>
  <c r="BN670" i="3" s="1"/>
  <c r="F670" i="3"/>
  <c r="BM670" i="3" s="1"/>
  <c r="Q670" i="3"/>
  <c r="S670" i="3"/>
  <c r="O670" i="3"/>
  <c r="U670" i="3"/>
  <c r="M670" i="3"/>
  <c r="AD670" i="3"/>
  <c r="AF670" i="3"/>
  <c r="AE670" i="3"/>
  <c r="AK670" i="3"/>
  <c r="AM670" i="3"/>
  <c r="AN670" i="3" s="1"/>
  <c r="T670" i="3"/>
  <c r="P670" i="3"/>
  <c r="V670" i="3"/>
  <c r="R670" i="3"/>
  <c r="Y669" i="3"/>
  <c r="Z669" i="3" s="1"/>
  <c r="AN669" i="3"/>
  <c r="AW669" i="3" s="1"/>
  <c r="BD666" i="3"/>
  <c r="BG666" i="3"/>
  <c r="BH666" i="3" s="1"/>
  <c r="BI666" i="3" s="1"/>
  <c r="BA667" i="3"/>
  <c r="AV667" i="3"/>
  <c r="BC667" i="3" s="1"/>
  <c r="AG670" i="3" l="1"/>
  <c r="Y670" i="3"/>
  <c r="Z670" i="3" s="1"/>
  <c r="AV669" i="3"/>
  <c r="AR671" i="3"/>
  <c r="B671" i="3"/>
  <c r="C671" i="3"/>
  <c r="AQ671" i="3"/>
  <c r="A672" i="3"/>
  <c r="D671" i="3"/>
  <c r="F671" i="3"/>
  <c r="BM671" i="3" s="1"/>
  <c r="G671" i="3"/>
  <c r="H671" i="3" s="1"/>
  <c r="BN671" i="3" s="1"/>
  <c r="Q671" i="3"/>
  <c r="S671" i="3"/>
  <c r="O671" i="3"/>
  <c r="U671" i="3"/>
  <c r="AD671" i="3"/>
  <c r="M671" i="3"/>
  <c r="AE671" i="3"/>
  <c r="AM671" i="3"/>
  <c r="AF671" i="3"/>
  <c r="AK671" i="3"/>
  <c r="T671" i="3"/>
  <c r="V671" i="3"/>
  <c r="P671" i="3"/>
  <c r="R671" i="3"/>
  <c r="BA668" i="3"/>
  <c r="AV668" i="3"/>
  <c r="BC668" i="3" s="1"/>
  <c r="BD667" i="3"/>
  <c r="BG667" i="3"/>
  <c r="BH667" i="3" s="1"/>
  <c r="BI667" i="3" s="1"/>
  <c r="AO670" i="3"/>
  <c r="BQ667" i="3"/>
  <c r="BF667" i="3"/>
  <c r="BJ666" i="3" s="1"/>
  <c r="BK666" i="3" s="1"/>
  <c r="BB667" i="3"/>
  <c r="AH670" i="3"/>
  <c r="AX670" i="3" s="1"/>
  <c r="AX669" i="3"/>
  <c r="AY669" i="3" s="1"/>
  <c r="X670" i="3"/>
  <c r="AW670" i="3" l="1"/>
  <c r="AG671" i="3"/>
  <c r="AO671" i="3"/>
  <c r="AU670" i="3"/>
  <c r="AY670" i="3"/>
  <c r="BQ668" i="3"/>
  <c r="BB668" i="3"/>
  <c r="BF668" i="3"/>
  <c r="BJ667" i="3" s="1"/>
  <c r="BK667" i="3" s="1"/>
  <c r="BD668" i="3"/>
  <c r="BG668" i="3"/>
  <c r="BH668" i="3" s="1"/>
  <c r="BI668" i="3" s="1"/>
  <c r="AH671" i="3"/>
  <c r="BC669" i="3"/>
  <c r="C672" i="3"/>
  <c r="A673" i="3"/>
  <c r="AR672" i="3"/>
  <c r="B672" i="3"/>
  <c r="AQ672" i="3"/>
  <c r="D672" i="3"/>
  <c r="F672" i="3"/>
  <c r="BM672" i="3" s="1"/>
  <c r="G672" i="3"/>
  <c r="H672" i="3" s="1"/>
  <c r="BN672" i="3" s="1"/>
  <c r="Q672" i="3"/>
  <c r="S672" i="3"/>
  <c r="O672" i="3"/>
  <c r="U672" i="3"/>
  <c r="AD672" i="3"/>
  <c r="M672" i="3"/>
  <c r="AE672" i="3"/>
  <c r="AM672" i="3"/>
  <c r="AF672" i="3"/>
  <c r="AK672" i="3"/>
  <c r="V672" i="3"/>
  <c r="R672" i="3"/>
  <c r="T672" i="3"/>
  <c r="P672" i="3"/>
  <c r="AT670" i="3"/>
  <c r="X671" i="3"/>
  <c r="Y671" i="3"/>
  <c r="Z671" i="3" s="1"/>
  <c r="BA669" i="3"/>
  <c r="AU671" i="3"/>
  <c r="AT671" i="3"/>
  <c r="AN671" i="3"/>
  <c r="AO672" i="3" l="1"/>
  <c r="AH672" i="3"/>
  <c r="AV671" i="3"/>
  <c r="BQ669" i="3"/>
  <c r="BB669" i="3"/>
  <c r="BF669" i="3"/>
  <c r="BJ668" i="3" s="1"/>
  <c r="BK668" i="3" s="1"/>
  <c r="AN672" i="3"/>
  <c r="AV670" i="3"/>
  <c r="BC670" i="3" s="1"/>
  <c r="BA670" i="3"/>
  <c r="A674" i="3"/>
  <c r="AQ673" i="3"/>
  <c r="AR673" i="3"/>
  <c r="B673" i="3"/>
  <c r="C673" i="3"/>
  <c r="D673" i="3"/>
  <c r="G673" i="3"/>
  <c r="H673" i="3" s="1"/>
  <c r="BN673" i="3" s="1"/>
  <c r="F673" i="3"/>
  <c r="BM673" i="3" s="1"/>
  <c r="Q673" i="3"/>
  <c r="S673" i="3"/>
  <c r="O673" i="3"/>
  <c r="U673" i="3"/>
  <c r="AE673" i="3"/>
  <c r="AD673" i="3"/>
  <c r="M673" i="3"/>
  <c r="AK673" i="3"/>
  <c r="AM673" i="3"/>
  <c r="AF673" i="3"/>
  <c r="R673" i="3"/>
  <c r="V673" i="3"/>
  <c r="T673" i="3"/>
  <c r="P673" i="3"/>
  <c r="Y672" i="3"/>
  <c r="Z672" i="3" s="1"/>
  <c r="AG672" i="3"/>
  <c r="AW672" i="3" s="1"/>
  <c r="X672" i="3"/>
  <c r="BD669" i="3"/>
  <c r="BG669" i="3"/>
  <c r="BH669" i="3" s="1"/>
  <c r="BI669" i="3" s="1"/>
  <c r="AW671" i="3"/>
  <c r="AX671" i="3"/>
  <c r="AG673" i="3" l="1"/>
  <c r="AO673" i="3"/>
  <c r="BA671" i="3"/>
  <c r="BB671" i="3" s="1"/>
  <c r="AX672" i="3"/>
  <c r="AY672" i="3" s="1"/>
  <c r="AR674" i="3"/>
  <c r="B674" i="3"/>
  <c r="A675" i="3"/>
  <c r="AQ674" i="3"/>
  <c r="C674" i="3"/>
  <c r="D674" i="3"/>
  <c r="G674" i="3"/>
  <c r="H674" i="3" s="1"/>
  <c r="BN674" i="3" s="1"/>
  <c r="F674" i="3"/>
  <c r="BM674" i="3" s="1"/>
  <c r="Q674" i="3"/>
  <c r="S674" i="3"/>
  <c r="O674" i="3"/>
  <c r="U674" i="3"/>
  <c r="M674" i="3"/>
  <c r="AD674" i="3"/>
  <c r="AF674" i="3"/>
  <c r="AE674" i="3"/>
  <c r="AM674" i="3"/>
  <c r="AK674" i="3"/>
  <c r="AO674" i="3" s="1"/>
  <c r="T674" i="3"/>
  <c r="P674" i="3"/>
  <c r="V674" i="3"/>
  <c r="R674" i="3"/>
  <c r="AN673" i="3"/>
  <c r="BQ670" i="3"/>
  <c r="BB670" i="3"/>
  <c r="BF670" i="3"/>
  <c r="BJ669" i="3" s="1"/>
  <c r="BK669" i="3" s="1"/>
  <c r="AH673" i="3"/>
  <c r="AX673" i="3" s="1"/>
  <c r="Y673" i="3"/>
  <c r="Z673" i="3" s="1"/>
  <c r="BG670" i="3"/>
  <c r="BH670" i="3" s="1"/>
  <c r="BI670" i="3" s="1"/>
  <c r="BD670" i="3"/>
  <c r="AT672" i="3"/>
  <c r="X673" i="3"/>
  <c r="AY671" i="3"/>
  <c r="BC671" i="3" s="1"/>
  <c r="AU672" i="3"/>
  <c r="BQ671" i="3" l="1"/>
  <c r="BF671" i="3"/>
  <c r="AH674" i="3"/>
  <c r="AN674" i="3"/>
  <c r="BA672" i="3"/>
  <c r="AV672" i="3"/>
  <c r="BC672" i="3" s="1"/>
  <c r="AU673" i="3"/>
  <c r="AT673" i="3"/>
  <c r="AW673" i="3"/>
  <c r="AY673" i="3" s="1"/>
  <c r="X674" i="3"/>
  <c r="Y674" i="3"/>
  <c r="Z674" i="3" s="1"/>
  <c r="AG674" i="3"/>
  <c r="AW674" i="3" s="1"/>
  <c r="BJ670" i="3"/>
  <c r="BK670" i="3" s="1"/>
  <c r="BD671" i="3"/>
  <c r="BG671" i="3"/>
  <c r="BH671" i="3" s="1"/>
  <c r="BI671" i="3" s="1"/>
  <c r="A676" i="3"/>
  <c r="AQ675" i="3"/>
  <c r="B675" i="3"/>
  <c r="AR675" i="3"/>
  <c r="D675" i="3"/>
  <c r="C675" i="3"/>
  <c r="F675" i="3"/>
  <c r="BM675" i="3" s="1"/>
  <c r="G675" i="3"/>
  <c r="H675" i="3" s="1"/>
  <c r="Q675" i="3"/>
  <c r="S675" i="3"/>
  <c r="O675" i="3"/>
  <c r="U675" i="3"/>
  <c r="AE675" i="3"/>
  <c r="M675" i="3"/>
  <c r="AD675" i="3"/>
  <c r="AF675" i="3"/>
  <c r="AM675" i="3"/>
  <c r="AK675" i="3"/>
  <c r="V675" i="3"/>
  <c r="R675" i="3"/>
  <c r="P675" i="3"/>
  <c r="T675" i="3"/>
  <c r="AO675" i="3" l="1"/>
  <c r="AQ676" i="3"/>
  <c r="C676" i="3"/>
  <c r="AR676" i="3"/>
  <c r="B676" i="3"/>
  <c r="D676" i="3"/>
  <c r="G676" i="3"/>
  <c r="H676" i="3" s="1"/>
  <c r="BN676" i="3" s="1"/>
  <c r="F676" i="3"/>
  <c r="BM676" i="3" s="1"/>
  <c r="Q676" i="3"/>
  <c r="S676" i="3"/>
  <c r="O676" i="3"/>
  <c r="U676" i="3"/>
  <c r="AD676" i="3"/>
  <c r="M676" i="3"/>
  <c r="AK676" i="3"/>
  <c r="AF676" i="3"/>
  <c r="AE676" i="3"/>
  <c r="AM676" i="3"/>
  <c r="AN676" i="3" s="1"/>
  <c r="P676" i="3"/>
  <c r="R676" i="3"/>
  <c r="T676" i="3"/>
  <c r="V676" i="3"/>
  <c r="Y675" i="3"/>
  <c r="Z675" i="3" s="1"/>
  <c r="AH675" i="3"/>
  <c r="AT674" i="3"/>
  <c r="BA673" i="3"/>
  <c r="AV673" i="3"/>
  <c r="BC673" i="3" s="1"/>
  <c r="AN675" i="3"/>
  <c r="AU674" i="3"/>
  <c r="BN675" i="3"/>
  <c r="X675" i="3"/>
  <c r="BD672" i="3"/>
  <c r="BG672" i="3"/>
  <c r="BH672" i="3" s="1"/>
  <c r="BI672" i="3" s="1"/>
  <c r="AG675" i="3"/>
  <c r="AW675" i="3" s="1"/>
  <c r="AX674" i="3"/>
  <c r="AY674" i="3" s="1"/>
  <c r="BB672" i="3"/>
  <c r="BQ672" i="3"/>
  <c r="BF672" i="3"/>
  <c r="BJ671" i="3" s="1"/>
  <c r="BK671" i="3" s="1"/>
  <c r="AG676" i="3" l="1"/>
  <c r="AO676" i="3"/>
  <c r="AT675" i="3"/>
  <c r="AH676" i="3"/>
  <c r="BB673" i="3"/>
  <c r="BF673" i="3"/>
  <c r="BJ672" i="3" s="1"/>
  <c r="BK672" i="3" s="1"/>
  <c r="BQ673" i="3"/>
  <c r="BA674" i="3"/>
  <c r="AV674" i="3"/>
  <c r="BC674" i="3" s="1"/>
  <c r="X676" i="3"/>
  <c r="AX675" i="3"/>
  <c r="AY675" i="3" s="1"/>
  <c r="AU675" i="3"/>
  <c r="BD673" i="3"/>
  <c r="BG673" i="3"/>
  <c r="BH673" i="3" s="1"/>
  <c r="BI673" i="3" s="1"/>
  <c r="Y676" i="3"/>
  <c r="Z676" i="3" s="1"/>
  <c r="AU676" i="3" l="1"/>
  <c r="AW676" i="3"/>
  <c r="AX676" i="3"/>
  <c r="BD674" i="3"/>
  <c r="BG674" i="3"/>
  <c r="BH674" i="3" s="1"/>
  <c r="BI674" i="3" s="1"/>
  <c r="AV675" i="3"/>
  <c r="BC675" i="3" s="1"/>
  <c r="BA675" i="3"/>
  <c r="BB674" i="3"/>
  <c r="BQ674" i="3"/>
  <c r="BF674" i="3"/>
  <c r="BJ673" i="3" s="1"/>
  <c r="BK673" i="3" s="1"/>
  <c r="AT676" i="3"/>
  <c r="AY676" i="3" l="1"/>
  <c r="AV676" i="3"/>
  <c r="BA676" i="3"/>
  <c r="BF675" i="3"/>
  <c r="BJ674" i="3" s="1"/>
  <c r="BK674" i="3" s="1"/>
  <c r="BQ675" i="3"/>
  <c r="BB675" i="3"/>
  <c r="BD675" i="3"/>
  <c r="BG675" i="3"/>
  <c r="BH675" i="3" s="1"/>
  <c r="BI675" i="3" s="1"/>
  <c r="BC676" i="3" l="1"/>
  <c r="BQ676" i="3"/>
  <c r="BB676" i="3"/>
  <c r="BF676" i="3"/>
  <c r="BD676" i="3"/>
  <c r="BG676" i="3"/>
  <c r="BH676" i="3" s="1"/>
  <c r="BI676" i="3" s="1"/>
  <c r="BJ676" i="3" l="1"/>
  <c r="BK676" i="3" s="1"/>
  <c r="BJ675" i="3"/>
  <c r="BK67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B1, March 2025,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B1,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107"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8"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<sst xmlns="http://schemas.openxmlformats.org/spreadsheetml/2006/main" count="1372" uniqueCount="772">
  <si>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</si>
  <si>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</si>
  <si>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</si>
  <si>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</si>
  <si>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</si>
  <si>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</si>
  <si>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</si>
  <si>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</si>
  <si>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</si>
  <si>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</si>
  <si>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</si>
  <si>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</si>
  <si>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</si>
  <si>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</si>
  <si>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</si>
  <si>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</si>
  <si>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</si>
  <si>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</si>
  <si>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</si>
  <si>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</si>
  <si>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</si>
  <si>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</si>
  <si>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</si>
  <si>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</si>
  <si>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</si>
  <si>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</si>
  <si>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</si>
  <si>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</si>
  <si>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</si>
  <si>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</si>
  <si>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</si>
  <si>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</si>
  <si>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</si>
  <si>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</si>
  <si>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</si>
  <si>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</si>
  <si>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</si>
  <si>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</si>
  <si>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</si>
  <si>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</si>
  <si>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</si>
  <si>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</si>
  <si>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</si>
  <si>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</si>
  <si>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</si>
  <si>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</si>
  <si>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</si>
  <si>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</si>
  <si>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</si>
  <si>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</si>
  <si>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</si>
  <si>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</si>
  <si>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</si>
  <si>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</si>
  <si>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</si>
  <si>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</si>
  <si>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</si>
  <si>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</si>
  <si>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</si>
  <si>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</si>
  <si>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</si>
  <si>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</si>
  <si>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</si>
  <si>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</si>
  <si>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</si>
  <si>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</si>
  <si>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</si>
  <si>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</si>
  <si>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</si>
  <si>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</si>
  <si>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</si>
  <si>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</si>
  <si>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</si>
  <si>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</si>
  <si>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</si>
  <si>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</si>
  <si>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</si>
  <si>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</si>
  <si>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</si>
  <si>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</si>
  <si>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</si>
  <si>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</si>
  <si>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</si>
  <si>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</si>
  <si>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</si>
  <si>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</si>
  <si>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</si>
  <si>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</si>
  <si>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</si>
  <si>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</si>
  <si>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</si>
  <si>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</si>
  <si>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</si>
  <si>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</si>
  <si>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</si>
  <si>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</si>
  <si>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</si>
  <si>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</si>
  <si>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</si>
  <si>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</si>
  <si>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</si>
  <si>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</si>
  <si>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</si>
  <si>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</si>
  <si>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</si>
  <si>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</si>
  <si>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</si>
  <si>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</si>
  <si>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</si>
  <si>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</si>
  <si>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</si>
  <si>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</si>
  <si>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</si>
  <si>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</si>
  <si>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</si>
  <si>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</si>
  <si>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</si>
  <si>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</si>
  <si>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</si>
  <si>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</si>
  <si>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</si>
  <si>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</si>
  <si>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</si>
  <si>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</si>
  <si>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</si>
  <si>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</si>
  <si>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</si>
  <si>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</si>
  <si>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</si>
  <si>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</si>
  <si>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</si>
  <si>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</si>
  <si>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</si>
  <si>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</si>
  <si>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</si>
  <si>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</si>
  <si>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</si>
  <si>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</si>
  <si>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</si>
  <si>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</si>
  <si>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</si>
  <si>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</si>
  <si>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</si>
  <si>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</si>
  <si>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</si>
  <si>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</si>
  <si>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</si>
  <si>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</si>
  <si>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</si>
  <si>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</si>
  <si>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</si>
  <si>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</si>
  <si>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</si>
  <si>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</si>
  <si>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</si>
  <si>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</si>
  <si>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</si>
  <si>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</si>
  <si>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</si>
  <si>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</si>
  <si>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</si>
  <si>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</si>
  <si>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</si>
  <si>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</si>
  <si>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</si>
  <si>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</si>
  <si>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</si>
  <si>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</si>
  <si>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</si>
  <si>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</si>
  <si>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</si>
  <si>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</si>
  <si>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</si>
  <si>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</si>
  <si>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</si>
  <si>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</si>
  <si>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</si>
  <si>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</si>
  <si>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</si>
  <si>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</si>
  <si>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</si>
  <si>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</si>
  <si>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</si>
  <si>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</si>
  <si>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</si>
  <si>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</si>
  <si>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</si>
  <si>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</si>
  <si>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</si>
  <si>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</si>
  <si>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</si>
  <si>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</si>
  <si>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</si>
  <si>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</si>
  <si>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</si>
  <si>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</si>
  <si>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</si>
  <si>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</si>
  <si>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</si>
  <si>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</si>
  <si>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</si>
  <si>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</si>
  <si>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</si>
  <si>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</si>
  <si>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</si>
  <si>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</si>
  <si>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</si>
  <si>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</si>
  <si>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</si>
  <si>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</si>
  <si>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</si>
  <si>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</si>
  <si>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</si>
  <si>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</si>
  <si>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</si>
  <si>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</si>
  <si>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</si>
  <si>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</si>
  <si>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</si>
  <si>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</si>
  <si>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</si>
  <si>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</si>
  <si>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</si>
  <si>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</si>
  <si>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</si>
  <si>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</si>
  <si>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</si>
  <si>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</si>
  <si>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</si>
  <si>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</si>
  <si>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</si>
  <si>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</si>
  <si>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</si>
  <si>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</si>
  <si>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</si>
  <si>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</si>
  <si>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</si>
  <si>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</si>
  <si>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</si>
  <si>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</si>
  <si>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</si>
  <si>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</si>
  <si>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</si>
  <si>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</si>
  <si>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</si>
  <si>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</si>
  <si>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</si>
  <si>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</si>
  <si>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</si>
  <si>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</si>
  <si>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</si>
  <si>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</si>
  <si>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</si>
  <si>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</si>
  <si>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</si>
  <si>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</si>
  <si>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</si>
  <si>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</si>
  <si>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</si>
  <si>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</si>
  <si>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</si>
  <si>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</si>
  <si>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</si>
  <si>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</si>
  <si>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</si>
  <si>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</si>
  <si>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</si>
  <si>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</si>
  <si>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</si>
  <si>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</si>
  <si>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</si>
  <si>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</si>
  <si>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</si>
  <si>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</si>
  <si>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</si>
  <si>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</si>
  <si>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</si>
  <si>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</si>
  <si>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</si>
  <si>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</si>
  <si>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</si>
  <si>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</si>
  <si>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</si>
  <si>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</si>
  <si>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</si>
  <si>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</si>
  <si>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</si>
  <si>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</si>
  <si>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</si>
  <si>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</si>
  <si>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</si>
  <si>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</si>
  <si>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</si>
  <si>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</si>
  <si>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</si>
  <si>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</si>
  <si>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</si>
  <si>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</si>
  <si>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</si>
  <si>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</si>
  <si>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</si>
  <si>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</si>
  <si>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</si>
  <si>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</si>
  <si>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</si>
  <si>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</si>
  <si>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</si>
  <si>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</si>
  <si>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</si>
  <si>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</si>
  <si>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</si>
  <si>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</si>
  <si>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</si>
  <si>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</si>
  <si>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</si>
  <si>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</si>
  <si>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</si>
  <si>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</si>
  <si>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</si>
  <si>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</si>
  <si>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</si>
  <si>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</si>
  <si>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</si>
  <si>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</si>
  <si>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</si>
  <si>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</si>
  <si>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</si>
  <si>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</si>
  <si>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</si>
  <si>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</si>
  <si>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</si>
  <si>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</si>
  <si>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</si>
  <si>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</si>
  <si>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</si>
  <si>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</si>
  <si>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</si>
  <si>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</si>
  <si>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</si>
  <si>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</si>
  <si>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</si>
  <si>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</si>
  <si>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</si>
  <si>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</si>
  <si>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</si>
  <si>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</si>
  <si>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</si>
  <si>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</si>
  <si>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</si>
  <si>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</si>
  <si>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</si>
  <si>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</si>
  <si>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</si>
  <si>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</si>
  <si>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</si>
  <si>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</si>
  <si>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</si>
  <si>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</si>
  <si>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</si>
  <si>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</si>
  <si>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</si>
  <si>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</si>
  <si>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</si>
  <si>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</si>
  <si>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</si>
  <si>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</si>
  <si>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</si>
  <si>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</si>
  <si>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</si>
  <si>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</si>
  <si>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</si>
  <si>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</si>
  <si>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</si>
  <si>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</si>
  <si>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</si>
  <si>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</si>
  <si>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</si>
  <si>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</si>
  <si>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</si>
  <si>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</si>
  <si>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</si>
  <si>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</si>
  <si>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</si>
  <si>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</si>
  <si>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</si>
  <si>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</si>
  <si>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</si>
  <si>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</si>
  <si>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</si>
  <si>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</si>
  <si>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</si>
  <si>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</si>
  <si>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</si>
  <si>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</si>
  <si>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</si>
  <si>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</si>
  <si>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</si>
  <si>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</si>
  <si>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</si>
  <si>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</si>
  <si>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</si>
  <si>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</si>
  <si>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</si>
  <si>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</si>
  <si>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</si>
  <si>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</si>
  <si>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</si>
  <si>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</si>
  <si>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</si>
  <si>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</si>
  <si>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</si>
  <si>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</si>
  <si>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</si>
  <si>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</si>
  <si>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</si>
  <si>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</si>
  <si>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</si>
  <si>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</si>
  <si>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</si>
  <si>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</si>
  <si>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</si>
  <si>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</si>
  <si>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</si>
  <si>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</si>
  <si>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</si>
  <si>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</si>
  <si>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</si>
  <si>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</si>
  <si>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</si>
  <si>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</si>
  <si>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</si>
  <si>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</si>
  <si>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</si>
  <si>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</si>
  <si>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</si>
  <si>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</si>
  <si>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</si>
  <si>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</si>
  <si>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</si>
  <si>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</si>
  <si>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</si>
  <si>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</si>
  <si>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</si>
  <si>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</si>
  <si>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</si>
  <si>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</si>
  <si>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</si>
  <si>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</si>
  <si>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</si>
  <si>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</si>
  <si>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</si>
  <si>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</si>
  <si>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</si>
  <si>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</si>
  <si>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</si>
  <si>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</si>
  <si>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</si>
  <si>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</si>
  <si>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</si>
  <si>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</si>
  <si>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</si>
  <si>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</si>
  <si>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</si>
  <si>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</si>
  <si>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</si>
  <si>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</si>
  <si>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</si>
  <si>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</si>
  <si>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</si>
  <si>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</si>
  <si>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</si>
  <si>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</si>
  <si>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</si>
  <si>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</si>
  <si>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</si>
  <si>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</si>
  <si>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</si>
  <si>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</si>
  <si>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</si>
  <si>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</si>
  <si>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</si>
  <si>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</si>
  <si>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</si>
  <si>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</si>
  <si>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</si>
  <si>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</si>
  <si>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</si>
  <si>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</si>
  <si>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</si>
  <si>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</si>
  <si>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</si>
  <si>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</si>
  <si>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</si>
  <si>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</si>
  <si>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</si>
  <si>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</si>
  <si>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</si>
  <si>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</si>
  <si>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</si>
  <si>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</si>
  <si>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</si>
  <si>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</si>
  <si>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</si>
  <si>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</si>
  <si>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</si>
  <si>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</si>
  <si>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</si>
  <si>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</si>
  <si>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</si>
  <si>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</si>
  <si>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</si>
  <si>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</si>
  <si>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</si>
  <si>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</si>
  <si>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</si>
  <si>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</si>
  <si>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</si>
  <si>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</si>
  <si>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</si>
  <si>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</si>
  <si>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</si>
  <si>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</si>
  <si>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</si>
  <si>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</si>
  <si>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</si>
  <si>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</si>
  <si>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</si>
  <si>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</si>
  <si>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</si>
  <si>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</si>
  <si>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</si>
  <si>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</si>
  <si>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</si>
  <si>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</si>
  <si>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</si>
  <si>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</si>
  <si>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</si>
  <si>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</si>
  <si>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</si>
  <si>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</si>
  <si>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</si>
  <si>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</si>
  <si>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</si>
  <si>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</si>
  <si>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</si>
  <si>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</si>
  <si>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</si>
  <si>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</si>
  <si>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</si>
  <si>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</si>
  <si>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</si>
  <si>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</si>
  <si>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</si>
  <si>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Body Diode Forward Voltage, V</t>
    </r>
    <r>
      <rPr>
        <b/>
        <vertAlign val="subscript"/>
        <sz val="10"/>
        <rFont val="Arial"/>
        <family val="2"/>
      </rPr>
      <t>BD2</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</si>
  <si>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</si>
  <si>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</si>
  <si>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</si>
  <si>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</si>
  <si>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</si>
  <si>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</si>
  <si>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</si>
  <si>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</si>
  <si>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</si>
  <si>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</si>
  <si>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</si>
  <si>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</si>
  <si>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</si>
  <si>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</si>
  <si>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</si>
  <si>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</si>
  <si>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</si>
  <si>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</si>
  <si>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</si>
  <si>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</si>
  <si>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</si>
  <si>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</si>
  <si>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</si>
  <si>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</si>
  <si>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</si>
  <si>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</si>
  <si>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</si>
  <si>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</si>
  <si>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</si>
  <si>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</si>
  <si>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</si>
  <si>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</si>
  <si>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</si>
  <si>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</si>
  <si>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</si>
  <si>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</si>
  <si>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</si>
  <si>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</si>
  <si>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</si>
  <si>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</si>
  <si>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</si>
  <si>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</si>
  <si>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</si>
  <si>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</si>
  <si>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</si>
  <si>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</si>
  <si>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</si>
  <si>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</si>
  <si>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</si>
  <si>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</si>
  <si>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</si>
  <si>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</si>
  <si>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</si>
  <si>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</si>
  <si>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</si>
  <si>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</si>
  <si>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</si>
  <si>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</si>
  <si>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</si>
  <si>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</si>
  <si>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</si>
  <si>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</si>
  <si>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</si>
  <si>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</si>
  <si>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</si>
  <si>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</si>
  <si>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</si>
  <si>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</si>
  <si>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</si>
  <si>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</si>
  <si>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</si>
  <si>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</si>
  <si>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</si>
  <si>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</si>
  <si>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</si>
  <si>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</si>
  <si>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</si>
  <si>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</si>
  <si>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</si>
  <si>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</si>
  <si>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</si>
  <si>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</si>
  <si>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</si>
  <si>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</si>
  <si>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</si>
  <si>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</si>
  <si>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</si>
  <si>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</si>
  <si>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</si>
  <si>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</si>
  <si>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</si>
  <si>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</si>
  <si>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</si>
  <si>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</si>
  <si>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</si>
  <si>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</si>
  <si>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</si>
  <si>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</si>
  <si>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</si>
  <si>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</si>
  <si>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</si>
  <si>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</si>
  <si>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</si>
  <si>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</si>
  <si>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</si>
  <si>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</si>
  <si>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</si>
  <si>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</si>
  <si>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</si>
  <si>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</si>
  <si>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</si>
  <si>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</si>
  <si>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</si>
  <si>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</si>
  <si>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</si>
  <si>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</si>
  <si>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</si>
  <si>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</si>
  <si>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</si>
  <si>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</si>
  <si>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</si>
  <si>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</si>
  <si>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</si>
  <si>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</si>
  <si>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</si>
  <si>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</si>
  <si>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</si>
  <si>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</si>
  <si>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</si>
  <si>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</si>
  <si>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</si>
  <si>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</si>
  <si>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</si>
  <si>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</si>
  <si>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</si>
  <si>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</si>
  <si>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</si>
  <si>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</si>
  <si>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</si>
  <si>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</si>
  <si>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</si>
  <si>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</si>
  <si>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</si>
  <si>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</si>
  <si>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</si>
  <si>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</si>
  <si>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</si>
  <si>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</si>
  <si>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</si>
  <si>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</si>
  <si>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</si>
  <si>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</si>
  <si>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</si>
  <si>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</si>
  <si>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</si>
  <si>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</si>
  <si>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</si>
  <si>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</si>
  <si>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</si>
  <si>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</si>
  <si>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</si>
  <si>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</si>
  <si>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</si>
  <si>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</si>
  <si>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</si>
  <si>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</si>
  <si>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</si>
  <si>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</si>
  <si>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</si>
  <si>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</si>
  <si>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</si>
  <si>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</si>
  <si>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</si>
  <si>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Pole &amp; Zero Placement</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</si>
  <si>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</si>
  <si>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</si>
  <si>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</si>
  <si>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</si>
  <si>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</si>
  <si>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</si>
  <si>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</si>
  <si>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</si>
  <si>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</si>
  <si>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</si>
  <si>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</si>
  <si>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</si>
  <si>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</si>
  <si>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</si>
  <si>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</si>
  <si>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</si>
  <si>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</si>
  <si>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</si>
  <si>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</si>
  <si>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</si>
  <si>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</si>
  <si>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</si>
  <si>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</si>
  <si>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</si>
  <si>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</si>
  <si>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</si>
  <si>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</si>
  <si>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</si>
  <si>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</si>
  <si>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</si>
  <si>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</si>
  <si>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</si>
  <si>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</si>
  <si>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</si>
  <si>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r>
      <t>Estimate Core Loss at V</t>
    </r>
    <r>
      <rPr>
        <b/>
        <vertAlign val="subscript"/>
        <sz val="10"/>
        <rFont val="Arial"/>
        <family val="2"/>
      </rPr>
      <t>IN(nom)</t>
    </r>
  </si>
  <si>
    <t>CSD19538Q3A</t>
  </si>
  <si>
    <t>NVMFS6B14NL</t>
  </si>
  <si>
    <r>
      <t>Inductance, L</t>
    </r>
    <r>
      <rPr>
        <b/>
        <vertAlign val="subscript"/>
        <sz val="10"/>
        <color theme="1"/>
        <rFont val="Arial"/>
        <family val="2"/>
      </rPr>
      <t>O</t>
    </r>
    <r>
      <rPr>
        <b/>
        <sz val="10"/>
        <color theme="1"/>
        <rFont val="Arial"/>
        <family val="2"/>
      </rPr>
      <t xml:space="preserve"> </t>
    </r>
  </si>
  <si>
    <r>
      <t>L</t>
    </r>
    <r>
      <rPr>
        <vertAlign val="subscript"/>
        <sz val="10"/>
        <rFont val="Arial"/>
        <family val="2"/>
      </rPr>
      <t>O</t>
    </r>
  </si>
  <si>
    <r>
      <t>mV</t>
    </r>
    <r>
      <rPr>
        <vertAlign val="subscript"/>
        <sz val="10"/>
        <rFont val="Arial"/>
        <family val="2"/>
      </rPr>
      <t>PK-PK</t>
    </r>
  </si>
  <si>
    <r>
      <t>A</t>
    </r>
    <r>
      <rPr>
        <vertAlign val="subscript"/>
        <sz val="10"/>
        <rFont val="Arial"/>
        <family val="2"/>
      </rPr>
      <t>RMS</t>
    </r>
  </si>
  <si>
    <r>
      <t>A</t>
    </r>
    <r>
      <rPr>
        <vertAlign val="subscript"/>
        <sz val="10"/>
        <rFont val="Arial"/>
        <family val="2"/>
      </rPr>
      <t>PK-PK</t>
    </r>
  </si>
  <si>
    <r>
      <t>mV</t>
    </r>
    <r>
      <rPr>
        <b/>
        <vertAlign val="subscript"/>
        <sz val="10"/>
        <rFont val="Arial"/>
        <family val="2"/>
      </rPr>
      <t>PK-PK</t>
    </r>
  </si>
  <si>
    <t xml:space="preserve"> or VCC for diode emulation or FPWM modes,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</si>
</sst>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_(* \(#,##0.00\);_(* &quot;-&quot;??_);_(@_)"/>
    <numFmt numFmtId="187" formatCode="0.00000"/>
    <numFmt numFmtId="188" formatCode="0.0000"/>
    <numFmt numFmtId="189" formatCode="0.000"/>
    <numFmt numFmtId="190" formatCode="0.0"/>
    <numFmt numFmtId="191" formatCode="0.000E+00"/>
    <numFmt numFmtId="192" formatCode="0.00000000"/>
    <numFmt numFmtId="193" formatCode="0.000000000"/>
    <numFmt numFmtId="194" formatCode="#0.0#"/>
    <numFmt numFmtId="195" formatCode="General&quot;nF&quot;"/>
    <numFmt numFmtId="196" formatCode="General&quot;k&quot;"/>
    <numFmt numFmtId="197" formatCode="General&quot;pF&quot;"/>
    <numFmt numFmtId="198" formatCode="General&quot;µF&quot;"/>
    <numFmt numFmtId="199" formatCode="General&quot;µH&quot;"/>
    <numFmt numFmtId="200" formatCode="&quot;MOSFET, N-CH, 100V, &quot;General&quot;mΩ&quot;"/>
    <numFmt numFmtId="201" formatCode="General&quot;mΩ&quot;"/>
    <numFmt numFmtId="202" formatCode="&quot;Capacitor, Ceramic, &quot;General&quot;pF, 50V, NP0, 5%&quot;"/>
    <numFmt numFmtId="203" formatCode="&quot;Capacitor, Ceramic, &quot;General&quot;pF, 16V, X7R, 10%&quot;"/>
    <numFmt numFmtId="204" formatCode="&quot;Capacitor, Ceramic, &quot;General&quot;µF, 25V, X7R, 20%&quot;"/>
    <numFmt numFmtId="205" formatCode="&quot;Capacitor, Ceramic, &quot;General&quot;nF, 16V, X7R, 10%&quot;"/>
    <numFmt numFmtId="206" formatCode="&quot;Capacitor, Ceramic, &quot;General&quot;µF, 50V, X7R, 20%&quot;"/>
    <numFmt numFmtId="207" formatCode="&quot;Resistor, Chip, &quot;General&quot;kΩ, 1/16W, 1%&quot;"/>
    <numFmt numFmtId="208" formatCode="&quot;Resistor, Chip, &quot;General&quot;Ω, 1/16W, 1%&quot;"/>
    <numFmt numFmtId="209" formatCode="&quot;Resistor, &quot;General&quot;mΩ, 1/4W, 1%&quot;"/>
    <numFmt numFmtId="210" formatCode="&quot;MOSFET, N-CH, 80V/100V, &quot;General&quot;mΩ&quot;"/>
  </numFmts>
  <fonts count="106" x14ac:knownFonts="1">
    <font>
      <sz val="10"/>
      <name val="Arial"/>
    </font>
    <font>
      <sz val="11"/>
      <color theme="1"/>
      <name val="Tahoma"/>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43"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9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9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9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94" fontId="21" fillId="0" borderId="0" xfId="0" applyNumberFormat="1" applyFont="1" applyAlignment="1">
      <alignment horizontal="center"/>
    </xf>
    <xf numFmtId="194" fontId="8" fillId="0" borderId="0" xfId="0" applyNumberFormat="1" applyFont="1" applyAlignment="1">
      <alignment horizontal="center"/>
    </xf>
    <xf numFmtId="194" fontId="8" fillId="0" borderId="0" xfId="0" applyNumberFormat="1" applyFont="1" applyAlignment="1" applyProtection="1">
      <alignment horizontal="center"/>
      <protection locked="0"/>
    </xf>
    <xf numFmtId="11" fontId="7" fillId="0" borderId="0" xfId="0" applyNumberFormat="1" applyFont="1"/>
    <xf numFmtId="194" fontId="0" fillId="0" borderId="0" xfId="0" applyNumberFormat="1"/>
    <xf numFmtId="0" fontId="0" fillId="12" borderId="0" xfId="0" applyFill="1"/>
    <xf numFmtId="19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9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9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94" fontId="18" fillId="3" borderId="0" xfId="0" applyNumberFormat="1" applyFont="1" applyFill="1" applyAlignment="1">
      <alignment horizontal="center"/>
    </xf>
    <xf numFmtId="19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90" fontId="0" fillId="13" borderId="32" xfId="0" applyNumberFormat="1" applyFill="1" applyBorder="1"/>
    <xf numFmtId="0" fontId="7" fillId="0" borderId="31" xfId="0" applyFont="1" applyBorder="1"/>
    <xf numFmtId="0" fontId="0" fillId="4" borderId="32" xfId="0" applyFill="1" applyBorder="1"/>
    <xf numFmtId="19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89" fontId="18" fillId="10" borderId="0" xfId="0" applyNumberFormat="1" applyFont="1" applyFill="1"/>
    <xf numFmtId="192" fontId="18" fillId="10" borderId="0" xfId="0" applyNumberFormat="1" applyFont="1" applyFill="1"/>
    <xf numFmtId="188" fontId="18" fillId="10" borderId="0" xfId="0" applyNumberFormat="1" applyFont="1" applyFill="1"/>
    <xf numFmtId="2" fontId="7" fillId="4" borderId="0" xfId="0" applyNumberFormat="1" applyFont="1" applyFill="1"/>
    <xf numFmtId="190" fontId="0" fillId="13" borderId="0" xfId="0" applyNumberFormat="1" applyFill="1"/>
    <xf numFmtId="0" fontId="11" fillId="0" borderId="0" xfId="1" applyAlignment="1" applyProtection="1"/>
    <xf numFmtId="2" fontId="31" fillId="13" borderId="0" xfId="0" applyNumberFormat="1" applyFont="1" applyFill="1"/>
    <xf numFmtId="18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9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90" fontId="7" fillId="10" borderId="0" xfId="0" applyNumberFormat="1" applyFont="1" applyFill="1"/>
    <xf numFmtId="0" fontId="7" fillId="10" borderId="0" xfId="0" applyFont="1" applyFill="1"/>
    <xf numFmtId="190" fontId="3" fillId="19" borderId="0" xfId="0" applyNumberFormat="1" applyFont="1" applyFill="1" applyAlignment="1">
      <alignment horizontal="right" vertical="center"/>
    </xf>
    <xf numFmtId="19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9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9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9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9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90" fontId="3" fillId="10" borderId="44" xfId="0" applyNumberFormat="1" applyFont="1" applyFill="1" applyBorder="1" applyAlignment="1">
      <alignment horizontal="right"/>
    </xf>
    <xf numFmtId="19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9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90" fontId="3" fillId="19" borderId="42" xfId="0" applyNumberFormat="1" applyFont="1" applyFill="1" applyBorder="1" applyAlignment="1">
      <alignment horizontal="right" vertical="center"/>
    </xf>
    <xf numFmtId="19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94" fontId="18" fillId="21" borderId="0" xfId="0" applyNumberFormat="1" applyFont="1" applyFill="1" applyAlignment="1">
      <alignment horizontal="center"/>
    </xf>
    <xf numFmtId="0" fontId="18" fillId="21" borderId="0" xfId="0" applyFont="1" applyFill="1"/>
    <xf numFmtId="19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94" fontId="71" fillId="21" borderId="0" xfId="0" applyNumberFormat="1" applyFont="1" applyFill="1" applyAlignment="1">
      <alignment horizontal="center"/>
    </xf>
    <xf numFmtId="0" fontId="71" fillId="21" borderId="0" xfId="0" applyFont="1" applyFill="1"/>
    <xf numFmtId="19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90" fontId="69" fillId="10" borderId="46" xfId="0" applyNumberFormat="1" applyFont="1" applyFill="1" applyBorder="1" applyAlignment="1">
      <alignment horizontal="center" vertical="center"/>
    </xf>
    <xf numFmtId="19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9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9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9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9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98" fontId="2" fillId="19" borderId="11" xfId="2" applyNumberFormat="1" applyFill="1" applyBorder="1" applyAlignment="1">
      <alignment horizontal="center" vertical="center"/>
    </xf>
    <xf numFmtId="19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9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9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94" fontId="18" fillId="25" borderId="46" xfId="0" applyNumberFormat="1" applyFont="1" applyFill="1" applyBorder="1" applyAlignment="1">
      <alignment horizontal="center"/>
    </xf>
    <xf numFmtId="0" fontId="18" fillId="25" borderId="0" xfId="0" applyFont="1" applyFill="1"/>
    <xf numFmtId="194" fontId="18" fillId="25" borderId="0" xfId="0" applyNumberFormat="1" applyFont="1" applyFill="1" applyAlignment="1">
      <alignment horizontal="center"/>
    </xf>
    <xf numFmtId="194" fontId="71" fillId="25" borderId="0" xfId="0" applyNumberFormat="1" applyFont="1" applyFill="1" applyAlignment="1">
      <alignment horizontal="center"/>
    </xf>
    <xf numFmtId="19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8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89" fontId="7" fillId="13" borderId="2" xfId="0" applyNumberFormat="1" applyFont="1" applyFill="1" applyBorder="1"/>
    <xf numFmtId="188" fontId="7" fillId="13" borderId="0" xfId="0" applyNumberFormat="1" applyFont="1" applyFill="1"/>
    <xf numFmtId="189" fontId="7" fillId="13" borderId="0" xfId="0" applyNumberFormat="1" applyFont="1" applyFill="1"/>
    <xf numFmtId="0" fontId="7" fillId="0" borderId="56" xfId="0" applyFont="1" applyBorder="1"/>
    <xf numFmtId="0" fontId="3" fillId="13" borderId="0" xfId="0" applyFont="1" applyFill="1" applyAlignment="1">
      <alignment horizontal="right"/>
    </xf>
    <xf numFmtId="190" fontId="0" fillId="4" borderId="0" xfId="0" applyNumberFormat="1" applyFill="1"/>
    <xf numFmtId="18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9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88" fontId="0" fillId="0" borderId="0" xfId="0" applyNumberFormat="1"/>
    <xf numFmtId="189" fontId="0" fillId="0" borderId="0" xfId="0" applyNumberFormat="1"/>
    <xf numFmtId="188" fontId="0" fillId="0" borderId="0" xfId="0" applyNumberFormat="1" applyAlignment="1">
      <alignment horizontal="left" indent="1"/>
    </xf>
    <xf numFmtId="189" fontId="16" fillId="7" borderId="0" xfId="0" applyNumberFormat="1" applyFont="1" applyFill="1"/>
    <xf numFmtId="189" fontId="8" fillId="0" borderId="0" xfId="0" applyNumberFormat="1" applyFont="1"/>
    <xf numFmtId="190" fontId="16" fillId="0" borderId="0" xfId="0" applyNumberFormat="1" applyFont="1"/>
    <xf numFmtId="187" fontId="0" fillId="0" borderId="0" xfId="0" applyNumberFormat="1"/>
    <xf numFmtId="18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9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9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90" fontId="88" fillId="0" borderId="0" xfId="2" applyNumberFormat="1" applyFont="1" applyAlignment="1">
      <alignment horizontal="right" vertical="center"/>
    </xf>
    <xf numFmtId="0" fontId="88" fillId="10" borderId="0" xfId="2" applyFont="1" applyFill="1" applyAlignment="1">
      <alignment horizontal="left"/>
    </xf>
    <xf numFmtId="188" fontId="88" fillId="10" borderId="0" xfId="2" applyNumberFormat="1" applyFont="1" applyFill="1" applyAlignment="1">
      <alignment vertical="center"/>
    </xf>
    <xf numFmtId="187" fontId="0" fillId="4" borderId="32" xfId="0" applyNumberFormat="1" applyFill="1" applyBorder="1"/>
    <xf numFmtId="187" fontId="0" fillId="13" borderId="2" xfId="0" applyNumberFormat="1" applyFill="1" applyBorder="1"/>
    <xf numFmtId="19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90" fontId="2" fillId="19" borderId="11" xfId="2" applyNumberFormat="1" applyFill="1" applyBorder="1" applyAlignment="1">
      <alignment horizontal="center" vertical="center"/>
    </xf>
    <xf numFmtId="18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90" fontId="2" fillId="10" borderId="42" xfId="0" applyNumberFormat="1" applyFont="1" applyFill="1" applyBorder="1"/>
    <xf numFmtId="0" fontId="3" fillId="0" borderId="56" xfId="0" applyFont="1" applyBorder="1"/>
    <xf numFmtId="18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201" fontId="2" fillId="19" borderId="11" xfId="2" applyNumberFormat="1" applyFill="1" applyBorder="1" applyAlignment="1">
      <alignment horizontal="center" vertical="center"/>
    </xf>
    <xf numFmtId="188" fontId="0" fillId="0" borderId="11" xfId="0" applyNumberFormat="1" applyBorder="1"/>
    <xf numFmtId="18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8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9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3" fillId="19" borderId="0" xfId="0" applyFont="1" applyFill="1" applyProtection="1">
      <protection locked="0"/>
    </xf>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208" fontId="2" fillId="24" borderId="8" xfId="2" applyNumberFormat="1" applyFill="1" applyBorder="1" applyAlignment="1">
      <alignment horizontal="left" vertical="center"/>
    </xf>
    <xf numFmtId="208" fontId="2" fillId="24" borderId="9" xfId="2" applyNumberFormat="1" applyFill="1" applyBorder="1" applyAlignment="1">
      <alignment horizontal="left" vertical="center"/>
    </xf>
    <xf numFmtId="20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205" fontId="2" fillId="19" borderId="8" xfId="2" applyNumberFormat="1" applyFill="1" applyBorder="1" applyAlignment="1">
      <alignment horizontal="left" vertical="center"/>
    </xf>
    <xf numFmtId="205" fontId="2" fillId="19" borderId="9" xfId="2" applyNumberFormat="1" applyFill="1" applyBorder="1" applyAlignment="1">
      <alignment horizontal="left" vertical="center"/>
    </xf>
    <xf numFmtId="206" fontId="2" fillId="19" borderId="8" xfId="2" applyNumberFormat="1" applyFill="1" applyBorder="1" applyAlignment="1">
      <alignment horizontal="left" vertical="center"/>
    </xf>
    <xf numFmtId="20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204" fontId="2" fillId="19" borderId="8" xfId="2" applyNumberFormat="1" applyFill="1" applyBorder="1" applyAlignment="1">
      <alignment horizontal="left" vertical="center"/>
    </xf>
    <xf numFmtId="204" fontId="2" fillId="19" borderId="9" xfId="2" applyNumberFormat="1" applyFill="1" applyBorder="1" applyAlignment="1">
      <alignment horizontal="left" vertical="center"/>
    </xf>
    <xf numFmtId="207" fontId="2" fillId="24" borderId="8" xfId="2" applyNumberFormat="1" applyFill="1" applyBorder="1" applyAlignment="1">
      <alignment horizontal="left" vertical="center"/>
    </xf>
    <xf numFmtId="207" fontId="2" fillId="24" borderId="9" xfId="2" applyNumberFormat="1" applyFill="1" applyBorder="1" applyAlignment="1">
      <alignment horizontal="left" vertical="center"/>
    </xf>
    <xf numFmtId="20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207" fontId="2" fillId="19" borderId="8" xfId="2" applyNumberFormat="1" applyFill="1" applyBorder="1" applyAlignment="1">
      <alignment horizontal="left" vertical="center"/>
    </xf>
    <xf numFmtId="207" fontId="2" fillId="19" borderId="9" xfId="2" applyNumberFormat="1" applyFill="1" applyBorder="1" applyAlignment="1">
      <alignment horizontal="left" vertical="center"/>
    </xf>
    <xf numFmtId="207" fontId="2" fillId="19" borderId="15" xfId="2" applyNumberFormat="1" applyFill="1" applyBorder="1" applyAlignment="1">
      <alignment horizontal="left" vertical="center"/>
    </xf>
    <xf numFmtId="210" fontId="2" fillId="19" borderId="8" xfId="2" applyNumberFormat="1" applyFill="1" applyBorder="1" applyAlignment="1">
      <alignment horizontal="left" vertical="center"/>
    </xf>
    <xf numFmtId="210" fontId="2" fillId="19" borderId="9" xfId="2" applyNumberFormat="1" applyFill="1" applyBorder="1" applyAlignment="1">
      <alignment horizontal="left" vertical="center"/>
    </xf>
    <xf numFmtId="210" fontId="2" fillId="19" borderId="15" xfId="2" applyNumberFormat="1" applyFill="1" applyBorder="1" applyAlignment="1">
      <alignment horizontal="left" vertical="center"/>
    </xf>
    <xf numFmtId="208" fontId="2" fillId="19" borderId="8" xfId="2" applyNumberFormat="1" applyFill="1" applyBorder="1" applyAlignment="1">
      <alignment horizontal="left" vertical="center"/>
    </xf>
    <xf numFmtId="208" fontId="2" fillId="19" borderId="9" xfId="2" applyNumberFormat="1" applyFill="1" applyBorder="1" applyAlignment="1">
      <alignment horizontal="left" vertical="center"/>
    </xf>
    <xf numFmtId="208" fontId="2" fillId="19" borderId="15" xfId="2" applyNumberFormat="1" applyFill="1" applyBorder="1" applyAlignment="1">
      <alignment horizontal="left" vertical="center"/>
    </xf>
    <xf numFmtId="209" fontId="2" fillId="19" borderId="8" xfId="2" applyNumberFormat="1" applyFill="1" applyBorder="1" applyAlignment="1">
      <alignment horizontal="left" vertical="center"/>
    </xf>
    <xf numFmtId="209" fontId="2" fillId="19" borderId="9" xfId="2" applyNumberFormat="1" applyFill="1" applyBorder="1" applyAlignment="1">
      <alignment horizontal="left" vertical="center"/>
    </xf>
    <xf numFmtId="209" fontId="2" fillId="19" borderId="15" xfId="2" applyNumberFormat="1" applyFill="1" applyBorder="1" applyAlignment="1">
      <alignment horizontal="left" vertical="center"/>
    </xf>
    <xf numFmtId="204" fontId="2" fillId="10" borderId="8" xfId="2" applyNumberFormat="1" applyFill="1" applyBorder="1" applyAlignment="1">
      <alignment horizontal="left" vertical="center"/>
    </xf>
    <xf numFmtId="204" fontId="2" fillId="10" borderId="9" xfId="2" applyNumberFormat="1" applyFill="1" applyBorder="1" applyAlignment="1">
      <alignment horizontal="left" vertical="center"/>
    </xf>
    <xf numFmtId="203" fontId="2" fillId="23" borderId="8" xfId="2" applyNumberFormat="1" applyFill="1" applyBorder="1" applyAlignment="1">
      <alignment horizontal="left" vertical="center"/>
    </xf>
    <xf numFmtId="203" fontId="2" fillId="23" borderId="9" xfId="2" applyNumberFormat="1" applyFill="1" applyBorder="1" applyAlignment="1">
      <alignment horizontal="left" vertical="center"/>
    </xf>
    <xf numFmtId="202" fontId="2" fillId="23" borderId="8" xfId="2" applyNumberFormat="1" applyFill="1" applyBorder="1" applyAlignment="1">
      <alignment horizontal="left" vertical="center"/>
    </xf>
    <xf numFmtId="20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xfId="5" builtinId="3"/>
    <cellStyle name="Comma 2" xfId="4" xr:uid="{00000000-0005-0000-0000-000000000000}"/>
    <cellStyle name="Hyperlink" xfId="1" builtinId="8"/>
    <cellStyle name="Normal" xfId="0" builtinId="0"/>
    <cellStyle name="Normal 2" xfId="2" xr:uid="{00000000-0005-0000-0000-000003000000}"/>
    <cellStyle name="Normal 3" xfId="3" xr:uid="{00000000-0005-0000-0000-00000400000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73.799490772150122</c:v>
                </c:pt>
                <c:pt idx="1">
                  <c:v>73.385133451746427</c:v>
                </c:pt>
                <c:pt idx="2">
                  <c:v>72.77187067386626</c:v>
                </c:pt>
                <c:pt idx="3">
                  <c:v>72.037000501649857</c:v>
                </c:pt>
                <c:pt idx="4">
                  <c:v>71.244662772316701</c:v>
                </c:pt>
                <c:pt idx="5">
                  <c:v>70.439022816067506</c:v>
                </c:pt>
                <c:pt idx="6">
                  <c:v>69.646847623426964</c:v>
                </c:pt>
                <c:pt idx="7">
                  <c:v>68.882672222042359</c:v>
                </c:pt>
                <c:pt idx="8">
                  <c:v>68.153340868843514</c:v>
                </c:pt>
                <c:pt idx="9">
                  <c:v>67.461182751234574</c:v>
                </c:pt>
                <c:pt idx="10">
                  <c:v>62.241774132840597</c:v>
                </c:pt>
                <c:pt idx="11">
                  <c:v>58.886073819950468</c:v>
                </c:pt>
                <c:pt idx="12">
                  <c:v>56.447041361482029</c:v>
                </c:pt>
                <c:pt idx="13">
                  <c:v>54.536844665608164</c:v>
                </c:pt>
                <c:pt idx="14">
                  <c:v>52.968582876351306</c:v>
                </c:pt>
                <c:pt idx="15">
                  <c:v>51.639015515946987</c:v>
                </c:pt>
                <c:pt idx="16">
                  <c:v>50.485349016609469</c:v>
                </c:pt>
                <c:pt idx="17">
                  <c:v>49.466618555966051</c:v>
                </c:pt>
                <c:pt idx="18">
                  <c:v>48.554646142214075</c:v>
                </c:pt>
                <c:pt idx="19">
                  <c:v>42.547189902872873</c:v>
                </c:pt>
                <c:pt idx="20">
                  <c:v>39.033318373626564</c:v>
                </c:pt>
                <c:pt idx="21">
                  <c:v>36.543841433815317</c:v>
                </c:pt>
                <c:pt idx="22">
                  <c:v>34.617085898069213</c:v>
                </c:pt>
                <c:pt idx="23">
                  <c:v>33.047246873087765</c:v>
                </c:pt>
                <c:pt idx="24">
                  <c:v>31.724500464938806</c:v>
                </c:pt>
                <c:pt idx="25">
                  <c:v>30.583275953787961</c:v>
                </c:pt>
                <c:pt idx="26">
                  <c:v>29.581270634414729</c:v>
                </c:pt>
                <c:pt idx="27">
                  <c:v>28.689594877506476</c:v>
                </c:pt>
                <c:pt idx="28">
                  <c:v>25.321293499821472</c:v>
                </c:pt>
                <c:pt idx="29">
                  <c:v>23.035156407442873</c:v>
                </c:pt>
                <c:pt idx="30">
                  <c:v>21.366709821591829</c:v>
                </c:pt>
                <c:pt idx="31">
                  <c:v>20.107600246887117</c:v>
                </c:pt>
                <c:pt idx="32">
                  <c:v>19.145394897616782</c:v>
                </c:pt>
                <c:pt idx="33">
                  <c:v>18.411909309912467</c:v>
                </c:pt>
                <c:pt idx="34">
                  <c:v>17.862329096695156</c:v>
                </c:pt>
                <c:pt idx="35">
                  <c:v>17.465459343255965</c:v>
                </c:pt>
                <c:pt idx="36">
                  <c:v>17.198679014141788</c:v>
                </c:pt>
                <c:pt idx="37">
                  <c:v>17.045119017863378</c:v>
                </c:pt>
                <c:pt idx="38">
                  <c:v>16.991982408451552</c:v>
                </c:pt>
                <c:pt idx="39">
                  <c:v>17.029489933525788</c:v>
                </c:pt>
                <c:pt idx="40">
                  <c:v>17.15018450596099</c:v>
                </c:pt>
                <c:pt idx="41">
                  <c:v>17.348446704659114</c:v>
                </c:pt>
                <c:pt idx="42">
                  <c:v>17.620130951134399</c:v>
                </c:pt>
                <c:pt idx="43">
                  <c:v>17.962257790631352</c:v>
                </c:pt>
                <c:pt idx="44">
                  <c:v>18.372703371696911</c:v>
                </c:pt>
                <c:pt idx="45">
                  <c:v>18.849815485401269</c:v>
                </c:pt>
                <c:pt idx="46">
                  <c:v>19.391853133669816</c:v>
                </c:pt>
                <c:pt idx="47">
                  <c:v>19.996085473152952</c:v>
                </c:pt>
                <c:pt idx="48">
                  <c:v>20.657286731476404</c:v>
                </c:pt>
                <c:pt idx="49">
                  <c:v>21.365231845971024</c:v>
                </c:pt>
                <c:pt idx="50">
                  <c:v>22.100710985527972</c:v>
                </c:pt>
                <c:pt idx="51">
                  <c:v>22.829844611723313</c:v>
                </c:pt>
                <c:pt idx="52">
                  <c:v>23.49788218927117</c:v>
                </c:pt>
                <c:pt idx="53">
                  <c:v>24.027291219552787</c:v>
                </c:pt>
                <c:pt idx="54">
                  <c:v>24.329515599610584</c:v>
                </c:pt>
                <c:pt idx="55">
                  <c:v>24.336243786897498</c:v>
                </c:pt>
                <c:pt idx="56">
                  <c:v>24.034777422119483</c:v>
                </c:pt>
                <c:pt idx="57">
                  <c:v>23.47514392263443</c:v>
                </c:pt>
                <c:pt idx="58">
                  <c:v>22.741297540002449</c:v>
                </c:pt>
                <c:pt idx="59">
                  <c:v>21.915147987612059</c:v>
                </c:pt>
                <c:pt idx="60">
                  <c:v>21.057783537146371</c:v>
                </c:pt>
                <c:pt idx="61">
                  <c:v>20.207701656312722</c:v>
                </c:pt>
                <c:pt idx="62">
                  <c:v>19.38625884782379</c:v>
                </c:pt>
                <c:pt idx="63">
                  <c:v>18.603759873514633</c:v>
                </c:pt>
                <c:pt idx="64">
                  <c:v>17.864004938416397</c:v>
                </c:pt>
                <c:pt idx="65">
                  <c:v>17.167202977187117</c:v>
                </c:pt>
                <c:pt idx="66">
                  <c:v>16.511704589815007</c:v>
                </c:pt>
                <c:pt idx="67">
                  <c:v>15.894990698757701</c:v>
                </c:pt>
                <c:pt idx="68">
                  <c:v>15.31421980588085</c:v>
                </c:pt>
                <c:pt idx="69">
                  <c:v>14.766521285594081</c:v>
                </c:pt>
                <c:pt idx="70">
                  <c:v>14.249145025090581</c:v>
                </c:pt>
                <c:pt idx="71">
                  <c:v>13.759530876083861</c:v>
                </c:pt>
                <c:pt idx="72">
                  <c:v>13.295334063350495</c:v>
                </c:pt>
                <c:pt idx="73">
                  <c:v>12.854427033107465</c:v>
                </c:pt>
                <c:pt idx="74">
                  <c:v>12.434889296680989</c:v>
                </c:pt>
                <c:pt idx="75">
                  <c:v>12.034991739482797</c:v>
                </c:pt>
                <c:pt idx="76">
                  <c:v>11.653178965685111</c:v>
                </c:pt>
                <c:pt idx="77">
                  <c:v>11.288051595356638</c:v>
                </c:pt>
                <c:pt idx="78">
                  <c:v>10.938349490239823</c:v>
                </c:pt>
                <c:pt idx="79">
                  <c:v>10.602936353465321</c:v>
                </c:pt>
                <c:pt idx="80">
                  <c:v>10.280785853674381</c:v>
                </c:pt>
                <c:pt idx="81">
                  <c:v>9.9709692652477102</c:v>
                </c:pt>
                <c:pt idx="82">
                  <c:v>9.6726445357014743</c:v>
                </c:pt>
                <c:pt idx="83">
                  <c:v>9.3850466551193428</c:v>
                </c:pt>
                <c:pt idx="84">
                  <c:v>9.1074791911084709</c:v>
                </c:pt>
                <c:pt idx="85">
                  <c:v>8.8393068547638016</c:v>
                </c:pt>
                <c:pt idx="86">
                  <c:v>8.579948971876334</c:v>
                </c:pt>
                <c:pt idx="87">
                  <c:v>8.3288737453361712</c:v>
                </c:pt>
                <c:pt idx="88">
                  <c:v>8.0855932072369203</c:v>
                </c:pt>
                <c:pt idx="89">
                  <c:v>7.8496587714411117</c:v>
                </c:pt>
                <c:pt idx="90">
                  <c:v>7.6206573087435405</c:v>
                </c:pt>
                <c:pt idx="91">
                  <c:v>7.39820767702839</c:v>
                </c:pt>
                <c:pt idx="92">
                  <c:v>7.1819576478957092</c:v>
                </c:pt>
                <c:pt idx="93">
                  <c:v>6.9715811791746454</c:v>
                </c:pt>
                <c:pt idx="94">
                  <c:v>6.7667759896312853</c:v>
                </c:pt>
                <c:pt idx="95">
                  <c:v>6.5672613981283057</c:v>
                </c:pt>
                <c:pt idx="96">
                  <c:v>6.3727763946128357</c:v>
                </c:pt>
                <c:pt idx="97">
                  <c:v>6.1830779147065984</c:v>
                </c:pt>
                <c:pt idx="98">
                  <c:v>5.9979392934459765</c:v>
                </c:pt>
                <c:pt idx="99">
                  <c:v>5.8171488769584876</c:v>
                </c:pt>
                <c:pt idx="100">
                  <c:v>5.6405087736416624</c:v>
                </c:pt>
                <c:pt idx="101">
                  <c:v>5.4678337287985777</c:v>
                </c:pt>
                <c:pt idx="102">
                  <c:v>5.2989501087382918</c:v>
                </c:pt>
                <c:pt idx="103">
                  <c:v>5.1336949821177589</c:v>
                </c:pt>
                <c:pt idx="104">
                  <c:v>4.9719152878273345</c:v>
                </c:pt>
                <c:pt idx="105">
                  <c:v>4.8134670800391346</c:v>
                </c:pt>
                <c:pt idx="106">
                  <c:v>4.6582148421776983</c:v>
                </c:pt>
                <c:pt idx="107">
                  <c:v>4.5060308625599319</c:v>
                </c:pt>
                <c:pt idx="108">
                  <c:v>4.3567946653094731</c:v>
                </c:pt>
                <c:pt idx="109">
                  <c:v>4.2103924908963588</c:v>
                </c:pt>
                <c:pt idx="110">
                  <c:v>4.0667168213031593</c:v>
                </c:pt>
                <c:pt idx="111">
                  <c:v>3.9256659453862413</c:v>
                </c:pt>
                <c:pt idx="112">
                  <c:v>3.7871435604971122</c:v>
                </c:pt>
                <c:pt idx="113">
                  <c:v>3.6510584068635623</c:v>
                </c:pt>
                <c:pt idx="114">
                  <c:v>3.5173239316120442</c:v>
                </c:pt>
                <c:pt idx="115">
                  <c:v>3.3858579796480255</c:v>
                </c:pt>
                <c:pt idx="116">
                  <c:v>3.2565825089067739</c:v>
                </c:pt>
                <c:pt idx="117">
                  <c:v>3.1294233277473622</c:v>
                </c:pt>
                <c:pt idx="118">
                  <c:v>3.0043098524933169</c:v>
                </c:pt>
                <c:pt idx="119">
                  <c:v>2.8811748833268798</c:v>
                </c:pt>
                <c:pt idx="120">
                  <c:v>2.7599543969248233</c:v>
                </c:pt>
                <c:pt idx="121">
                  <c:v>2.6405873543839915</c:v>
                </c:pt>
                <c:pt idx="122">
                  <c:v>2.5230155231275786</c:v>
                </c:pt>
                <c:pt idx="123">
                  <c:v>2.4071833116100319</c:v>
                </c:pt>
                <c:pt idx="124">
                  <c:v>2.2930376157520711</c:v>
                </c:pt>
                <c:pt idx="125">
                  <c:v>2.1805276761382224</c:v>
                </c:pt>
                <c:pt idx="126">
                  <c:v>2.069604945100056</c:v>
                </c:pt>
                <c:pt idx="127">
                  <c:v>1.9602229628892311</c:v>
                </c:pt>
                <c:pt idx="128">
                  <c:v>1.8523372422173678</c:v>
                </c:pt>
                <c:pt idx="129">
                  <c:v>1.7459051605047551</c:v>
                </c:pt>
                <c:pt idx="130">
                  <c:v>1.6408858592391544</c:v>
                </c:pt>
                <c:pt idx="131">
                  <c:v>1.5372401498982309</c:v>
                </c:pt>
                <c:pt idx="132">
                  <c:v>1.4349304259373274</c:v>
                </c:pt>
                <c:pt idx="133">
                  <c:v>1.3339205803870082</c:v>
                </c:pt>
                <c:pt idx="134">
                  <c:v>1.2341759286438316</c:v>
                </c:pt>
                <c:pt idx="135">
                  <c:v>1.1356631360728633</c:v>
                </c:pt>
                <c:pt idx="136">
                  <c:v>1.0383501500724517</c:v>
                </c:pt>
                <c:pt idx="137">
                  <c:v>0.94220613628056349</c:v>
                </c:pt>
                <c:pt idx="138">
                  <c:v>0.84720141862808718</c:v>
                </c:pt>
                <c:pt idx="139">
                  <c:v>0.75330742296866704</c:v>
                </c:pt>
                <c:pt idx="140">
                  <c:v>0.66049662403595222</c:v>
                </c:pt>
                <c:pt idx="141">
                  <c:v>0.56874249549897493</c:v>
                </c:pt>
                <c:pt idx="142">
                  <c:v>0.47801946290453423</c:v>
                </c:pt>
                <c:pt idx="143">
                  <c:v>0.38830285931157055</c:v>
                </c:pt>
                <c:pt idx="144">
                  <c:v>0.29956888343769394</c:v>
                </c:pt>
                <c:pt idx="145">
                  <c:v>0.21179456015171486</c:v>
                </c:pt>
                <c:pt idx="146">
                  <c:v>0.12495770315841433</c:v>
                </c:pt>
                <c:pt idx="147">
                  <c:v>3.903687973338308E-2</c:v>
                </c:pt>
                <c:pt idx="148">
                  <c:v>-4.5988622623705296E-2</c:v>
                </c:pt>
                <c:pt idx="149">
                  <c:v>-0.13013882773957799</c:v>
                </c:pt>
                <c:pt idx="150">
                  <c:v>-0.21343310063464743</c:v>
                </c:pt>
                <c:pt idx="151">
                  <c:v>-0.29589017581228694</c:v>
                </c:pt>
                <c:pt idx="152">
                  <c:v>-0.37752818406761757</c:v>
                </c:pt>
                <c:pt idx="153">
                  <c:v>-0.45836467790654195</c:v>
                </c:pt>
                <c:pt idx="154">
                  <c:v>-0.53841665565937802</c:v>
                </c:pt>
                <c:pt idx="155">
                  <c:v>-0.61770058436769504</c:v>
                </c:pt>
                <c:pt idx="156">
                  <c:v>-0.69623242151728371</c:v>
                </c:pt>
                <c:pt idx="157">
                  <c:v>-0.77402763568567501</c:v>
                </c:pt>
                <c:pt idx="158">
                  <c:v>-0.85110122616763451</c:v>
                </c:pt>
                <c:pt idx="159">
                  <c:v>-0.92746774163788515</c:v>
                </c:pt>
                <c:pt idx="160">
                  <c:v>-1.0031412979066388</c:v>
                </c:pt>
                <c:pt idx="161">
                  <c:v>-1.0781355948194551</c:v>
                </c:pt>
                <c:pt idx="162">
                  <c:v>-1.1524639323500014</c:v>
                </c:pt>
                <c:pt idx="163">
                  <c:v>-1.2261392259308186</c:v>
                </c:pt>
                <c:pt idx="164">
                  <c:v>-1.2991740210645348</c:v>
                </c:pt>
                <c:pt idx="165">
                  <c:v>-1.3715805072551208</c:v>
                </c:pt>
                <c:pt idx="166">
                  <c:v>-1.4433705312964342</c:v>
                </c:pt>
                <c:pt idx="167">
                  <c:v>-1.5145556099527822</c:v>
                </c:pt>
                <c:pt idx="168">
                  <c:v>-1.5851469420643471</c:v>
                </c:pt>
                <c:pt idx="169">
                  <c:v>-1.6551554201079</c:v>
                </c:pt>
                <c:pt idx="170">
                  <c:v>-1.7245916412419051</c:v>
                </c:pt>
                <c:pt idx="171">
                  <c:v>-1.7934659178628156</c:v>
                </c:pt>
                <c:pt idx="172">
                  <c:v>-1.8617882876981557</c:v>
                </c:pt>
                <c:pt idx="173">
                  <c:v>-1.9295685234602413</c:v>
                </c:pt>
                <c:pt idx="174">
                  <c:v>-1.9968161420830461</c:v>
                </c:pt>
                <c:pt idx="175">
                  <c:v>-2.0635404135634627</c:v>
                </c:pt>
                <c:pt idx="176">
                  <c:v>-2.1297503694268047</c:v>
                </c:pt>
                <c:pt idx="177">
                  <c:v>-2.1954548108354546</c:v>
                </c:pt>
                <c:pt idx="178">
                  <c:v>-2.260662316358319</c:v>
                </c:pt>
                <c:pt idx="179">
                  <c:v>-2.3253812494178554</c:v>
                </c:pt>
                <c:pt idx="180">
                  <c:v>-2.3896197654303801</c:v>
                </c:pt>
                <c:pt idx="181">
                  <c:v>-2.4533858186545943</c:v>
                </c:pt>
                <c:pt idx="182">
                  <c:v>-2.5166871687624042</c:v>
                </c:pt>
                <c:pt idx="183">
                  <c:v>-2.5795313871452108</c:v>
                </c:pt>
                <c:pt idx="184">
                  <c:v>-2.6419258629684328</c:v>
                </c:pt>
                <c:pt idx="185">
                  <c:v>-2.7038778089858417</c:v>
                </c:pt>
                <c:pt idx="186">
                  <c:v>-2.7653942671252514</c:v>
                </c:pt>
                <c:pt idx="187">
                  <c:v>-2.8264821138559268</c:v>
                </c:pt>
                <c:pt idx="188">
                  <c:v>-2.8871480653479686</c:v>
                </c:pt>
                <c:pt idx="189">
                  <c:v>-2.9473986824330627</c:v>
                </c:pt>
                <c:pt idx="190">
                  <c:v>-3.0072403753757024</c:v>
                </c:pt>
                <c:pt idx="191">
                  <c:v>-3.0666794084634312</c:v>
                </c:pt>
                <c:pt idx="192">
                  <c:v>-3.1257219044241613</c:v>
                </c:pt>
                <c:pt idx="193">
                  <c:v>-3.1843738486783697</c:v>
                </c:pt>
                <c:pt idx="194">
                  <c:v>-3.2426410934333534</c:v>
                </c:pt>
                <c:pt idx="195">
                  <c:v>-3.3005293616265838</c:v>
                </c:pt>
                <c:pt idx="196">
                  <c:v>-3.3580442507246602</c:v>
                </c:pt>
                <c:pt idx="197">
                  <c:v>-3.4151912363841594</c:v>
                </c:pt>
                <c:pt idx="198">
                  <c:v>-3.4719756759803189</c:v>
                </c:pt>
                <c:pt idx="199">
                  <c:v>-3.5284028120091895</c:v>
                </c:pt>
                <c:pt idx="200">
                  <c:v>-3.5844777753686197</c:v>
                </c:pt>
                <c:pt idx="201">
                  <c:v>-3.6402055885232265</c:v>
                </c:pt>
                <c:pt idx="202">
                  <c:v>-3.6955911685581371</c:v>
                </c:pt>
                <c:pt idx="203">
                  <c:v>-3.7506393301261882</c:v>
                </c:pt>
                <c:pt idx="204">
                  <c:v>-3.8053547882929788</c:v>
                </c:pt>
                <c:pt idx="205">
                  <c:v>-3.8597421612839722</c:v>
                </c:pt>
                <c:pt idx="206">
                  <c:v>-3.9138059731375918</c:v>
                </c:pt>
                <c:pt idx="207">
                  <c:v>-3.9675506562681799</c:v>
                </c:pt>
                <c:pt idx="208">
                  <c:v>-4.0209805539425094</c:v>
                </c:pt>
                <c:pt idx="209">
                  <c:v>-4.0740999226731143</c:v>
                </c:pt>
                <c:pt idx="210">
                  <c:v>-4.1269129345319238</c:v>
                </c:pt>
                <c:pt idx="211">
                  <c:v>-4.1794236793873711</c:v>
                </c:pt>
                <c:pt idx="212">
                  <c:v>-4.2316361670677463</c:v>
                </c:pt>
                <c:pt idx="213">
                  <c:v>-4.283554329453974</c:v>
                </c:pt>
                <c:pt idx="214">
                  <c:v>-4.3351820225043722</c:v>
                </c:pt>
                <c:pt idx="215">
                  <c:v>-4.3865230282140031</c:v>
                </c:pt>
                <c:pt idx="216">
                  <c:v>-4.4375810565112621</c:v>
                </c:pt>
                <c:pt idx="217">
                  <c:v>-4.4883597470939147</c:v>
                </c:pt>
                <c:pt idx="218">
                  <c:v>-4.5388626712071103</c:v>
                </c:pt>
                <c:pt idx="219">
                  <c:v>-4.5890933333652217</c:v>
                </c:pt>
                <c:pt idx="220">
                  <c:v>-4.6390551730199672</c:v>
                </c:pt>
                <c:pt idx="221">
                  <c:v>-4.6887515661765926</c:v>
                </c:pt>
                <c:pt idx="222">
                  <c:v>-4.7381858269600636</c:v>
                </c:pt>
                <c:pt idx="223">
                  <c:v>-4.7873612091331754</c:v>
                </c:pt>
                <c:pt idx="224">
                  <c:v>-4.836280907568276</c:v>
                </c:pt>
                <c:pt idx="225">
                  <c:v>-4.8849480596742936</c:v>
                </c:pt>
                <c:pt idx="226">
                  <c:v>-5.3583813271827996</c:v>
                </c:pt>
                <c:pt idx="227">
                  <c:v>-5.8096328507505302</c:v>
                </c:pt>
                <c:pt idx="228">
                  <c:v>-6.2410749740788765</c:v>
                </c:pt>
                <c:pt idx="229">
                  <c:v>-6.65472960994434</c:v>
                </c:pt>
                <c:pt idx="230">
                  <c:v>-7.052334682693</c:v>
                </c:pt>
                <c:pt idx="231">
                  <c:v>-7.4353954493126215</c:v>
                </c:pt>
                <c:pt idx="232">
                  <c:v>-7.8052246515306321</c:v>
                </c:pt>
                <c:pt idx="233">
                  <c:v>-8.1629742974271053</c:v>
                </c:pt>
                <c:pt idx="234">
                  <c:v>-8.5096610860851403</c:v>
                </c:pt>
                <c:pt idx="235">
                  <c:v>-8.8461869454661919</c:v>
                </c:pt>
                <c:pt idx="236">
                  <c:v>-9.1733557715667562</c:v>
                </c:pt>
                <c:pt idx="237">
                  <c:v>-9.4918871841809516</c:v>
                </c:pt>
                <c:pt idx="238">
                  <c:v>-9.8024279172860869</c:v>
                </c:pt>
                <c:pt idx="239">
                  <c:v>-10.10556131752238</c:v>
                </c:pt>
                <c:pt idx="240">
                  <c:v>-10.401815317104258</c:v>
                </c:pt>
                <c:pt idx="241">
                  <c:v>-10.691669167229778</c:v>
                </c:pt>
                <c:pt idx="242">
                  <c:v>-10.975559157298916</c:v>
                </c:pt>
                <c:pt idx="243">
                  <c:v>-11.253883498829635</c:v>
                </c:pt>
                <c:pt idx="244">
                  <c:v>-11.52700651717478</c:v>
                </c:pt>
                <c:pt idx="245">
                  <c:v>-11.795262266325</c:v>
                </c:pt>
                <c:pt idx="246">
                  <c:v>-12.058957660290112</c:v>
                </c:pt>
                <c:pt idx="247">
                  <c:v>-12.318375197350324</c:v>
                </c:pt>
                <c:pt idx="248">
                  <c:v>-12.573775339798679</c:v>
                </c:pt>
                <c:pt idx="249">
                  <c:v>-12.825398600859476</c:v>
                </c:pt>
                <c:pt idx="250">
                  <c:v>-13.073467381662784</c:v>
                </c:pt>
                <c:pt idx="251">
                  <c:v>-13.318187594025524</c:v>
                </c:pt>
                <c:pt idx="252">
                  <c:v>-13.559750098982931</c:v>
                </c:pt>
                <c:pt idx="253">
                  <c:v>-13.798331986260324</c:v>
                </c:pt>
                <c:pt idx="254">
                  <c:v>-14.034097715962922</c:v>
                </c:pt>
                <c:pt idx="255">
                  <c:v>-14.267200140526551</c:v>
                </c:pt>
                <c:pt idx="256">
                  <c:v>-14.497781422284948</c:v>
                </c:pt>
                <c:pt idx="257">
                  <c:v>-14.725973859766802</c:v>
                </c:pt>
                <c:pt idx="258">
                  <c:v>-14.951900633957592</c:v>
                </c:pt>
                <c:pt idx="259">
                  <c:v>-15.1756764841808</c:v>
                </c:pt>
                <c:pt idx="260">
                  <c:v>-15.397408321918746</c:v>
                </c:pt>
                <c:pt idx="261">
                  <c:v>-15.617195789763299</c:v>
                </c:pt>
                <c:pt idx="262">
                  <c:v>-15.835131771724708</c:v>
                </c:pt>
                <c:pt idx="263">
                  <c:v>-16.051302860307882</c:v>
                </c:pt>
                <c:pt idx="264">
                  <c:v>-16.265789785063298</c:v>
                </c:pt>
                <c:pt idx="265">
                  <c:v>-16.47866780671885</c:v>
                </c:pt>
                <c:pt idx="266">
                  <c:v>-16.690007080480719</c:v>
                </c:pt>
                <c:pt idx="267">
                  <c:v>-16.899872991645925</c:v>
                </c:pt>
                <c:pt idx="268">
                  <c:v>-17.108326466283003</c:v>
                </c:pt>
                <c:pt idx="269">
                  <c:v>-17.315424259403954</c:v>
                </c:pt>
                <c:pt idx="270">
                  <c:v>-17.521219222760543</c:v>
                </c:pt>
                <c:pt idx="271">
                  <c:v>-17.725760554146589</c:v>
                </c:pt>
                <c:pt idx="272">
                  <c:v>-17.929094029868729</c:v>
                </c:pt>
                <c:pt idx="273">
                  <c:v>-18.131262221857018</c:v>
                </c:pt>
                <c:pt idx="274">
                  <c:v>-18.332304700720425</c:v>
                </c:pt>
                <c:pt idx="275">
                  <c:v>-18.532258225906357</c:v>
                </c:pt>
                <c:pt idx="276">
                  <c:v>-18.731156923996146</c:v>
                </c:pt>
                <c:pt idx="277">
                  <c:v>-18.929032456057097</c:v>
                </c:pt>
                <c:pt idx="278">
                  <c:v>-19.125914174873976</c:v>
                </c:pt>
                <c:pt idx="279">
                  <c:v>-19.321829272797181</c:v>
                </c:pt>
                <c:pt idx="280">
                  <c:v>-19.516802920870077</c:v>
                </c:pt>
                <c:pt idx="281">
                  <c:v>-19.710858399831778</c:v>
                </c:pt>
                <c:pt idx="282">
                  <c:v>-19.904017223534073</c:v>
                </c:pt>
                <c:pt idx="283">
                  <c:v>-20.096299255260273</c:v>
                </c:pt>
                <c:pt idx="284">
                  <c:v>-20.287722817389124</c:v>
                </c:pt>
                <c:pt idx="285">
                  <c:v>-20.478304794807528</c:v>
                </c:pt>
                <c:pt idx="286">
                  <c:v>-20.668060732441344</c:v>
                </c:pt>
                <c:pt idx="287">
                  <c:v>-20.857004927242848</c:v>
                </c:pt>
                <c:pt idx="288">
                  <c:v>-21.045150514946563</c:v>
                </c:pt>
                <c:pt idx="289">
                  <c:v>-21.232509551881446</c:v>
                </c:pt>
                <c:pt idx="290">
                  <c:v>-21.419093092106117</c:v>
                </c:pt>
                <c:pt idx="291">
                  <c:v>-21.604911260115244</c:v>
                </c:pt>
                <c:pt idx="292">
                  <c:v>-21.789973319348562</c:v>
                </c:pt>
                <c:pt idx="293">
                  <c:v>-21.974287736719056</c:v>
                </c:pt>
                <c:pt idx="294">
                  <c:v>-22.157862243363574</c:v>
                </c:pt>
                <c:pt idx="295">
                  <c:v>-22.340703891807344</c:v>
                </c:pt>
                <c:pt idx="296">
                  <c:v>-22.522819109722768</c:v>
                </c:pt>
                <c:pt idx="297">
                  <c:v>-22.704213750453629</c:v>
                </c:pt>
                <c:pt idx="298">
                  <c:v>-22.884893140466403</c:v>
                </c:pt>
                <c:pt idx="299">
                  <c:v>-23.064862123882747</c:v>
                </c:pt>
                <c:pt idx="300">
                  <c:v>-23.244125104239576</c:v>
                </c:pt>
                <c:pt idx="301">
                  <c:v>-23.422686083616178</c:v>
                </c:pt>
                <c:pt idx="302">
                  <c:v>-23.600548699261683</c:v>
                </c:pt>
                <c:pt idx="303">
                  <c:v>-23.777716257849981</c:v>
                </c:pt>
                <c:pt idx="304">
                  <c:v>-23.95419176748376</c:v>
                </c:pt>
                <c:pt idx="305">
                  <c:v>-24.129977967564056</c:v>
                </c:pt>
                <c:pt idx="306">
                  <c:v>-24.305077356636598</c:v>
                </c:pt>
                <c:pt idx="307">
                  <c:v>-24.479492218321639</c:v>
                </c:pt>
                <c:pt idx="308">
                  <c:v>-24.653224645429354</c:v>
                </c:pt>
                <c:pt idx="309">
                  <c:v>-24.826276562358611</c:v>
                </c:pt>
                <c:pt idx="310">
                  <c:v>-24.998649745872701</c:v>
                </c:pt>
                <c:pt idx="311">
                  <c:v>-25.170345844341682</c:v>
                </c:pt>
                <c:pt idx="312">
                  <c:v>-25.341366395537122</c:v>
                </c:pt>
                <c:pt idx="313">
                  <c:v>-25.511712843061296</c:v>
                </c:pt>
                <c:pt idx="314">
                  <c:v>-25.681386551489286</c:v>
                </c:pt>
                <c:pt idx="315">
                  <c:v>-25.850388820299006</c:v>
                </c:pt>
                <c:pt idx="316">
                  <c:v>-26.018720896660792</c:v>
                </c:pt>
                <c:pt idx="317">
                  <c:v>-26.186383987154848</c:v>
                </c:pt>
                <c:pt idx="318">
                  <c:v>-26.353379268481856</c:v>
                </c:pt>
                <c:pt idx="319">
                  <c:v>-26.519707897228862</c:v>
                </c:pt>
                <c:pt idx="320">
                  <c:v>-26.685371018749635</c:v>
                </c:pt>
                <c:pt idx="321">
                  <c:v>-26.850369775215871</c:v>
                </c:pt>
                <c:pt idx="322">
                  <c:v>-27.014705312892787</c:v>
                </c:pt>
                <c:pt idx="323">
                  <c:v>-27.178378788690086</c:v>
                </c:pt>
                <c:pt idx="324">
                  <c:v>-27.341391376036444</c:v>
                </c:pt>
                <c:pt idx="325">
                  <c:v>-27.503744270123622</c:v>
                </c:pt>
                <c:pt idx="326">
                  <c:v>-27.665438692563399</c:v>
                </c:pt>
                <c:pt idx="327">
                  <c:v>-27.826475895498582</c:v>
                </c:pt>
                <c:pt idx="328">
                  <c:v>-27.986857165206985</c:v>
                </c:pt>
                <c:pt idx="329">
                  <c:v>-28.146583825235179</c:v>
                </c:pt>
                <c:pt idx="330">
                  <c:v>-28.305657239096625</c:v>
                </c:pt>
                <c:pt idx="331">
                  <c:v>-28.464078812567102</c:v>
                </c:pt>
                <c:pt idx="332">
                  <c:v>-28.621849995608244</c:v>
                </c:pt>
                <c:pt idx="333">
                  <c:v>-28.778972283948185</c:v>
                </c:pt>
                <c:pt idx="334">
                  <c:v>-28.935447220346859</c:v>
                </c:pt>
                <c:pt idx="335">
                  <c:v>-29.091276395571434</c:v>
                </c:pt>
                <c:pt idx="336">
                  <c:v>-29.24646144910627</c:v>
                </c:pt>
                <c:pt idx="337">
                  <c:v>-29.401004069619766</c:v>
                </c:pt>
                <c:pt idx="338">
                  <c:v>-29.554905995209619</c:v>
                </c:pt>
                <c:pt idx="339">
                  <c:v>-29.70816901344612</c:v>
                </c:pt>
                <c:pt idx="340">
                  <c:v>-29.860794961232209</c:v>
                </c:pt>
                <c:pt idx="341">
                  <c:v>-30.01278572449764</c:v>
                </c:pt>
                <c:pt idx="342">
                  <c:v>-30.16414323774336</c:v>
                </c:pt>
                <c:pt idx="343">
                  <c:v>-30.314869483451336</c:v>
                </c:pt>
                <c:pt idx="344">
                  <c:v>-30.464966491373854</c:v>
                </c:pt>
                <c:pt idx="345">
                  <c:v>-30.614436337715333</c:v>
                </c:pt>
                <c:pt idx="346">
                  <c:v>-30.763281144218855</c:v>
                </c:pt>
                <c:pt idx="347">
                  <c:v>-30.91150307716876</c:v>
                </c:pt>
                <c:pt idx="348">
                  <c:v>-31.059104346319579</c:v>
                </c:pt>
                <c:pt idx="349">
                  <c:v>-31.206087203761236</c:v>
                </c:pt>
                <c:pt idx="350">
                  <c:v>-31.352453942729241</c:v>
                </c:pt>
                <c:pt idx="351">
                  <c:v>-31.498206896368288</c:v>
                </c:pt>
                <c:pt idx="352">
                  <c:v>-31.643348436456812</c:v>
                </c:pt>
                <c:pt idx="353">
                  <c:v>-31.787880972099515</c:v>
                </c:pt>
                <c:pt idx="354">
                  <c:v>-31.931806948394332</c:v>
                </c:pt>
                <c:pt idx="355">
                  <c:v>-32.075128845079689</c:v>
                </c:pt>
                <c:pt idx="356">
                  <c:v>-32.217849175167515</c:v>
                </c:pt>
                <c:pt idx="357">
                  <c:v>-32.359970483566926</c:v>
                </c:pt>
                <c:pt idx="358">
                  <c:v>-32.501495345703063</c:v>
                </c:pt>
                <c:pt idx="359">
                  <c:v>-32.642426366135247</c:v>
                </c:pt>
                <c:pt idx="360">
                  <c:v>-32.782766177178054</c:v>
                </c:pt>
                <c:pt idx="361">
                  <c:v>-32.922517437528811</c:v>
                </c:pt>
                <c:pt idx="362">
                  <c:v>-33.061682830904424</c:v>
                </c:pt>
                <c:pt idx="363">
                  <c:v>-33.20026506469037</c:v>
                </c:pt>
                <c:pt idx="364">
                  <c:v>-33.338266868604158</c:v>
                </c:pt>
                <c:pt idx="365">
                  <c:v>-33.475690993375608</c:v>
                </c:pt>
                <c:pt idx="366">
                  <c:v>-33.61254020944574</c:v>
                </c:pt>
                <c:pt idx="367">
                  <c:v>-33.74881730568606</c:v>
                </c:pt>
                <c:pt idx="368">
                  <c:v>-33.884525088139668</c:v>
                </c:pt>
                <c:pt idx="369">
                  <c:v>-34.019666378785558</c:v>
                </c:pt>
                <c:pt idx="370">
                  <c:v>-34.154244014327226</c:v>
                </c:pt>
                <c:pt idx="371">
                  <c:v>-34.288260845006505</c:v>
                </c:pt>
                <c:pt idx="372">
                  <c:v>-34.421719733443425</c:v>
                </c:pt>
                <c:pt idx="373">
                  <c:v>-34.554623553502807</c:v>
                </c:pt>
                <c:pt idx="374">
                  <c:v>-34.686975189188196</c:v>
                </c:pt>
                <c:pt idx="375">
                  <c:v>-34.818777533563335</c:v>
                </c:pt>
                <c:pt idx="376">
                  <c:v>-34.950033487701717</c:v>
                </c:pt>
                <c:pt idx="377">
                  <c:v>-35.080745959664384</c:v>
                </c:pt>
                <c:pt idx="378">
                  <c:v>-35.210917863505962</c:v>
                </c:pt>
                <c:pt idx="379">
                  <c:v>-35.340552118309184</c:v>
                </c:pt>
                <c:pt idx="380">
                  <c:v>-35.469651647247694</c:v>
                </c:pt>
                <c:pt idx="381">
                  <c:v>-35.598219376677214</c:v>
                </c:pt>
                <c:pt idx="382">
                  <c:v>-35.726258235254711</c:v>
                </c:pt>
                <c:pt idx="383">
                  <c:v>-35.85377115308556</c:v>
                </c:pt>
                <c:pt idx="384">
                  <c:v>-35.980761060898331</c:v>
                </c:pt>
                <c:pt idx="385">
                  <c:v>-36.107230889246935</c:v>
                </c:pt>
                <c:pt idx="386">
                  <c:v>-36.2331835677398</c:v>
                </c:pt>
                <c:pt idx="387">
                  <c:v>-36.358622024295677</c:v>
                </c:pt>
                <c:pt idx="388">
                  <c:v>-36.483549184425698</c:v>
                </c:pt>
                <c:pt idx="389">
                  <c:v>-36.607967970541281</c:v>
                </c:pt>
                <c:pt idx="390">
                  <c:v>-36.73188130128743</c:v>
                </c:pt>
                <c:pt idx="391">
                  <c:v>-36.855292090900853</c:v>
                </c:pt>
                <c:pt idx="392">
                  <c:v>-36.978203248592649</c:v>
                </c:pt>
                <c:pt idx="393">
                  <c:v>-37.100617677954759</c:v>
                </c:pt>
                <c:pt idx="394">
                  <c:v>-37.222538276390026</c:v>
                </c:pt>
                <c:pt idx="395">
                  <c:v>-37.343967934564979</c:v>
                </c:pt>
                <c:pt idx="396">
                  <c:v>-37.464909535885134</c:v>
                </c:pt>
                <c:pt idx="397">
                  <c:v>-37.585365955992053</c:v>
                </c:pt>
                <c:pt idx="398">
                  <c:v>-37.705340062281806</c:v>
                </c:pt>
                <c:pt idx="399">
                  <c:v>-37.824834713444154</c:v>
                </c:pt>
                <c:pt idx="400">
                  <c:v>-37.943852759022029</c:v>
                </c:pt>
                <c:pt idx="401">
                  <c:v>-38.062397038990696</c:v>
                </c:pt>
                <c:pt idx="402">
                  <c:v>-38.180470383356166</c:v>
                </c:pt>
                <c:pt idx="403">
                  <c:v>-38.298075611772198</c:v>
                </c:pt>
                <c:pt idx="404">
                  <c:v>-38.415215533175505</c:v>
                </c:pt>
                <c:pt idx="405">
                  <c:v>-38.531892945438543</c:v>
                </c:pt>
                <c:pt idx="406">
                  <c:v>-38.648110635039465</c:v>
                </c:pt>
                <c:pt idx="407">
                  <c:v>-38.763871376748618</c:v>
                </c:pt>
                <c:pt idx="408">
                  <c:v>-38.87917793333115</c:v>
                </c:pt>
                <c:pt idx="409">
                  <c:v>-38.994033055265348</c:v>
                </c:pt>
                <c:pt idx="410">
                  <c:v>-39.10843948047593</c:v>
                </c:pt>
                <c:pt idx="411">
                  <c:v>-39.222399934082148</c:v>
                </c:pt>
                <c:pt idx="412">
                  <c:v>-39.33591712816002</c:v>
                </c:pt>
                <c:pt idx="413">
                  <c:v>-39.448993761518274</c:v>
                </c:pt>
                <c:pt idx="414">
                  <c:v>-39.561632519487674</c:v>
                </c:pt>
                <c:pt idx="415">
                  <c:v>-39.673836073723081</c:v>
                </c:pt>
                <c:pt idx="416">
                  <c:v>-39.785607082018032</c:v>
                </c:pt>
                <c:pt idx="417">
                  <c:v>-39.896948188131255</c:v>
                </c:pt>
                <c:pt idx="418">
                  <c:v>-40.007862021624788</c:v>
                </c:pt>
                <c:pt idx="419">
                  <c:v>-40.118351197713352</c:v>
                </c:pt>
                <c:pt idx="420">
                  <c:v>-40.228418317124451</c:v>
                </c:pt>
                <c:pt idx="421">
                  <c:v>-40.338065965968902</c:v>
                </c:pt>
                <c:pt idx="422">
                  <c:v>-40.447296715621441</c:v>
                </c:pt>
                <c:pt idx="423">
                  <c:v>-40.556113122611023</c:v>
                </c:pt>
                <c:pt idx="424">
                  <c:v>-40.664517728520423</c:v>
                </c:pt>
                <c:pt idx="425">
                  <c:v>-40.772513059894862</c:v>
                </c:pt>
                <c:pt idx="426">
                  <c:v>-40.880101628159238</c:v>
                </c:pt>
                <c:pt idx="427">
                  <c:v>-40.987285929543788</c:v>
                </c:pt>
                <c:pt idx="428">
                  <c:v>-41.094068445017669</c:v>
                </c:pt>
                <c:pt idx="429">
                  <c:v>-41.200451640230341</c:v>
                </c:pt>
                <c:pt idx="430">
                  <c:v>-41.30643796546029</c:v>
                </c:pt>
                <c:pt idx="431">
                  <c:v>-41.412029855570935</c:v>
                </c:pt>
                <c:pt idx="432">
                  <c:v>-41.51722972997338</c:v>
                </c:pt>
                <c:pt idx="433">
                  <c:v>-41.622039992595681</c:v>
                </c:pt>
                <c:pt idx="434">
                  <c:v>-41.726463031858543</c:v>
                </c:pt>
                <c:pt idx="435">
                  <c:v>-41.83050122065697</c:v>
                </c:pt>
                <c:pt idx="436">
                  <c:v>-41.934156916347767</c:v>
                </c:pt>
                <c:pt idx="437">
                  <c:v>-42.037432460742622</c:v>
                </c:pt>
                <c:pt idx="438">
                  <c:v>-42.140330180106567</c:v>
                </c:pt>
                <c:pt idx="439">
                  <c:v>-42.242852385161413</c:v>
                </c:pt>
                <c:pt idx="440">
                  <c:v>-42.34500137109427</c:v>
                </c:pt>
                <c:pt idx="441">
                  <c:v>-42.446779417570639</c:v>
                </c:pt>
                <c:pt idx="442">
                  <c:v>-42.548188788752014</c:v>
                </c:pt>
                <c:pt idx="443">
                  <c:v>-42.64923173331777</c:v>
                </c:pt>
                <c:pt idx="444">
                  <c:v>-42.74991048449116</c:v>
                </c:pt>
                <c:pt idx="445">
                  <c:v>-42.850227260069218</c:v>
                </c:pt>
                <c:pt idx="446">
                  <c:v>-42.950184262456403</c:v>
                </c:pt>
                <c:pt idx="447">
                  <c:v>-43.0497836787018</c:v>
                </c:pt>
                <c:pt idx="448">
                  <c:v>-43.149027680539731</c:v>
                </c:pt>
                <c:pt idx="449">
                  <c:v>-43.247918424433593</c:v>
                </c:pt>
                <c:pt idx="450">
                  <c:v>-43.34645805162274</c:v>
                </c:pt>
                <c:pt idx="451">
                  <c:v>-43.444648688172421</c:v>
                </c:pt>
                <c:pt idx="452">
                  <c:v>-43.542492445026362</c:v>
                </c:pt>
                <c:pt idx="453">
                  <c:v>-43.63999141806211</c:v>
                </c:pt>
                <c:pt idx="454">
                  <c:v>-43.737147688148781</c:v>
                </c:pt>
                <c:pt idx="455">
                  <c:v>-43.833963321207335</c:v>
                </c:pt>
                <c:pt idx="456">
                  <c:v>-43.930440368273011</c:v>
                </c:pt>
                <c:pt idx="457">
                  <c:v>-44.026580865559893</c:v>
                </c:pt>
                <c:pt idx="458">
                  <c:v>-44.122386834527632</c:v>
                </c:pt>
                <c:pt idx="459">
                  <c:v>-44.217860281949868</c:v>
                </c:pt>
                <c:pt idx="460">
                  <c:v>-44.313003199984706</c:v>
                </c:pt>
                <c:pt idx="461">
                  <c:v>-44.407817566246692</c:v>
                </c:pt>
                <c:pt idx="462">
                  <c:v>-44.502305343880479</c:v>
                </c:pt>
                <c:pt idx="463">
                  <c:v>-44.596468481636023</c:v>
                </c:pt>
                <c:pt idx="464">
                  <c:v>-44.690308913945145</c:v>
                </c:pt>
                <c:pt idx="465">
                  <c:v>-44.783828560999439</c:v>
                </c:pt>
                <c:pt idx="466">
                  <c:v>-44.87702932882938</c:v>
                </c:pt>
                <c:pt idx="467">
                  <c:v>-44.969913109384692</c:v>
                </c:pt>
                <c:pt idx="468">
                  <c:v>-45.06248178061567</c:v>
                </c:pt>
                <c:pt idx="469">
                  <c:v>-45.154737206555581</c:v>
                </c:pt>
                <c:pt idx="470">
                  <c:v>-45.246681237404005</c:v>
                </c:pt>
                <c:pt idx="471">
                  <c:v>-45.338315709610924</c:v>
                </c:pt>
                <c:pt idx="472">
                  <c:v>-45.429642445961768</c:v>
                </c:pt>
                <c:pt idx="473">
                  <c:v>-45.520663255663038</c:v>
                </c:pt>
                <c:pt idx="474">
                  <c:v>-45.611379934428662</c:v>
                </c:pt>
                <c:pt idx="475">
                  <c:v>-45.701794264566985</c:v>
                </c:pt>
                <c:pt idx="476">
                  <c:v>-45.791908015068202</c:v>
                </c:pt>
                <c:pt idx="477">
                  <c:v>-45.881722941692388</c:v>
                </c:pt>
                <c:pt idx="478">
                  <c:v>-45.971240787057901</c:v>
                </c:pt>
                <c:pt idx="479">
                  <c:v>-46.060463280730204</c:v>
                </c:pt>
                <c:pt idx="480">
                  <c:v>-46.149392139311004</c:v>
                </c:pt>
                <c:pt idx="481">
                  <c:v>-46.238029066527659</c:v>
                </c:pt>
                <c:pt idx="482">
                  <c:v>-46.326375753322964</c:v>
                </c:pt>
                <c:pt idx="483">
                  <c:v>-46.414433877944916</c:v>
                </c:pt>
                <c:pt idx="484">
                  <c:v>-46.50220510603684</c:v>
                </c:pt>
                <c:pt idx="485">
                  <c:v>-46.589691090727541</c:v>
                </c:pt>
                <c:pt idx="486">
                  <c:v>-46.676893472721602</c:v>
                </c:pt>
                <c:pt idx="487">
                  <c:v>-46.763813880389634</c:v>
                </c:pt>
                <c:pt idx="488">
                  <c:v>-46.850453929858638</c:v>
                </c:pt>
                <c:pt idx="489">
                  <c:v>-46.936815225102329</c:v>
                </c:pt>
                <c:pt idx="490">
                  <c:v>-47.022899358031374</c:v>
                </c:pt>
                <c:pt idx="491">
                  <c:v>-47.108707908583575</c:v>
                </c:pt>
                <c:pt idx="492">
                  <c:v>-47.19424244481398</c:v>
                </c:pt>
                <c:pt idx="493">
                  <c:v>-47.27950452298478</c:v>
                </c:pt>
                <c:pt idx="494">
                  <c:v>-47.364495687655108</c:v>
                </c:pt>
                <c:pt idx="495">
                  <c:v>-47.449217471770666</c:v>
                </c:pt>
                <c:pt idx="496">
                  <c:v>-47.533671396753057</c:v>
                </c:pt>
                <c:pt idx="497">
                  <c:v>-47.617858972589005</c:v>
                </c:pt>
                <c:pt idx="498">
                  <c:v>-47.701781697919216</c:v>
                </c:pt>
                <c:pt idx="499">
                  <c:v>-47.785441060126999</c:v>
                </c:pt>
                <c:pt idx="500">
                  <c:v>-47.868838535426676</c:v>
                </c:pt>
                <c:pt idx="501">
                  <c:v>-47.951975588951498</c:v>
                </c:pt>
                <c:pt idx="502">
                  <c:v>-48.034853674841493</c:v>
                </c:pt>
                <c:pt idx="503">
                  <c:v>-48.117474236330665</c:v>
                </c:pt>
                <c:pt idx="504">
                  <c:v>-48.199838705834139</c:v>
                </c:pt>
                <c:pt idx="505">
                  <c:v>-48.281948505034642</c:v>
                </c:pt>
                <c:pt idx="506">
                  <c:v>-48.363805044968842</c:v>
                </c:pt>
                <c:pt idx="507">
                  <c:v>-48.445409726113155</c:v>
                </c:pt>
                <c:pt idx="508">
                  <c:v>-48.526763938469088</c:v>
                </c:pt>
                <c:pt idx="509">
                  <c:v>-48.60786906164833</c:v>
                </c:pt>
                <c:pt idx="510">
                  <c:v>-48.688726464957249</c:v>
                </c:pt>
                <c:pt idx="511">
                  <c:v>-48.769337507480984</c:v>
                </c:pt>
                <c:pt idx="512">
                  <c:v>-48.84970353816712</c:v>
                </c:pt>
                <c:pt idx="513">
                  <c:v>-48.929825895908856</c:v>
                </c:pt>
                <c:pt idx="514">
                  <c:v>-49.009705909627677</c:v>
                </c:pt>
                <c:pt idx="515">
                  <c:v>-49.089344898355648</c:v>
                </c:pt>
                <c:pt idx="516">
                  <c:v>-49.168744171317023</c:v>
                </c:pt>
                <c:pt idx="517">
                  <c:v>-49.247905028009612</c:v>
                </c:pt>
                <c:pt idx="518">
                  <c:v>-49.326828758285394</c:v>
                </c:pt>
                <c:pt idx="519">
                  <c:v>-49.405516642430769</c:v>
                </c:pt>
                <c:pt idx="520">
                  <c:v>-49.483969951246259</c:v>
                </c:pt>
                <c:pt idx="521">
                  <c:v>-49.562189946125699</c:v>
                </c:pt>
                <c:pt idx="522">
                  <c:v>-49.640177879134839</c:v>
                </c:pt>
                <c:pt idx="523">
                  <c:v>-49.717934993089514</c:v>
                </c:pt>
                <c:pt idx="524">
                  <c:v>-49.795462521633205</c:v>
                </c:pt>
                <c:pt idx="525">
                  <c:v>-49.872761689314075</c:v>
                </c:pt>
                <c:pt idx="526">
                  <c:v>-49.949833711661498</c:v>
                </c:pt>
                <c:pt idx="527">
                  <c:v>-50.026679795262005</c:v>
                </c:pt>
                <c:pt idx="528">
                  <c:v>-50.103301137834741</c:v>
                </c:pt>
                <c:pt idx="529">
                  <c:v>-50.179698928306252</c:v>
                </c:pt>
                <c:pt idx="530">
                  <c:v>-50.255874346884909</c:v>
                </c:pt>
                <c:pt idx="531">
                  <c:v>-50.331828565134586</c:v>
                </c:pt>
                <c:pt idx="532">
                  <c:v>-50.407562746047915</c:v>
                </c:pt>
                <c:pt idx="533">
                  <c:v>-50.483078044118955</c:v>
                </c:pt>
                <c:pt idx="534">
                  <c:v>-50.558375605415279</c:v>
                </c:pt>
                <c:pt idx="535">
                  <c:v>-50.633456567649553</c:v>
                </c:pt>
                <c:pt idx="536">
                  <c:v>-50.70832206025046</c:v>
                </c:pt>
                <c:pt idx="537">
                  <c:v>-50.782973204433254</c:v>
                </c:pt>
                <c:pt idx="538">
                  <c:v>-50.857411113269535</c:v>
                </c:pt>
                <c:pt idx="539">
                  <c:v>-50.931636891756668</c:v>
                </c:pt>
                <c:pt idx="540">
                  <c:v>-51.005651636886483</c:v>
                </c:pt>
                <c:pt idx="541">
                  <c:v>-51.079456437713546</c:v>
                </c:pt>
                <c:pt idx="542">
                  <c:v>-51.153052375422831</c:v>
                </c:pt>
                <c:pt idx="543">
                  <c:v>-51.226440523396811</c:v>
                </c:pt>
                <c:pt idx="544">
                  <c:v>-51.29962194728202</c:v>
                </c:pt>
                <c:pt idx="545">
                  <c:v>-51.372597705055128</c:v>
                </c:pt>
                <c:pt idx="546">
                  <c:v>-51.445368847088332</c:v>
                </c:pt>
                <c:pt idx="547">
                  <c:v>-51.517936416214326</c:v>
                </c:pt>
                <c:pt idx="548">
                  <c:v>-51.590301447790708</c:v>
                </c:pt>
                <c:pt idx="549">
                  <c:v>-51.662464969763747</c:v>
                </c:pt>
                <c:pt idx="550">
                  <c:v>-51.734428002731747</c:v>
                </c:pt>
                <c:pt idx="551">
                  <c:v>-51.806191560007768</c:v>
                </c:pt>
                <c:pt idx="552">
                  <c:v>-51.877756647681863</c:v>
                </c:pt>
                <c:pt idx="553">
                  <c:v>-51.94912426468278</c:v>
                </c:pt>
                <c:pt idx="554">
                  <c:v>-52.020295402839096</c:v>
                </c:pt>
                <c:pt idx="555">
                  <c:v>-52.09127104693988</c:v>
                </c:pt>
                <c:pt idx="556">
                  <c:v>-52.162052174794752</c:v>
                </c:pt>
                <c:pt idx="557">
                  <c:v>-52.232639757293519</c:v>
                </c:pt>
                <c:pt idx="558">
                  <c:v>-52.303034758465216</c:v>
                </c:pt>
                <c:pt idx="559">
                  <c:v>-52.373238135536624</c:v>
                </c:pt>
                <c:pt idx="560">
                  <c:v>-52.443250838990345</c:v>
                </c:pt>
                <c:pt idx="561">
                  <c:v>-52.513073812622267</c:v>
                </c:pt>
                <c:pt idx="562">
                  <c:v>-52.582707993598639</c:v>
                </c:pt>
                <c:pt idx="563">
                  <c:v>-52.652154312512501</c:v>
                </c:pt>
                <c:pt idx="564">
                  <c:v>-52.721413693439757</c:v>
                </c:pt>
                <c:pt idx="565">
                  <c:v>-52.790487053994596</c:v>
                </c:pt>
                <c:pt idx="566">
                  <c:v>-52.859375305384575</c:v>
                </c:pt>
                <c:pt idx="567">
                  <c:v>-52.928079352465083</c:v>
                </c:pt>
                <c:pt idx="568">
                  <c:v>-52.99660009379339</c:v>
                </c:pt>
                <c:pt idx="569">
                  <c:v>-53.064938421682164</c:v>
                </c:pt>
                <c:pt idx="570">
                  <c:v>-53.133095222252528</c:v>
                </c:pt>
                <c:pt idx="571">
                  <c:v>-53.201071375486634</c:v>
                </c:pt>
                <c:pt idx="572">
                  <c:v>-53.268867755279757</c:v>
                </c:pt>
                <c:pt idx="573">
                  <c:v>-53.336485229491963</c:v>
                </c:pt>
                <c:pt idx="574">
                  <c:v>-53.403924659999177</c:v>
                </c:pt>
                <c:pt idx="575">
                  <c:v>-53.471186902743959</c:v>
                </c:pt>
                <c:pt idx="576">
                  <c:v>-53.538272807785674</c:v>
                </c:pt>
                <c:pt idx="577">
                  <c:v>-53.605183219350295</c:v>
                </c:pt>
                <c:pt idx="578">
                  <c:v>-53.671918975879706</c:v>
                </c:pt>
                <c:pt idx="579">
                  <c:v>-53.73848091008054</c:v>
                </c:pt>
                <c:pt idx="580">
                  <c:v>-53.804869848972636</c:v>
                </c:pt>
                <c:pt idx="581">
                  <c:v>-53.871086613936967</c:v>
                </c:pt>
                <c:pt idx="582">
                  <c:v>-53.937132020763201</c:v>
                </c:pt>
                <c:pt idx="583">
                  <c:v>-54.003006879696748</c:v>
                </c:pt>
                <c:pt idx="584">
                  <c:v>-54.068711995485472</c:v>
                </c:pt>
                <c:pt idx="585">
                  <c:v>-54.134248167425852</c:v>
                </c:pt>
                <c:pt idx="586">
                  <c:v>-54.199616189408857</c:v>
                </c:pt>
                <c:pt idx="587">
                  <c:v>-54.264816849965243</c:v>
                </c:pt>
                <c:pt idx="588">
                  <c:v>-54.329850932310535</c:v>
                </c:pt>
                <c:pt idx="589">
                  <c:v>-54.39471921438961</c:v>
                </c:pt>
                <c:pt idx="590">
                  <c:v>-54.459422468920764</c:v>
                </c:pt>
                <c:pt idx="591">
                  <c:v>-54.523961463439441</c:v>
                </c:pt>
                <c:pt idx="592">
                  <c:v>-54.588336960341579</c:v>
                </c:pt>
                <c:pt idx="593">
                  <c:v>-54.652549716926472</c:v>
                </c:pt>
                <c:pt idx="594">
                  <c:v>-54.716600485439301</c:v>
                </c:pt>
                <c:pt idx="595">
                  <c:v>-54.780490013113258</c:v>
                </c:pt>
                <c:pt idx="596">
                  <c:v>-54.84421904221125</c:v>
                </c:pt>
                <c:pt idx="597">
                  <c:v>-54.907788310067254</c:v>
                </c:pt>
                <c:pt idx="598">
                  <c:v>-54.971198549127244</c:v>
                </c:pt>
                <c:pt idx="599">
                  <c:v>-55.034450486989769</c:v>
                </c:pt>
                <c:pt idx="600">
                  <c:v>-55.097544846446155</c:v>
                </c:pt>
                <c:pt idx="601">
                  <c:v>-55.1604823455203</c:v>
                </c:pt>
                <c:pt idx="602">
                  <c:v>-55.223263697508145</c:v>
                </c:pt>
                <c:pt idx="603">
                  <c:v>-55.285889611016721</c:v>
                </c:pt>
                <c:pt idx="604">
                  <c:v>-55.348360790002872</c:v>
                </c:pt>
                <c:pt idx="605">
                  <c:v>-55.410677933811641</c:v>
                </c:pt>
                <c:pt idx="606">
                  <c:v>-58.344356898493288</c:v>
                </c:pt>
                <c:pt idx="607">
                  <c:v>-60.967222357719905</c:v>
                </c:pt>
                <c:pt idx="608">
                  <c:v>-63.334621647620608</c:v>
                </c:pt>
                <c:pt idx="609">
                  <c:v>-65.488481655131295</c:v>
                </c:pt>
                <c:pt idx="610">
                  <c:v>-67.461277562163104</c:v>
                </c:pt>
                <c:pt idx="611">
                  <c:v>-69.27866058238358</c:v>
                </c:pt>
                <c:pt idx="612">
                  <c:v>-70.961242733116421</c:v>
                </c:pt>
                <c:pt idx="613">
                  <c:v>-72.525838573995159</c:v>
                </c:pt>
                <c:pt idx="614">
                  <c:v>-73.98634843060664</c:v>
                </c:pt>
                <c:pt idx="615">
                  <c:v>-75.354399358768219</c:v>
                </c:pt>
                <c:pt idx="616">
                  <c:v>-76.639818852458561</c:v>
                </c:pt>
                <c:pt idx="617">
                  <c:v>-77.850990784300819</c:v>
                </c:pt>
                <c:pt idx="618">
                  <c:v>-78.318124858497697</c:v>
                </c:pt>
                <c:pt idx="619">
                  <c:v>-78.77471905154367</c:v>
                </c:pt>
                <c:pt idx="620">
                  <c:v>-79.221187484345904</c:v>
                </c:pt>
                <c:pt idx="621">
                  <c:v>-79.657921171319458</c:v>
                </c:pt>
                <c:pt idx="622">
                  <c:v>-80.085289732785213</c:v>
                </c:pt>
                <c:pt idx="623">
                  <c:v>-80.503642948012995</c:v>
                </c:pt>
                <c:pt idx="624">
                  <c:v>-80.913312166603291</c:v>
                </c:pt>
                <c:pt idx="625">
                  <c:v>-81.314611593642923</c:v>
                </c:pt>
                <c:pt idx="626">
                  <c:v>-81.707839462136008</c:v>
                </c:pt>
                <c:pt idx="627">
                  <c:v>-82.093279104548259</c:v>
                </c:pt>
                <c:pt idx="628">
                  <c:v>-82.471199933871247</c:v>
                </c:pt>
                <c:pt idx="629">
                  <c:v>-82.841858343374724</c:v>
                </c:pt>
                <c:pt idx="630">
                  <c:v>-83.205498533143498</c:v>
                </c:pt>
                <c:pt idx="631">
                  <c:v>-83.56235327056369</c:v>
                </c:pt>
                <c:pt idx="632">
                  <c:v>-83.912644591112695</c:v>
                </c:pt>
                <c:pt idx="633">
                  <c:v>-84.256584445099435</c:v>
                </c:pt>
                <c:pt idx="634">
                  <c:v>-84.594375295382974</c:v>
                </c:pt>
                <c:pt idx="635">
                  <c:v>-84.926210670554724</c:v>
                </c:pt>
                <c:pt idx="636">
                  <c:v>-85.252275677593531</c:v>
                </c:pt>
                <c:pt idx="637">
                  <c:v>-85.572747477582823</c:v>
                </c:pt>
                <c:pt idx="638">
                  <c:v>-85.887795727709886</c:v>
                </c:pt>
                <c:pt idx="639">
                  <c:v>-86.197582992439834</c:v>
                </c:pt>
                <c:pt idx="640">
                  <c:v>-86.502265126467961</c:v>
                </c:pt>
                <c:pt idx="641">
                  <c:v>-86.801991631797094</c:v>
                </c:pt>
                <c:pt idx="642">
                  <c:v>-87.096905991059003</c:v>
                </c:pt>
                <c:pt idx="643">
                  <c:v>-87.387145978995733</c:v>
                </c:pt>
                <c:pt idx="644">
                  <c:v>-87.672843953835837</c:v>
                </c:pt>
                <c:pt idx="645">
                  <c:v>-87.954127130139042</c:v>
                </c:pt>
                <c:pt idx="646">
                  <c:v>-88.231117834538793</c:v>
                </c:pt>
                <c:pt idx="647">
                  <c:v>-88.503933745681593</c:v>
                </c:pt>
                <c:pt idx="648">
                  <c:v>-88.772688119548036</c:v>
                </c:pt>
                <c:pt idx="649">
                  <c:v>-89.037490001233579</c:v>
                </c:pt>
                <c:pt idx="650">
                  <c:v>-89.298444424176125</c:v>
                </c:pt>
                <c:pt idx="651">
                  <c:v>-89.555652597730358</c:v>
                </c:pt>
                <c:pt idx="652">
                  <c:v>-89.809212083914574</c:v>
                </c:pt>
                <c:pt idx="653">
                  <c:v>-90.059216964086133</c:v>
                </c:pt>
                <c:pt idx="654">
                  <c:v>-90.305757996238754</c:v>
                </c:pt>
                <c:pt idx="655">
                  <c:v>-90.548922763559744</c:v>
                </c:pt>
                <c:pt idx="656">
                  <c:v>-90.788795814833477</c:v>
                </c:pt>
                <c:pt idx="657">
                  <c:v>-91.025458797230272</c:v>
                </c:pt>
                <c:pt idx="658">
                  <c:v>-91.258990581979603</c:v>
                </c:pt>
                <c:pt idx="659">
                  <c:v>-91.48946738338546</c:v>
                </c:pt>
                <c:pt idx="660">
                  <c:v>-91.716962871609482</c:v>
                </c:pt>
                <c:pt idx="661">
                  <c:v>-91.941548279613187</c:v>
                </c:pt>
                <c:pt idx="662">
                  <c:v>-92.163292504623058</c:v>
                </c:pt>
                <c:pt idx="663">
                  <c:v>-92.382262204454705</c:v>
                </c:pt>
                <c:pt idx="664">
                  <c:v>-92.598521889008424</c:v>
                </c:pt>
                <c:pt idx="665">
                  <c:v>-92.812134007225524</c:v>
                </c:pt>
                <c:pt idx="666">
                  <c:v>-93.023159029775314</c:v>
                </c:pt>
                <c:pt idx="667">
                  <c:v>-93.231655527722324</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15.063195235189182</c:v>
                </c:pt>
              </c:numCache>
            </c:numRef>
          </c:xVal>
          <c:yVal>
            <c:numRef>
              <c:f>'Bode Plots Calculations'!$BF$683</c:f>
              <c:numCache>
                <c:formatCode>General</c:formatCode>
                <c:ptCount val="1"/>
                <c:pt idx="0">
                  <c:v>24.314664743553386</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8.3796632061157457</c:v>
                </c:pt>
              </c:numCache>
            </c:numRef>
          </c:xVal>
          <c:yVal>
            <c:numRef>
              <c:f>'Bode Plots Calculations'!$BF$684</c:f>
              <c:numCache>
                <c:formatCode>General</c:formatCode>
                <c:ptCount val="1"/>
                <c:pt idx="0">
                  <c:v>17.548211110689262</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12.838762037629866</c:v>
                </c:pt>
              </c:numCache>
            </c:numRef>
          </c:xVal>
          <c:yVal>
            <c:numRef>
              <c:f>'Bode Plots Calculations'!$BF$685</c:f>
              <c:numCache>
                <c:formatCode>General</c:formatCode>
                <c:ptCount val="1"/>
                <c:pt idx="0">
                  <c:v>22.598276776439683</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7786.4453656436572</c:v>
                </c:pt>
              </c:numCache>
            </c:numRef>
          </c:xVal>
          <c:yVal>
            <c:numRef>
              <c:f>'Bode Plots Calculations'!$BF$686</c:f>
              <c:numCache>
                <c:formatCode>General</c:formatCode>
                <c:ptCount val="1"/>
                <c:pt idx="0">
                  <c:v>-87.915519712742594</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488.97799414510712</c:v>
                </c:pt>
              </c:numCache>
            </c:numRef>
          </c:xVal>
          <c:yVal>
            <c:numRef>
              <c:f>'Bode Plots Calculations'!$BF$687</c:f>
              <c:numCache>
                <c:formatCode>General</c:formatCode>
                <c:ptCount val="1"/>
                <c:pt idx="0">
                  <c:v>-23.741559366447564</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7957.7471636878181</c:v>
                </c:pt>
              </c:numCache>
            </c:numRef>
          </c:xVal>
          <c:yVal>
            <c:numRef>
              <c:f>'Bode Plots Calculations'!$BF$682</c:f>
              <c:numCache>
                <c:formatCode>General</c:formatCode>
                <c:ptCount val="1"/>
                <c:pt idx="0">
                  <c:v>-88.390021396731555</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-10.515746930740296</c:v>
                </c:pt>
                <c:pt idx="1">
                  <c:v>-20.365495474099706</c:v>
                </c:pt>
                <c:pt idx="2">
                  <c:v>-29.105936932234464</c:v>
                </c:pt>
                <c:pt idx="3">
                  <c:v>-36.580583131915127</c:v>
                </c:pt>
                <c:pt idx="4">
                  <c:v>-42.843147197464404</c:v>
                </c:pt>
                <c:pt idx="5">
                  <c:v>-48.048468278528603</c:v>
                </c:pt>
                <c:pt idx="6">
                  <c:v>-52.375659996648849</c:v>
                </c:pt>
                <c:pt idx="7">
                  <c:v>-55.990341869184725</c:v>
                </c:pt>
                <c:pt idx="8">
                  <c:v>-59.03185087091677</c:v>
                </c:pt>
                <c:pt idx="9">
                  <c:v>-61.612376398717082</c:v>
                </c:pt>
                <c:pt idx="10">
                  <c:v>-74.742318821752008</c:v>
                </c:pt>
                <c:pt idx="11">
                  <c:v>-79.535334930544622</c:v>
                </c:pt>
                <c:pt idx="12">
                  <c:v>-81.945020585845128</c:v>
                </c:pt>
                <c:pt idx="13">
                  <c:v>-83.366600439861273</c:v>
                </c:pt>
                <c:pt idx="14">
                  <c:v>-84.286658262034408</c:v>
                </c:pt>
                <c:pt idx="15">
                  <c:v>-84.917897904784638</c:v>
                </c:pt>
                <c:pt idx="16">
                  <c:v>-85.367802155699891</c:v>
                </c:pt>
                <c:pt idx="17">
                  <c:v>-85.696464720750015</c:v>
                </c:pt>
                <c:pt idx="18">
                  <c:v>-85.940091403076465</c:v>
                </c:pt>
                <c:pt idx="19">
                  <c:v>-86.500489757782617</c:v>
                </c:pt>
                <c:pt idx="20">
                  <c:v>-86.03587969973853</c:v>
                </c:pt>
                <c:pt idx="21">
                  <c:v>-85.315334590596734</c:v>
                </c:pt>
                <c:pt idx="22">
                  <c:v>-84.493163950468414</c:v>
                </c:pt>
                <c:pt idx="23">
                  <c:v>-83.621013496248167</c:v>
                </c:pt>
                <c:pt idx="24">
                  <c:v>-82.721179013781665</c:v>
                </c:pt>
                <c:pt idx="25">
                  <c:v>-81.80494598793068</c:v>
                </c:pt>
                <c:pt idx="26">
                  <c:v>-80.878704349979884</c:v>
                </c:pt>
                <c:pt idx="27">
                  <c:v>-79.94639458684739</c:v>
                </c:pt>
                <c:pt idx="28">
                  <c:v>-75.263005526340407</c:v>
                </c:pt>
                <c:pt idx="29">
                  <c:v>-70.62914919887973</c:v>
                </c:pt>
                <c:pt idx="30">
                  <c:v>-66.104950588046691</c:v>
                </c:pt>
                <c:pt idx="31">
                  <c:v>-61.726821011945866</c:v>
                </c:pt>
                <c:pt idx="32">
                  <c:v>-57.521963936363399</c:v>
                </c:pt>
                <c:pt idx="33">
                  <c:v>-53.512141192541243</c:v>
                </c:pt>
                <c:pt idx="34">
                  <c:v>-49.715230148897547</c:v>
                </c:pt>
                <c:pt idx="35">
                  <c:v>-46.146239980585051</c:v>
                </c:pt>
                <c:pt idx="36">
                  <c:v>-42.818211044943943</c:v>
                </c:pt>
                <c:pt idx="37">
                  <c:v>-39.743120869938366</c:v>
                </c:pt>
                <c:pt idx="38">
                  <c:v>-36.932841479798959</c:v>
                </c:pt>
                <c:pt idx="39">
                  <c:v>-34.400179275580392</c:v>
                </c:pt>
                <c:pt idx="40">
                  <c:v>-32.160038204873672</c:v>
                </c:pt>
                <c:pt idx="41">
                  <c:v>-30.230766707084012</c:v>
                </c:pt>
                <c:pt idx="42">
                  <c:v>-28.63577521257</c:v>
                </c:pt>
                <c:pt idx="43">
                  <c:v>-27.4055426446685</c:v>
                </c:pt>
                <c:pt idx="44">
                  <c:v>-26.580164740454396</c:v>
                </c:pt>
                <c:pt idx="45">
                  <c:v>-26.212623715588894</c:v>
                </c:pt>
                <c:pt idx="46">
                  <c:v>-26.372946210069717</c:v>
                </c:pt>
                <c:pt idx="47">
                  <c:v>-27.153280179512628</c:v>
                </c:pt>
                <c:pt idx="48">
                  <c:v>-28.67345563569712</c:v>
                </c:pt>
                <c:pt idx="49">
                  <c:v>-31.085342174451277</c:v>
                </c:pt>
                <c:pt idx="50">
                  <c:v>-34.571415093104356</c:v>
                </c:pt>
                <c:pt idx="51">
                  <c:v>-39.327330836975413</c:v>
                </c:pt>
                <c:pt idx="52">
                  <c:v>-45.510884328514614</c:v>
                </c:pt>
                <c:pt idx="53">
                  <c:v>-53.140501277320546</c:v>
                </c:pt>
                <c:pt idx="54">
                  <c:v>-61.962303777335833</c:v>
                </c:pt>
                <c:pt idx="55">
                  <c:v>-71.387749937241608</c:v>
                </c:pt>
                <c:pt idx="56">
                  <c:v>-80.632092386442466</c:v>
                </c:pt>
                <c:pt idx="57">
                  <c:v>-89.009861858697548</c:v>
                </c:pt>
                <c:pt idx="58">
                  <c:v>-96.148108079246455</c:v>
                </c:pt>
                <c:pt idx="59">
                  <c:v>-101.98471174284641</c:v>
                </c:pt>
                <c:pt idx="60">
                  <c:v>-106.64425388962282</c:v>
                </c:pt>
                <c:pt idx="61">
                  <c:v>-110.319583000487</c:v>
                </c:pt>
                <c:pt idx="62">
                  <c:v>-113.20400686349062</c:v>
                </c:pt>
                <c:pt idx="63">
                  <c:v>-115.46424911154028</c:v>
                </c:pt>
                <c:pt idx="64">
                  <c:v>-117.23484884927764</c:v>
                </c:pt>
                <c:pt idx="65">
                  <c:v>-118.62115745427846</c:v>
                </c:pt>
                <c:pt idx="66">
                  <c:v>-119.70469742579201</c:v>
                </c:pt>
                <c:pt idx="67">
                  <c:v>-120.54840894729179</c:v>
                </c:pt>
                <c:pt idx="68">
                  <c:v>-121.20102443340068</c:v>
                </c:pt>
                <c:pt idx="69">
                  <c:v>-121.70048496956647</c:v>
                </c:pt>
                <c:pt idx="70">
                  <c:v>-122.07653220962803</c:v>
                </c:pt>
                <c:pt idx="71">
                  <c:v>-122.35265170611729</c:v>
                </c:pt>
                <c:pt idx="72">
                  <c:v>-122.54752595181286</c:v>
                </c:pt>
                <c:pt idx="73">
                  <c:v>-122.67612322999432</c:v>
                </c:pt>
                <c:pt idx="74">
                  <c:v>-122.75051762815779</c:v>
                </c:pt>
                <c:pt idx="75">
                  <c:v>-122.78051061724143</c:v>
                </c:pt>
                <c:pt idx="76">
                  <c:v>-122.77410565478745</c:v>
                </c:pt>
                <c:pt idx="77">
                  <c:v>-122.73787332847908</c:v>
                </c:pt>
                <c:pt idx="78">
                  <c:v>-122.67723444000427</c:v>
                </c:pt>
                <c:pt idx="79">
                  <c:v>-122.59668112655461</c:v>
                </c:pt>
                <c:pt idx="80">
                  <c:v>-122.499950846118</c:v>
                </c:pt>
                <c:pt idx="81">
                  <c:v>-122.39016423656436</c:v>
                </c:pt>
                <c:pt idx="82">
                  <c:v>-122.26993508238922</c:v>
                </c:pt>
                <c:pt idx="83">
                  <c:v>-122.14145859146493</c:v>
                </c:pt>
                <c:pt idx="84">
                  <c:v>-122.00658268777305</c:v>
                </c:pt>
                <c:pt idx="85">
                  <c:v>-121.86686591630615</c:v>
                </c:pt>
                <c:pt idx="86">
                  <c:v>-121.72362472747533</c:v>
                </c:pt>
                <c:pt idx="87">
                  <c:v>-121.57797228499368</c:v>
                </c:pt>
                <c:pt idx="88">
                  <c:v>-121.43085046912934</c:v>
                </c:pt>
                <c:pt idx="89">
                  <c:v>-121.28305638730458</c:v>
                </c:pt>
                <c:pt idx="90">
                  <c:v>-121.1352644277995</c:v>
                </c:pt>
                <c:pt idx="91">
                  <c:v>-120.98804467898553</c:v>
                </c:pt>
                <c:pt idx="92">
                  <c:v>-120.8418783707351</c:v>
                </c:pt>
                <c:pt idx="93">
                  <c:v>-120.69717086506229</c:v>
                </c:pt>
                <c:pt idx="94">
                  <c:v>-120.55426262117169</c:v>
                </c:pt>
                <c:pt idx="95">
                  <c:v>-120.41343847955999</c:v>
                </c:pt>
                <c:pt idx="96">
                  <c:v>-120.27493554582169</c:v>
                </c:pt>
                <c:pt idx="97">
                  <c:v>-120.1389499037043</c:v>
                </c:pt>
                <c:pt idx="98">
                  <c:v>-120.00564234594525</c:v>
                </c:pt>
                <c:pt idx="99">
                  <c:v>-119.87514327835723</c:v>
                </c:pt>
                <c:pt idx="100">
                  <c:v>-119.74755692585258</c:v>
                </c:pt>
                <c:pt idx="101">
                  <c:v>-119.62296494732179</c:v>
                </c:pt>
                <c:pt idx="102">
                  <c:v>-119.50142954849923</c:v>
                </c:pt>
                <c:pt idx="103">
                  <c:v>-119.38299616737332</c:v>
                </c:pt>
                <c:pt idx="104">
                  <c:v>-119.2676957947034</c:v>
                </c:pt>
                <c:pt idx="105">
                  <c:v>-119.15554698230019</c:v>
                </c:pt>
                <c:pt idx="106">
                  <c:v>-119.04655758352018</c:v>
                </c:pt>
                <c:pt idx="107">
                  <c:v>-118.94072626359791</c:v>
                </c:pt>
                <c:pt idx="108">
                  <c:v>-118.8380438117499</c:v>
                </c:pt>
                <c:pt idx="109">
                  <c:v>-118.73849428222242</c:v>
                </c:pt>
                <c:pt idx="110">
                  <c:v>-118.64205598745734</c:v>
                </c:pt>
                <c:pt idx="111">
                  <c:v>-118.54870236319171</c:v>
                </c:pt>
                <c:pt idx="112">
                  <c:v>-118.45840272246747</c:v>
                </c:pt>
                <c:pt idx="113">
                  <c:v>-118.37112291313005</c:v>
                </c:pt>
                <c:pt idx="114">
                  <c:v>-118.28682589135839</c:v>
                </c:pt>
                <c:pt idx="115">
                  <c:v>-118.20547222204057</c:v>
                </c:pt>
                <c:pt idx="116">
                  <c:v>-118.12702051533429</c:v>
                </c:pt>
                <c:pt idx="117">
                  <c:v>-118.05142780749371</c:v>
                </c:pt>
                <c:pt idx="118">
                  <c:v>-117.97864989296664</c:v>
                </c:pt>
                <c:pt idx="119">
                  <c:v>-117.90864161384256</c:v>
                </c:pt>
                <c:pt idx="120">
                  <c:v>-117.84135711193886</c:v>
                </c:pt>
                <c:pt idx="121">
                  <c:v>-117.77675004812856</c:v>
                </c:pt>
                <c:pt idx="122">
                  <c:v>-117.71477379292494</c:v>
                </c:pt>
                <c:pt idx="123">
                  <c:v>-117.65538159182731</c:v>
                </c:pt>
                <c:pt idx="124">
                  <c:v>-117.5985267084944</c:v>
                </c:pt>
                <c:pt idx="125">
                  <c:v>-117.5441625484269</c:v>
                </c:pt>
                <c:pt idx="126">
                  <c:v>-117.49224276551149</c:v>
                </c:pt>
                <c:pt idx="127">
                  <c:v>-117.44272135348878</c:v>
                </c:pt>
                <c:pt idx="128">
                  <c:v>-117.39555272415701</c:v>
                </c:pt>
                <c:pt idx="129">
                  <c:v>-117.3506917739047</c:v>
                </c:pt>
                <c:pt idx="130">
                  <c:v>-117.3080939399733</c:v>
                </c:pt>
                <c:pt idx="131">
                  <c:v>-117.26771524768438</c:v>
                </c:pt>
                <c:pt idx="132">
                  <c:v>-117.22951234971931</c:v>
                </c:pt>
                <c:pt idx="133">
                  <c:v>-117.19344255841118</c:v>
                </c:pt>
                <c:pt idx="134">
                  <c:v>-117.1594638718952</c:v>
                </c:pt>
                <c:pt idx="135">
                  <c:v>-117.12753499486665</c:v>
                </c:pt>
                <c:pt idx="136">
                  <c:v>-117.09761535460649</c:v>
                </c:pt>
                <c:pt idx="137">
                  <c:v>-117.06966511285974</c:v>
                </c:pt>
                <c:pt idx="138">
                  <c:v>-117.04364517408308</c:v>
                </c:pt>
                <c:pt idx="139">
                  <c:v>-117.01951719051927</c:v>
                </c:pt>
                <c:pt idx="140">
                  <c:v>-116.99724356450315</c:v>
                </c:pt>
                <c:pt idx="141">
                  <c:v>-116.97678744835808</c:v>
                </c:pt>
                <c:pt idx="142">
                  <c:v>-116.95811274219936</c:v>
                </c:pt>
                <c:pt idx="143">
                  <c:v>-116.94118408992658</c:v>
                </c:pt>
                <c:pt idx="144">
                  <c:v>-116.92596687365302</c:v>
                </c:pt>
                <c:pt idx="145">
                  <c:v>-116.91242720679318</c:v>
                </c:pt>
                <c:pt idx="146">
                  <c:v>-116.90053192600278</c:v>
                </c:pt>
                <c:pt idx="147">
                  <c:v>-116.89024858214485</c:v>
                </c:pt>
                <c:pt idx="148">
                  <c:v>-116.88154543043373</c:v>
                </c:pt>
                <c:pt idx="149">
                  <c:v>-116.87439141989297</c:v>
                </c:pt>
                <c:pt idx="150">
                  <c:v>-116.8687561822459</c:v>
                </c:pt>
                <c:pt idx="151">
                  <c:v>-116.86461002034468</c:v>
                </c:pt>
                <c:pt idx="152">
                  <c:v>-116.86192389623108</c:v>
                </c:pt>
                <c:pt idx="153">
                  <c:v>-116.86066941891045</c:v>
                </c:pt>
                <c:pt idx="154">
                  <c:v>-116.86081883191164</c:v>
                </c:pt>
                <c:pt idx="155">
                  <c:v>-116.86234500069614</c:v>
                </c:pt>
                <c:pt idx="156">
                  <c:v>-116.86522139997224</c:v>
                </c:pt>
                <c:pt idx="157">
                  <c:v>-116.86942210096281</c:v>
                </c:pt>
                <c:pt idx="158">
                  <c:v>-116.87492175866966</c:v>
                </c:pt>
                <c:pt idx="159">
                  <c:v>-116.88169559917149</c:v>
                </c:pt>
                <c:pt idx="160">
                  <c:v>-116.88971940698761</c:v>
                </c:pt>
                <c:pt idx="161">
                  <c:v>-116.89896951253553</c:v>
                </c:pt>
                <c:pt idx="162">
                  <c:v>-116.90942277970696</c:v>
                </c:pt>
                <c:pt idx="163">
                  <c:v>-116.92105659358151</c:v>
                </c:pt>
                <c:pt idx="164">
                  <c:v>-116.93384884829761</c:v>
                </c:pt>
                <c:pt idx="165">
                  <c:v>-116.947777935094</c:v>
                </c:pt>
                <c:pt idx="166">
                  <c:v>-116.96282273053531</c:v>
                </c:pt>
                <c:pt idx="167">
                  <c:v>-116.97896258493124</c:v>
                </c:pt>
                <c:pt idx="168">
                  <c:v>-116.9961773109588</c:v>
                </c:pt>
                <c:pt idx="169">
                  <c:v>-117.0144471724936</c:v>
                </c:pt>
                <c:pt idx="170">
                  <c:v>-117.03375287365594</c:v>
                </c:pt>
                <c:pt idx="171">
                  <c:v>-117.05407554807553</c:v>
                </c:pt>
                <c:pt idx="172">
                  <c:v>-117.07539674837815</c:v>
                </c:pt>
                <c:pt idx="173">
                  <c:v>-117.09769843589525</c:v>
                </c:pt>
                <c:pt idx="174">
                  <c:v>-117.1209629705986</c:v>
                </c:pt>
                <c:pt idx="175">
                  <c:v>-117.14517310125882</c:v>
                </c:pt>
                <c:pt idx="176">
                  <c:v>-117.17031195582868</c:v>
                </c:pt>
                <c:pt idx="177">
                  <c:v>-117.19636303204913</c:v>
                </c:pt>
                <c:pt idx="178">
                  <c:v>-117.22331018827667</c:v>
                </c:pt>
                <c:pt idx="179">
                  <c:v>-117.25113763453004</c:v>
                </c:pt>
                <c:pt idx="180">
                  <c:v>-117.27982992375414</c:v>
                </c:pt>
                <c:pt idx="181">
                  <c:v>-117.30937194329765</c:v>
                </c:pt>
                <c:pt idx="182">
                  <c:v>-117.33974890660208</c:v>
                </c:pt>
                <c:pt idx="183">
                  <c:v>-117.37094634509815</c:v>
                </c:pt>
                <c:pt idx="184">
                  <c:v>-117.40295010030698</c:v>
                </c:pt>
                <c:pt idx="185">
                  <c:v>-117.43574631614163</c:v>
                </c:pt>
                <c:pt idx="186">
                  <c:v>-117.46932143140553</c:v>
                </c:pt>
                <c:pt idx="187">
                  <c:v>-117.503662172484</c:v>
                </c:pt>
                <c:pt idx="188">
                  <c:v>-117.53875554622481</c:v>
                </c:pt>
                <c:pt idx="189">
                  <c:v>-117.57458883300357</c:v>
                </c:pt>
                <c:pt idx="190">
                  <c:v>-117.61114957997067</c:v>
                </c:pt>
                <c:pt idx="191">
                  <c:v>-117.64842559447423</c:v>
                </c:pt>
                <c:pt idx="192">
                  <c:v>-117.68640493765686</c:v>
                </c:pt>
                <c:pt idx="193">
                  <c:v>-117.72507591822053</c:v>
                </c:pt>
                <c:pt idx="194">
                  <c:v>-117.76442708635632</c:v>
                </c:pt>
                <c:pt idx="195">
                  <c:v>-117.8044472278352</c:v>
                </c:pt>
                <c:pt idx="196">
                  <c:v>-117.845125358255</c:v>
                </c:pt>
                <c:pt idx="197">
                  <c:v>-117.88645071744058</c:v>
                </c:pt>
                <c:pt idx="198">
                  <c:v>-117.9284127639927</c:v>
                </c:pt>
                <c:pt idx="199">
                  <c:v>-117.97100116998196</c:v>
                </c:pt>
                <c:pt idx="200">
                  <c:v>-118.01420581578412</c:v>
                </c:pt>
                <c:pt idx="201">
                  <c:v>-118.05801678505286</c:v>
                </c:pt>
                <c:pt idx="202">
                  <c:v>-118.10242435982644</c:v>
                </c:pt>
                <c:pt idx="203">
                  <c:v>-118.14741901576492</c:v>
                </c:pt>
                <c:pt idx="204">
                  <c:v>-118.19299141751405</c:v>
                </c:pt>
                <c:pt idx="205">
                  <c:v>-118.23913241419257</c:v>
                </c:pt>
                <c:pt idx="206">
                  <c:v>-118.2858330349996</c:v>
                </c:pt>
                <c:pt idx="207">
                  <c:v>-118.33308448493905</c:v>
                </c:pt>
                <c:pt idx="208">
                  <c:v>-118.38087814065709</c:v>
                </c:pt>
                <c:pt idx="209">
                  <c:v>-118.42920554639043</c:v>
                </c:pt>
                <c:pt idx="210">
                  <c:v>-118.47805841002213</c:v>
                </c:pt>
                <c:pt idx="211">
                  <c:v>-118.52742859924149</c:v>
                </c:pt>
                <c:pt idx="212">
                  <c:v>-118.57730813780533</c:v>
                </c:pt>
                <c:pt idx="213">
                  <c:v>-118.62768920189862</c:v>
                </c:pt>
                <c:pt idx="214">
                  <c:v>-118.67856411659017</c:v>
                </c:pt>
                <c:pt idx="215">
                  <c:v>-118.72992535238242</c:v>
                </c:pt>
                <c:pt idx="216">
                  <c:v>-118.78176552185097</c:v>
                </c:pt>
                <c:pt idx="217">
                  <c:v>-118.83407737637297</c:v>
                </c:pt>
                <c:pt idx="218">
                  <c:v>-118.88685380294039</c:v>
                </c:pt>
                <c:pt idx="219">
                  <c:v>-118.94008782105743</c:v>
                </c:pt>
                <c:pt idx="220">
                  <c:v>-118.99377257971756</c:v>
                </c:pt>
                <c:pt idx="221">
                  <c:v>-119.04790135446015</c:v>
                </c:pt>
                <c:pt idx="222">
                  <c:v>-119.10246754450327</c:v>
                </c:pt>
                <c:pt idx="223">
                  <c:v>-119.15746466995</c:v>
                </c:pt>
                <c:pt idx="224">
                  <c:v>-119.21288636906804</c:v>
                </c:pt>
                <c:pt idx="225">
                  <c:v>-119.26872639563827</c:v>
                </c:pt>
                <c:pt idx="226">
                  <c:v>-119.84883811694692</c:v>
                </c:pt>
                <c:pt idx="227">
                  <c:v>-120.46467791260974</c:v>
                </c:pt>
                <c:pt idx="228">
                  <c:v>-121.11155629168842</c:v>
                </c:pt>
                <c:pt idx="229">
                  <c:v>-121.78550466931114</c:v>
                </c:pt>
                <c:pt idx="230">
                  <c:v>-122.48314062915152</c:v>
                </c:pt>
                <c:pt idx="231">
                  <c:v>-123.20156171557863</c:v>
                </c:pt>
                <c:pt idx="232">
                  <c:v>-123.93826109707322</c:v>
                </c:pt>
                <c:pt idx="233">
                  <c:v>-124.69106011729473</c:v>
                </c:pt>
                <c:pt idx="234">
                  <c:v>-125.45805398106</c:v>
                </c:pt>
                <c:pt idx="235">
                  <c:v>-126.23756773044235</c:v>
                </c:pt>
                <c:pt idx="236">
                  <c:v>-127.02812033944983</c:v>
                </c:pt>
                <c:pt idx="237">
                  <c:v>-127.8283952579873</c:v>
                </c:pt>
                <c:pt idx="238">
                  <c:v>-128.63721611293818</c:v>
                </c:pt>
                <c:pt idx="239">
                  <c:v>-129.45352655928312</c:v>
                </c:pt>
                <c:pt idx="240">
                  <c:v>-130.27637349113076</c:v>
                </c:pt>
                <c:pt idx="241">
                  <c:v>-131.10489298875058</c:v>
                </c:pt>
                <c:pt idx="242">
                  <c:v>-131.93829850587349</c:v>
                </c:pt>
                <c:pt idx="243">
                  <c:v>-132.77587090099627</c:v>
                </c:pt>
                <c:pt idx="244">
                  <c:v>-133.61694999409806</c:v>
                </c:pt>
                <c:pt idx="245">
                  <c:v>-134.46092739119115</c:v>
                </c:pt>
                <c:pt idx="246">
                  <c:v>-135.30724036733253</c:v>
                </c:pt>
                <c:pt idx="247">
                  <c:v>-136.15536663702005</c:v>
                </c:pt>
                <c:pt idx="248">
                  <c:v>-137.00481987148461</c:v>
                </c:pt>
                <c:pt idx="249">
                  <c:v>-137.85514584695127</c:v>
                </c:pt>
                <c:pt idx="250">
                  <c:v>-138.70591912775942</c:v>
                </c:pt>
                <c:pt idx="251">
                  <c:v>-139.55674020430027</c:v>
                </c:pt>
                <c:pt idx="252">
                  <c:v>-140.40723301882321</c:v>
                </c:pt>
                <c:pt idx="253">
                  <c:v>-141.25704282287637</c:v>
                </c:pt>
                <c:pt idx="254">
                  <c:v>-142.10583431895452</c:v>
                </c:pt>
                <c:pt idx="255">
                  <c:v>-142.9532900462026</c:v>
                </c:pt>
                <c:pt idx="256">
                  <c:v>-143.79910897605384</c:v>
                </c:pt>
                <c:pt idx="257">
                  <c:v>-144.64300528870561</c:v>
                </c:pt>
                <c:pt idx="258">
                  <c:v>-145.48470730553748</c:v>
                </c:pt>
                <c:pt idx="259">
                  <c:v>-146.32395655610438</c:v>
                </c:pt>
                <c:pt idx="260">
                  <c:v>-147.16050696131262</c:v>
                </c:pt>
                <c:pt idx="261">
                  <c:v>-147.99412411690614</c:v>
                </c:pt>
                <c:pt idx="262">
                  <c:v>-148.82458466353219</c:v>
                </c:pt>
                <c:pt idx="263">
                  <c:v>-149.6516757314817</c:v>
                </c:pt>
                <c:pt idx="264">
                  <c:v>-150.47519444976908</c:v>
                </c:pt>
                <c:pt idx="265">
                  <c:v>-151.29494751055782</c:v>
                </c:pt>
                <c:pt idx="266">
                  <c:v>-152.11075078110744</c:v>
                </c:pt>
                <c:pt idx="267">
                  <c:v>-152.92242895641951</c:v>
                </c:pt>
                <c:pt idx="268">
                  <c:v>-153.72981524663871</c:v>
                </c:pt>
                <c:pt idx="269">
                  <c:v>-154.53275109402938</c:v>
                </c:pt>
                <c:pt idx="270">
                  <c:v>-155.33108591501423</c:v>
                </c:pt>
                <c:pt idx="271">
                  <c:v>-156.12467686334983</c:v>
                </c:pt>
                <c:pt idx="272">
                  <c:v>-156.91338861102855</c:v>
                </c:pt>
                <c:pt idx="273">
                  <c:v>-157.69709314395055</c:v>
                </c:pt>
                <c:pt idx="274">
                  <c:v>-158.47566956981001</c:v>
                </c:pt>
                <c:pt idx="275">
                  <c:v>-159.24900393599634</c:v>
                </c:pt>
                <c:pt idx="276">
                  <c:v>-160.01698905562176</c:v>
                </c:pt>
                <c:pt idx="277">
                  <c:v>-160.7795243400669</c:v>
                </c:pt>
                <c:pt idx="278">
                  <c:v>-161.5365156366808</c:v>
                </c:pt>
                <c:pt idx="279">
                  <c:v>-162.28787507048872</c:v>
                </c:pt>
                <c:pt idx="280">
                  <c:v>-163.03352088895554</c:v>
                </c:pt>
                <c:pt idx="281">
                  <c:v>-163.77337730901948</c:v>
                </c:pt>
                <c:pt idx="282">
                  <c:v>-164.50737436576338</c:v>
                </c:pt>
                <c:pt idx="283">
                  <c:v>-165.2354477622205</c:v>
                </c:pt>
                <c:pt idx="284">
                  <c:v>-165.95753871992665</c:v>
                </c:pt>
                <c:pt idx="285">
                  <c:v>-166.67359382993317</c:v>
                </c:pt>
                <c:pt idx="286">
                  <c:v>-167.38356490407892</c:v>
                </c:pt>
                <c:pt idx="287">
                  <c:v>-168.08740882639759</c:v>
                </c:pt>
                <c:pt idx="288">
                  <c:v>-168.78508740459964</c:v>
                </c:pt>
                <c:pt idx="289">
                  <c:v>-169.47656722162159</c:v>
                </c:pt>
                <c:pt idx="290">
                  <c:v>-170.1618194872843</c:v>
                </c:pt>
                <c:pt idx="291">
                  <c:v>-170.840819890136</c:v>
                </c:pt>
                <c:pt idx="292">
                  <c:v>-171.51354844958928</c:v>
                </c:pt>
                <c:pt idx="293">
                  <c:v>-172.1799893684848</c:v>
                </c:pt>
                <c:pt idx="294">
                  <c:v>-172.84013088623348</c:v>
                </c:pt>
                <c:pt idx="295">
                  <c:v>-173.4939651327027</c:v>
                </c:pt>
                <c:pt idx="296">
                  <c:v>-174.14148798302207</c:v>
                </c:pt>
                <c:pt idx="297">
                  <c:v>-174.78269891348896</c:v>
                </c:pt>
                <c:pt idx="298">
                  <c:v>-175.41760085875788</c:v>
                </c:pt>
                <c:pt idx="299">
                  <c:v>-176.04620007049553</c:v>
                </c:pt>
                <c:pt idx="300">
                  <c:v>-176.66850597768143</c:v>
                </c:pt>
                <c:pt idx="301">
                  <c:v>-177.28453104872858</c:v>
                </c:pt>
                <c:pt idx="302">
                  <c:v>-177.89429065559136</c:v>
                </c:pt>
                <c:pt idx="303">
                  <c:v>-178.49780294001997</c:v>
                </c:pt>
                <c:pt idx="304">
                  <c:v>-179.09508868211105</c:v>
                </c:pt>
                <c:pt idx="305">
                  <c:v>-179.6861711712933</c:v>
                </c:pt>
                <c:pt idx="306">
                  <c:v>-180.27107607987693</c:v>
                </c:pt>
                <c:pt idx="307">
                  <c:v>-180.84983133928279</c:v>
                </c:pt>
                <c:pt idx="308">
                  <c:v>-181.42246701905614</c:v>
                </c:pt>
                <c:pt idx="309">
                  <c:v>-181.98901520875825</c:v>
                </c:pt>
                <c:pt idx="310">
                  <c:v>-182.54950990281594</c:v>
                </c:pt>
                <c:pt idx="311">
                  <c:v>-183.10398688839857</c:v>
                </c:pt>
                <c:pt idx="312">
                  <c:v>-183.6524836363796</c:v>
                </c:pt>
                <c:pt idx="313">
                  <c:v>-184.19503919542913</c:v>
                </c:pt>
                <c:pt idx="314">
                  <c:v>-184.73169408927185</c:v>
                </c:pt>
                <c:pt idx="315">
                  <c:v>-185.26249021713642</c:v>
                </c:pt>
                <c:pt idx="316">
                  <c:v>-185.78747075740981</c:v>
                </c:pt>
                <c:pt idx="317">
                  <c:v>-186.30668007450242</c:v>
                </c:pt>
                <c:pt idx="318">
                  <c:v>-186.82016362892082</c:v>
                </c:pt>
                <c:pt idx="319">
                  <c:v>-187.32796789053546</c:v>
                </c:pt>
                <c:pt idx="320">
                  <c:v>-187.83014025502419</c:v>
                </c:pt>
                <c:pt idx="321">
                  <c:v>-188.32672896346472</c:v>
                </c:pt>
                <c:pt idx="322">
                  <c:v>-188.81778302504304</c:v>
                </c:pt>
                <c:pt idx="323">
                  <c:v>-189.30335214283718</c:v>
                </c:pt>
                <c:pt idx="324">
                  <c:v>-189.78348664263316</c:v>
                </c:pt>
                <c:pt idx="325">
                  <c:v>-190.25823740472211</c:v>
                </c:pt>
                <c:pt idx="326">
                  <c:v>-190.72765579862499</c:v>
                </c:pt>
                <c:pt idx="327">
                  <c:v>-191.19179362068692</c:v>
                </c:pt>
                <c:pt idx="328">
                  <c:v>-191.65070303447982</c:v>
                </c:pt>
                <c:pt idx="329">
                  <c:v>-192.10443651394874</c:v>
                </c:pt>
                <c:pt idx="330">
                  <c:v>-192.55304678923542</c:v>
                </c:pt>
                <c:pt idx="331">
                  <c:v>-192.99658679511063</c:v>
                </c:pt>
                <c:pt idx="332">
                  <c:v>-193.43510962194381</c:v>
                </c:pt>
                <c:pt idx="333">
                  <c:v>-193.86866846913946</c:v>
                </c:pt>
                <c:pt idx="334">
                  <c:v>-194.29731660096652</c:v>
                </c:pt>
                <c:pt idx="335">
                  <c:v>-194.72110730470769</c:v>
                </c:pt>
                <c:pt idx="336">
                  <c:v>-195.1400938510553</c:v>
                </c:pt>
                <c:pt idx="337">
                  <c:v>-195.55432945667908</c:v>
                </c:pt>
                <c:pt idx="338">
                  <c:v>-195.96386724889277</c:v>
                </c:pt>
                <c:pt idx="339">
                  <c:v>-196.36876023234569</c:v>
                </c:pt>
                <c:pt idx="340">
                  <c:v>-196.76906125766709</c:v>
                </c:pt>
                <c:pt idx="341">
                  <c:v>-197.16482299199021</c:v>
                </c:pt>
                <c:pt idx="342">
                  <c:v>-197.55609789128576</c:v>
                </c:pt>
                <c:pt idx="343">
                  <c:v>-197.94293817443497</c:v>
                </c:pt>
                <c:pt idx="344">
                  <c:v>-198.32539579897181</c:v>
                </c:pt>
                <c:pt idx="345">
                  <c:v>-198.70352243842819</c:v>
                </c:pt>
                <c:pt idx="346">
                  <c:v>-199.07736946121534</c:v>
                </c:pt>
                <c:pt idx="347">
                  <c:v>-199.44698791097625</c:v>
                </c:pt>
                <c:pt idx="348">
                  <c:v>-199.81242848834663</c:v>
                </c:pt>
                <c:pt idx="349">
                  <c:v>-200.17374153406189</c:v>
                </c:pt>
                <c:pt idx="350">
                  <c:v>-200.53097701335054</c:v>
                </c:pt>
                <c:pt idx="351">
                  <c:v>-200.88418450155575</c:v>
                </c:pt>
                <c:pt idx="352">
                  <c:v>-201.23341317092792</c:v>
                </c:pt>
                <c:pt idx="353">
                  <c:v>-201.57871177853349</c:v>
                </c:pt>
                <c:pt idx="354">
                  <c:v>-201.92012865522724</c:v>
                </c:pt>
                <c:pt idx="355">
                  <c:v>-202.25771169563529</c:v>
                </c:pt>
                <c:pt idx="356">
                  <c:v>-202.59150834910062</c:v>
                </c:pt>
                <c:pt idx="357">
                  <c:v>-202.92156561154158</c:v>
                </c:pt>
                <c:pt idx="358">
                  <c:v>-203.24793001817775</c:v>
                </c:pt>
                <c:pt idx="359">
                  <c:v>-203.57064763707854</c:v>
                </c:pt>
                <c:pt idx="360">
                  <c:v>-203.88976406349079</c:v>
                </c:pt>
                <c:pt idx="361">
                  <c:v>-204.20532441490465</c:v>
                </c:pt>
                <c:pt idx="362">
                  <c:v>-204.51737332681773</c:v>
                </c:pt>
                <c:pt idx="363">
                  <c:v>-204.82595494915881</c:v>
                </c:pt>
                <c:pt idx="364">
                  <c:v>-205.13111294333527</c:v>
                </c:pt>
                <c:pt idx="365">
                  <c:v>-205.43289047986821</c:v>
                </c:pt>
                <c:pt idx="366">
                  <c:v>-205.7313302365821</c:v>
                </c:pt>
                <c:pt idx="367">
                  <c:v>-206.02647439731624</c:v>
                </c:pt>
                <c:pt idx="368">
                  <c:v>-206.31836465112767</c:v>
                </c:pt>
                <c:pt idx="369">
                  <c:v>-206.60704219195506</c:v>
                </c:pt>
                <c:pt idx="370">
                  <c:v>-206.89254771871651</c:v>
                </c:pt>
                <c:pt idx="371">
                  <c:v>-207.17492143581333</c:v>
                </c:pt>
                <c:pt idx="372">
                  <c:v>-207.4542030540141</c:v>
                </c:pt>
                <c:pt idx="373">
                  <c:v>-207.73043179169542</c:v>
                </c:pt>
                <c:pt idx="374">
                  <c:v>-208.00364637641459</c:v>
                </c:pt>
                <c:pt idx="375">
                  <c:v>-208.27388504679274</c:v>
                </c:pt>
                <c:pt idx="376">
                  <c:v>-208.54118555468716</c:v>
                </c:pt>
                <c:pt idx="377">
                  <c:v>-208.80558516763205</c:v>
                </c:pt>
                <c:pt idx="378">
                  <c:v>-209.06712067152912</c:v>
                </c:pt>
                <c:pt idx="379">
                  <c:v>-209.32582837356961</c:v>
                </c:pt>
                <c:pt idx="380">
                  <c:v>-209.58174410536964</c:v>
                </c:pt>
                <c:pt idx="381">
                  <c:v>-209.83490322630379</c:v>
                </c:pt>
                <c:pt idx="382">
                  <c:v>-210.08534062701989</c:v>
                </c:pt>
                <c:pt idx="383">
                  <c:v>-210.33309073312128</c:v>
                </c:pt>
                <c:pt idx="384">
                  <c:v>-210.57818750900159</c:v>
                </c:pt>
                <c:pt idx="385">
                  <c:v>-210.82066446181955</c:v>
                </c:pt>
                <c:pt idx="386">
                  <c:v>-211.06055464560052</c:v>
                </c:pt>
                <c:pt idx="387">
                  <c:v>-211.29789066545339</c:v>
                </c:pt>
                <c:pt idx="388">
                  <c:v>-211.53270468189137</c:v>
                </c:pt>
                <c:pt idx="389">
                  <c:v>-211.76502841524561</c:v>
                </c:pt>
                <c:pt idx="390">
                  <c:v>-211.99489315016268</c:v>
                </c:pt>
                <c:pt idx="391">
                  <c:v>-212.22232974017504</c:v>
                </c:pt>
                <c:pt idx="392">
                  <c:v>-212.44736861233685</c:v>
                </c:pt>
                <c:pt idx="393">
                  <c:v>-212.67003977191558</c:v>
                </c:pt>
                <c:pt idx="394">
                  <c:v>-212.89037280713274</c:v>
                </c:pt>
                <c:pt idx="395">
                  <c:v>-213.10839689394453</c:v>
                </c:pt>
                <c:pt idx="396">
                  <c:v>-213.32414080085758</c:v>
                </c:pt>
                <c:pt idx="397">
                  <c:v>-213.53763289377125</c:v>
                </c:pt>
                <c:pt idx="398">
                  <c:v>-213.74890114084113</c:v>
                </c:pt>
                <c:pt idx="399">
                  <c:v>-213.95797311735814</c:v>
                </c:pt>
                <c:pt idx="400">
                  <c:v>-214.16487601063764</c:v>
                </c:pt>
                <c:pt idx="401">
                  <c:v>-214.36963662491297</c:v>
                </c:pt>
                <c:pt idx="402">
                  <c:v>-214.57228138622918</c:v>
                </c:pt>
                <c:pt idx="403">
                  <c:v>-214.77283634733291</c:v>
                </c:pt>
                <c:pt idx="404">
                  <c:v>-214.97132719255271</c:v>
                </c:pt>
                <c:pt idx="405">
                  <c:v>-215.16777924266796</c:v>
                </c:pt>
                <c:pt idx="406">
                  <c:v>-215.36221745976141</c:v>
                </c:pt>
                <c:pt idx="407">
                  <c:v>-215.55466645205229</c:v>
                </c:pt>
                <c:pt idx="408">
                  <c:v>-215.74515047870702</c:v>
                </c:pt>
                <c:pt idx="409">
                  <c:v>-215.93369345462506</c:v>
                </c:pt>
                <c:pt idx="410">
                  <c:v>-216.1203189551959</c:v>
                </c:pt>
                <c:pt idx="411">
                  <c:v>-216.30505022102685</c:v>
                </c:pt>
                <c:pt idx="412">
                  <c:v>-216.48791016263684</c:v>
                </c:pt>
                <c:pt idx="413">
                  <c:v>-216.66892136511669</c:v>
                </c:pt>
                <c:pt idx="414">
                  <c:v>-216.84810609275169</c:v>
                </c:pt>
                <c:pt idx="415">
                  <c:v>-217.02548629360649</c:v>
                </c:pt>
                <c:pt idx="416">
                  <c:v>-217.20108360406957</c:v>
                </c:pt>
                <c:pt idx="417">
                  <c:v>-217.37491935335655</c:v>
                </c:pt>
                <c:pt idx="418">
                  <c:v>-217.54701456797076</c:v>
                </c:pt>
                <c:pt idx="419">
                  <c:v>-217.71738997611939</c:v>
                </c:pt>
                <c:pt idx="420">
                  <c:v>-217.88606601208537</c:v>
                </c:pt>
                <c:pt idx="421">
                  <c:v>-218.05306282055267</c:v>
                </c:pt>
                <c:pt idx="422">
                  <c:v>-218.21840026088549</c:v>
                </c:pt>
                <c:pt idx="423">
                  <c:v>-218.38209791135927</c:v>
                </c:pt>
                <c:pt idx="424">
                  <c:v>-218.54417507334404</c:v>
                </c:pt>
                <c:pt idx="425">
                  <c:v>-218.70465077543895</c:v>
                </c:pt>
                <c:pt idx="426">
                  <c:v>-218.86354377755748</c:v>
                </c:pt>
                <c:pt idx="427">
                  <c:v>-219.02087257496333</c:v>
                </c:pt>
                <c:pt idx="428">
                  <c:v>-219.17665540225647</c:v>
                </c:pt>
                <c:pt idx="429">
                  <c:v>-219.33091023730879</c:v>
                </c:pt>
                <c:pt idx="430">
                  <c:v>-219.48365480514977</c:v>
                </c:pt>
                <c:pt idx="431">
                  <c:v>-219.63490658180157</c:v>
                </c:pt>
                <c:pt idx="432">
                  <c:v>-219.78468279806381</c:v>
                </c:pt>
                <c:pt idx="433">
                  <c:v>-219.93300044324781</c:v>
                </c:pt>
                <c:pt idx="434">
                  <c:v>-220.07987626886015</c:v>
                </c:pt>
                <c:pt idx="435">
                  <c:v>-220.22532679223639</c:v>
                </c:pt>
                <c:pt idx="436">
                  <c:v>-220.36936830012399</c:v>
                </c:pt>
                <c:pt idx="437">
                  <c:v>-220.51201685221565</c:v>
                </c:pt>
                <c:pt idx="438">
                  <c:v>-220.65328828463254</c:v>
                </c:pt>
                <c:pt idx="439">
                  <c:v>-220.79319821335784</c:v>
                </c:pt>
                <c:pt idx="440">
                  <c:v>-220.93176203762118</c:v>
                </c:pt>
                <c:pt idx="441">
                  <c:v>-221.06899494323397</c:v>
                </c:pt>
                <c:pt idx="442">
                  <c:v>-221.20491190587543</c:v>
                </c:pt>
                <c:pt idx="443">
                  <c:v>-221.33952769433145</c:v>
                </c:pt>
                <c:pt idx="444">
                  <c:v>-221.47285687368418</c:v>
                </c:pt>
                <c:pt idx="445">
                  <c:v>-221.6049138084546</c:v>
                </c:pt>
                <c:pt idx="446">
                  <c:v>-221.735712665698</c:v>
                </c:pt>
                <c:pt idx="447">
                  <c:v>-221.86526741805233</c:v>
                </c:pt>
                <c:pt idx="448">
                  <c:v>-221.99359184674034</c:v>
                </c:pt>
                <c:pt idx="449">
                  <c:v>-222.12069954452605</c:v>
                </c:pt>
                <c:pt idx="450">
                  <c:v>-222.2466039186252</c:v>
                </c:pt>
                <c:pt idx="451">
                  <c:v>-222.37131819357171</c:v>
                </c:pt>
                <c:pt idx="452">
                  <c:v>-222.49485541403882</c:v>
                </c:pt>
                <c:pt idx="453">
                  <c:v>-222.61722844761658</c:v>
                </c:pt>
                <c:pt idx="454">
                  <c:v>-222.73844998754623</c:v>
                </c:pt>
                <c:pt idx="455">
                  <c:v>-222.85853255541116</c:v>
                </c:pt>
                <c:pt idx="456">
                  <c:v>-222.97748850378557</c:v>
                </c:pt>
                <c:pt idx="457">
                  <c:v>-223.09533001884188</c:v>
                </c:pt>
                <c:pt idx="458">
                  <c:v>-223.21206912291561</c:v>
                </c:pt>
                <c:pt idx="459">
                  <c:v>-223.32771767703062</c:v>
                </c:pt>
                <c:pt idx="460">
                  <c:v>-223.44228738338325</c:v>
                </c:pt>
                <c:pt idx="461">
                  <c:v>-223.55578978778709</c:v>
                </c:pt>
                <c:pt idx="462">
                  <c:v>-223.66823628207854</c:v>
                </c:pt>
                <c:pt idx="463">
                  <c:v>-223.77963810648345</c:v>
                </c:pt>
                <c:pt idx="464">
                  <c:v>-223.89000635194597</c:v>
                </c:pt>
                <c:pt idx="465">
                  <c:v>-223.9993519624193</c:v>
                </c:pt>
                <c:pt idx="466">
                  <c:v>-224.10768573712005</c:v>
                </c:pt>
                <c:pt idx="467">
                  <c:v>-224.21501833274542</c:v>
                </c:pt>
                <c:pt idx="468">
                  <c:v>-224.3213602656547</c:v>
                </c:pt>
                <c:pt idx="469">
                  <c:v>-224.42672191401527</c:v>
                </c:pt>
                <c:pt idx="470">
                  <c:v>-224.53111351991367</c:v>
                </c:pt>
                <c:pt idx="471">
                  <c:v>-224.63454519143204</c:v>
                </c:pt>
                <c:pt idx="472">
                  <c:v>-224.73702690469105</c:v>
                </c:pt>
                <c:pt idx="473">
                  <c:v>-224.83856850585894</c:v>
                </c:pt>
                <c:pt idx="474">
                  <c:v>-224.93917971312806</c:v>
                </c:pt>
                <c:pt idx="475">
                  <c:v>-225.03887011865899</c:v>
                </c:pt>
                <c:pt idx="476">
                  <c:v>-225.13764919049265</c:v>
                </c:pt>
                <c:pt idx="477">
                  <c:v>-225.23552627443112</c:v>
                </c:pt>
                <c:pt idx="478">
                  <c:v>-225.3325105958877</c:v>
                </c:pt>
                <c:pt idx="479">
                  <c:v>-225.42861126170624</c:v>
                </c:pt>
                <c:pt idx="480">
                  <c:v>-225.52383726195112</c:v>
                </c:pt>
                <c:pt idx="481">
                  <c:v>-225.6181974716672</c:v>
                </c:pt>
                <c:pt idx="482">
                  <c:v>-225.71170065261134</c:v>
                </c:pt>
                <c:pt idx="483">
                  <c:v>-225.80435545495521</c:v>
                </c:pt>
                <c:pt idx="484">
                  <c:v>-225.89617041895997</c:v>
                </c:pt>
                <c:pt idx="485">
                  <c:v>-225.98715397662355</c:v>
                </c:pt>
                <c:pt idx="486">
                  <c:v>-226.07731445330108</c:v>
                </c:pt>
                <c:pt idx="487">
                  <c:v>-226.16666006929793</c:v>
                </c:pt>
                <c:pt idx="488">
                  <c:v>-226.25519894143727</c:v>
                </c:pt>
                <c:pt idx="489">
                  <c:v>-226.34293908460154</c:v>
                </c:pt>
                <c:pt idx="490">
                  <c:v>-226.42988841324848</c:v>
                </c:pt>
                <c:pt idx="491">
                  <c:v>-226.5160547429025</c:v>
                </c:pt>
                <c:pt idx="492">
                  <c:v>-226.60144579162113</c:v>
                </c:pt>
                <c:pt idx="493">
                  <c:v>-226.68606918143772</c:v>
                </c:pt>
                <c:pt idx="494">
                  <c:v>-226.76993243978032</c:v>
                </c:pt>
                <c:pt idx="495">
                  <c:v>-226.8530430008673</c:v>
                </c:pt>
                <c:pt idx="496">
                  <c:v>-226.93540820707992</c:v>
                </c:pt>
                <c:pt idx="497">
                  <c:v>-227.01703531031234</c:v>
                </c:pt>
                <c:pt idx="498">
                  <c:v>-227.09793147330015</c:v>
                </c:pt>
                <c:pt idx="499">
                  <c:v>-227.17810377092596</c:v>
                </c:pt>
                <c:pt idx="500">
                  <c:v>-227.2575591915047</c:v>
                </c:pt>
                <c:pt idx="501">
                  <c:v>-227.33630463804724</c:v>
                </c:pt>
                <c:pt idx="502">
                  <c:v>-227.41434692950364</c:v>
                </c:pt>
                <c:pt idx="503">
                  <c:v>-227.49169280198606</c:v>
                </c:pt>
                <c:pt idx="504">
                  <c:v>-227.56834890997146</c:v>
                </c:pt>
                <c:pt idx="505">
                  <c:v>-227.64432182748507</c:v>
                </c:pt>
                <c:pt idx="506">
                  <c:v>-227.71961804926414</c:v>
                </c:pt>
                <c:pt idx="507">
                  <c:v>-227.79424399190302</c:v>
                </c:pt>
                <c:pt idx="508">
                  <c:v>-227.86820599497986</c:v>
                </c:pt>
                <c:pt idx="509">
                  <c:v>-227.94151032216413</c:v>
                </c:pt>
                <c:pt idx="510">
                  <c:v>-228.01416316230717</c:v>
                </c:pt>
                <c:pt idx="511">
                  <c:v>-228.08617063051429</c:v>
                </c:pt>
                <c:pt idx="512">
                  <c:v>-228.15753876920013</c:v>
                </c:pt>
                <c:pt idx="513">
                  <c:v>-228.22827354912621</c:v>
                </c:pt>
                <c:pt idx="514">
                  <c:v>-228.29838087042231</c:v>
                </c:pt>
                <c:pt idx="515">
                  <c:v>-228.36786656359124</c:v>
                </c:pt>
                <c:pt idx="516">
                  <c:v>-228.436736390497</c:v>
                </c:pt>
                <c:pt idx="517">
                  <c:v>-228.50499604533761</c:v>
                </c:pt>
                <c:pt idx="518">
                  <c:v>-228.57265115560185</c:v>
                </c:pt>
                <c:pt idx="519">
                  <c:v>-228.63970728301081</c:v>
                </c:pt>
                <c:pt idx="520">
                  <c:v>-228.70616992444423</c:v>
                </c:pt>
                <c:pt idx="521">
                  <c:v>-228.77204451285192</c:v>
                </c:pt>
                <c:pt idx="522">
                  <c:v>-228.83733641815112</c:v>
                </c:pt>
                <c:pt idx="523">
                  <c:v>-228.90205094810852</c:v>
                </c:pt>
                <c:pt idx="524">
                  <c:v>-228.96619334920922</c:v>
                </c:pt>
                <c:pt idx="525">
                  <c:v>-229.02976880751106</c:v>
                </c:pt>
                <c:pt idx="526">
                  <c:v>-229.0927824494859</c:v>
                </c:pt>
                <c:pt idx="527">
                  <c:v>-229.15523934284704</c:v>
                </c:pt>
                <c:pt idx="528">
                  <c:v>-229.21714449736388</c:v>
                </c:pt>
                <c:pt idx="529">
                  <c:v>-229.27850286566337</c:v>
                </c:pt>
                <c:pt idx="530">
                  <c:v>-229.33931934401923</c:v>
                </c:pt>
                <c:pt idx="531">
                  <c:v>-229.39959877312791</c:v>
                </c:pt>
                <c:pt idx="532">
                  <c:v>-229.45934593887287</c:v>
                </c:pt>
                <c:pt idx="533">
                  <c:v>-229.51856557307713</c:v>
                </c:pt>
                <c:pt idx="534">
                  <c:v>-229.57726235424272</c:v>
                </c:pt>
                <c:pt idx="535">
                  <c:v>-229.63544090828017</c:v>
                </c:pt>
                <c:pt idx="536">
                  <c:v>-229.69310580922496</c:v>
                </c:pt>
                <c:pt idx="537">
                  <c:v>-229.75026157994387</c:v>
                </c:pt>
                <c:pt idx="538">
                  <c:v>-229.80691269282977</c:v>
                </c:pt>
                <c:pt idx="539">
                  <c:v>-229.86306357048574</c:v>
                </c:pt>
                <c:pt idx="540">
                  <c:v>-229.91871858639831</c:v>
                </c:pt>
                <c:pt idx="541">
                  <c:v>-229.97388206560018</c:v>
                </c:pt>
                <c:pt idx="542">
                  <c:v>-230.02855828532338</c:v>
                </c:pt>
                <c:pt idx="543">
                  <c:v>-230.08275147564098</c:v>
                </c:pt>
                <c:pt idx="544">
                  <c:v>-230.13646582010006</c:v>
                </c:pt>
                <c:pt idx="545">
                  <c:v>-230.1897054563442</c:v>
                </c:pt>
                <c:pt idx="546">
                  <c:v>-230.24247447672664</c:v>
                </c:pt>
                <c:pt idx="547">
                  <c:v>-230.29477692891368</c:v>
                </c:pt>
                <c:pt idx="548">
                  <c:v>-230.34661681647944</c:v>
                </c:pt>
                <c:pt idx="549">
                  <c:v>-230.39799809949048</c:v>
                </c:pt>
                <c:pt idx="550">
                  <c:v>-230.44892469508244</c:v>
                </c:pt>
                <c:pt idx="551">
                  <c:v>-230.49940047802721</c:v>
                </c:pt>
                <c:pt idx="552">
                  <c:v>-230.54942928129162</c:v>
                </c:pt>
                <c:pt idx="553">
                  <c:v>-230.59901489658751</c:v>
                </c:pt>
                <c:pt idx="554">
                  <c:v>-230.64816107491399</c:v>
                </c:pt>
                <c:pt idx="555">
                  <c:v>-230.69687152709028</c:v>
                </c:pt>
                <c:pt idx="556">
                  <c:v>-230.74514992428161</c:v>
                </c:pt>
                <c:pt idx="557">
                  <c:v>-230.7929998985164</c:v>
                </c:pt>
                <c:pt idx="558">
                  <c:v>-230.84042504319612</c:v>
                </c:pt>
                <c:pt idx="559">
                  <c:v>-230.88742891359701</c:v>
                </c:pt>
                <c:pt idx="560">
                  <c:v>-230.9340150273645</c:v>
                </c:pt>
                <c:pt idx="561">
                  <c:v>-230.98018686500026</c:v>
                </c:pt>
                <c:pt idx="562">
                  <c:v>-231.02594787034147</c:v>
                </c:pt>
                <c:pt idx="563">
                  <c:v>-231.07130145103341</c:v>
                </c:pt>
                <c:pt idx="564">
                  <c:v>-231.1162509789948</c:v>
                </c:pt>
                <c:pt idx="565">
                  <c:v>-231.16079979087596</c:v>
                </c:pt>
                <c:pt idx="566">
                  <c:v>-231.20495118851053</c:v>
                </c:pt>
                <c:pt idx="567">
                  <c:v>-231.24870843936023</c:v>
                </c:pt>
                <c:pt idx="568">
                  <c:v>-231.29207477695275</c:v>
                </c:pt>
                <c:pt idx="569">
                  <c:v>-231.33505340131381</c:v>
                </c:pt>
                <c:pt idx="570">
                  <c:v>-231.37764747939215</c:v>
                </c:pt>
                <c:pt idx="571">
                  <c:v>-231.41986014547862</c:v>
                </c:pt>
                <c:pt idx="572">
                  <c:v>-231.46169450161887</c:v>
                </c:pt>
                <c:pt idx="573">
                  <c:v>-231.50315361802012</c:v>
                </c:pt>
                <c:pt idx="574">
                  <c:v>-231.54424053345195</c:v>
                </c:pt>
                <c:pt idx="575">
                  <c:v>-231.58495825564091</c:v>
                </c:pt>
                <c:pt idx="576">
                  <c:v>-231.62530976165988</c:v>
                </c:pt>
                <c:pt idx="577">
                  <c:v>-231.66529799831116</c:v>
                </c:pt>
                <c:pt idx="578">
                  <c:v>-231.70492588250431</c:v>
                </c:pt>
                <c:pt idx="579">
                  <c:v>-231.74419630162845</c:v>
                </c:pt>
                <c:pt idx="580">
                  <c:v>-231.783112113919</c:v>
                </c:pt>
                <c:pt idx="581">
                  <c:v>-231.82167614881934</c:v>
                </c:pt>
                <c:pt idx="582">
                  <c:v>-231.8598912073368</c:v>
                </c:pt>
                <c:pt idx="583">
                  <c:v>-231.89776006239398</c:v>
                </c:pt>
                <c:pt idx="584">
                  <c:v>-231.93528545917482</c:v>
                </c:pt>
                <c:pt idx="585">
                  <c:v>-231.97247011546557</c:v>
                </c:pt>
                <c:pt idx="586">
                  <c:v>-232.00931672199084</c:v>
                </c:pt>
                <c:pt idx="587">
                  <c:v>-232.04582794274495</c:v>
                </c:pt>
                <c:pt idx="588">
                  <c:v>-232.08200641531866</c:v>
                </c:pt>
                <c:pt idx="589">
                  <c:v>-232.11785475122096</c:v>
                </c:pt>
                <c:pt idx="590">
                  <c:v>-232.15337553619619</c:v>
                </c:pt>
                <c:pt idx="591">
                  <c:v>-232.18857133053697</c:v>
                </c:pt>
                <c:pt idx="592">
                  <c:v>-232.22344466939268</c:v>
                </c:pt>
                <c:pt idx="593">
                  <c:v>-232.25799806307313</c:v>
                </c:pt>
                <c:pt idx="594">
                  <c:v>-232.29223399734812</c:v>
                </c:pt>
                <c:pt idx="595">
                  <c:v>-232.32615493374328</c:v>
                </c:pt>
                <c:pt idx="596">
                  <c:v>-232.35976330983073</c:v>
                </c:pt>
                <c:pt idx="597">
                  <c:v>-232.39306153951659</c:v>
                </c:pt>
                <c:pt idx="598">
                  <c:v>-232.42605201332398</c:v>
                </c:pt>
                <c:pt idx="599">
                  <c:v>-232.45873709867195</c:v>
                </c:pt>
                <c:pt idx="600">
                  <c:v>-232.49111914015083</c:v>
                </c:pt>
                <c:pt idx="601">
                  <c:v>-232.52320045979349</c:v>
                </c:pt>
                <c:pt idx="602">
                  <c:v>-232.55498335734296</c:v>
                </c:pt>
                <c:pt idx="603">
                  <c:v>-232.58647011051619</c:v>
                </c:pt>
                <c:pt idx="604">
                  <c:v>-232.61766297526412</c:v>
                </c:pt>
                <c:pt idx="605">
                  <c:v>-232.64856418602847</c:v>
                </c:pt>
                <c:pt idx="606">
                  <c:v>-233.86556706582243</c:v>
                </c:pt>
                <c:pt idx="607">
                  <c:v>-234.57330497900256</c:v>
                </c:pt>
                <c:pt idx="608">
                  <c:v>-234.9178180098601</c:v>
                </c:pt>
                <c:pt idx="609">
                  <c:v>-234.99778562980836</c:v>
                </c:pt>
                <c:pt idx="610">
                  <c:v>-234.88224829627933</c:v>
                </c:pt>
                <c:pt idx="611">
                  <c:v>-234.62092508913892</c:v>
                </c:pt>
                <c:pt idx="612">
                  <c:v>-234.25048983465624</c:v>
                </c:pt>
                <c:pt idx="613">
                  <c:v>-233.79853677927662</c:v>
                </c:pt>
                <c:pt idx="614">
                  <c:v>-233.28617117000638</c:v>
                </c:pt>
                <c:pt idx="615">
                  <c:v>-232.7297520718665</c:v>
                </c:pt>
                <c:pt idx="616">
                  <c:v>-232.14209601591747</c:v>
                </c:pt>
                <c:pt idx="617">
                  <c:v>-231.53332810666595</c:v>
                </c:pt>
                <c:pt idx="618">
                  <c:v>-231.3153386695468</c:v>
                </c:pt>
                <c:pt idx="619">
                  <c:v>-231.09447947415833</c:v>
                </c:pt>
                <c:pt idx="620">
                  <c:v>-230.87122726942388</c:v>
                </c:pt>
                <c:pt idx="621">
                  <c:v>-230.64601853831428</c:v>
                </c:pt>
                <c:pt idx="622">
                  <c:v>-230.41925307507512</c:v>
                </c:pt>
                <c:pt idx="623">
                  <c:v>-230.19129719116631</c:v>
                </c:pt>
                <c:pt idx="624">
                  <c:v>-229.96248659514339</c:v>
                </c:pt>
                <c:pt idx="625">
                  <c:v>-229.7331289854221</c:v>
                </c:pt>
                <c:pt idx="626">
                  <c:v>-229.50350638955038</c:v>
                </c:pt>
                <c:pt idx="627">
                  <c:v>-229.27387727910329</c:v>
                </c:pt>
                <c:pt idx="628">
                  <c:v>-229.04447848547829</c:v>
                </c:pt>
                <c:pt idx="629">
                  <c:v>-228.81552693859607</c:v>
                </c:pt>
                <c:pt idx="630">
                  <c:v>-228.58722124771097</c:v>
                </c:pt>
                <c:pt idx="631">
                  <c:v>-228.35974314113432</c:v>
                </c:pt>
                <c:pt idx="632">
                  <c:v>-228.13325877960773</c:v>
                </c:pt>
                <c:pt idx="633">
                  <c:v>-227.9079199562828</c:v>
                </c:pt>
                <c:pt idx="634">
                  <c:v>-227.68386519472554</c:v>
                </c:pt>
                <c:pt idx="635">
                  <c:v>-227.46122075502919</c:v>
                </c:pt>
                <c:pt idx="636">
                  <c:v>-227.24010155696328</c:v>
                </c:pt>
                <c:pt idx="637">
                  <c:v>-227.02061202807812</c:v>
                </c:pt>
                <c:pt idx="638">
                  <c:v>-226.80284688380533</c:v>
                </c:pt>
                <c:pt idx="639">
                  <c:v>-226.58689184582803</c:v>
                </c:pt>
                <c:pt idx="640">
                  <c:v>-226.37282430431893</c:v>
                </c:pt>
                <c:pt idx="641">
                  <c:v>-226.16071392905781</c:v>
                </c:pt>
                <c:pt idx="642">
                  <c:v>-225.95062323391534</c:v>
                </c:pt>
                <c:pt idx="643">
                  <c:v>-225.7426080987367</c:v>
                </c:pt>
                <c:pt idx="644">
                  <c:v>-225.53671825225115</c:v>
                </c:pt>
                <c:pt idx="645">
                  <c:v>-225.33299771927588</c:v>
                </c:pt>
                <c:pt idx="646">
                  <c:v>-225.13148523516691</c:v>
                </c:pt>
                <c:pt idx="647">
                  <c:v>-224.93221463018477</c:v>
                </c:pt>
                <c:pt idx="648">
                  <c:v>-224.73521518619495</c:v>
                </c:pt>
                <c:pt idx="649">
                  <c:v>-224.54051196789558</c:v>
                </c:pt>
                <c:pt idx="650">
                  <c:v>-224.34812613056923</c:v>
                </c:pt>
                <c:pt idx="651">
                  <c:v>-224.15807520617179</c:v>
                </c:pt>
                <c:pt idx="652">
                  <c:v>-223.97037336941546</c:v>
                </c:pt>
                <c:pt idx="653">
                  <c:v>-223.78503168535553</c:v>
                </c:pt>
                <c:pt idx="654">
                  <c:v>-223.60205833986279</c:v>
                </c:pt>
                <c:pt idx="655">
                  <c:v>-223.42145885424557</c:v>
                </c:pt>
                <c:pt idx="656">
                  <c:v>-223.24323628518101</c:v>
                </c:pt>
                <c:pt idx="657">
                  <c:v>-223.06739141101841</c:v>
                </c:pt>
                <c:pt idx="658">
                  <c:v>-222.8939229054327</c:v>
                </c:pt>
                <c:pt idx="659">
                  <c:v>-222.72282749932683</c:v>
                </c:pt>
                <c:pt idx="660">
                  <c:v>-222.55410013181071</c:v>
                </c:pt>
                <c:pt idx="661">
                  <c:v>-222.3877340910208</c:v>
                </c:pt>
                <c:pt idx="662">
                  <c:v>-222.22372114548384</c:v>
                </c:pt>
                <c:pt idx="663">
                  <c:v>-222.06205166667627</c:v>
                </c:pt>
                <c:pt idx="664">
                  <c:v>-221.90271474338019</c:v>
                </c:pt>
                <c:pt idx="665">
                  <c:v>-221.7456982883939</c:v>
                </c:pt>
                <c:pt idx="666">
                  <c:v>-221.59098913811067</c:v>
                </c:pt>
                <c:pt idx="667">
                  <c:v>-221.43857314544633</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61</c:v>
                </c:pt>
                <c:pt idx="1">
                  <c:v>61</c:v>
                </c:pt>
              </c:numCache>
            </c:numRef>
          </c:xVal>
          <c:yVal>
            <c:numRef>
              <c:f>'Bode Plots Calculations'!$BG$690:$BG$691</c:f>
              <c:numCache>
                <c:formatCode>General</c:formatCode>
                <c:ptCount val="2"/>
                <c:pt idx="0">
                  <c:v>-116.89024858214482</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61</c:v>
                </c:pt>
                <c:pt idx="1">
                  <c:v>1000</c:v>
                </c:pt>
              </c:numCache>
            </c:numRef>
          </c:xVal>
          <c:yVal>
            <c:numRef>
              <c:f>'Bode Plots Calculations'!$BG$688:$BG$689</c:f>
              <c:numCache>
                <c:formatCode>General</c:formatCode>
                <c:ptCount val="2"/>
                <c:pt idx="0">
                  <c:v>-116.89024858214482</c:v>
                </c:pt>
                <c:pt idx="1">
                  <c:v>-116.89024858214482</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Calculations'!$AU$9:$AU$209</c:f>
              <c:numCache>
                <c:formatCode>General</c:formatCode>
                <c:ptCount val="201"/>
                <c:pt idx="0">
                  <c:v>0</c:v>
                </c:pt>
                <c:pt idx="1">
                  <c:v>35.972988713467494</c:v>
                </c:pt>
                <c:pt idx="2">
                  <c:v>52.693489309434007</c:v>
                </c:pt>
                <c:pt idx="3">
                  <c:v>62.370744728618234</c:v>
                </c:pt>
                <c:pt idx="4">
                  <c:v>68.691913714743208</c:v>
                </c:pt>
                <c:pt idx="5">
                  <c:v>73.15289165029597</c:v>
                </c:pt>
                <c:pt idx="6">
                  <c:v>76.475570879565439</c:v>
                </c:pt>
                <c:pt idx="7">
                  <c:v>79.05110939888884</c:v>
                </c:pt>
                <c:pt idx="8">
                  <c:v>81.10987585448548</c:v>
                </c:pt>
                <c:pt idx="9">
                  <c:v>82.796370314557706</c:v>
                </c:pt>
                <c:pt idx="10">
                  <c:v>84.205824462801985</c:v>
                </c:pt>
                <c:pt idx="11">
                  <c:v>85.403551971233554</c:v>
                </c:pt>
                <c:pt idx="12">
                  <c:v>86.435843166950036</c:v>
                </c:pt>
                <c:pt idx="13">
                  <c:v>87.336422146729788</c:v>
                </c:pt>
                <c:pt idx="14">
                  <c:v>88.130441013328479</c:v>
                </c:pt>
                <c:pt idx="15">
                  <c:v>88.7909650638329</c:v>
                </c:pt>
                <c:pt idx="16">
                  <c:v>89.357320925657618</c:v>
                </c:pt>
                <c:pt idx="17">
                  <c:v>89.861755433036166</c:v>
                </c:pt>
                <c:pt idx="18">
                  <c:v>90.313671030464477</c:v>
                </c:pt>
                <c:pt idx="19">
                  <c:v>90.720655610761341</c:v>
                </c:pt>
                <c:pt idx="20">
                  <c:v>91.088899994302238</c:v>
                </c:pt>
                <c:pt idx="21">
                  <c:v>91.4235052149713</c:v>
                </c:pt>
                <c:pt idx="22">
                  <c:v>91.728712115817572</c:v>
                </c:pt>
                <c:pt idx="23">
                  <c:v>92.00807524362969</c:v>
                </c:pt>
                <c:pt idx="24">
                  <c:v>92.26459619519558</c:v>
                </c:pt>
                <c:pt idx="25">
                  <c:v>92.500827033250559</c:v>
                </c:pt>
                <c:pt idx="26">
                  <c:v>92.71895132705373</c:v>
                </c:pt>
                <c:pt idx="27">
                  <c:v>92.920848268953236</c:v>
                </c:pt>
                <c:pt idx="28">
                  <c:v>93.108143851487156</c:v>
                </c:pt>
                <c:pt idx="29">
                  <c:v>93.28225205231989</c:v>
                </c:pt>
                <c:pt idx="30">
                  <c:v>93.44440823125926</c:v>
                </c:pt>
                <c:pt idx="31">
                  <c:v>93.59569640485617</c:v>
                </c:pt>
                <c:pt idx="32">
                  <c:v>93.737071669088749</c:v>
                </c:pt>
                <c:pt idx="33">
                  <c:v>93.869378747987653</c:v>
                </c:pt>
                <c:pt idx="34">
                  <c:v>93.993367427126117</c:v>
                </c:pt>
                <c:pt idx="35">
                  <c:v>94.10970546560614</c:v>
                </c:pt>
                <c:pt idx="36">
                  <c:v>94.218989454308002</c:v>
                </c:pt>
                <c:pt idx="37">
                  <c:v>94.321753991552114</c:v>
                </c:pt>
                <c:pt idx="38">
                  <c:v>94.418479472589539</c:v>
                </c:pt>
                <c:pt idx="39">
                  <c:v>94.509598731118132</c:v>
                </c:pt>
                <c:pt idx="40">
                  <c:v>94.595502725357363</c:v>
                </c:pt>
                <c:pt idx="41">
                  <c:v>94.67654542516776</c:v>
                </c:pt>
                <c:pt idx="42">
                  <c:v>94.753048028073692</c:v>
                </c:pt>
                <c:pt idx="43">
                  <c:v>94.825302609179133</c:v>
                </c:pt>
                <c:pt idx="44">
                  <c:v>94.893575291598069</c:v>
                </c:pt>
                <c:pt idx="45">
                  <c:v>94.958109009191261</c:v>
                </c:pt>
                <c:pt idx="46">
                  <c:v>95.019125921365983</c:v>
                </c:pt>
                <c:pt idx="47">
                  <c:v>95.076829529883739</c:v>
                </c:pt>
                <c:pt idx="48">
                  <c:v>95.131406539584489</c:v>
                </c:pt>
                <c:pt idx="49">
                  <c:v>95.183028498325271</c:v>
                </c:pt>
                <c:pt idx="50">
                  <c:v>95.231853245969802</c:v>
                </c:pt>
                <c:pt idx="51">
                  <c:v>95.278026197737049</c:v>
                </c:pt>
                <c:pt idx="52">
                  <c:v>95.321681483445744</c:v>
                </c:pt>
                <c:pt idx="53">
                  <c:v>95.362942961041568</c:v>
                </c:pt>
                <c:pt idx="54">
                  <c:v>95.401925120151219</c:v>
                </c:pt>
                <c:pt idx="55">
                  <c:v>95.438733889184576</c:v>
                </c:pt>
                <c:pt idx="56">
                  <c:v>95.473467357629247</c:v>
                </c:pt>
                <c:pt idx="57">
                  <c:v>95.506216423592392</c:v>
                </c:pt>
                <c:pt idx="58">
                  <c:v>95.537065375294603</c:v>
                </c:pt>
                <c:pt idx="59">
                  <c:v>95.566092414070042</c:v>
                </c:pt>
                <c:pt idx="60">
                  <c:v>95.593370125443968</c:v>
                </c:pt>
                <c:pt idx="61">
                  <c:v>95.618965904017244</c:v>
                </c:pt>
                <c:pt idx="62">
                  <c:v>95.642942337162594</c:v>
                </c:pt>
                <c:pt idx="63">
                  <c:v>95.665357551915321</c:v>
                </c:pt>
                <c:pt idx="64">
                  <c:v>95.6862655289017</c:v>
                </c:pt>
                <c:pt idx="65">
                  <c:v>95.705716386682894</c:v>
                </c:pt>
                <c:pt idx="66">
                  <c:v>95.723756639486851</c:v>
                </c:pt>
                <c:pt idx="67">
                  <c:v>95.740429430949376</c:v>
                </c:pt>
                <c:pt idx="68">
                  <c:v>95.755774746177238</c:v>
                </c:pt>
                <c:pt idx="69">
                  <c:v>95.76982960417854</c:v>
                </c:pt>
                <c:pt idx="70">
                  <c:v>95.78262823246969</c:v>
                </c:pt>
                <c:pt idx="71">
                  <c:v>95.794202225460822</c:v>
                </c:pt>
                <c:pt idx="72">
                  <c:v>95.804580688039991</c:v>
                </c:pt>
                <c:pt idx="73">
                  <c:v>95.813790365614324</c:v>
                </c:pt>
                <c:pt idx="74">
                  <c:v>95.821855761724422</c:v>
                </c:pt>
                <c:pt idx="75">
                  <c:v>95.828799244220292</c:v>
                </c:pt>
                <c:pt idx="76">
                  <c:v>95.834641140875021</c:v>
                </c:pt>
                <c:pt idx="77">
                  <c:v>95.839399825209966</c:v>
                </c:pt>
                <c:pt idx="78">
                  <c:v>95.843091793215379</c:v>
                </c:pt>
                <c:pt idx="79">
                  <c:v>95.845731731567383</c:v>
                </c:pt>
                <c:pt idx="80">
                  <c:v>95.847332577868798</c:v>
                </c:pt>
                <c:pt idx="81">
                  <c:v>95.847905573372429</c:v>
                </c:pt>
                <c:pt idx="82">
                  <c:v>95.847460308585113</c:v>
                </c:pt>
                <c:pt idx="83">
                  <c:v>95.846004762091766</c:v>
                </c:pt>
                <c:pt idx="84">
                  <c:v>95.843545332887317</c:v>
                </c:pt>
                <c:pt idx="85">
                  <c:v>95.84008686645376</c:v>
                </c:pt>
                <c:pt idx="86">
                  <c:v>95.83563267477308</c:v>
                </c:pt>
                <c:pt idx="87">
                  <c:v>95.830184550422445</c:v>
                </c:pt>
                <c:pt idx="88">
                  <c:v>95.823742774854679</c:v>
                </c:pt>
                <c:pt idx="89">
                  <c:v>95.816306120926214</c:v>
                </c:pt>
                <c:pt idx="90">
                  <c:v>95.807871849692745</c:v>
                </c:pt>
                <c:pt idx="91">
                  <c:v>95.798435701452888</c:v>
                </c:pt>
                <c:pt idx="92">
                  <c:v>95.787991880979362</c:v>
                </c:pt>
                <c:pt idx="93">
                  <c:v>95.776533036834735</c:v>
                </c:pt>
                <c:pt idx="94">
                  <c:v>95.764050234627078</c:v>
                </c:pt>
                <c:pt idx="95">
                  <c:v>95.75053292401617</c:v>
                </c:pt>
                <c:pt idx="96">
                  <c:v>95.735968899233754</c:v>
                </c:pt>
                <c:pt idx="97">
                  <c:v>95.720344252833272</c:v>
                </c:pt>
                <c:pt idx="98">
                  <c:v>95.703643322330421</c:v>
                </c:pt>
                <c:pt idx="99">
                  <c:v>95.68584862934047</c:v>
                </c:pt>
                <c:pt idx="100">
                  <c:v>95.666940810756117</c:v>
                </c:pt>
                <c:pt idx="101">
                  <c:v>95.646898541442781</c:v>
                </c:pt>
                <c:pt idx="102">
                  <c:v>95.625698447854845</c:v>
                </c:pt>
                <c:pt idx="103">
                  <c:v>95.603315011895077</c:v>
                </c:pt>
                <c:pt idx="104">
                  <c:v>95.579720464249988</c:v>
                </c:pt>
                <c:pt idx="105">
                  <c:v>95.554884666333294</c:v>
                </c:pt>
                <c:pt idx="106">
                  <c:v>95.528774979858625</c:v>
                </c:pt>
                <c:pt idx="107">
                  <c:v>95.501356122937338</c:v>
                </c:pt>
                <c:pt idx="108">
                  <c:v>95.472590011456475</c:v>
                </c:pt>
                <c:pt idx="109">
                  <c:v>95.442435584333552</c:v>
                </c:pt>
                <c:pt idx="110">
                  <c:v>95.410848611065319</c:v>
                </c:pt>
                <c:pt idx="111">
                  <c:v>95.377781479784829</c:v>
                </c:pt>
                <c:pt idx="112">
                  <c:v>95.3431829638089</c:v>
                </c:pt>
                <c:pt idx="113">
                  <c:v>95.306997964396061</c:v>
                </c:pt>
                <c:pt idx="114">
                  <c:v>95.269167227132783</c:v>
                </c:pt>
                <c:pt idx="115">
                  <c:v>95.229627029021842</c:v>
                </c:pt>
                <c:pt idx="116">
                  <c:v>95.188308832950753</c:v>
                </c:pt>
                <c:pt idx="117">
                  <c:v>95.145138905762465</c:v>
                </c:pt>
                <c:pt idx="118">
                  <c:v>95.100037895624965</c:v>
                </c:pt>
                <c:pt idx="119">
                  <c:v>95.052920363788857</c:v>
                </c:pt>
                <c:pt idx="120">
                  <c:v>95.003694265116366</c:v>
                </c:pt>
                <c:pt idx="121">
                  <c:v>94.952260370945979</c:v>
                </c:pt>
                <c:pt idx="122">
                  <c:v>94.898511626900984</c:v>
                </c:pt>
                <c:pt idx="123">
                  <c:v>94.842332437132981</c:v>
                </c:pt>
                <c:pt idx="124">
                  <c:v>94.783597865181619</c:v>
                </c:pt>
                <c:pt idx="125">
                  <c:v>94.722172740091892</c:v>
                </c:pt>
                <c:pt idx="126">
                  <c:v>94.657910654613815</c:v>
                </c:pt>
                <c:pt idx="127">
                  <c:v>94.5906528401608</c:v>
                </c:pt>
                <c:pt idx="128">
                  <c:v>94.520226900652503</c:v>
                </c:pt>
                <c:pt idx="129">
                  <c:v>94.446445384331213</c:v>
                </c:pt>
                <c:pt idx="130">
                  <c:v>94.369104169011223</c:v>
                </c:pt>
                <c:pt idx="131">
                  <c:v>94.287980631867825</c:v>
                </c:pt>
                <c:pt idx="132">
                  <c:v>94.202831569632309</c:v>
                </c:pt>
                <c:pt idx="133">
                  <c:v>94.113390828725144</c:v>
                </c:pt>
                <c:pt idx="134">
                  <c:v>94.019366597173644</c:v>
                </c:pt>
                <c:pt idx="135">
                  <c:v>93.920438300791332</c:v>
                </c:pt>
                <c:pt idx="136">
                  <c:v>93.81625303462765</c:v>
                </c:pt>
                <c:pt idx="137">
                  <c:v>93.706421446589417</c:v>
                </c:pt>
                <c:pt idx="138">
                  <c:v>93.590512972699159</c:v>
                </c:pt>
                <c:pt idx="139">
                  <c:v>93.468050301793113</c:v>
                </c:pt>
                <c:pt idx="140">
                  <c:v>93.338502920402661</c:v>
                </c:pt>
                <c:pt idx="141">
                  <c:v>93.20127955457373</c:v>
                </c:pt>
                <c:pt idx="142">
                  <c:v>93.055719282424519</c:v>
                </c:pt>
                <c:pt idx="143">
                  <c:v>92.901081036622244</c:v>
                </c:pt>
                <c:pt idx="144">
                  <c:v>92.736531146037862</c:v>
                </c:pt>
                <c:pt idx="145">
                  <c:v>92.561128475704734</c:v>
                </c:pt>
                <c:pt idx="146">
                  <c:v>92.373806607149362</c:v>
                </c:pt>
                <c:pt idx="147">
                  <c:v>92.173352347941474</c:v>
                </c:pt>
                <c:pt idx="148">
                  <c:v>91.958379657068747</c:v>
                </c:pt>
                <c:pt idx="149">
                  <c:v>91.727297803412284</c:v>
                </c:pt>
                <c:pt idx="150">
                  <c:v>91.478272212506027</c:v>
                </c:pt>
                <c:pt idx="151">
                  <c:v>91.209175964999446</c:v>
                </c:pt>
                <c:pt idx="152">
                  <c:v>90.91752923506607</c:v>
                </c:pt>
                <c:pt idx="153">
                  <c:v>90.600423019123014</c:v>
                </c:pt>
                <c:pt idx="154">
                  <c:v>90.25442218594219</c:v>
                </c:pt>
                <c:pt idx="155">
                  <c:v>89.875440998048859</c:v>
                </c:pt>
                <c:pt idx="156">
                  <c:v>89.458581532094485</c:v>
                </c:pt>
                <c:pt idx="157">
                  <c:v>88.997921423045824</c:v>
                </c:pt>
                <c:pt idx="158">
                  <c:v>88.486231367230189</c:v>
                </c:pt>
                <c:pt idx="159">
                  <c:v>87.914593682655237</c:v>
                </c:pt>
                <c:pt idx="160">
                  <c:v>87.271878990797902</c:v>
                </c:pt>
                <c:pt idx="161">
                  <c:v>86.544015383255555</c:v>
                </c:pt>
                <c:pt idx="162">
                  <c:v>85.712947277793631</c:v>
                </c:pt>
                <c:pt idx="163">
                  <c:v>84.755118540802883</c:v>
                </c:pt>
                <c:pt idx="164">
                  <c:v>83.639205362348847</c:v>
                </c:pt>
                <c:pt idx="165">
                  <c:v>82.322627073706371</c:v>
                </c:pt>
                <c:pt idx="166">
                  <c:v>80.745990530848616</c:v>
                </c:pt>
                <c:pt idx="167">
                  <c:v>78.823883900752463</c:v>
                </c:pt>
                <c:pt idx="168">
                  <c:v>76.428877052358743</c:v>
                </c:pt>
                <c:pt idx="169">
                  <c:v>73.362059981139595</c:v>
                </c:pt>
                <c:pt idx="170">
                  <c:v>69.294749289551959</c:v>
                </c:pt>
                <c:pt idx="171">
                  <c:v>63.642028771845794</c:v>
                </c:pt>
                <c:pt idx="172">
                  <c:v>55.252617439071784</c:v>
                </c:pt>
                <c:pt idx="173">
                  <c:v>41.504430554103564</c:v>
                </c:pt>
                <c:pt idx="174">
                  <c:v>14.853654335871234</c:v>
                </c:pt>
                <c:pt idx="175">
                  <c:v>-58.923021344175439</c:v>
                </c:pt>
                <c:pt idx="176">
                  <c:v>-1258.8118114929202</c:v>
                </c:pt>
                <c:pt idx="177">
                  <c:v>302.92623508821572</c:v>
                </c:pt>
                <c:pt idx="178">
                  <c:v>193.43660963467096</c:v>
                </c:pt>
                <c:pt idx="179">
                  <c:v>160.2730938847466</c:v>
                </c:pt>
                <c:pt idx="180">
                  <c:v>144.25238009728542</c:v>
                </c:pt>
                <c:pt idx="181">
                  <c:v>134.81194456569611</c:v>
                </c:pt>
                <c:pt idx="182">
                  <c:v>128.58815596973099</c:v>
                </c:pt>
                <c:pt idx="183">
                  <c:v>124.1761226577637</c:v>
                </c:pt>
                <c:pt idx="184">
                  <c:v>120.88509570186956</c:v>
                </c:pt>
                <c:pt idx="185">
                  <c:v>118.3358614994592</c:v>
                </c:pt>
                <c:pt idx="186">
                  <c:v>116.30290600914542</c:v>
                </c:pt>
                <c:pt idx="187">
                  <c:v>114.64370908424684</c:v>
                </c:pt>
                <c:pt idx="188">
                  <c:v>113.26378191893696</c:v>
                </c:pt>
                <c:pt idx="189">
                  <c:v>112.09800535558654</c:v>
                </c:pt>
                <c:pt idx="190">
                  <c:v>111.10004162095225</c:v>
                </c:pt>
                <c:pt idx="191">
                  <c:v>110.23601869030885</c:v>
                </c:pt>
                <c:pt idx="192">
                  <c:v>109.48060257043322</c:v>
                </c:pt>
                <c:pt idx="193">
                  <c:v>108.81446660335357</c:v>
                </c:pt>
                <c:pt idx="194">
                  <c:v>108.22261052124477</c:v>
                </c:pt>
                <c:pt idx="195">
                  <c:v>107.69321401229151</c:v>
                </c:pt>
                <c:pt idx="196">
                  <c:v>107.21683648496401</c:v>
                </c:pt>
                <c:pt idx="197">
                  <c:v>106.78584690668455</c:v>
                </c:pt>
                <c:pt idx="198">
                  <c:v>106.39401007278211</c:v>
                </c:pt>
                <c:pt idx="199">
                  <c:v>106.0361814237359</c:v>
                </c:pt>
                <c:pt idx="200">
                  <c:v>105.70807857699111</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Calculations'!$Q$9:$Q$209</c:f>
              <c:numCache>
                <c:formatCode>0.0000</c:formatCode>
                <c:ptCount val="201"/>
                <c:pt idx="0">
                  <c:v>0.20229634014410811</c:v>
                </c:pt>
                <c:pt idx="1">
                  <c:v>0.20233063383133024</c:v>
                </c:pt>
                <c:pt idx="2">
                  <c:v>0.20243245374619426</c:v>
                </c:pt>
                <c:pt idx="3">
                  <c:v>0.20260180318840548</c:v>
                </c:pt>
                <c:pt idx="4">
                  <c:v>0.2028386876462703</c:v>
                </c:pt>
                <c:pt idx="5">
                  <c:v>0.20314311479714064</c:v>
                </c:pt>
                <c:pt idx="6">
                  <c:v>0.20351509450803623</c:v>
                </c:pt>
                <c:pt idx="7">
                  <c:v>0.20395463883644407</c:v>
                </c:pt>
                <c:pt idx="8">
                  <c:v>0.20446176203129571</c:v>
                </c:pt>
                <c:pt idx="9">
                  <c:v>0.20503648053412221</c:v>
                </c:pt>
                <c:pt idx="10">
                  <c:v>0.20567881298038704</c:v>
                </c:pt>
                <c:pt idx="11">
                  <c:v>0.2063887802009971</c:v>
                </c:pt>
                <c:pt idx="12">
                  <c:v>0.20716640522399227</c:v>
                </c:pt>
                <c:pt idx="13">
                  <c:v>0.20801171327641346</c:v>
                </c:pt>
                <c:pt idx="14">
                  <c:v>0.20892473178634943</c:v>
                </c:pt>
                <c:pt idx="15">
                  <c:v>0.20990549038516329</c:v>
                </c:pt>
                <c:pt idx="16">
                  <c:v>0.21095402090989793</c:v>
                </c:pt>
                <c:pt idx="17">
                  <c:v>0.21207035740586203</c:v>
                </c:pt>
                <c:pt idx="18">
                  <c:v>0.21325453612939585</c:v>
                </c:pt>
                <c:pt idx="19">
                  <c:v>0.21450659555081808</c:v>
                </c:pt>
                <c:pt idx="20">
                  <c:v>0.21582657635755376</c:v>
                </c:pt>
                <c:pt idx="21">
                  <c:v>0.21721452145744383</c:v>
                </c:pt>
                <c:pt idx="22">
                  <c:v>0.21867047598223699</c:v>
                </c:pt>
                <c:pt idx="23">
                  <c:v>0.22019448729126409</c:v>
                </c:pt>
                <c:pt idx="24">
                  <c:v>0.22178660497529579</c:v>
                </c:pt>
                <c:pt idx="25">
                  <c:v>0.22344688086058423</c:v>
                </c:pt>
                <c:pt idx="26">
                  <c:v>0.22517536901308896</c:v>
                </c:pt>
                <c:pt idx="27">
                  <c:v>0.22697212574288808</c:v>
                </c:pt>
                <c:pt idx="28">
                  <c:v>0.22883720960877504</c:v>
                </c:pt>
                <c:pt idx="29">
                  <c:v>0.23077068142304222</c:v>
                </c:pt>
                <c:pt idx="30">
                  <c:v>0.2327726042564513</c:v>
                </c:pt>
                <c:pt idx="31">
                  <c:v>0.23484304344339182</c:v>
                </c:pt>
                <c:pt idx="32">
                  <c:v>0.23698206658722862</c:v>
                </c:pt>
                <c:pt idx="33">
                  <c:v>0.23918974356583864</c:v>
                </c:pt>
                <c:pt idx="34">
                  <c:v>0.24146614653733817</c:v>
                </c:pt>
                <c:pt idx="35">
                  <c:v>0.24381134994600157</c:v>
                </c:pt>
                <c:pt idx="36">
                  <c:v>0.24622543052837204</c:v>
                </c:pt>
                <c:pt idx="37">
                  <c:v>0.2487084673195657</c:v>
                </c:pt>
                <c:pt idx="38">
                  <c:v>0.25126054165976952</c:v>
                </c:pt>
                <c:pt idx="39">
                  <c:v>0.25388173720093488</c:v>
                </c:pt>
                <c:pt idx="40">
                  <c:v>0.25657213991366662</c:v>
                </c:pt>
                <c:pt idx="41">
                  <c:v>0.25933183809430987</c:v>
                </c:pt>
                <c:pt idx="42">
                  <c:v>0.26216092237223526</c:v>
                </c:pt>
                <c:pt idx="43">
                  <c:v>0.26505948571732268</c:v>
                </c:pt>
                <c:pt idx="44">
                  <c:v>0.26802762344764697</c:v>
                </c:pt>
                <c:pt idx="45">
                  <c:v>0.27106543323736448</c:v>
                </c:pt>
                <c:pt idx="46">
                  <c:v>0.27417301512480274</c:v>
                </c:pt>
                <c:pt idx="47">
                  <c:v>0.27735047152075504</c:v>
                </c:pt>
                <c:pt idx="48">
                  <c:v>0.28059790721697975</c:v>
                </c:pt>
                <c:pt idx="49">
                  <c:v>0.28391542939490721</c:v>
                </c:pt>
                <c:pt idx="50">
                  <c:v>0.28730314763455467</c:v>
                </c:pt>
                <c:pt idx="51">
                  <c:v>0.29076117392365053</c:v>
                </c:pt>
                <c:pt idx="52">
                  <c:v>0.2942896226669704</c:v>
                </c:pt>
                <c:pt idx="53">
                  <c:v>0.29788861069588513</c:v>
                </c:pt>
                <c:pt idx="54">
                  <c:v>0.30155825727812335</c:v>
                </c:pt>
                <c:pt idx="55">
                  <c:v>0.30529868412774863</c:v>
                </c:pt>
                <c:pt idx="56">
                  <c:v>0.30911001541535554</c:v>
                </c:pt>
                <c:pt idx="57">
                  <c:v>0.31299237777848277</c:v>
                </c:pt>
                <c:pt idx="58">
                  <c:v>0.31694590033224768</c:v>
                </c:pt>
                <c:pt idx="59">
                  <c:v>0.32097071468020255</c:v>
                </c:pt>
                <c:pt idx="60">
                  <c:v>0.32506695492541487</c:v>
                </c:pt>
                <c:pt idx="61">
                  <c:v>0.32923475768177302</c:v>
                </c:pt>
                <c:pt idx="62">
                  <c:v>0.33347426208551956</c:v>
                </c:pt>
                <c:pt idx="63">
                  <c:v>0.33778560980701355</c:v>
                </c:pt>
                <c:pt idx="64">
                  <c:v>0.34216894506272444</c:v>
                </c:pt>
                <c:pt idx="65">
                  <c:v>0.34662441462745819</c:v>
                </c:pt>
                <c:pt idx="66">
                  <c:v>0.35115216784681902</c:v>
                </c:pt>
                <c:pt idx="67">
                  <c:v>0.3557523566499079</c:v>
                </c:pt>
                <c:pt idx="68">
                  <c:v>0.36042513556226025</c:v>
                </c:pt>
                <c:pt idx="69">
                  <c:v>0.36517066171902479</c:v>
                </c:pt>
                <c:pt idx="70">
                  <c:v>0.36998909487838511</c:v>
                </c:pt>
                <c:pt idx="71">
                  <c:v>0.37488059743522756</c:v>
                </c:pt>
                <c:pt idx="72">
                  <c:v>0.37984533443505586</c:v>
                </c:pt>
                <c:pt idx="73">
                  <c:v>0.38488347358815655</c:v>
                </c:pt>
                <c:pt idx="74">
                  <c:v>0.38999518528401544</c:v>
                </c:pt>
                <c:pt idx="75">
                  <c:v>0.39518064260599006</c:v>
                </c:pt>
                <c:pt idx="76">
                  <c:v>0.40044002134623813</c:v>
                </c:pt>
                <c:pt idx="77">
                  <c:v>0.4057735000209054</c:v>
                </c:pt>
                <c:pt idx="78">
                  <c:v>0.41118125988557608</c:v>
                </c:pt>
                <c:pt idx="79">
                  <c:v>0.41666348495098698</c:v>
                </c:pt>
                <c:pt idx="80">
                  <c:v>0.42222036199900903</c:v>
                </c:pt>
                <c:pt idx="81">
                  <c:v>0.4278520805988989</c:v>
                </c:pt>
                <c:pt idx="82">
                  <c:v>0.43355883312382187</c:v>
                </c:pt>
                <c:pt idx="83">
                  <c:v>0.43934081476765152</c:v>
                </c:pt>
                <c:pt idx="84">
                  <c:v>0.44519822356204486</c:v>
                </c:pt>
                <c:pt idx="85">
                  <c:v>0.45113126039380114</c:v>
                </c:pt>
                <c:pt idx="86">
                  <c:v>0.45714012902250195</c:v>
                </c:pt>
                <c:pt idx="87">
                  <c:v>0.46322503609843946</c:v>
                </c:pt>
                <c:pt idx="88">
                  <c:v>0.46938619118083308</c:v>
                </c:pt>
                <c:pt idx="89">
                  <c:v>0.4756238067563402</c:v>
                </c:pt>
                <c:pt idx="90">
                  <c:v>0.48193809825786144</c:v>
                </c:pt>
                <c:pt idx="91">
                  <c:v>0.48832928408364551</c:v>
                </c:pt>
                <c:pt idx="92">
                  <c:v>0.49479758561669696</c:v>
                </c:pt>
                <c:pt idx="93">
                  <c:v>0.50134322724448754</c:v>
                </c:pt>
                <c:pt idx="94">
                  <c:v>0.50796643637897931</c:v>
                </c:pt>
                <c:pt idx="95">
                  <c:v>0.51466744347695748</c:v>
                </c:pt>
                <c:pt idx="96">
                  <c:v>0.52144648206068012</c:v>
                </c:pt>
                <c:pt idx="97">
                  <c:v>0.52830378873884787</c:v>
                </c:pt>
                <c:pt idx="98">
                  <c:v>0.53523960322789577</c:v>
                </c:pt>
                <c:pt idx="99">
                  <c:v>0.54225416837361151</c:v>
                </c:pt>
                <c:pt idx="100">
                  <c:v>0.54934773017308569</c:v>
                </c:pt>
                <c:pt idx="101">
                  <c:v>0.55652053779699373</c:v>
                </c:pt>
                <c:pt idx="102">
                  <c:v>0.56377284361221891</c:v>
                </c:pt>
                <c:pt idx="103">
                  <c:v>0.57110490320481433</c:v>
                </c:pt>
                <c:pt idx="104">
                  <c:v>0.57851697540331404</c:v>
                </c:pt>
                <c:pt idx="105">
                  <c:v>0.58600932230239178</c:v>
                </c:pt>
                <c:pt idx="106">
                  <c:v>0.59358220928687588</c:v>
                </c:pt>
                <c:pt idx="107">
                  <c:v>0.60123590505612079</c:v>
                </c:pt>
                <c:pt idx="108">
                  <c:v>0.60897068164874413</c:v>
                </c:pt>
                <c:pt idx="109">
                  <c:v>0.61678681446772854</c:v>
                </c:pt>
                <c:pt idx="110">
                  <c:v>0.62468458230589663</c:v>
                </c:pt>
                <c:pt idx="111">
                  <c:v>0.63266426737176262</c:v>
                </c:pt>
                <c:pt idx="112">
                  <c:v>0.64072615531576205</c:v>
                </c:pt>
                <c:pt idx="113">
                  <c:v>0.64887053525687288</c:v>
                </c:pt>
                <c:pt idx="114">
                  <c:v>0.65709769980962041</c:v>
                </c:pt>
                <c:pt idx="115">
                  <c:v>0.66540794511148271</c:v>
                </c:pt>
                <c:pt idx="116">
                  <c:v>0.67380157085069214</c:v>
                </c:pt>
                <c:pt idx="117">
                  <c:v>0.68227888029444672</c:v>
                </c:pt>
                <c:pt idx="118">
                  <c:v>0.69084018031752881</c:v>
                </c:pt>
                <c:pt idx="119">
                  <c:v>0.6994857814313401</c:v>
                </c:pt>
                <c:pt idx="120">
                  <c:v>0.7082159978133582</c:v>
                </c:pt>
                <c:pt idx="121">
                  <c:v>0.71703114733702011</c:v>
                </c:pt>
                <c:pt idx="122">
                  <c:v>0.72593155160203704</c:v>
                </c:pt>
                <c:pt idx="123">
                  <c:v>0.73491753596514653</c:v>
                </c:pt>
                <c:pt idx="124">
                  <c:v>0.74398942957130898</c:v>
                </c:pt>
                <c:pt idx="125">
                  <c:v>0.75314756538535321</c:v>
                </c:pt>
                <c:pt idx="126">
                  <c:v>0.76239228022407635</c:v>
                </c:pt>
                <c:pt idx="127">
                  <c:v>0.77172391478880575</c:v>
                </c:pt>
                <c:pt idx="128">
                  <c:v>0.78114281369842686</c:v>
                </c:pt>
                <c:pt idx="129">
                  <c:v>0.79064932552288725</c:v>
                </c:pt>
                <c:pt idx="130">
                  <c:v>0.800243802817177</c:v>
                </c:pt>
                <c:pt idx="131">
                  <c:v>0.80992660215579915</c:v>
                </c:pt>
                <c:pt idx="132">
                  <c:v>0.81969808416773016</c:v>
                </c:pt>
                <c:pt idx="133">
                  <c:v>0.8295586135718811</c:v>
                </c:pt>
                <c:pt idx="134">
                  <c:v>0.83950855921306444</c:v>
                </c:pt>
                <c:pt idx="135">
                  <c:v>0.84954829409847865</c:v>
                </c:pt>
                <c:pt idx="136">
                  <c:v>0.85967819543470525</c:v>
                </c:pt>
                <c:pt idx="137">
                  <c:v>0.86989864466523947</c:v>
                </c:pt>
                <c:pt idx="138">
                  <c:v>0.88021002750855715</c:v>
                </c:pt>
                <c:pt idx="139">
                  <c:v>0.89061273399671625</c:v>
                </c:pt>
                <c:pt idx="140">
                  <c:v>0.90110715851451784</c:v>
                </c:pt>
                <c:pt idx="141">
                  <c:v>0.91169369983921689</c:v>
                </c:pt>
                <c:pt idx="142">
                  <c:v>0.92237276118080502</c:v>
                </c:pt>
                <c:pt idx="143">
                  <c:v>0.93314475022286159</c:v>
                </c:pt>
                <c:pt idx="144">
                  <c:v>0.94401007916398916</c:v>
                </c:pt>
                <c:pt idx="145">
                  <c:v>0.95496916475983973</c:v>
                </c:pt>
                <c:pt idx="146">
                  <c:v>0.96602242836573571</c:v>
                </c:pt>
                <c:pt idx="147">
                  <c:v>0.97717029597990335</c:v>
                </c:pt>
                <c:pt idx="148">
                  <c:v>0.98841319828731478</c:v>
                </c:pt>
                <c:pt idx="149">
                  <c:v>0.9997515707041631</c:v>
                </c:pt>
                <c:pt idx="150">
                  <c:v>1.0111858534229632</c:v>
                </c:pt>
                <c:pt idx="151">
                  <c:v>1.0227164914583009</c:v>
                </c:pt>
                <c:pt idx="152">
                  <c:v>1.0343439346932324</c:v>
                </c:pt>
                <c:pt idx="153">
                  <c:v>1.0460686379263429</c:v>
                </c:pt>
                <c:pt idx="154">
                  <c:v>1.0578910609194827</c:v>
                </c:pt>
                <c:pt idx="155">
                  <c:v>1.0698116684461811</c:v>
                </c:pt>
                <c:pt idx="156">
                  <c:v>1.0818309303407492</c:v>
                </c:pt>
                <c:pt idx="157">
                  <c:v>1.0939493215480915</c:v>
                </c:pt>
                <c:pt idx="158">
                  <c:v>1.1061673221742223</c:v>
                </c:pt>
                <c:pt idx="159">
                  <c:v>1.118485417537511</c:v>
                </c:pt>
                <c:pt idx="160">
                  <c:v>1.1309040982206564</c:v>
                </c:pt>
                <c:pt idx="161">
                  <c:v>1.1434238601234101</c:v>
                </c:pt>
                <c:pt idx="162">
                  <c:v>1.1560452045160516</c:v>
                </c:pt>
                <c:pt idx="163">
                  <c:v>1.1687686380936353</c:v>
                </c:pt>
                <c:pt idx="164">
                  <c:v>1.1815946730310114</c:v>
                </c:pt>
                <c:pt idx="165">
                  <c:v>1.1945238270386436</c:v>
                </c:pt>
                <c:pt idx="166">
                  <c:v>1.2075566234192239</c:v>
                </c:pt>
                <c:pt idx="167">
                  <c:v>1.2206935911251104</c:v>
                </c:pt>
                <c:pt idx="168">
                  <c:v>1.2339352648165833</c:v>
                </c:pt>
                <c:pt idx="169">
                  <c:v>1.2472821849209494</c:v>
                </c:pt>
                <c:pt idx="170">
                  <c:v>1.2607348976924986</c:v>
                </c:pt>
                <c:pt idx="171">
                  <c:v>1.274293955273323</c:v>
                </c:pt>
                <c:pt idx="172">
                  <c:v>1.2879599157550254</c:v>
                </c:pt>
                <c:pt idx="173">
                  <c:v>1.3017333432413094</c:v>
                </c:pt>
                <c:pt idx="174">
                  <c:v>1.3156148079114924</c:v>
                </c:pt>
                <c:pt idx="175">
                  <c:v>1.329604886084927</c:v>
                </c:pt>
                <c:pt idx="176">
                  <c:v>1.3437041602863706</c:v>
                </c:pt>
                <c:pt idx="177">
                  <c:v>1.3579132193123005</c:v>
                </c:pt>
                <c:pt idx="178">
                  <c:v>1.3722326582981967</c:v>
                </c:pt>
                <c:pt idx="179">
                  <c:v>1.3866630787868095</c:v>
                </c:pt>
                <c:pt idx="180">
                  <c:v>1.4012050887974234</c:v>
                </c:pt>
                <c:pt idx="181">
                  <c:v>1.4158593028961357</c:v>
                </c:pt>
                <c:pt idx="182">
                  <c:v>1.430626342267163</c:v>
                </c:pt>
                <c:pt idx="183">
                  <c:v>1.4455068347851978</c:v>
                </c:pt>
                <c:pt idx="184">
                  <c:v>1.4605014150888274</c:v>
                </c:pt>
                <c:pt idx="185">
                  <c:v>1.4756107246550325</c:v>
                </c:pt>
                <c:pt idx="186">
                  <c:v>1.4908354118747869</c:v>
                </c:pt>
                <c:pt idx="187">
                  <c:v>1.5061761321297717</c:v>
                </c:pt>
                <c:pt idx="188">
                  <c:v>1.5216335478702241</c:v>
                </c:pt>
                <c:pt idx="189">
                  <c:v>1.5372083286939384</c:v>
                </c:pt>
                <c:pt idx="190">
                  <c:v>1.5529011514264444</c:v>
                </c:pt>
                <c:pt idx="191">
                  <c:v>1.5687127002023691</c:v>
                </c:pt>
                <c:pt idx="192">
                  <c:v>1.5846436665480155</c:v>
                </c:pt>
                <c:pt idx="193">
                  <c:v>1.6006947494651711</c:v>
                </c:pt>
                <c:pt idx="194">
                  <c:v>1.6168666555161666</c:v>
                </c:pt>
                <c:pt idx="195">
                  <c:v>1.6331600989102093</c:v>
                </c:pt>
                <c:pt idx="196">
                  <c:v>1.6495758015910063</c:v>
                </c:pt>
                <c:pt idx="197">
                  <c:v>1.6661144933257108</c:v>
                </c:pt>
                <c:pt idx="198">
                  <c:v>1.6827769117951938</c:v>
                </c:pt>
                <c:pt idx="199">
                  <c:v>1.6995638026856905</c:v>
                </c:pt>
                <c:pt idx="200">
                  <c:v>1.7164759197818154</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Calculations'!$AC$9:$AC$209</c:f>
              <c:numCache>
                <c:formatCode>0.0000</c:formatCode>
                <c:ptCount val="201"/>
                <c:pt idx="0">
                  <c:v>0.32186023542342196</c:v>
                </c:pt>
                <c:pt idx="1">
                  <c:v>0.35043884955699545</c:v>
                </c:pt>
                <c:pt idx="2">
                  <c:v>0.3766100771712354</c:v>
                </c:pt>
                <c:pt idx="3">
                  <c:v>0.4003783929171138</c:v>
                </c:pt>
                <c:pt idx="4">
                  <c:v>0.42174734510421141</c:v>
                </c:pt>
                <c:pt idx="5">
                  <c:v>0.44071955670436219</c:v>
                </c:pt>
                <c:pt idx="6">
                  <c:v>0.45729672546051692</c:v>
                </c:pt>
                <c:pt idx="7">
                  <c:v>0.47147962309882713</c:v>
                </c:pt>
                <c:pt idx="8">
                  <c:v>0.4832680936403197</c:v>
                </c:pt>
                <c:pt idx="9">
                  <c:v>0.49266105080688682</c:v>
                </c:pt>
                <c:pt idx="10">
                  <c:v>0.49965647451465361</c:v>
                </c:pt>
                <c:pt idx="11">
                  <c:v>0.50425140644609889</c:v>
                </c:pt>
                <c:pt idx="12">
                  <c:v>0.50644194469058357</c:v>
                </c:pt>
                <c:pt idx="13">
                  <c:v>0.50622323744119335</c:v>
                </c:pt>
                <c:pt idx="14">
                  <c:v>0.50358947573400892</c:v>
                </c:pt>
                <c:pt idx="15">
                  <c:v>0.51290764776811981</c:v>
                </c:pt>
                <c:pt idx="16">
                  <c:v>0.52859478814358707</c:v>
                </c:pt>
                <c:pt idx="17">
                  <c:v>0.54464688054788624</c:v>
                </c:pt>
                <c:pt idx="18">
                  <c:v>0.56106837855823588</c:v>
                </c:pt>
                <c:pt idx="19">
                  <c:v>0.57786390257803477</c:v>
                </c:pt>
                <c:pt idx="20">
                  <c:v>0.5950382439165085</c:v>
                </c:pt>
                <c:pt idx="21">
                  <c:v>0.6125963690682461</c:v>
                </c:pt>
                <c:pt idx="22">
                  <c:v>0.63054342420039322</c:v>
                </c:pt>
                <c:pt idx="23">
                  <c:v>0.64888473985573625</c:v>
                </c:pt>
                <c:pt idx="24">
                  <c:v>0.66762583588040869</c:v>
                </c:pt>
                <c:pt idx="25">
                  <c:v>0.68677242658546456</c:v>
                </c:pt>
                <c:pt idx="26">
                  <c:v>0.70633042615212016</c:v>
                </c:pt>
                <c:pt idx="27">
                  <c:v>0.72630595429104039</c:v>
                </c:pt>
                <c:pt idx="28">
                  <c:v>0.74670534216666451</c:v>
                </c:pt>
                <c:pt idx="29">
                  <c:v>0.76753513859821443</c:v>
                </c:pt>
                <c:pt idx="30">
                  <c:v>0.78880211654971455</c:v>
                </c:pt>
                <c:pt idx="31">
                  <c:v>0.81051327992209277</c:v>
                </c:pt>
                <c:pt idx="32">
                  <c:v>0.83267587066119364</c:v>
                </c:pt>
                <c:pt idx="33">
                  <c:v>0.8552973761963647</c:v>
                </c:pt>
                <c:pt idx="34">
                  <c:v>0.87838553722515111</c:v>
                </c:pt>
                <c:pt idx="35">
                  <c:v>0.90194835586055844</c:v>
                </c:pt>
                <c:pt idx="36">
                  <c:v>0.92599410415832994</c:v>
                </c:pt>
                <c:pt idx="37">
                  <c:v>0.95053133304273962</c:v>
                </c:pt>
                <c:pt idx="38">
                  <c:v>0.97556888165051647</c:v>
                </c:pt>
                <c:pt idx="39">
                  <c:v>1.0011158871137043</c:v>
                </c:pt>
                <c:pt idx="40">
                  <c:v>1.0271817948035413</c:v>
                </c:pt>
                <c:pt idx="41">
                  <c:v>1.0537763690587847</c:v>
                </c:pt>
                <c:pt idx="42">
                  <c:v>1.0809097044233582</c:v>
                </c:pt>
                <c:pt idx="43">
                  <c:v>1.1085922374197446</c:v>
                </c:pt>
                <c:pt idx="44">
                  <c:v>1.1368347588861847</c:v>
                </c:pt>
                <c:pt idx="45">
                  <c:v>1.1656484269075218</c:v>
                </c:pt>
                <c:pt idx="46">
                  <c:v>1.1950447803713942</c:v>
                </c:pt>
                <c:pt idx="47">
                  <c:v>1.2250357531835148</c:v>
                </c:pt>
                <c:pt idx="48">
                  <c:v>1.2556336891779256</c:v>
                </c:pt>
                <c:pt idx="49">
                  <c:v>1.2868513577604284</c:v>
                </c:pt>
                <c:pt idx="50">
                  <c:v>1.3187019703258755</c:v>
                </c:pt>
                <c:pt idx="51">
                  <c:v>1.3511991974926698</c:v>
                </c:pt>
                <c:pt idx="52">
                  <c:v>1.3843571872006644</c:v>
                </c:pt>
                <c:pt idx="53">
                  <c:v>1.4181905837217363</c:v>
                </c:pt>
                <c:pt idx="54">
                  <c:v>1.4527145476355852</c:v>
                </c:pt>
                <c:pt idx="55">
                  <c:v>1.4879447768268645</c:v>
                </c:pt>
                <c:pt idx="56">
                  <c:v>1.5238975285635616</c:v>
                </c:pt>
                <c:pt idx="57">
                  <c:v>1.5605896427206358</c:v>
                </c:pt>
                <c:pt idx="58">
                  <c:v>1.598038566217356</c:v>
                </c:pt>
                <c:pt idx="59">
                  <c:v>1.6362623787415345</c:v>
                </c:pt>
                <c:pt idx="60">
                  <c:v>1.6752798198390011</c:v>
                </c:pt>
                <c:pt idx="61">
                  <c:v>1.7151103174521942</c:v>
                </c:pt>
                <c:pt idx="62">
                  <c:v>1.7557740179977495</c:v>
                </c:pt>
                <c:pt idx="63">
                  <c:v>1.7972918180794268</c:v>
                </c:pt>
                <c:pt idx="64">
                  <c:v>1.839685397939735</c:v>
                </c:pt>
                <c:pt idx="65">
                  <c:v>1.8829772567611585</c:v>
                </c:pt>
                <c:pt idx="66">
                  <c:v>1.9271907499361434</c:v>
                </c:pt>
                <c:pt idx="67">
                  <c:v>1.9723501284338385</c:v>
                </c:pt>
                <c:pt idx="68">
                  <c:v>2.0184805804012851</c:v>
                </c:pt>
                <c:pt idx="69">
                  <c:v>2.0656082751471749</c:v>
                </c:pt>
                <c:pt idx="70">
                  <c:v>2.1137604096676994</c:v>
                </c:pt>
                <c:pt idx="71">
                  <c:v>2.162965257886353</c:v>
                </c:pt>
                <c:pt idx="72">
                  <c:v>2.2132522227930265</c:v>
                </c:pt>
                <c:pt idx="73">
                  <c:v>2.2646518916823406</c:v>
                </c:pt>
                <c:pt idx="74">
                  <c:v>2.3171960947071462</c:v>
                </c:pt>
                <c:pt idx="75">
                  <c:v>2.3709179669805258</c:v>
                </c:pt>
                <c:pt idx="76">
                  <c:v>2.4258520144785978</c:v>
                </c:pt>
                <c:pt idx="77">
                  <c:v>2.4820341840172135</c:v>
                </c:pt>
                <c:pt idx="78">
                  <c:v>2.5395019375982852</c:v>
                </c:pt>
                <c:pt idx="79">
                  <c:v>2.5982943314463451</c:v>
                </c:pt>
                <c:pt idx="80">
                  <c:v>2.6584521000831445</c:v>
                </c:pt>
                <c:pt idx="81">
                  <c:v>2.7200177458178691</c:v>
                </c:pt>
                <c:pt idx="82">
                  <c:v>2.783035634063348</c:v>
                </c:pt>
                <c:pt idx="83">
                  <c:v>2.8475520949245485</c:v>
                </c:pt>
                <c:pt idx="84">
                  <c:v>2.9136155315451808</c:v>
                </c:pt>
                <c:pt idx="85">
                  <c:v>2.9812765357417987</c:v>
                </c:pt>
                <c:pt idx="86">
                  <c:v>3.0505880115026844</c:v>
                </c:pt>
                <c:pt idx="87">
                  <c:v>3.1216053069817593</c:v>
                </c:pt>
                <c:pt idx="88">
                  <c:v>3.1943863556761278</c:v>
                </c:pt>
                <c:pt idx="89">
                  <c:v>3.2689918275404706</c:v>
                </c:pt>
                <c:pt idx="90">
                  <c:v>3.3454852908629524</c:v>
                </c:pt>
                <c:pt idx="91">
                  <c:v>3.4239333858065035</c:v>
                </c:pt>
                <c:pt idx="92">
                  <c:v>3.5044060106071755</c:v>
                </c:pt>
                <c:pt idx="93">
                  <c:v>3.5869765215188298</c:v>
                </c:pt>
                <c:pt idx="94">
                  <c:v>3.6717219477019438</c:v>
                </c:pt>
                <c:pt idx="95">
                  <c:v>3.7587232223750493</c:v>
                </c:pt>
                <c:pt idx="96">
                  <c:v>3.8480654316821332</c:v>
                </c:pt>
                <c:pt idx="97">
                  <c:v>3.9398380828795609</c:v>
                </c:pt>
                <c:pt idx="98">
                  <c:v>4.0341353936142532</c:v>
                </c:pt>
                <c:pt idx="99">
                  <c:v>4.131056604253061</c:v>
                </c:pt>
                <c:pt idx="100">
                  <c:v>4.2307063154341096</c:v>
                </c:pt>
                <c:pt idx="101">
                  <c:v>4.3331948532479583</c:v>
                </c:pt>
                <c:pt idx="102">
                  <c:v>4.438638664722558</c:v>
                </c:pt>
                <c:pt idx="103">
                  <c:v>4.5471607465860711</c:v>
                </c:pt>
                <c:pt idx="104">
                  <c:v>4.6588911106198934</c:v>
                </c:pt>
                <c:pt idx="105">
                  <c:v>4.7739672892965217</c:v>
                </c:pt>
                <c:pt idx="106">
                  <c:v>4.8925348858294804</c:v>
                </c:pt>
                <c:pt idx="107">
                  <c:v>5.014748173253011</c:v>
                </c:pt>
                <c:pt idx="108">
                  <c:v>5.1407707477062221</c:v>
                </c:pt>
                <c:pt idx="109">
                  <c:v>5.2707762417301627</c:v>
                </c:pt>
                <c:pt idx="110">
                  <c:v>5.4049491041086739</c:v>
                </c:pt>
                <c:pt idx="111">
                  <c:v>5.5434854536090157</c:v>
                </c:pt>
                <c:pt idx="112">
                  <c:v>5.6865940149224912</c:v>
                </c:pt>
                <c:pt idx="113">
                  <c:v>5.8344971461882356</c:v>
                </c:pt>
                <c:pt idx="114">
                  <c:v>5.9874319687274982</c:v>
                </c:pt>
                <c:pt idx="115">
                  <c:v>6.1456516110493027</c:v>
                </c:pt>
                <c:pt idx="116">
                  <c:v>6.3094265808423673</c:v>
                </c:pt>
                <c:pt idx="117">
                  <c:v>6.4790462805825806</c:v>
                </c:pt>
                <c:pt idx="118">
                  <c:v>6.654820684605065</c:v>
                </c:pt>
                <c:pt idx="119">
                  <c:v>6.837082198071184</c:v>
                </c:pt>
                <c:pt idx="120">
                  <c:v>7.0261877212694488</c:v>
                </c:pt>
                <c:pt idx="121">
                  <c:v>7.2225209462060871</c:v>
                </c:pt>
                <c:pt idx="122">
                  <c:v>7.4264949165622474</c:v>
                </c:pt>
                <c:pt idx="123">
                  <c:v>7.6385548869394535</c:v>
                </c:pt>
                <c:pt idx="124">
                  <c:v>7.8591815230251649</c:v>
                </c:pt>
                <c:pt idx="125">
                  <c:v>8.088894491063412</c:v>
                </c:pt>
                <c:pt idx="126">
                  <c:v>8.3282564930255045</c:v>
                </c:pt>
                <c:pt idx="127">
                  <c:v>8.5778778134098488</c:v>
                </c:pt>
                <c:pt idx="128">
                  <c:v>8.8384214549861806</c:v>
                </c:pt>
                <c:pt idx="129">
                  <c:v>9.1106089544466116</c:v>
                </c:pt>
                <c:pt idx="130">
                  <c:v>9.3952269853445021</c:v>
                </c:pt>
                <c:pt idx="131">
                  <c:v>9.6931348755315785</c:v>
                </c:pt>
                <c:pt idx="132">
                  <c:v>10.005273190349566</c:v>
                </c:pt>
                <c:pt idx="133">
                  <c:v>10.332673562116662</c:v>
                </c:pt>
                <c:pt idx="134">
                  <c:v>10.676469982268177</c:v>
                </c:pt>
                <c:pt idx="135">
                  <c:v>11.037911816529242</c:v>
                </c:pt>
                <c:pt idx="136">
                  <c:v>11.418378857852737</c:v>
                </c:pt>
                <c:pt idx="137">
                  <c:v>11.819398799319213</c:v>
                </c:pt>
                <c:pt idx="138">
                  <c:v>12.242667593375302</c:v>
                </c:pt>
                <c:pt idx="139">
                  <c:v>12.690073269414949</c:v>
                </c:pt>
                <c:pt idx="140">
                  <c:v>13.163723915035442</c:v>
                </c:pt>
                <c:pt idx="141">
                  <c:v>13.665980695636074</c:v>
                </c:pt>
                <c:pt idx="142">
                  <c:v>14.199497003516919</c:v>
                </c:pt>
                <c:pt idx="143">
                  <c:v>14.767265106328169</c:v>
                </c:pt>
                <c:pt idx="144">
                  <c:v>15.372672026135533</c:v>
                </c:pt>
                <c:pt idx="145">
                  <c:v>16.019566852711801</c:v>
                </c:pt>
                <c:pt idx="146">
                  <c:v>16.712342317109929</c:v>
                </c:pt>
                <c:pt idx="147">
                  <c:v>17.456034279052915</c:v>
                </c:pt>
                <c:pt idx="148">
                  <c:v>18.256443892088232</c:v>
                </c:pt>
                <c:pt idx="149">
                  <c:v>19.12028871553121</c:v>
                </c:pt>
                <c:pt idx="150">
                  <c:v>20.055391104229578</c:v>
                </c:pt>
                <c:pt idx="151">
                  <c:v>21.070915064921195</c:v>
                </c:pt>
                <c:pt idx="152">
                  <c:v>22.177666777907476</c:v>
                </c:pt>
                <c:pt idx="153">
                  <c:v>23.388479685309605</c:v>
                </c:pt>
                <c:pt idx="154">
                  <c:v>24.718713275204156</c:v>
                </c:pt>
                <c:pt idx="155">
                  <c:v>26.18690675149405</c:v>
                </c:pt>
                <c:pt idx="156">
                  <c:v>27.815646764227512</c:v>
                </c:pt>
                <c:pt idx="157">
                  <c:v>29.632735704323984</c:v>
                </c:pt>
                <c:pt idx="158">
                  <c:v>31.672789465324211</c:v>
                </c:pt>
                <c:pt idx="159">
                  <c:v>33.979460877988224</c:v>
                </c:pt>
                <c:pt idx="160">
                  <c:v>36.608594620313319</c:v>
                </c:pt>
                <c:pt idx="161">
                  <c:v>39.632803042928217</c:v>
                </c:pt>
                <c:pt idx="162">
                  <c:v>43.148270115927446</c:v>
                </c:pt>
                <c:pt idx="163">
                  <c:v>47.285161065175529</c:v>
                </c:pt>
                <c:pt idx="164">
                  <c:v>52.22408293953476</c:v>
                </c:pt>
                <c:pt idx="165">
                  <c:v>58.223139815793921</c:v>
                </c:pt>
                <c:pt idx="166">
                  <c:v>65.664494237477896</c:v>
                </c:pt>
                <c:pt idx="167">
                  <c:v>75.139083248818039</c:v>
                </c:pt>
                <c:pt idx="168">
                  <c:v>87.611735370785837</c:v>
                </c:pt>
                <c:pt idx="169">
                  <c:v>104.77243911854181</c:v>
                </c:pt>
                <c:pt idx="170">
                  <c:v>129.87525666497064</c:v>
                </c:pt>
                <c:pt idx="171">
                  <c:v>170.09242555050781</c:v>
                </c:pt>
                <c:pt idx="172">
                  <c:v>244.95136336210069</c:v>
                </c:pt>
                <c:pt idx="173">
                  <c:v>433.06315378130569</c:v>
                </c:pt>
                <c:pt idx="174">
                  <c:v>1789.5194607817075</c:v>
                </c:pt>
                <c:pt idx="175">
                  <c:v>-855.48300555297249</c:v>
                </c:pt>
                <c:pt idx="176">
                  <c:v>-347.88869377407684</c:v>
                </c:pt>
                <c:pt idx="177">
                  <c:v>-219.38315665437813</c:v>
                </c:pt>
                <c:pt idx="178">
                  <c:v>-160.75706044217847</c:v>
                </c:pt>
                <c:pt idx="179">
                  <c:v>-127.19656041660937</c:v>
                </c:pt>
                <c:pt idx="180">
                  <c:v>-105.45807390751577</c:v>
                </c:pt>
                <c:pt idx="181">
                  <c:v>-90.230703772899872</c:v>
                </c:pt>
                <c:pt idx="182">
                  <c:v>-78.970372197629629</c:v>
                </c:pt>
                <c:pt idx="183">
                  <c:v>-70.305660131831118</c:v>
                </c:pt>
                <c:pt idx="184">
                  <c:v>-63.431968817660852</c:v>
                </c:pt>
                <c:pt idx="185">
                  <c:v>-57.846104332666272</c:v>
                </c:pt>
                <c:pt idx="186">
                  <c:v>-53.217229250475043</c:v>
                </c:pt>
                <c:pt idx="187">
                  <c:v>-49.318887904260279</c:v>
                </c:pt>
                <c:pt idx="188">
                  <c:v>-45.990849529747287</c:v>
                </c:pt>
                <c:pt idx="189">
                  <c:v>-43.116548998013791</c:v>
                </c:pt>
                <c:pt idx="190">
                  <c:v>-40.609161032074752</c:v>
                </c:pt>
                <c:pt idx="191">
                  <c:v>-38.402684304197919</c:v>
                </c:pt>
                <c:pt idx="192">
                  <c:v>-36.446051637453557</c:v>
                </c:pt>
                <c:pt idx="193">
                  <c:v>-34.699132209882393</c:v>
                </c:pt>
                <c:pt idx="194">
                  <c:v>-33.129952723851744</c:v>
                </c:pt>
                <c:pt idx="195">
                  <c:v>-31.712724891230408</c:v>
                </c:pt>
                <c:pt idx="196">
                  <c:v>-30.426418868320258</c:v>
                </c:pt>
                <c:pt idx="197">
                  <c:v>-29.253714122540782</c:v>
                </c:pt>
                <c:pt idx="198">
                  <c:v>-28.180216149470102</c:v>
                </c:pt>
                <c:pt idx="199">
                  <c:v>-27.193863630815784</c:v>
                </c:pt>
                <c:pt idx="200">
                  <c:v>-26.284474117765836</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cat>
          <c:val>
            <c:numRef>
              <c:f>'Power Calculations'!$AG$9:$AG$209</c:f>
              <c:numCache>
                <c:formatCode>0.0000</c:formatCode>
                <c:ptCount val="201"/>
                <c:pt idx="0">
                  <c:v>3.0851281004389094E-2</c:v>
                </c:pt>
                <c:pt idx="1">
                  <c:v>3.2908748121925416E-2</c:v>
                </c:pt>
                <c:pt idx="2">
                  <c:v>3.5022797732468122E-2</c:v>
                </c:pt>
                <c:pt idx="3">
                  <c:v>3.7193469570779882E-2</c:v>
                </c:pt>
                <c:pt idx="4">
                  <c:v>3.9420806399190225E-2</c:v>
                </c:pt>
                <c:pt idx="5">
                  <c:v>4.1704854010002616E-2</c:v>
                </c:pt>
                <c:pt idx="6">
                  <c:v>4.4045661228307213E-2</c:v>
                </c:pt>
                <c:pt idx="7">
                  <c:v>4.6443279915199885E-2</c:v>
                </c:pt>
                <c:pt idx="8">
                  <c:v>4.8897764971407388E-2</c:v>
                </c:pt>
                <c:pt idx="9">
                  <c:v>5.14091743413196E-2</c:v>
                </c:pt>
                <c:pt idx="10">
                  <c:v>5.3977569017429082E-2</c:v>
                </c:pt>
                <c:pt idx="11">
                  <c:v>5.6603013045179118E-2</c:v>
                </c:pt>
                <c:pt idx="12">
                  <c:v>5.9285573528220392E-2</c:v>
                </c:pt>
                <c:pt idx="13">
                  <c:v>6.2025320634077799E-2</c:v>
                </c:pt>
                <c:pt idx="14">
                  <c:v>6.4822327600227991E-2</c:v>
                </c:pt>
                <c:pt idx="15">
                  <c:v>6.9074718664859272E-2</c:v>
                </c:pt>
                <c:pt idx="16">
                  <c:v>7.4011269468217858E-2</c:v>
                </c:pt>
                <c:pt idx="17">
                  <c:v>7.9005931168818627E-2</c:v>
                </c:pt>
                <c:pt idx="18">
                  <c:v>8.4058844079938466E-2</c:v>
                </c:pt>
                <c:pt idx="19">
                  <c:v>8.9170151665306868E-2</c:v>
                </c:pt>
                <c:pt idx="20">
                  <c:v>9.434000055258944E-2</c:v>
                </c:pt>
                <c:pt idx="21">
                  <c:v>9.9568540547300674E-2</c:v>
                </c:pt>
                <c:pt idx="22">
                  <c:v>0.10485592464714762</c:v>
                </c:pt>
                <c:pt idx="23">
                  <c:v>0.11020230905680815</c:v>
                </c:pt>
                <c:pt idx="24">
                  <c:v>0.11560785320314639</c:v>
                </c:pt>
                <c:pt idx="25">
                  <c:v>0.12107271975086879</c:v>
                </c:pt>
                <c:pt idx="26">
                  <c:v>0.12659707461862341</c:v>
                </c:pt>
                <c:pt idx="27">
                  <c:v>0.13218108699554651</c:v>
                </c:pt>
                <c:pt idx="28">
                  <c:v>0.13782492935825916</c:v>
                </c:pt>
                <c:pt idx="29">
                  <c:v>0.14352877748831816</c:v>
                </c:pt>
                <c:pt idx="30">
                  <c:v>0.14929281049012416</c:v>
                </c:pt>
                <c:pt idx="31">
                  <c:v>0.15511721080929136</c:v>
                </c:pt>
                <c:pt idx="32">
                  <c:v>0.16100216425148248</c:v>
                </c:pt>
                <c:pt idx="33">
                  <c:v>0.16694786000171299</c:v>
                </c:pt>
                <c:pt idx="34">
                  <c:v>0.17295449064412891</c:v>
                </c:pt>
                <c:pt idx="35">
                  <c:v>0.179022252182262</c:v>
                </c:pt>
                <c:pt idx="36">
                  <c:v>0.18515134405976791</c:v>
                </c:pt>
                <c:pt idx="37">
                  <c:v>0.19134196918164978</c:v>
                </c:pt>
                <c:pt idx="38">
                  <c:v>0.1975943339359745</c:v>
                </c:pt>
                <c:pt idx="39">
                  <c:v>0.20390864821608387</c:v>
                </c:pt>
                <c:pt idx="40">
                  <c:v>0.21028512544330794</c:v>
                </c:pt>
                <c:pt idx="41">
                  <c:v>0.21672398259018349</c:v>
                </c:pt>
                <c:pt idx="42">
                  <c:v>0.22322544020418458</c:v>
                </c:pt>
                <c:pt idx="43">
                  <c:v>0.22978972243196905</c:v>
                </c:pt>
                <c:pt idx="44">
                  <c:v>0.23641705704414767</c:v>
                </c:pt>
                <c:pt idx="45">
                  <c:v>0.2431076754605809</c:v>
                </c:pt>
                <c:pt idx="46">
                  <c:v>0.24986181277620875</c:v>
                </c:pt>
                <c:pt idx="47">
                  <c:v>0.2566797077874205</c:v>
                </c:pt>
                <c:pt idx="48">
                  <c:v>0.26356160301896969</c:v>
                </c:pt>
                <c:pt idx="49">
                  <c:v>0.27050774475144079</c:v>
                </c:pt>
                <c:pt idx="50">
                  <c:v>0.2775183830492739</c:v>
                </c:pt>
                <c:pt idx="51">
                  <c:v>0.28459377178935363</c:v>
                </c:pt>
                <c:pt idx="52">
                  <c:v>0.29173416869016988</c:v>
                </c:pt>
                <c:pt idx="53">
                  <c:v>0.29893983534155621</c:v>
                </c:pt>
                <c:pt idx="54">
                  <c:v>0.30621103723501325</c:v>
                </c:pt>
                <c:pt idx="55">
                  <c:v>0.31354804379462425</c:v>
                </c:pt>
                <c:pt idx="56">
                  <c:v>0.3209511284085711</c:v>
                </c:pt>
                <c:pt idx="57">
                  <c:v>0.32842056846125589</c:v>
                </c:pt>
                <c:pt idx="58">
                  <c:v>0.33595664536603848</c:v>
                </c:pt>
                <c:pt idx="59">
                  <c:v>0.34355964459859628</c:v>
                </c:pt>
                <c:pt idx="60">
                  <c:v>0.35122985573091425</c:v>
                </c:pt>
                <c:pt idx="61">
                  <c:v>0.3589675724659151</c:v>
                </c:pt>
                <c:pt idx="62">
                  <c:v>0.36677309267273528</c:v>
                </c:pt>
                <c:pt idx="63">
                  <c:v>0.3746467184226579</c:v>
                </c:pt>
                <c:pt idx="64">
                  <c:v>0.38258875602571024</c:v>
                </c:pt>
                <c:pt idx="65">
                  <c:v>0.39059951606793514</c:v>
                </c:pt>
                <c:pt idx="66">
                  <c:v>0.39867931344934476</c:v>
                </c:pt>
                <c:pt idx="67">
                  <c:v>0.40682846742256745</c:v>
                </c:pt>
                <c:pt idx="68">
                  <c:v>0.41504730163219661</c:v>
                </c:pt>
                <c:pt idx="69">
                  <c:v>0.42333614415485094</c:v>
                </c:pt>
                <c:pt idx="70">
                  <c:v>0.43169532753995749</c:v>
                </c:pt>
                <c:pt idx="71">
                  <c:v>0.44012518885126589</c:v>
                </c:pt>
                <c:pt idx="72">
                  <c:v>0.44862606970910607</c:v>
                </c:pt>
                <c:pt idx="73">
                  <c:v>0.45719831633339963</c:v>
                </c:pt>
                <c:pt idx="74">
                  <c:v>0.46584227958743524</c:v>
                </c:pt>
                <c:pt idx="75">
                  <c:v>0.47455831502241985</c:v>
                </c:pt>
                <c:pt idx="76">
                  <c:v>0.48334678292281696</c:v>
                </c:pt>
                <c:pt idx="77">
                  <c:v>0.49220804835248511</c:v>
                </c:pt>
                <c:pt idx="78">
                  <c:v>0.50114248120162497</c:v>
                </c:pt>
                <c:pt idx="79">
                  <c:v>0.51015045623455157</c:v>
                </c:pt>
                <c:pt idx="80">
                  <c:v>0.51923235313830163</c:v>
                </c:pt>
                <c:pt idx="81">
                  <c:v>0.52838855657208816</c:v>
                </c:pt>
                <c:pt idx="82">
                  <c:v>0.53761945621761897</c:v>
                </c:pt>
                <c:pt idx="83">
                  <c:v>0.54692544683028799</c:v>
                </c:pt>
                <c:pt idx="84">
                  <c:v>0.55630692829125528</c:v>
                </c:pt>
                <c:pt idx="85">
                  <c:v>0.56576430566043034</c:v>
                </c:pt>
                <c:pt idx="86">
                  <c:v>0.57529798923037212</c:v>
                </c:pt>
                <c:pt idx="87">
                  <c:v>0.5849083945811191</c:v>
                </c:pt>
                <c:pt idx="88">
                  <c:v>0.59459594263596593</c:v>
                </c:pt>
                <c:pt idx="89">
                  <c:v>0.60436105971820209</c:v>
                </c:pt>
                <c:pt idx="90">
                  <c:v>0.61420417760882606</c:v>
                </c:pt>
                <c:pt idx="91">
                  <c:v>0.62412573360525259</c:v>
                </c:pt>
                <c:pt idx="92">
                  <c:v>0.63412617058102982</c:v>
                </c:pt>
                <c:pt idx="93">
                  <c:v>0.64420593704657869</c:v>
                </c:pt>
                <c:pt idx="94">
                  <c:v>0.6543654872109782</c:v>
                </c:pt>
                <c:pt idx="95">
                  <c:v>0.66460528104480787</c:v>
                </c:pt>
                <c:pt idx="96">
                  <c:v>0.67492578434406814</c:v>
                </c:pt>
                <c:pt idx="97">
                  <c:v>0.68532746879519468</c:v>
                </c:pt>
                <c:pt idx="98">
                  <c:v>0.695810812041189</c:v>
                </c:pt>
                <c:pt idx="99">
                  <c:v>0.70637629774887789</c:v>
                </c:pt>
                <c:pt idx="100">
                  <c:v>0.71702441567732667</c:v>
                </c:pt>
                <c:pt idx="101">
                  <c:v>0.72775566174742412</c:v>
                </c:pt>
                <c:pt idx="102">
                  <c:v>0.73857053811265638</c:v>
                </c:pt>
                <c:pt idx="103">
                  <c:v>0.74946955323109465</c:v>
                </c:pt>
                <c:pt idx="104">
                  <c:v>0.76045322193861586</c:v>
                </c:pt>
                <c:pt idx="105">
                  <c:v>0.7715220655233751</c:v>
                </c:pt>
                <c:pt idx="106">
                  <c:v>0.78267661180155734</c:v>
                </c:pt>
                <c:pt idx="107">
                  <c:v>0.79391739519442417</c:v>
                </c:pt>
                <c:pt idx="108">
                  <c:v>0.80524495680668617</c:v>
                </c:pt>
                <c:pt idx="109">
                  <c:v>0.81665984450621443</c:v>
                </c:pt>
                <c:pt idx="110">
                  <c:v>0.82816261300512584</c:v>
                </c:pt>
                <c:pt idx="111">
                  <c:v>0.8397538239422585</c:v>
                </c:pt>
                <c:pt idx="112">
                  <c:v>0.85143404596706473</c:v>
                </c:pt>
                <c:pt idx="113">
                  <c:v>0.86320385482494899</c:v>
                </c:pt>
                <c:pt idx="114">
                  <c:v>0.87506383344407468</c:v>
                </c:pt>
                <c:pt idx="115">
                  <c:v>0.88701457202366596</c:v>
                </c:pt>
                <c:pt idx="116">
                  <c:v>0.89905666812383389</c:v>
                </c:pt>
                <c:pt idx="117">
                  <c:v>0.91119072675695445</c:v>
                </c:pt>
                <c:pt idx="118">
                  <c:v>0.92341736048062406</c:v>
                </c:pt>
                <c:pt idx="119">
                  <c:v>0.93573718949222395</c:v>
                </c:pt>
                <c:pt idx="120">
                  <c:v>0.94815084172512665</c:v>
                </c:pt>
                <c:pt idx="121">
                  <c:v>0.96065895294656545</c:v>
                </c:pt>
                <c:pt idx="122">
                  <c:v>0.97326216685720812</c:v>
                </c:pt>
                <c:pt idx="123">
                  <c:v>0.98596113519246087</c:v>
                </c:pt>
                <c:pt idx="124">
                  <c:v>0.99875651782553643</c:v>
                </c:pt>
                <c:pt idx="125">
                  <c:v>1.011648982872319</c:v>
                </c:pt>
                <c:pt idx="126">
                  <c:v>1.0246392067980623</c:v>
                </c:pt>
                <c:pt idx="127">
                  <c:v>1.0377278745259528</c:v>
                </c:pt>
                <c:pt idx="128">
                  <c:v>1.0509156795475725</c:v>
                </c:pt>
                <c:pt idx="129">
                  <c:v>1.0642033240353066</c:v>
                </c:pt>
                <c:pt idx="130">
                  <c:v>1.0775915189567156</c:v>
                </c:pt>
                <c:pt idx="131">
                  <c:v>1.0910809841909341</c:v>
                </c:pt>
                <c:pt idx="132">
                  <c:v>1.1046724486471093</c:v>
                </c:pt>
                <c:pt idx="133">
                  <c:v>1.1183666503849412</c:v>
                </c:pt>
                <c:pt idx="134">
                  <c:v>1.1321643367373475</c:v>
                </c:pt>
                <c:pt idx="135">
                  <c:v>1.1460662644353128</c:v>
                </c:pt>
                <c:pt idx="136">
                  <c:v>1.1600731997349456</c:v>
                </c:pt>
                <c:pt idx="137">
                  <c:v>1.1741859185467993</c:v>
                </c:pt>
                <c:pt idx="138">
                  <c:v>1.1884052065675048</c:v>
                </c:pt>
                <c:pt idx="139">
                  <c:v>1.2027318594137433</c:v>
                </c:pt>
                <c:pt idx="140">
                  <c:v>1.2171666827586256</c:v>
                </c:pt>
                <c:pt idx="141">
                  <c:v>1.2317104924705136</c:v>
                </c:pt>
                <c:pt idx="142">
                  <c:v>1.2463641147543387</c:v>
                </c:pt>
                <c:pt idx="143">
                  <c:v>1.2611283862954621</c:v>
                </c:pt>
                <c:pt idx="144">
                  <c:v>1.276004154406134</c:v>
                </c:pt>
                <c:pt idx="145">
                  <c:v>1.290992277174603</c:v>
                </c:pt>
                <c:pt idx="146">
                  <c:v>1.3060936236169214</c:v>
                </c:pt>
                <c:pt idx="147">
                  <c:v>1.3213090738315181</c:v>
                </c:pt>
                <c:pt idx="148">
                  <c:v>1.3366395191565761</c:v>
                </c:pt>
                <c:pt idx="149">
                  <c:v>1.3520858623302896</c:v>
                </c:pt>
                <c:pt idx="150">
                  <c:v>1.3676490176540459</c:v>
                </c:pt>
                <c:pt idx="151">
                  <c:v>1.3833299111586044</c:v>
                </c:pt>
                <c:pt idx="152">
                  <c:v>1.3991294807733241</c:v>
                </c:pt>
                <c:pt idx="153">
                  <c:v>1.4150486764985106</c:v>
                </c:pt>
                <c:pt idx="154">
                  <c:v>1.4310884605809484</c:v>
                </c:pt>
                <c:pt idx="155">
                  <c:v>1.4472498076926739</c:v>
                </c:pt>
                <c:pt idx="156">
                  <c:v>1.4635337051130723</c:v>
                </c:pt>
                <c:pt idx="157">
                  <c:v>1.4799411529143631</c:v>
                </c:pt>
                <c:pt idx="158">
                  <c:v>1.496473164150534</c:v>
                </c:pt>
                <c:pt idx="159">
                  <c:v>1.5131307650498185</c:v>
                </c:pt>
                <c:pt idx="160">
                  <c:v>1.5299149952107747</c:v>
                </c:pt>
                <c:pt idx="161">
                  <c:v>1.5468269078020487</c:v>
                </c:pt>
                <c:pt idx="162">
                  <c:v>1.5638675697659024</c:v>
                </c:pt>
                <c:pt idx="163">
                  <c:v>1.5810380620255879</c:v>
                </c:pt>
                <c:pt idx="164">
                  <c:v>1.5983394796966448</c:v>
                </c:pt>
                <c:pt idx="165">
                  <c:v>1.6157729323022143</c:v>
                </c:pt>
                <c:pt idx="166">
                  <c:v>1.633339543992447</c:v>
                </c:pt>
                <c:pt idx="167">
                  <c:v>1.6510404537681118</c:v>
                </c:pt>
                <c:pt idx="168">
                  <c:v>1.6688768157084679</c:v>
                </c:pt>
                <c:pt idx="169">
                  <c:v>1.6868497992035298</c:v>
                </c:pt>
                <c:pt idx="170">
                  <c:v>1.7049605891907915</c:v>
                </c:pt>
                <c:pt idx="171">
                  <c:v>1.7232103863965231</c:v>
                </c:pt>
                <c:pt idx="172">
                  <c:v>1.7416004075817448</c:v>
                </c:pt>
                <c:pt idx="173">
                  <c:v>1.7601318857929684</c:v>
                </c:pt>
                <c:pt idx="174">
                  <c:v>1.7788060706178255</c:v>
                </c:pt>
                <c:pt idx="175">
                  <c:v>1.7976242284456856</c:v>
                </c:pt>
                <c:pt idx="176">
                  <c:v>1.8165876427333789</c:v>
                </c:pt>
                <c:pt idx="177">
                  <c:v>1.8356976142761401</c:v>
                </c:pt>
                <c:pt idx="178">
                  <c:v>1.8549554614838815</c:v>
                </c:pt>
                <c:pt idx="179">
                  <c:v>1.8743625206629357</c:v>
                </c:pt>
                <c:pt idx="180">
                  <c:v>1.8939201463033724</c:v>
                </c:pt>
                <c:pt idx="181">
                  <c:v>1.9136297113720317</c:v>
                </c:pt>
                <c:pt idx="182">
                  <c:v>1.9334926076113912</c:v>
                </c:pt>
                <c:pt idx="183">
                  <c:v>1.9535102458444209</c:v>
                </c:pt>
                <c:pt idx="184">
                  <c:v>1.97368405628554</c:v>
                </c:pt>
                <c:pt idx="185">
                  <c:v>1.9940154888578419</c:v>
                </c:pt>
                <c:pt idx="186">
                  <c:v>2.0145060135167103</c:v>
                </c:pt>
                <c:pt idx="187">
                  <c:v>2.0351571205799934</c:v>
                </c:pt>
                <c:pt idx="188">
                  <c:v>2.0559703210648834</c:v>
                </c:pt>
                <c:pt idx="189">
                  <c:v>2.0769471470316501</c:v>
                </c:pt>
                <c:pt idx="190">
                  <c:v>2.0980891519344147</c:v>
                </c:pt>
                <c:pt idx="191">
                  <c:v>2.1193979109790959</c:v>
                </c:pt>
                <c:pt idx="192">
                  <c:v>2.1408750214887364</c:v>
                </c:pt>
                <c:pt idx="193">
                  <c:v>2.1625221032763497</c:v>
                </c:pt>
                <c:pt idx="194">
                  <c:v>2.1843407990254962</c:v>
                </c:pt>
                <c:pt idx="195">
                  <c:v>2.206332774678764</c:v>
                </c:pt>
                <c:pt idx="196">
                  <c:v>2.2284997198343293</c:v>
                </c:pt>
                <c:pt idx="197">
                  <c:v>2.2508433481508288</c:v>
                </c:pt>
                <c:pt idx="198">
                  <c:v>2.2733653977606965</c:v>
                </c:pt>
                <c:pt idx="199">
                  <c:v>2.2960676316922242</c:v>
                </c:pt>
                <c:pt idx="200">
                  <c:v>2.3189518383005141</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88.666435767967272</c:v>
                </c:pt>
                <c:pt idx="1">
                  <c:v>82.645836227313765</c:v>
                </c:pt>
                <c:pt idx="2">
                  <c:v>79.124011667243636</c:v>
                </c:pt>
                <c:pt idx="3">
                  <c:v>76.6252378045385</c:v>
                </c:pt>
                <c:pt idx="4">
                  <c:v>74.68703866225556</c:v>
                </c:pt>
                <c:pt idx="5">
                  <c:v>73.103415107598536</c:v>
                </c:pt>
                <c:pt idx="6">
                  <c:v>71.764480929698962</c:v>
                </c:pt>
                <c:pt idx="7">
                  <c:v>70.60464385327505</c:v>
                </c:pt>
                <c:pt idx="8">
                  <c:v>69.581595515874312</c:v>
                </c:pt>
                <c:pt idx="9">
                  <c:v>68.666448064624674</c:v>
                </c:pt>
                <c:pt idx="10">
                  <c:v>62.645885413888784</c:v>
                </c:pt>
                <c:pt idx="11">
                  <c:v>59.124122336832599</c:v>
                </c:pt>
                <c:pt idx="12">
                  <c:v>56.625434549964638</c:v>
                </c:pt>
                <c:pt idx="13">
                  <c:v>54.687346075959773</c:v>
                </c:pt>
                <c:pt idx="14">
                  <c:v>53.103857781530138</c:v>
                </c:pt>
                <c:pt idx="15">
                  <c:v>51.765083455206529</c:v>
                </c:pt>
                <c:pt idx="16">
                  <c:v>50.605430820997228</c:v>
                </c:pt>
                <c:pt idx="17">
                  <c:v>49.582591515630618</c:v>
                </c:pt>
                <c:pt idx="18">
                  <c:v>48.667677685306366</c:v>
                </c:pt>
                <c:pt idx="19">
                  <c:v>42.650803350661846</c:v>
                </c:pt>
                <c:pt idx="20">
                  <c:v>39.135185648910543</c:v>
                </c:pt>
                <c:pt idx="21">
                  <c:v>36.645097575107684</c:v>
                </c:pt>
                <c:pt idx="22">
                  <c:v>34.718059353496031</c:v>
                </c:pt>
                <c:pt idx="23">
                  <c:v>33.148066986902293</c:v>
                </c:pt>
                <c:pt idx="24">
                  <c:v>31.825228349227753</c:v>
                </c:pt>
                <c:pt idx="25">
                  <c:v>30.683944216919773</c:v>
                </c:pt>
                <c:pt idx="26">
                  <c:v>29.68189826703393</c:v>
                </c:pt>
                <c:pt idx="27">
                  <c:v>28.790193697699628</c:v>
                </c:pt>
                <c:pt idx="28">
                  <c:v>25.421827010103904</c:v>
                </c:pt>
                <c:pt idx="29">
                  <c:v>23.135671867648551</c:v>
                </c:pt>
                <c:pt idx="30">
                  <c:v>21.467222203360365</c:v>
                </c:pt>
                <c:pt idx="31">
                  <c:v>20.208116554832763</c:v>
                </c:pt>
                <c:pt idx="32">
                  <c:v>19.245919406835739</c:v>
                </c:pt>
                <c:pt idx="33">
                  <c:v>18.512445155705976</c:v>
                </c:pt>
                <c:pt idx="34">
                  <c:v>17.962878870226653</c:v>
                </c:pt>
                <c:pt idx="35">
                  <c:v>17.566025349485937</c:v>
                </c:pt>
                <c:pt idx="36">
                  <c:v>17.299263396055469</c:v>
                </c:pt>
                <c:pt idx="37">
                  <c:v>17.14572382140879</c:v>
                </c:pt>
                <c:pt idx="38">
                  <c:v>17.092609618774681</c:v>
                </c:pt>
                <c:pt idx="39">
                  <c:v>17.130141496300229</c:v>
                </c:pt>
                <c:pt idx="40">
                  <c:v>17.250862340519088</c:v>
                </c:pt>
                <c:pt idx="41">
                  <c:v>17.449152712391683</c:v>
                </c:pt>
                <c:pt idx="42">
                  <c:v>17.720867021046391</c:v>
                </c:pt>
                <c:pt idx="43">
                  <c:v>18.063025803126919</c:v>
                </c:pt>
                <c:pt idx="44">
                  <c:v>18.473505201228139</c:v>
                </c:pt>
                <c:pt idx="45">
                  <c:v>18.950653002367773</c:v>
                </c:pt>
                <c:pt idx="46">
                  <c:v>19.492728205812664</c:v>
                </c:pt>
                <c:pt idx="47">
                  <c:v>20.096999966600002</c:v>
                </c:pt>
                <c:pt idx="48">
                  <c:v>20.758242511542647</c:v>
                </c:pt>
                <c:pt idx="49">
                  <c:v>21.466230777783931</c:v>
                </c:pt>
                <c:pt idx="50">
                  <c:v>22.20175493452566</c:v>
                </c:pt>
                <c:pt idx="51">
                  <c:v>22.930935444059209</c:v>
                </c:pt>
                <c:pt idx="52">
                  <c:v>23.599021772148806</c:v>
                </c:pt>
                <c:pt idx="53">
                  <c:v>24.12848142150791</c:v>
                </c:pt>
                <c:pt idx="54">
                  <c:v>24.430758290753076</c:v>
                </c:pt>
                <c:pt idx="55">
                  <c:v>24.437540839122196</c:v>
                </c:pt>
                <c:pt idx="56">
                  <c:v>24.136130709292907</c:v>
                </c:pt>
                <c:pt idx="57">
                  <c:v>23.57655532076247</c:v>
                </c:pt>
                <c:pt idx="58">
                  <c:v>22.842768927383048</c:v>
                </c:pt>
                <c:pt idx="59">
                  <c:v>22.016681244975871</c:v>
                </c:pt>
                <c:pt idx="60">
                  <c:v>21.159380547787705</c:v>
                </c:pt>
                <c:pt idx="61">
                  <c:v>20.309364306212725</c:v>
                </c:pt>
                <c:pt idx="62">
                  <c:v>19.487989025767149</c:v>
                </c:pt>
                <c:pt idx="63">
                  <c:v>18.705559471201045</c:v>
                </c:pt>
                <c:pt idx="64">
                  <c:v>17.965875850567684</c:v>
                </c:pt>
                <c:pt idx="65">
                  <c:v>17.269147101650731</c:v>
                </c:pt>
                <c:pt idx="66">
                  <c:v>16.613723827664451</c:v>
                </c:pt>
                <c:pt idx="67">
                  <c:v>15.997086954390429</c:v>
                </c:pt>
                <c:pt idx="68">
                  <c:v>15.416394987113989</c:v>
                </c:pt>
                <c:pt idx="69">
                  <c:v>14.868777303758254</c:v>
                </c:pt>
                <c:pt idx="70">
                  <c:v>14.35148379512219</c:v>
                </c:pt>
                <c:pt idx="71">
                  <c:v>13.861954316615959</c:v>
                </c:pt>
                <c:pt idx="72">
                  <c:v>13.397844096802462</c:v>
                </c:pt>
                <c:pt idx="73">
                  <c:v>12.957025585773632</c:v>
                </c:pt>
                <c:pt idx="74">
                  <c:v>12.537578298818339</c:v>
                </c:pt>
                <c:pt idx="75">
                  <c:v>12.137773125397846</c:v>
                </c:pt>
                <c:pt idx="76">
                  <c:v>11.75605467382004</c:v>
                </c:pt>
                <c:pt idx="77">
                  <c:v>11.391023568374788</c:v>
                </c:pt>
                <c:pt idx="78">
                  <c:v>11.041419675110555</c:v>
                </c:pt>
                <c:pt idx="79">
                  <c:v>10.70610670154837</c:v>
                </c:pt>
                <c:pt idx="80">
                  <c:v>10.384058320803675</c:v>
                </c:pt>
                <c:pt idx="81">
                  <c:v>10.074345811814741</c:v>
                </c:pt>
                <c:pt idx="82">
                  <c:v>9.7761271267382313</c:v>
                </c:pt>
                <c:pt idx="83">
                  <c:v>9.4886372603808429</c:v>
                </c:pt>
                <c:pt idx="84">
                  <c:v>9.211179785154906</c:v>
                </c:pt>
                <c:pt idx="85">
                  <c:v>8.9431194170423343</c:v>
                </c:pt>
                <c:pt idx="86">
                  <c:v>8.683875486802533</c:v>
                </c:pt>
                <c:pt idx="87">
                  <c:v>8.4329162023751305</c:v>
                </c:pt>
                <c:pt idx="88">
                  <c:v>8.1897536009840426</c:v>
                </c:pt>
                <c:pt idx="89">
                  <c:v>7.953939101702602</c:v>
                </c:pt>
                <c:pt idx="90">
                  <c:v>7.7250595806165894</c:v>
                </c:pt>
                <c:pt idx="91">
                  <c:v>7.5027339009810712</c:v>
                </c:pt>
                <c:pt idx="92">
                  <c:v>7.2866098398465855</c:v>
                </c:pt>
                <c:pt idx="93">
                  <c:v>7.0763613605720828</c:v>
                </c:pt>
                <c:pt idx="94">
                  <c:v>6.8716861875325268</c:v>
                </c:pt>
                <c:pt idx="95">
                  <c:v>6.6723036452782214</c:v>
                </c:pt>
                <c:pt idx="96">
                  <c:v>6.4779527295224391</c:v>
                </c:pt>
                <c:pt idx="97">
                  <c:v>6.2883903817312792</c:v>
                </c:pt>
                <c:pt idx="98">
                  <c:v>6.1033899428634566</c:v>
                </c:pt>
                <c:pt idx="99">
                  <c:v>5.9227397650465408</c:v>
                </c:pt>
                <c:pt idx="100">
                  <c:v>5.7462419627555139</c:v>
                </c:pt>
                <c:pt idx="101">
                  <c:v>5.5737112874480985</c:v>
                </c:pt>
                <c:pt idx="102">
                  <c:v>5.4049741116648864</c:v>
                </c:pt>
                <c:pt idx="103">
                  <c:v>5.2398675103709946</c:v>
                </c:pt>
                <c:pt idx="104">
                  <c:v>5.0782384288413107</c:v>
                </c:pt>
                <c:pt idx="105">
                  <c:v>4.9199429277085818</c:v>
                </c:pt>
                <c:pt idx="106">
                  <c:v>4.7648454969337877</c:v>
                </c:pt>
                <c:pt idx="107">
                  <c:v>4.6128184314458478</c:v>
                </c:pt>
                <c:pt idx="108">
                  <c:v>4.4637412620556987</c:v>
                </c:pt>
                <c:pt idx="109">
                  <c:v>4.3175002359956718</c:v>
                </c:pt>
                <c:pt idx="110">
                  <c:v>4.1739878420853769</c:v>
                </c:pt>
                <c:pt idx="111">
                  <c:v>4.0331023760926819</c:v>
                </c:pt>
                <c:pt idx="112">
                  <c:v>3.8947475423547582</c:v>
                </c:pt>
                <c:pt idx="113">
                  <c:v>3.7588320881589836</c:v>
                </c:pt>
                <c:pt idx="114">
                  <c:v>3.6252694677649853</c:v>
                </c:pt>
                <c:pt idx="115">
                  <c:v>3.4939775332847751</c:v>
                </c:pt>
                <c:pt idx="116">
                  <c:v>3.3648782499331698</c:v>
                </c:pt>
                <c:pt idx="117">
                  <c:v>3.2378974334215722</c:v>
                </c:pt>
                <c:pt idx="118">
                  <c:v>3.1129645074982912</c:v>
                </c:pt>
                <c:pt idx="119">
                  <c:v>2.990012279842535</c:v>
                </c:pt>
                <c:pt idx="120">
                  <c:v>2.8689767346999089</c:v>
                </c:pt>
                <c:pt idx="121">
                  <c:v>2.749796840807686</c:v>
                </c:pt>
                <c:pt idx="122">
                  <c:v>2.6324143733007355</c:v>
                </c:pt>
                <c:pt idx="123">
                  <c:v>2.5167737484161852</c:v>
                </c:pt>
                <c:pt idx="124">
                  <c:v>2.4028218699280974</c:v>
                </c:pt>
                <c:pt idx="125">
                  <c:v>2.2905079863446978</c:v>
                </c:pt>
                <c:pt idx="126">
                  <c:v>2.1797835579913243</c:v>
                </c:pt>
                <c:pt idx="127">
                  <c:v>2.0706021331831423</c:v>
                </c:pt>
                <c:pt idx="128">
                  <c:v>1.9629192327647005</c:v>
                </c:pt>
                <c:pt idx="129">
                  <c:v>1.8566922423583314</c:v>
                </c:pt>
                <c:pt idx="130">
                  <c:v>1.7518803117226365</c:v>
                </c:pt>
                <c:pt idx="131">
                  <c:v>1.648444260674589</c:v>
                </c:pt>
                <c:pt idx="132">
                  <c:v>1.54634649107699</c:v>
                </c:pt>
                <c:pt idx="133">
                  <c:v>1.4455509044356882</c:v>
                </c:pt>
                <c:pt idx="134">
                  <c:v>1.3460228246900061</c:v>
                </c:pt>
                <c:pt idx="135">
                  <c:v>1.2477289258149407</c:v>
                </c:pt>
                <c:pt idx="136">
                  <c:v>1.150637163885621</c:v>
                </c:pt>
                <c:pt idx="137">
                  <c:v>1.0547167132832418</c:v>
                </c:pt>
                <c:pt idx="138">
                  <c:v>0.95993790674810819</c:v>
                </c:pt>
                <c:pt idx="139">
                  <c:v>0.86627217900909814</c:v>
                </c:pt>
                <c:pt idx="140">
                  <c:v>0.77369201374053509</c:v>
                </c:pt>
                <c:pt idx="141">
                  <c:v>0.68217089361727712</c:v>
                </c:pt>
                <c:pt idx="142">
                  <c:v>0.59168325325671189</c:v>
                </c:pt>
                <c:pt idx="143">
                  <c:v>0.50220443485279831</c:v>
                </c:pt>
                <c:pt idx="144">
                  <c:v>0.41371064632224774</c:v>
                </c:pt>
                <c:pt idx="145">
                  <c:v>0.32617892179667979</c:v>
                </c:pt>
                <c:pt idx="146">
                  <c:v>0.23958708430705727</c:v>
                </c:pt>
                <c:pt idx="147">
                  <c:v>0.15391371051815195</c:v>
                </c:pt>
                <c:pt idx="148">
                  <c:v>6.9138097381446051E-2</c:v>
                </c:pt>
                <c:pt idx="149">
                  <c:v>-1.4759769415672837E-2</c:v>
                </c:pt>
                <c:pt idx="150">
                  <c:v>-9.779924531762027E-2</c:v>
                </c:pt>
                <c:pt idx="151">
                  <c:v>-0.17999905519021608</c:v>
                </c:pt>
                <c:pt idx="152">
                  <c:v>-0.26137732012984349</c:v>
                </c:pt>
                <c:pt idx="153">
                  <c:v>-0.34195158288290256</c:v>
                </c:pt>
                <c:pt idx="154">
                  <c:v>-0.42173883195976436</c:v>
                </c:pt>
                <c:pt idx="155">
                  <c:v>-0.50075552452199146</c:v>
                </c:pt>
                <c:pt idx="156">
                  <c:v>-0.57901760811573277</c:v>
                </c:pt>
                <c:pt idx="157">
                  <c:v>-0.65654054131958561</c:v>
                </c:pt>
                <c:pt idx="158">
                  <c:v>-0.73333931337045533</c:v>
                </c:pt>
                <c:pt idx="159">
                  <c:v>-0.80942846282673242</c:v>
                </c:pt>
                <c:pt idx="160">
                  <c:v>-0.88482209532413425</c:v>
                </c:pt>
                <c:pt idx="161">
                  <c:v>-0.95953390047602061</c:v>
                </c:pt>
                <c:pt idx="162">
                  <c:v>-1.0335771679665031</c:v>
                </c:pt>
                <c:pt idx="163">
                  <c:v>-1.1069648028816175</c:v>
                </c:pt>
                <c:pt idx="164">
                  <c:v>-1.1797093403209338</c:v>
                </c:pt>
                <c:pt idx="165">
                  <c:v>-1.2518229593292278</c:v>
                </c:pt>
                <c:pt idx="166">
                  <c:v>-1.3233174961854082</c:v>
                </c:pt>
                <c:pt idx="167">
                  <c:v>-1.3942044570834733</c:v>
                </c:pt>
                <c:pt idx="168">
                  <c:v>-1.4644950302383661</c:v>
                </c:pt>
                <c:pt idx="169">
                  <c:v>-1.5342000974470758</c:v>
                </c:pt>
                <c:pt idx="170">
                  <c:v>-1.6033302451341576</c:v>
                </c:pt>
                <c:pt idx="171">
                  <c:v>-1.6718957749084558</c:v>
                </c:pt>
                <c:pt idx="172">
                  <c:v>-1.7399067136565662</c:v>
                </c:pt>
                <c:pt idx="173">
                  <c:v>-1.8073728231969877</c:v>
                </c:pt>
                <c:pt idx="174">
                  <c:v>-1.8743036095174279</c:v>
                </c:pt>
                <c:pt idx="175">
                  <c:v>-1.9407083316164353</c:v>
                </c:pt>
                <c:pt idx="176">
                  <c:v>-2.0065960099693552</c:v>
                </c:pt>
                <c:pt idx="177">
                  <c:v>-2.0719754346374049</c:v>
                </c:pt>
                <c:pt idx="178">
                  <c:v>-2.1368551730375298</c:v>
                </c:pt>
                <c:pt idx="179">
                  <c:v>-2.2012435773898615</c:v>
                </c:pt>
                <c:pt idx="180">
                  <c:v>-2.2651487918584823</c:v>
                </c:pt>
                <c:pt idx="181">
                  <c:v>-2.3285787594003344</c:v>
                </c:pt>
                <c:pt idx="182">
                  <c:v>-2.3915412283364983</c:v>
                </c:pt>
                <c:pt idx="183">
                  <c:v>-2.4540437586589468</c:v>
                </c:pt>
                <c:pt idx="184">
                  <c:v>-2.5160937280854241</c:v>
                </c:pt>
                <c:pt idx="185">
                  <c:v>-2.5776983378742768</c:v>
                </c:pt>
                <c:pt idx="186">
                  <c:v>-2.6388646184105764</c:v>
                </c:pt>
                <c:pt idx="187">
                  <c:v>-2.6995994345739676</c:v>
                </c:pt>
                <c:pt idx="188">
                  <c:v>-2.7599094908984627</c:v>
                </c:pt>
                <c:pt idx="189">
                  <c:v>-2.8198013365336783</c:v>
                </c:pt>
                <c:pt idx="190">
                  <c:v>-2.8792813700164728</c:v>
                </c:pt>
                <c:pt idx="191">
                  <c:v>-2.9383558438616442</c:v>
                </c:pt>
                <c:pt idx="192">
                  <c:v>-2.9970308689797207</c:v>
                </c:pt>
                <c:pt idx="193">
                  <c:v>-3.0553124189295606</c:v>
                </c:pt>
                <c:pt idx="194">
                  <c:v>-3.113206334013082</c:v>
                </c:pt>
                <c:pt idx="195">
                  <c:v>-3.1707183252190951</c:v>
                </c:pt>
                <c:pt idx="196">
                  <c:v>-3.2278539780226607</c:v>
                </c:pt>
                <c:pt idx="197">
                  <c:v>-3.2846187560464446</c:v>
                </c:pt>
                <c:pt idx="198">
                  <c:v>-3.3410180045898192</c:v>
                </c:pt>
                <c:pt idx="199">
                  <c:v>-3.3970569540314957</c:v>
                </c:pt>
                <c:pt idx="200">
                  <c:v>-3.4527407231109715</c:v>
                </c:pt>
                <c:pt idx="201">
                  <c:v>-3.5080743220939463</c:v>
                </c:pt>
                <c:pt idx="202">
                  <c:v>-3.5630626558265326</c:v>
                </c:pt>
                <c:pt idx="203">
                  <c:v>-3.6177105266829424</c:v>
                </c:pt>
                <c:pt idx="204">
                  <c:v>-3.6720226374109761</c:v>
                </c:pt>
                <c:pt idx="205">
                  <c:v>-3.7260035938795961</c:v>
                </c:pt>
                <c:pt idx="206">
                  <c:v>-3.7796579077324992</c:v>
                </c:pt>
                <c:pt idx="207">
                  <c:v>-3.8329899989515708</c:v>
                </c:pt>
                <c:pt idx="208">
                  <c:v>-3.8860041983338056</c:v>
                </c:pt>
                <c:pt idx="209">
                  <c:v>-3.9387047498851557</c:v>
                </c:pt>
                <c:pt idx="210">
                  <c:v>-3.9910958131346606</c:v>
                </c:pt>
                <c:pt idx="211">
                  <c:v>-4.0431814653719345</c:v>
                </c:pt>
                <c:pt idx="212">
                  <c:v>-4.0949657038111278</c:v>
                </c:pt>
                <c:pt idx="213">
                  <c:v>-4.1464524476840845</c:v>
                </c:pt>
                <c:pt idx="214">
                  <c:v>-4.1976455402655999</c:v>
                </c:pt>
                <c:pt idx="215">
                  <c:v>-4.2485487508332742</c:v>
                </c:pt>
                <c:pt idx="216">
                  <c:v>-4.2991657765645632</c:v>
                </c:pt>
                <c:pt idx="217">
                  <c:v>-4.3495002443733313</c:v>
                </c:pt>
                <c:pt idx="218">
                  <c:v>-4.3995557126882581</c:v>
                </c:pt>
                <c:pt idx="219">
                  <c:v>-4.4493356731752849</c:v>
                </c:pt>
                <c:pt idx="220">
                  <c:v>-4.4988435524061279</c:v>
                </c:pt>
                <c:pt idx="221">
                  <c:v>-4.5480827134749946</c:v>
                </c:pt>
                <c:pt idx="222">
                  <c:v>-4.5970564575652242</c:v>
                </c:pt>
                <c:pt idx="223">
                  <c:v>-4.6457680254679445</c:v>
                </c:pt>
                <c:pt idx="224">
                  <c:v>-4.6942205990542103</c:v>
                </c:pt>
                <c:pt idx="225">
                  <c:v>-4.7424173027025933</c:v>
                </c:pt>
                <c:pt idx="226">
                  <c:v>-5.2109604006490384</c:v>
                </c:pt>
                <c:pt idx="227">
                  <c:v>-5.6569748633214099</c:v>
                </c:pt>
                <c:pt idx="228">
                  <c:v>-6.0828196016413401</c:v>
                </c:pt>
                <c:pt idx="229">
                  <c:v>-6.4905029144373856</c:v>
                </c:pt>
                <c:pt idx="230">
                  <c:v>-6.8817489816356803</c:v>
                </c:pt>
                <c:pt idx="231">
                  <c:v>-7.2580492362594349</c:v>
                </c:pt>
                <c:pt idx="232">
                  <c:v>-7.6207025674692854</c:v>
                </c:pt>
                <c:pt idx="233">
                  <c:v>-7.970847152918048</c:v>
                </c:pt>
                <c:pt idx="234">
                  <c:v>-8.3094859337286824</c:v>
                </c:pt>
                <c:pt idx="235">
                  <c:v>-8.6375072020724275</c:v>
                </c:pt>
                <c:pt idx="236">
                  <c:v>-8.9557013891969053</c:v>
                </c:pt>
                <c:pt idx="237">
                  <c:v>-9.264774869027697</c:v>
                </c:pt>
                <c:pt idx="238">
                  <c:v>-9.5653613951658514</c:v>
                </c:pt>
                <c:pt idx="239">
                  <c:v>-9.8580316445651199</c:v>
                </c:pt>
                <c:pt idx="240">
                  <c:v>-10.143301234048101</c:v>
                </c:pt>
                <c:pt idx="241">
                  <c:v>-10.421637495558706</c:v>
                </c:pt>
                <c:pt idx="242">
                  <c:v>-10.693465235303631</c:v>
                </c:pt>
                <c:pt idx="243">
                  <c:v>-10.959171655524756</c:v>
                </c:pt>
                <c:pt idx="244">
                  <c:v>-11.219110581871149</c:v>
                </c:pt>
                <c:pt idx="245">
                  <c:v>-11.473606111534531</c:v>
                </c:pt>
                <c:pt idx="246">
                  <c:v>-11.722955775532615</c:v>
                </c:pt>
                <c:pt idx="247">
                  <c:v>-11.967433291338583</c:v>
                </c:pt>
                <c:pt idx="248">
                  <c:v>-12.207290968398986</c:v>
                </c:pt>
                <c:pt idx="249">
                  <c:v>-12.44276181816106</c:v>
                </c:pt>
                <c:pt idx="250">
                  <c:v>-12.674061411440977</c:v>
                </c:pt>
                <c:pt idx="251">
                  <c:v>-12.901389518850126</c:v>
                </c:pt>
                <c:pt idx="252">
                  <c:v>-13.124931564205156</c:v>
                </c:pt>
                <c:pt idx="253">
                  <c:v>-13.344859916108714</c:v>
                </c:pt>
                <c:pt idx="254">
                  <c:v>-13.56133503899056</c:v>
                </c:pt>
                <c:pt idx="255">
                  <c:v>-13.77450652167823</c:v>
                </c:pt>
                <c:pt idx="256">
                  <c:v>-13.9845139988931</c:v>
                </c:pt>
                <c:pt idx="257">
                  <c:v>-14.19148797883903</c:v>
                </c:pt>
                <c:pt idx="258">
                  <c:v>-14.395550588184687</c:v>
                </c:pt>
                <c:pt idx="259">
                  <c:v>-14.596816244172622</c:v>
                </c:pt>
                <c:pt idx="260">
                  <c:v>-14.795392262264766</c:v>
                </c:pt>
                <c:pt idx="261">
                  <c:v>-14.991379406613843</c:v>
                </c:pt>
                <c:pt idx="262">
                  <c:v>-15.184872389697981</c:v>
                </c:pt>
                <c:pt idx="263">
                  <c:v>-15.375960326644245</c:v>
                </c:pt>
                <c:pt idx="264">
                  <c:v>-15.564727149072471</c:v>
                </c:pt>
                <c:pt idx="265">
                  <c:v>-15.751251982695303</c:v>
                </c:pt>
                <c:pt idx="266">
                  <c:v>-15.93560949239748</c:v>
                </c:pt>
                <c:pt idx="267">
                  <c:v>-16.117870198075359</c:v>
                </c:pt>
                <c:pt idx="268">
                  <c:v>-16.298100764134578</c:v>
                </c:pt>
                <c:pt idx="269">
                  <c:v>-16.476364265211831</c:v>
                </c:pt>
                <c:pt idx="270">
                  <c:v>-16.652720430397469</c:v>
                </c:pt>
                <c:pt idx="271">
                  <c:v>-16.827225867983778</c:v>
                </c:pt>
                <c:pt idx="272">
                  <c:v>-16.999934272543385</c:v>
                </c:pt>
                <c:pt idx="273">
                  <c:v>-17.170896615949069</c:v>
                </c:pt>
                <c:pt idx="274">
                  <c:v>-17.340161323776702</c:v>
                </c:pt>
                <c:pt idx="275">
                  <c:v>-17.507774438383741</c:v>
                </c:pt>
                <c:pt idx="276">
                  <c:v>-17.673779769823955</c:v>
                </c:pt>
                <c:pt idx="277">
                  <c:v>-17.838219035642652</c:v>
                </c:pt>
                <c:pt idx="278">
                  <c:v>-18.001131990493537</c:v>
                </c:pt>
                <c:pt idx="279">
                  <c:v>-18.162556546426831</c:v>
                </c:pt>
                <c:pt idx="280">
                  <c:v>-18.322528884616837</c:v>
                </c:pt>
                <c:pt idx="281">
                  <c:v>-18.481083559224651</c:v>
                </c:pt>
                <c:pt idx="282">
                  <c:v>-18.638253594027027</c:v>
                </c:pt>
                <c:pt idx="283">
                  <c:v>-18.794070572384484</c:v>
                </c:pt>
                <c:pt idx="284">
                  <c:v>-18.948564721070067</c:v>
                </c:pt>
                <c:pt idx="285">
                  <c:v>-19.101764988433374</c:v>
                </c:pt>
                <c:pt idx="286">
                  <c:v>-19.253699117333181</c:v>
                </c:pt>
                <c:pt idx="287">
                  <c:v>-19.404393713233912</c:v>
                </c:pt>
                <c:pt idx="288">
                  <c:v>-19.553874307827584</c:v>
                </c:pt>
                <c:pt idx="289">
                  <c:v>-19.702165418512301</c:v>
                </c:pt>
                <c:pt idx="290">
                  <c:v>-19.849290604030553</c:v>
                </c:pt>
                <c:pt idx="291">
                  <c:v>-19.995272516545629</c:v>
                </c:pt>
                <c:pt idx="292">
                  <c:v>-20.140132950411854</c:v>
                </c:pt>
                <c:pt idx="293">
                  <c:v>-20.283892887873549</c:v>
                </c:pt>
                <c:pt idx="294">
                  <c:v>-20.42657254190906</c:v>
                </c:pt>
                <c:pt idx="295">
                  <c:v>-20.568191396419174</c:v>
                </c:pt>
                <c:pt idx="296">
                  <c:v>-20.708768243943506</c:v>
                </c:pt>
                <c:pt idx="297">
                  <c:v>-20.848321221074517</c:v>
                </c:pt>
                <c:pt idx="298">
                  <c:v>-20.986867841725815</c:v>
                </c:pt>
                <c:pt idx="299">
                  <c:v>-21.124425028399347</c:v>
                </c:pt>
                <c:pt idx="300">
                  <c:v>-21.261009141585738</c:v>
                </c:pt>
                <c:pt idx="301">
                  <c:v>-21.396636007421467</c:v>
                </c:pt>
                <c:pt idx="302">
                  <c:v>-21.531320943718107</c:v>
                </c:pt>
                <c:pt idx="303">
                  <c:v>-21.665078784470019</c:v>
                </c:pt>
                <c:pt idx="304">
                  <c:v>-21.79792390293947</c:v>
                </c:pt>
                <c:pt idx="305">
                  <c:v>-21.929870233410988</c:v>
                </c:pt>
                <c:pt idx="306">
                  <c:v>-22.06093129170025</c:v>
                </c:pt>
                <c:pt idx="307">
                  <c:v>-22.191120194496833</c:v>
                </c:pt>
                <c:pt idx="308">
                  <c:v>-22.320449677614636</c:v>
                </c:pt>
                <c:pt idx="309">
                  <c:v>-22.448932113218621</c:v>
                </c:pt>
                <c:pt idx="310">
                  <c:v>-22.576579526091841</c:v>
                </c:pt>
                <c:pt idx="311">
                  <c:v>-22.703403609002422</c:v>
                </c:pt>
                <c:pt idx="312">
                  <c:v>-22.829415737225965</c:v>
                </c:pt>
                <c:pt idx="313">
                  <c:v>-22.954626982275308</c:v>
                </c:pt>
                <c:pt idx="314">
                  <c:v>-23.079048124885876</c:v>
                </c:pt>
                <c:pt idx="315">
                  <c:v>-23.202689667302018</c:v>
                </c:pt>
                <c:pt idx="316">
                  <c:v>-23.325561844906247</c:v>
                </c:pt>
                <c:pt idx="317">
                  <c:v>-23.44767463723101</c:v>
                </c:pt>
                <c:pt idx="318">
                  <c:v>-23.569037778389713</c:v>
                </c:pt>
                <c:pt idx="319">
                  <c:v>-23.689660766961627</c:v>
                </c:pt>
                <c:pt idx="320">
                  <c:v>-23.809552875362698</c:v>
                </c:pt>
                <c:pt idx="321">
                  <c:v>-23.928723158732687</c:v>
                </c:pt>
                <c:pt idx="322">
                  <c:v>-24.047180463366793</c:v>
                </c:pt>
                <c:pt idx="323">
                  <c:v>-24.164933434718211</c:v>
                </c:pt>
                <c:pt idx="324">
                  <c:v>-24.281990524996495</c:v>
                </c:pt>
                <c:pt idx="325">
                  <c:v>-24.398360000384969</c:v>
                </c:pt>
                <c:pt idx="326">
                  <c:v>-24.514049947899025</c:v>
                </c:pt>
                <c:pt idx="327">
                  <c:v>-24.629068281905674</c:v>
                </c:pt>
                <c:pt idx="328">
                  <c:v>-24.743422750323649</c:v>
                </c:pt>
                <c:pt idx="329">
                  <c:v>-24.857120940521984</c:v>
                </c:pt>
                <c:pt idx="330">
                  <c:v>-24.970170284934099</c:v>
                </c:pt>
                <c:pt idx="331">
                  <c:v>-25.082578066403109</c:v>
                </c:pt>
                <c:pt idx="332">
                  <c:v>-25.19435142327346</c:v>
                </c:pt>
                <c:pt idx="333">
                  <c:v>-25.305497354242775</c:v>
                </c:pt>
                <c:pt idx="334">
                  <c:v>-25.416022722987176</c:v>
                </c:pt>
                <c:pt idx="335">
                  <c:v>-25.525934262572388</c:v>
                </c:pt>
                <c:pt idx="336">
                  <c:v>-25.635238579662424</c:v>
                </c:pt>
                <c:pt idx="337">
                  <c:v>-25.74394215853664</c:v>
                </c:pt>
                <c:pt idx="338">
                  <c:v>-25.8520513649256</c:v>
                </c:pt>
                <c:pt idx="339">
                  <c:v>-25.959572449675431</c:v>
                </c:pt>
                <c:pt idx="340">
                  <c:v>-26.066511552249743</c:v>
                </c:pt>
                <c:pt idx="341">
                  <c:v>-26.172874704077888</c:v>
                </c:pt>
                <c:pt idx="342">
                  <c:v>-26.278667831757424</c:v>
                </c:pt>
                <c:pt idx="343">
                  <c:v>-26.383896760118702</c:v>
                </c:pt>
                <c:pt idx="344">
                  <c:v>-26.488567215158479</c:v>
                </c:pt>
                <c:pt idx="345">
                  <c:v>-26.592684826849641</c:v>
                </c:pt>
                <c:pt idx="346">
                  <c:v>-26.696255131833183</c:v>
                </c:pt>
                <c:pt idx="347">
                  <c:v>-26.799283575998651</c:v>
                </c:pt>
                <c:pt idx="348">
                  <c:v>-26.901775516958658</c:v>
                </c:pt>
                <c:pt idx="349">
                  <c:v>-27.003736226422799</c:v>
                </c:pt>
                <c:pt idx="350">
                  <c:v>-27.105170892476234</c:v>
                </c:pt>
                <c:pt idx="351">
                  <c:v>-27.206084621767424</c:v>
                </c:pt>
                <c:pt idx="352">
                  <c:v>-27.30648244160982</c:v>
                </c:pt>
                <c:pt idx="353">
                  <c:v>-27.4063693020016</c:v>
                </c:pt>
                <c:pt idx="354">
                  <c:v>-27.505750077567495</c:v>
                </c:pt>
                <c:pt idx="355">
                  <c:v>-27.604629569426635</c:v>
                </c:pt>
                <c:pt idx="356">
                  <c:v>-27.703012506989872</c:v>
                </c:pt>
                <c:pt idx="357">
                  <c:v>-27.800903549690034</c:v>
                </c:pt>
                <c:pt idx="358">
                  <c:v>-27.898307288648372</c:v>
                </c:pt>
                <c:pt idx="359">
                  <c:v>-27.995228248280135</c:v>
                </c:pt>
                <c:pt idx="360">
                  <c:v>-28.091670887842284</c:v>
                </c:pt>
                <c:pt idx="361">
                  <c:v>-28.187639602925966</c:v>
                </c:pt>
                <c:pt idx="362">
                  <c:v>-28.283138726896347</c:v>
                </c:pt>
                <c:pt idx="363">
                  <c:v>-28.378172532282264</c:v>
                </c:pt>
                <c:pt idx="364">
                  <c:v>-28.472745232118008</c:v>
                </c:pt>
                <c:pt idx="365">
                  <c:v>-28.566860981239387</c:v>
                </c:pt>
                <c:pt idx="366">
                  <c:v>-28.660523877536193</c:v>
                </c:pt>
                <c:pt idx="367">
                  <c:v>-28.753737963162994</c:v>
                </c:pt>
                <c:pt idx="368">
                  <c:v>-28.846507225710095</c:v>
                </c:pt>
                <c:pt idx="369">
                  <c:v>-28.93883559933656</c:v>
                </c:pt>
                <c:pt idx="370">
                  <c:v>-29.030726965866748</c:v>
                </c:pt>
                <c:pt idx="371">
                  <c:v>-29.122185155852151</c:v>
                </c:pt>
                <c:pt idx="372">
                  <c:v>-29.213213949599979</c:v>
                </c:pt>
                <c:pt idx="373">
                  <c:v>-29.303817078169828</c:v>
                </c:pt>
                <c:pt idx="374">
                  <c:v>-29.393998224339906</c:v>
                </c:pt>
                <c:pt idx="375">
                  <c:v>-29.483761023544069</c:v>
                </c:pt>
                <c:pt idx="376">
                  <c:v>-29.573109064780873</c:v>
                </c:pt>
                <c:pt idx="377">
                  <c:v>-29.662045891495783</c:v>
                </c:pt>
                <c:pt idx="378">
                  <c:v>-29.750575002437699</c:v>
                </c:pt>
                <c:pt idx="379">
                  <c:v>-29.838699852490826</c:v>
                </c:pt>
                <c:pt idx="380">
                  <c:v>-29.926423853482852</c:v>
                </c:pt>
                <c:pt idx="381">
                  <c:v>-30.013750374970428</c:v>
                </c:pt>
                <c:pt idx="382">
                  <c:v>-30.100682745002793</c:v>
                </c:pt>
                <c:pt idx="383">
                  <c:v>-30.187224250864546</c:v>
                </c:pt>
                <c:pt idx="384">
                  <c:v>-30.273378139798126</c:v>
                </c:pt>
                <c:pt idx="385">
                  <c:v>-30.359147619707056</c:v>
                </c:pt>
                <c:pt idx="386">
                  <c:v>-30.444535859840506</c:v>
                </c:pt>
                <c:pt idx="387">
                  <c:v>-30.529545991459948</c:v>
                </c:pt>
                <c:pt idx="388">
                  <c:v>-30.61418110848857</c:v>
                </c:pt>
                <c:pt idx="389">
                  <c:v>-30.698444268144094</c:v>
                </c:pt>
                <c:pt idx="390">
                  <c:v>-30.782338491555578</c:v>
                </c:pt>
                <c:pt idx="391">
                  <c:v>-30.865866764364831</c:v>
                </c:pt>
                <c:pt idx="392">
                  <c:v>-30.949032037312975</c:v>
                </c:pt>
                <c:pt idx="393">
                  <c:v>-31.031837226812637</c:v>
                </c:pt>
                <c:pt idx="394">
                  <c:v>-31.114285215506406</c:v>
                </c:pt>
                <c:pt idx="395">
                  <c:v>-31.196378852811858</c:v>
                </c:pt>
                <c:pt idx="396">
                  <c:v>-31.278120955453804</c:v>
                </c:pt>
                <c:pt idx="397">
                  <c:v>-31.359514307984032</c:v>
                </c:pt>
                <c:pt idx="398">
                  <c:v>-31.44056166328906</c:v>
                </c:pt>
                <c:pt idx="399">
                  <c:v>-31.521265743086314</c:v>
                </c:pt>
                <c:pt idx="400">
                  <c:v>-31.601629238409032</c:v>
                </c:pt>
                <c:pt idx="401">
                  <c:v>-31.681654810080353</c:v>
                </c:pt>
                <c:pt idx="402">
                  <c:v>-31.761345089176913</c:v>
                </c:pt>
                <c:pt idx="403">
                  <c:v>-31.840702677482227</c:v>
                </c:pt>
                <c:pt idx="404">
                  <c:v>-31.919730147930295</c:v>
                </c:pt>
                <c:pt idx="405">
                  <c:v>-31.998430045039605</c:v>
                </c:pt>
                <c:pt idx="406">
                  <c:v>-32.076804885338014</c:v>
                </c:pt>
                <c:pt idx="407">
                  <c:v>-32.154857157778572</c:v>
                </c:pt>
                <c:pt idx="408">
                  <c:v>-32.232589324146737</c:v>
                </c:pt>
                <c:pt idx="409">
                  <c:v>-32.310003819459126</c:v>
                </c:pt>
                <c:pt idx="410">
                  <c:v>-32.387103052354213</c:v>
                </c:pt>
                <c:pt idx="411">
                  <c:v>-32.46388940547493</c:v>
                </c:pt>
                <c:pt idx="412">
                  <c:v>-32.540365235843758</c:v>
                </c:pt>
                <c:pt idx="413">
                  <c:v>-32.616532875230234</c:v>
                </c:pt>
                <c:pt idx="414">
                  <c:v>-32.692394630511245</c:v>
                </c:pt>
                <c:pt idx="415">
                  <c:v>-32.767952784024338</c:v>
                </c:pt>
                <c:pt idx="416">
                  <c:v>-32.843209593914025</c:v>
                </c:pt>
                <c:pt idx="417">
                  <c:v>-32.918167294471573</c:v>
                </c:pt>
                <c:pt idx="418">
                  <c:v>-32.992828096468259</c:v>
                </c:pt>
                <c:pt idx="419">
                  <c:v>-33.067194187482329</c:v>
                </c:pt>
                <c:pt idx="420">
                  <c:v>-33.141267732219816</c:v>
                </c:pt>
                <c:pt idx="421">
                  <c:v>-33.215050872829401</c:v>
                </c:pt>
                <c:pt idx="422">
                  <c:v>-33.288545729211464</c:v>
                </c:pt>
                <c:pt idx="423">
                  <c:v>-33.36175439932147</c:v>
                </c:pt>
                <c:pt idx="424">
                  <c:v>-33.43467895946781</c:v>
                </c:pt>
                <c:pt idx="425">
                  <c:v>-33.507321464604352</c:v>
                </c:pt>
                <c:pt idx="426">
                  <c:v>-33.579683948617635</c:v>
                </c:pt>
                <c:pt idx="427">
                  <c:v>-33.651768424609067</c:v>
                </c:pt>
                <c:pt idx="428">
                  <c:v>-33.723576885172065</c:v>
                </c:pt>
                <c:pt idx="429">
                  <c:v>-33.795111302664374</c:v>
                </c:pt>
                <c:pt idx="430">
                  <c:v>-33.866373629475646</c:v>
                </c:pt>
                <c:pt idx="431">
                  <c:v>-33.937365798290351</c:v>
                </c:pt>
                <c:pt idx="432">
                  <c:v>-34.008089722346256</c:v>
                </c:pt>
                <c:pt idx="433">
                  <c:v>-34.078547295688367</c:v>
                </c:pt>
                <c:pt idx="434">
                  <c:v>-34.148740393418706</c:v>
                </c:pt>
                <c:pt idx="435">
                  <c:v>-34.218670871941768</c:v>
                </c:pt>
                <c:pt idx="436">
                  <c:v>-34.288340569205921</c:v>
                </c:pt>
                <c:pt idx="437">
                  <c:v>-34.357751304940784</c:v>
                </c:pt>
                <c:pt idx="438">
                  <c:v>-34.426904880890689</c:v>
                </c:pt>
                <c:pt idx="439">
                  <c:v>-34.495803081044208</c:v>
                </c:pt>
                <c:pt idx="440">
                  <c:v>-34.56444767186013</c:v>
                </c:pt>
                <c:pt idx="441">
                  <c:v>-34.632840402489535</c:v>
                </c:pt>
                <c:pt idx="442">
                  <c:v>-34.700983004994427</c:v>
                </c:pt>
                <c:pt idx="443">
                  <c:v>-34.768877194562798</c:v>
                </c:pt>
                <c:pt idx="444">
                  <c:v>-34.836524669720262</c:v>
                </c:pt>
                <c:pt idx="445">
                  <c:v>-34.903927112538327</c:v>
                </c:pt>
                <c:pt idx="446">
                  <c:v>-34.971086188839351</c:v>
                </c:pt>
                <c:pt idx="447">
                  <c:v>-35.038003548398294</c:v>
                </c:pt>
                <c:pt idx="448">
                  <c:v>-35.104680825141315</c:v>
                </c:pt>
                <c:pt idx="449">
                  <c:v>-35.171119637341228</c:v>
                </c:pt>
                <c:pt idx="450">
                  <c:v>-35.237321587810008</c:v>
                </c:pt>
                <c:pt idx="451">
                  <c:v>-35.303288264088195</c:v>
                </c:pt>
                <c:pt idx="452">
                  <c:v>-35.369021238631575</c:v>
                </c:pt>
                <c:pt idx="453">
                  <c:v>-35.434522068994802</c:v>
                </c:pt>
                <c:pt idx="454">
                  <c:v>-35.499792298012395</c:v>
                </c:pt>
                <c:pt idx="455">
                  <c:v>-35.56483345397686</c:v>
                </c:pt>
                <c:pt idx="456">
                  <c:v>-35.629647050814228</c:v>
                </c:pt>
                <c:pt idx="457">
                  <c:v>-35.694234588256883</c:v>
                </c:pt>
                <c:pt idx="458">
                  <c:v>-35.758597552013867</c:v>
                </c:pt>
                <c:pt idx="459">
                  <c:v>-35.822737413938562</c:v>
                </c:pt>
                <c:pt idx="460">
                  <c:v>-35.886655632193992</c:v>
                </c:pt>
                <c:pt idx="461">
                  <c:v>-35.950353651415583</c:v>
                </c:pt>
                <c:pt idx="462">
                  <c:v>-36.013832902871606</c:v>
                </c:pt>
                <c:pt idx="463">
                  <c:v>-36.077094804621225</c:v>
                </c:pt>
                <c:pt idx="464">
                  <c:v>-36.140140761670224</c:v>
                </c:pt>
                <c:pt idx="465">
                  <c:v>-36.202972166124525</c:v>
                </c:pt>
                <c:pt idx="466">
                  <c:v>-36.265590397341427</c:v>
                </c:pt>
                <c:pt idx="467">
                  <c:v>-36.327996822078717</c:v>
                </c:pt>
                <c:pt idx="468">
                  <c:v>-36.390192794641536</c:v>
                </c:pt>
                <c:pt idx="469">
                  <c:v>-36.452179657027301</c:v>
                </c:pt>
                <c:pt idx="470">
                  <c:v>-36.513958739068379</c:v>
                </c:pt>
                <c:pt idx="471">
                  <c:v>-36.575531358572867</c:v>
                </c:pt>
                <c:pt idx="472">
                  <c:v>-36.636898821463312</c:v>
                </c:pt>
                <c:pt idx="473">
                  <c:v>-36.698062421913477</c:v>
                </c:pt>
                <c:pt idx="474">
                  <c:v>-36.759023442483198</c:v>
                </c:pt>
                <c:pt idx="475">
                  <c:v>-36.819783154251319</c:v>
                </c:pt>
                <c:pt idx="476">
                  <c:v>-36.880342816946829</c:v>
                </c:pt>
                <c:pt idx="477">
                  <c:v>-36.940703679078077</c:v>
                </c:pt>
                <c:pt idx="478">
                  <c:v>-37.000866978060266</c:v>
                </c:pt>
                <c:pt idx="479">
                  <c:v>-37.060833940341155</c:v>
                </c:pt>
                <c:pt idx="480">
                  <c:v>-37.120605781525015</c:v>
                </c:pt>
                <c:pt idx="481">
                  <c:v>-37.180183706494915</c:v>
                </c:pt>
                <c:pt idx="482">
                  <c:v>-37.239568909533276</c:v>
                </c:pt>
                <c:pt idx="483">
                  <c:v>-37.298762574440786</c:v>
                </c:pt>
                <c:pt idx="484">
                  <c:v>-37.357765874653772</c:v>
                </c:pt>
                <c:pt idx="485">
                  <c:v>-37.416579973359838</c:v>
                </c:pt>
                <c:pt idx="486">
                  <c:v>-37.47520602361206</c:v>
                </c:pt>
                <c:pt idx="487">
                  <c:v>-37.533645168441552</c:v>
                </c:pt>
                <c:pt idx="488">
                  <c:v>-37.591898540968558</c:v>
                </c:pt>
                <c:pt idx="489">
                  <c:v>-37.649967264512028</c:v>
                </c:pt>
                <c:pt idx="490">
                  <c:v>-37.707852452697772</c:v>
                </c:pt>
                <c:pt idx="491">
                  <c:v>-37.765555209565058</c:v>
                </c:pt>
                <c:pt idx="492">
                  <c:v>-37.823076629671931</c:v>
                </c:pt>
                <c:pt idx="493">
                  <c:v>-37.880417798198984</c:v>
                </c:pt>
                <c:pt idx="494">
                  <c:v>-37.937579791051917</c:v>
                </c:pt>
                <c:pt idx="495">
                  <c:v>-37.994563674962571</c:v>
                </c:pt>
                <c:pt idx="496">
                  <c:v>-38.051370507588743</c:v>
                </c:pt>
                <c:pt idx="497">
                  <c:v>-38.108001337612663</c:v>
                </c:pt>
                <c:pt idx="498">
                  <c:v>-38.164457204838115</c:v>
                </c:pt>
                <c:pt idx="499">
                  <c:v>-38.220739140286383</c:v>
                </c:pt>
                <c:pt idx="500">
                  <c:v>-38.276848166290918</c:v>
                </c:pt>
                <c:pt idx="501">
                  <c:v>-38.332785296590664</c:v>
                </c:pt>
                <c:pt idx="502">
                  <c:v>-38.388551536422348</c:v>
                </c:pt>
                <c:pt idx="503">
                  <c:v>-38.444147882611446</c:v>
                </c:pt>
                <c:pt idx="504">
                  <c:v>-38.499575323662029</c:v>
                </c:pt>
                <c:pt idx="505">
                  <c:v>-38.554834839845384</c:v>
                </c:pt>
                <c:pt idx="506">
                  <c:v>-38.609927403287621</c:v>
                </c:pt>
                <c:pt idx="507">
                  <c:v>-38.664853978056016</c:v>
                </c:pt>
                <c:pt idx="508">
                  <c:v>-38.719615520244318</c:v>
                </c:pt>
                <c:pt idx="509">
                  <c:v>-38.774212978057001</c:v>
                </c:pt>
                <c:pt idx="510">
                  <c:v>-38.828647291892338</c:v>
                </c:pt>
                <c:pt idx="511">
                  <c:v>-38.882919394424526</c:v>
                </c:pt>
                <c:pt idx="512">
                  <c:v>-38.937030210684689</c:v>
                </c:pt>
                <c:pt idx="513">
                  <c:v>-38.99098065814092</c:v>
                </c:pt>
                <c:pt idx="514">
                  <c:v>-39.044771646777278</c:v>
                </c:pt>
                <c:pt idx="515">
                  <c:v>-39.09840407917175</c:v>
                </c:pt>
                <c:pt idx="516">
                  <c:v>-39.15187885057334</c:v>
                </c:pt>
                <c:pt idx="517">
                  <c:v>-39.205196848978076</c:v>
                </c:pt>
                <c:pt idx="518">
                  <c:v>-39.258358955204159</c:v>
                </c:pt>
                <c:pt idx="519">
                  <c:v>-39.311366042966092</c:v>
                </c:pt>
                <c:pt idx="520">
                  <c:v>-39.364218978947946</c:v>
                </c:pt>
                <c:pt idx="521">
                  <c:v>-39.416918622875706</c:v>
                </c:pt>
                <c:pt idx="522">
                  <c:v>-39.469465827588671</c:v>
                </c:pt>
                <c:pt idx="523">
                  <c:v>-39.521861439110069</c:v>
                </c:pt>
                <c:pt idx="524">
                  <c:v>-39.574106296716664</c:v>
                </c:pt>
                <c:pt idx="525">
                  <c:v>-39.626201233007635</c:v>
                </c:pt>
                <c:pt idx="526">
                  <c:v>-39.678147073972539</c:v>
                </c:pt>
                <c:pt idx="527">
                  <c:v>-39.729944639058424</c:v>
                </c:pt>
                <c:pt idx="528">
                  <c:v>-39.781594741236205</c:v>
                </c:pt>
                <c:pt idx="529">
                  <c:v>-39.833098187066113</c:v>
                </c:pt>
                <c:pt idx="530">
                  <c:v>-39.884455776762479</c:v>
                </c:pt>
                <c:pt idx="531">
                  <c:v>-39.935668304257568</c:v>
                </c:pt>
                <c:pt idx="532">
                  <c:v>-39.986736557264813</c:v>
                </c:pt>
                <c:pt idx="533">
                  <c:v>-40.03766131734114</c:v>
                </c:pt>
                <c:pt idx="534">
                  <c:v>-40.088443359948627</c:v>
                </c:pt>
                <c:pt idx="535">
                  <c:v>-40.139083454515372</c:v>
                </c:pt>
                <c:pt idx="536">
                  <c:v>-40.189582364495642</c:v>
                </c:pt>
                <c:pt idx="537">
                  <c:v>-40.239940847429366</c:v>
                </c:pt>
                <c:pt idx="538">
                  <c:v>-40.290159655000721</c:v>
                </c:pt>
                <c:pt idx="539">
                  <c:v>-40.340239533096266</c:v>
                </c:pt>
                <c:pt idx="540">
                  <c:v>-40.390181221862207</c:v>
                </c:pt>
                <c:pt idx="541">
                  <c:v>-40.439985455761047</c:v>
                </c:pt>
                <c:pt idx="542">
                  <c:v>-40.489652963627556</c:v>
                </c:pt>
                <c:pt idx="543">
                  <c:v>-40.539184468724052</c:v>
                </c:pt>
                <c:pt idx="544">
                  <c:v>-40.588580688795084</c:v>
                </c:pt>
                <c:pt idx="545">
                  <c:v>-40.637842336121338</c:v>
                </c:pt>
                <c:pt idx="546">
                  <c:v>-40.686970117573146</c:v>
                </c:pt>
                <c:pt idx="547">
                  <c:v>-40.735964734663057</c:v>
                </c:pt>
                <c:pt idx="548">
                  <c:v>-40.784826883598086</c:v>
                </c:pt>
                <c:pt idx="549">
                  <c:v>-40.833557255331129</c:v>
                </c:pt>
                <c:pt idx="550">
                  <c:v>-40.882156535611884</c:v>
                </c:pt>
                <c:pt idx="551">
                  <c:v>-40.930625405037162</c:v>
                </c:pt>
                <c:pt idx="552">
                  <c:v>-40.97896453910063</c:v>
                </c:pt>
                <c:pt idx="553">
                  <c:v>-41.027174608241872</c:v>
                </c:pt>
                <c:pt idx="554">
                  <c:v>-41.075256277895029</c:v>
                </c:pt>
                <c:pt idx="555">
                  <c:v>-41.123210208536783</c:v>
                </c:pt>
                <c:pt idx="556">
                  <c:v>-41.171037055733805</c:v>
                </c:pt>
                <c:pt idx="557">
                  <c:v>-41.218737470189623</c:v>
                </c:pt>
                <c:pt idx="558">
                  <c:v>-41.266312097791022</c:v>
                </c:pt>
                <c:pt idx="559">
                  <c:v>-41.313761579653878</c:v>
                </c:pt>
                <c:pt idx="560">
                  <c:v>-41.36108655216843</c:v>
                </c:pt>
                <c:pt idx="561">
                  <c:v>-41.408287647044048</c:v>
                </c:pt>
                <c:pt idx="562">
                  <c:v>-41.455365491353547</c:v>
                </c:pt>
                <c:pt idx="563">
                  <c:v>-41.502320707576928</c:v>
                </c:pt>
                <c:pt idx="564">
                  <c:v>-41.549153913644645</c:v>
                </c:pt>
                <c:pt idx="565">
                  <c:v>-41.595865722980328</c:v>
                </c:pt>
                <c:pt idx="566">
                  <c:v>-41.642456744543182</c:v>
                </c:pt>
                <c:pt idx="567">
                  <c:v>-41.688927582869688</c:v>
                </c:pt>
                <c:pt idx="568">
                  <c:v>-41.735278838114979</c:v>
                </c:pt>
                <c:pt idx="569">
                  <c:v>-41.781511106093731</c:v>
                </c:pt>
                <c:pt idx="570">
                  <c:v>-41.827624978320507</c:v>
                </c:pt>
                <c:pt idx="571">
                  <c:v>-41.873621042049784</c:v>
                </c:pt>
                <c:pt idx="572">
                  <c:v>-41.919499880315399</c:v>
                </c:pt>
                <c:pt idx="573">
                  <c:v>-41.965262071969669</c:v>
                </c:pt>
                <c:pt idx="574">
                  <c:v>-42.010908191721924</c:v>
                </c:pt>
                <c:pt idx="575">
                  <c:v>-42.056438810176793</c:v>
                </c:pt>
                <c:pt idx="576">
                  <c:v>-42.101854493871954</c:v>
                </c:pt>
                <c:pt idx="577">
                  <c:v>-42.147155805315407</c:v>
                </c:pt>
                <c:pt idx="578">
                  <c:v>-42.192343303022525</c:v>
                </c:pt>
                <c:pt idx="579">
                  <c:v>-42.237417541552475</c:v>
                </c:pt>
                <c:pt idx="580">
                  <c:v>-42.282379071544398</c:v>
                </c:pt>
                <c:pt idx="581">
                  <c:v>-42.3272284397531</c:v>
                </c:pt>
                <c:pt idx="582">
                  <c:v>-42.371966189084404</c:v>
                </c:pt>
                <c:pt idx="583">
                  <c:v>-42.416592858630054</c:v>
                </c:pt>
                <c:pt idx="584">
                  <c:v>-42.461108983702317</c:v>
                </c:pt>
                <c:pt idx="585">
                  <c:v>-42.50551509586812</c:v>
                </c:pt>
                <c:pt idx="586">
                  <c:v>-42.549811722982852</c:v>
                </c:pt>
                <c:pt idx="587">
                  <c:v>-42.593999389223818</c:v>
                </c:pt>
                <c:pt idx="588">
                  <c:v>-42.638078615123327</c:v>
                </c:pt>
                <c:pt idx="589">
                  <c:v>-42.682049917601319</c:v>
                </c:pt>
                <c:pt idx="590">
                  <c:v>-42.72591380999782</c:v>
                </c:pt>
                <c:pt idx="591">
                  <c:v>-42.769670802104883</c:v>
                </c:pt>
                <c:pt idx="592">
                  <c:v>-42.813321400198234</c:v>
                </c:pt>
                <c:pt idx="593">
                  <c:v>-42.85686610706864</c:v>
                </c:pt>
                <c:pt idx="594">
                  <c:v>-42.900305422052831</c:v>
                </c:pt>
                <c:pt idx="595">
                  <c:v>-42.94363984106419</c:v>
                </c:pt>
                <c:pt idx="596">
                  <c:v>-42.986869856623031</c:v>
                </c:pt>
                <c:pt idx="597">
                  <c:v>-43.029995957886591</c:v>
                </c:pt>
                <c:pt idx="598">
                  <c:v>-43.073018630678717</c:v>
                </c:pt>
                <c:pt idx="599">
                  <c:v>-43.115938357519212</c:v>
                </c:pt>
                <c:pt idx="600">
                  <c:v>-43.15875561765283</c:v>
                </c:pt>
                <c:pt idx="601">
                  <c:v>-43.201470887078074</c:v>
                </c:pt>
                <c:pt idx="602">
                  <c:v>-43.244084638575593</c:v>
                </c:pt>
                <c:pt idx="603">
                  <c:v>-43.286597341736254</c:v>
                </c:pt>
                <c:pt idx="604">
                  <c:v>-43.329009462988999</c:v>
                </c:pt>
                <c:pt idx="605">
                  <c:v>-43.371321465628434</c:v>
                </c:pt>
                <c:pt idx="606">
                  <c:v>-45.368670649917114</c:v>
                </c:pt>
                <c:pt idx="607">
                  <c:v>-47.164745712587319</c:v>
                </c:pt>
                <c:pt idx="608">
                  <c:v>-48.795912913081743</c:v>
                </c:pt>
                <c:pt idx="609">
                  <c:v>-50.289617362185098</c:v>
                </c:pt>
                <c:pt idx="610">
                  <c:v>-51.667046875549552</c:v>
                </c:pt>
                <c:pt idx="611">
                  <c:v>-52.944880723271048</c:v>
                </c:pt>
                <c:pt idx="612">
                  <c:v>-54.13647284451131</c:v>
                </c:pt>
                <c:pt idx="613">
                  <c:v>-55.252673925349313</c:v>
                </c:pt>
                <c:pt idx="614">
                  <c:v>-56.302416072428102</c:v>
                </c:pt>
                <c:pt idx="615">
                  <c:v>-57.293137341911553</c:v>
                </c:pt>
                <c:pt idx="616">
                  <c:v>-58.23109572359332</c:v>
                </c:pt>
                <c:pt idx="617">
                  <c:v>-59.121605227285329</c:v>
                </c:pt>
                <c:pt idx="618">
                  <c:v>-59.465564863326684</c:v>
                </c:pt>
                <c:pt idx="619">
                  <c:v>-59.802929307434447</c:v>
                </c:pt>
                <c:pt idx="620">
                  <c:v>-60.133945511930648</c:v>
                </c:pt>
                <c:pt idx="621">
                  <c:v>-60.458846813610265</c:v>
                </c:pt>
                <c:pt idx="622">
                  <c:v>-60.777853915111081</c:v>
                </c:pt>
                <c:pt idx="623">
                  <c:v>-61.091175779812154</c:v>
                </c:pt>
                <c:pt idx="624">
                  <c:v>-61.399010449196886</c:v>
                </c:pt>
                <c:pt idx="625">
                  <c:v>-61.701545790562989</c:v>
                </c:pt>
                <c:pt idx="626">
                  <c:v>-61.99896018204646</c:v>
                </c:pt>
                <c:pt idx="627">
                  <c:v>-62.291423141130508</c:v>
                </c:pt>
                <c:pt idx="628">
                  <c:v>-62.579095902116883</c:v>
                </c:pt>
                <c:pt idx="629">
                  <c:v>-62.862131947429766</c:v>
                </c:pt>
                <c:pt idx="630">
                  <c:v>-63.140677497091751</c:v>
                </c:pt>
                <c:pt idx="631">
                  <c:v>-63.414871960244497</c:v>
                </c:pt>
                <c:pt idx="632">
                  <c:v>-63.684848352177156</c:v>
                </c:pt>
                <c:pt idx="633">
                  <c:v>-63.950733679963882</c:v>
                </c:pt>
                <c:pt idx="634">
                  <c:v>-64.212649299492682</c:v>
                </c:pt>
                <c:pt idx="635">
                  <c:v>-64.47071124638596</c:v>
                </c:pt>
                <c:pt idx="636">
                  <c:v>-64.725030543062516</c:v>
                </c:pt>
                <c:pt idx="637">
                  <c:v>-64.975713483969145</c:v>
                </c:pt>
                <c:pt idx="638">
                  <c:v>-65.222861900812305</c:v>
                </c:pt>
                <c:pt idx="639">
                  <c:v>-65.466573409444734</c:v>
                </c:pt>
                <c:pt idx="640">
                  <c:v>-65.706941639904613</c:v>
                </c:pt>
                <c:pt idx="641">
                  <c:v>-65.944056450965206</c:v>
                </c:pt>
                <c:pt idx="642">
                  <c:v>-66.178004130427041</c:v>
                </c:pt>
                <c:pt idx="643">
                  <c:v>-66.408867582272478</c:v>
                </c:pt>
                <c:pt idx="644">
                  <c:v>-66.63672650170173</c:v>
                </c:pt>
                <c:pt idx="645">
                  <c:v>-66.861657538978406</c:v>
                </c:pt>
                <c:pt idx="646">
                  <c:v>-67.083734452931239</c:v>
                </c:pt>
                <c:pt idx="647">
                  <c:v>-67.303028254885319</c:v>
                </c:pt>
                <c:pt idx="648">
                  <c:v>-67.519607343729191</c:v>
                </c:pt>
                <c:pt idx="649">
                  <c:v>-67.733537632764936</c:v>
                </c:pt>
                <c:pt idx="650">
                  <c:v>-67.944882668933644</c:v>
                </c:pt>
                <c:pt idx="651">
                  <c:v>-68.153703744959586</c:v>
                </c:pt>
                <c:pt idx="652">
                  <c:v>-68.360060004912214</c:v>
                </c:pt>
                <c:pt idx="653">
                  <c:v>-68.564008543644235</c:v>
                </c:pt>
                <c:pt idx="654">
                  <c:v>-68.765604500527559</c:v>
                </c:pt>
                <c:pt idx="655">
                  <c:v>-68.964901147875381</c:v>
                </c:pt>
                <c:pt idx="656">
                  <c:v>-69.161949974408174</c:v>
                </c:pt>
                <c:pt idx="657">
                  <c:v>-69.35680076409389</c:v>
                </c:pt>
                <c:pt idx="658">
                  <c:v>-69.549501670666714</c:v>
                </c:pt>
                <c:pt idx="659">
                  <c:v>-69.74009928810635</c:v>
                </c:pt>
                <c:pt idx="660">
                  <c:v>-69.928638717338188</c:v>
                </c:pt>
                <c:pt idx="661">
                  <c:v>-70.115163629395198</c:v>
                </c:pt>
                <c:pt idx="662">
                  <c:v>-70.299716325265237</c:v>
                </c:pt>
                <c:pt idx="663">
                  <c:v>-70.48233779263056</c:v>
                </c:pt>
                <c:pt idx="664">
                  <c:v>-70.663067759691813</c:v>
                </c:pt>
                <c:pt idx="665">
                  <c:v>-70.841944746254711</c:v>
                </c:pt>
                <c:pt idx="666">
                  <c:v>-71.01900611224562</c:v>
                </c:pt>
                <c:pt idx="667">
                  <c:v>-71.194288103809598</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73.799490772150122</c:v>
                </c:pt>
                <c:pt idx="1">
                  <c:v>73.385133451746427</c:v>
                </c:pt>
                <c:pt idx="2">
                  <c:v>72.77187067386626</c:v>
                </c:pt>
                <c:pt idx="3">
                  <c:v>72.037000501649857</c:v>
                </c:pt>
                <c:pt idx="4">
                  <c:v>71.244662772316701</c:v>
                </c:pt>
                <c:pt idx="5">
                  <c:v>70.439022816067506</c:v>
                </c:pt>
                <c:pt idx="6">
                  <c:v>69.646847623426964</c:v>
                </c:pt>
                <c:pt idx="7">
                  <c:v>68.882672222042359</c:v>
                </c:pt>
                <c:pt idx="8">
                  <c:v>68.153340868843514</c:v>
                </c:pt>
                <c:pt idx="9">
                  <c:v>67.461182751234574</c:v>
                </c:pt>
                <c:pt idx="10">
                  <c:v>62.241774132840597</c:v>
                </c:pt>
                <c:pt idx="11">
                  <c:v>58.886073819950468</c:v>
                </c:pt>
                <c:pt idx="12">
                  <c:v>56.447041361482029</c:v>
                </c:pt>
                <c:pt idx="13">
                  <c:v>54.536844665608164</c:v>
                </c:pt>
                <c:pt idx="14">
                  <c:v>52.968582876351306</c:v>
                </c:pt>
                <c:pt idx="15">
                  <c:v>51.639015515946987</c:v>
                </c:pt>
                <c:pt idx="16">
                  <c:v>50.485349016609469</c:v>
                </c:pt>
                <c:pt idx="17">
                  <c:v>49.466618555966051</c:v>
                </c:pt>
                <c:pt idx="18">
                  <c:v>48.554646142214075</c:v>
                </c:pt>
                <c:pt idx="19">
                  <c:v>42.547189902872873</c:v>
                </c:pt>
                <c:pt idx="20">
                  <c:v>39.033318373626564</c:v>
                </c:pt>
                <c:pt idx="21">
                  <c:v>36.543841433815317</c:v>
                </c:pt>
                <c:pt idx="22">
                  <c:v>34.617085898069213</c:v>
                </c:pt>
                <c:pt idx="23">
                  <c:v>33.047246873087765</c:v>
                </c:pt>
                <c:pt idx="24">
                  <c:v>31.724500464938806</c:v>
                </c:pt>
                <c:pt idx="25">
                  <c:v>30.583275953787961</c:v>
                </c:pt>
                <c:pt idx="26">
                  <c:v>29.581270634414729</c:v>
                </c:pt>
                <c:pt idx="27">
                  <c:v>28.689594877506476</c:v>
                </c:pt>
                <c:pt idx="28">
                  <c:v>25.321293499821472</c:v>
                </c:pt>
                <c:pt idx="29">
                  <c:v>23.035156407442873</c:v>
                </c:pt>
                <c:pt idx="30">
                  <c:v>21.366709821591829</c:v>
                </c:pt>
                <c:pt idx="31">
                  <c:v>20.107600246887117</c:v>
                </c:pt>
                <c:pt idx="32">
                  <c:v>19.145394897616782</c:v>
                </c:pt>
                <c:pt idx="33">
                  <c:v>18.411909309912467</c:v>
                </c:pt>
                <c:pt idx="34">
                  <c:v>17.862329096695156</c:v>
                </c:pt>
                <c:pt idx="35">
                  <c:v>17.465459343255965</c:v>
                </c:pt>
                <c:pt idx="36">
                  <c:v>17.198679014141788</c:v>
                </c:pt>
                <c:pt idx="37">
                  <c:v>17.045119017863378</c:v>
                </c:pt>
                <c:pt idx="38">
                  <c:v>16.991982408451552</c:v>
                </c:pt>
                <c:pt idx="39">
                  <c:v>17.029489933525788</c:v>
                </c:pt>
                <c:pt idx="40">
                  <c:v>17.15018450596099</c:v>
                </c:pt>
                <c:pt idx="41">
                  <c:v>17.348446704659114</c:v>
                </c:pt>
                <c:pt idx="42">
                  <c:v>17.620130951134399</c:v>
                </c:pt>
                <c:pt idx="43">
                  <c:v>17.962257790631352</c:v>
                </c:pt>
                <c:pt idx="44">
                  <c:v>18.372703371696911</c:v>
                </c:pt>
                <c:pt idx="45">
                  <c:v>18.849815485401269</c:v>
                </c:pt>
                <c:pt idx="46">
                  <c:v>19.391853133669816</c:v>
                </c:pt>
                <c:pt idx="47">
                  <c:v>19.996085473152952</c:v>
                </c:pt>
                <c:pt idx="48">
                  <c:v>20.657286731476404</c:v>
                </c:pt>
                <c:pt idx="49">
                  <c:v>21.365231845971024</c:v>
                </c:pt>
                <c:pt idx="50">
                  <c:v>22.100710985527972</c:v>
                </c:pt>
                <c:pt idx="51">
                  <c:v>22.829844611723313</c:v>
                </c:pt>
                <c:pt idx="52">
                  <c:v>23.49788218927117</c:v>
                </c:pt>
                <c:pt idx="53">
                  <c:v>24.027291219552787</c:v>
                </c:pt>
                <c:pt idx="54">
                  <c:v>24.329515599610584</c:v>
                </c:pt>
                <c:pt idx="55">
                  <c:v>24.336243786897498</c:v>
                </c:pt>
                <c:pt idx="56">
                  <c:v>24.034777422119483</c:v>
                </c:pt>
                <c:pt idx="57">
                  <c:v>23.47514392263443</c:v>
                </c:pt>
                <c:pt idx="58">
                  <c:v>22.741297540002449</c:v>
                </c:pt>
                <c:pt idx="59">
                  <c:v>21.915147987612059</c:v>
                </c:pt>
                <c:pt idx="60">
                  <c:v>21.057783537146371</c:v>
                </c:pt>
                <c:pt idx="61">
                  <c:v>20.207701656312722</c:v>
                </c:pt>
                <c:pt idx="62">
                  <c:v>19.38625884782379</c:v>
                </c:pt>
                <c:pt idx="63">
                  <c:v>18.603759873514633</c:v>
                </c:pt>
                <c:pt idx="64">
                  <c:v>17.864004938416397</c:v>
                </c:pt>
                <c:pt idx="65">
                  <c:v>17.167202977187117</c:v>
                </c:pt>
                <c:pt idx="66">
                  <c:v>16.511704589815007</c:v>
                </c:pt>
                <c:pt idx="67">
                  <c:v>15.894990698757701</c:v>
                </c:pt>
                <c:pt idx="68">
                  <c:v>15.31421980588085</c:v>
                </c:pt>
                <c:pt idx="69">
                  <c:v>14.766521285594081</c:v>
                </c:pt>
                <c:pt idx="70">
                  <c:v>14.249145025090581</c:v>
                </c:pt>
                <c:pt idx="71">
                  <c:v>13.759530876083861</c:v>
                </c:pt>
                <c:pt idx="72">
                  <c:v>13.295334063350495</c:v>
                </c:pt>
                <c:pt idx="73">
                  <c:v>12.854427033107465</c:v>
                </c:pt>
                <c:pt idx="74">
                  <c:v>12.434889296680989</c:v>
                </c:pt>
                <c:pt idx="75">
                  <c:v>12.034991739482797</c:v>
                </c:pt>
                <c:pt idx="76">
                  <c:v>11.653178965685111</c:v>
                </c:pt>
                <c:pt idx="77">
                  <c:v>11.288051595356638</c:v>
                </c:pt>
                <c:pt idx="78">
                  <c:v>10.938349490239823</c:v>
                </c:pt>
                <c:pt idx="79">
                  <c:v>10.602936353465321</c:v>
                </c:pt>
                <c:pt idx="80">
                  <c:v>10.280785853674381</c:v>
                </c:pt>
                <c:pt idx="81">
                  <c:v>9.9709692652477102</c:v>
                </c:pt>
                <c:pt idx="82">
                  <c:v>9.6726445357014743</c:v>
                </c:pt>
                <c:pt idx="83">
                  <c:v>9.3850466551193428</c:v>
                </c:pt>
                <c:pt idx="84">
                  <c:v>9.1074791911084709</c:v>
                </c:pt>
                <c:pt idx="85">
                  <c:v>8.8393068547638016</c:v>
                </c:pt>
                <c:pt idx="86">
                  <c:v>8.579948971876334</c:v>
                </c:pt>
                <c:pt idx="87">
                  <c:v>8.3288737453361712</c:v>
                </c:pt>
                <c:pt idx="88">
                  <c:v>8.0855932072369203</c:v>
                </c:pt>
                <c:pt idx="89">
                  <c:v>7.8496587714411117</c:v>
                </c:pt>
                <c:pt idx="90">
                  <c:v>7.6206573087435405</c:v>
                </c:pt>
                <c:pt idx="91">
                  <c:v>7.39820767702839</c:v>
                </c:pt>
                <c:pt idx="92">
                  <c:v>7.1819576478957092</c:v>
                </c:pt>
                <c:pt idx="93">
                  <c:v>6.9715811791746454</c:v>
                </c:pt>
                <c:pt idx="94">
                  <c:v>6.7667759896312853</c:v>
                </c:pt>
                <c:pt idx="95">
                  <c:v>6.5672613981283057</c:v>
                </c:pt>
                <c:pt idx="96">
                  <c:v>6.3727763946128357</c:v>
                </c:pt>
                <c:pt idx="97">
                  <c:v>6.1830779147065984</c:v>
                </c:pt>
                <c:pt idx="98">
                  <c:v>5.9979392934459765</c:v>
                </c:pt>
                <c:pt idx="99">
                  <c:v>5.8171488769584876</c:v>
                </c:pt>
                <c:pt idx="100">
                  <c:v>5.6405087736416624</c:v>
                </c:pt>
                <c:pt idx="101">
                  <c:v>5.4678337287985777</c:v>
                </c:pt>
                <c:pt idx="102">
                  <c:v>5.2989501087382918</c:v>
                </c:pt>
                <c:pt idx="103">
                  <c:v>5.1336949821177589</c:v>
                </c:pt>
                <c:pt idx="104">
                  <c:v>4.9719152878273345</c:v>
                </c:pt>
                <c:pt idx="105">
                  <c:v>4.8134670800391346</c:v>
                </c:pt>
                <c:pt idx="106">
                  <c:v>4.6582148421776983</c:v>
                </c:pt>
                <c:pt idx="107">
                  <c:v>4.5060308625599319</c:v>
                </c:pt>
                <c:pt idx="108">
                  <c:v>4.3567946653094731</c:v>
                </c:pt>
                <c:pt idx="109">
                  <c:v>4.2103924908963588</c:v>
                </c:pt>
                <c:pt idx="110">
                  <c:v>4.0667168213031593</c:v>
                </c:pt>
                <c:pt idx="111">
                  <c:v>3.9256659453862413</c:v>
                </c:pt>
                <c:pt idx="112">
                  <c:v>3.7871435604971122</c:v>
                </c:pt>
                <c:pt idx="113">
                  <c:v>3.6510584068635623</c:v>
                </c:pt>
                <c:pt idx="114">
                  <c:v>3.5173239316120442</c:v>
                </c:pt>
                <c:pt idx="115">
                  <c:v>3.3858579796480255</c:v>
                </c:pt>
                <c:pt idx="116">
                  <c:v>3.2565825089067739</c:v>
                </c:pt>
                <c:pt idx="117">
                  <c:v>3.1294233277473622</c:v>
                </c:pt>
                <c:pt idx="118">
                  <c:v>3.0043098524933169</c:v>
                </c:pt>
                <c:pt idx="119">
                  <c:v>2.8811748833268798</c:v>
                </c:pt>
                <c:pt idx="120">
                  <c:v>2.7599543969248233</c:v>
                </c:pt>
                <c:pt idx="121">
                  <c:v>2.6405873543839915</c:v>
                </c:pt>
                <c:pt idx="122">
                  <c:v>2.5230155231275786</c:v>
                </c:pt>
                <c:pt idx="123">
                  <c:v>2.4071833116100319</c:v>
                </c:pt>
                <c:pt idx="124">
                  <c:v>2.2930376157520711</c:v>
                </c:pt>
                <c:pt idx="125">
                  <c:v>2.1805276761382224</c:v>
                </c:pt>
                <c:pt idx="126">
                  <c:v>2.069604945100056</c:v>
                </c:pt>
                <c:pt idx="127">
                  <c:v>1.9602229628892311</c:v>
                </c:pt>
                <c:pt idx="128">
                  <c:v>1.8523372422173678</c:v>
                </c:pt>
                <c:pt idx="129">
                  <c:v>1.7459051605047551</c:v>
                </c:pt>
                <c:pt idx="130">
                  <c:v>1.6408858592391544</c:v>
                </c:pt>
                <c:pt idx="131">
                  <c:v>1.5372401498982309</c:v>
                </c:pt>
                <c:pt idx="132">
                  <c:v>1.4349304259373274</c:v>
                </c:pt>
                <c:pt idx="133">
                  <c:v>1.3339205803870082</c:v>
                </c:pt>
                <c:pt idx="134">
                  <c:v>1.2341759286438316</c:v>
                </c:pt>
                <c:pt idx="135">
                  <c:v>1.1356631360728633</c:v>
                </c:pt>
                <c:pt idx="136">
                  <c:v>1.0383501500724517</c:v>
                </c:pt>
                <c:pt idx="137">
                  <c:v>0.94220613628056349</c:v>
                </c:pt>
                <c:pt idx="138">
                  <c:v>0.84720141862808718</c:v>
                </c:pt>
                <c:pt idx="139">
                  <c:v>0.75330742296866704</c:v>
                </c:pt>
                <c:pt idx="140">
                  <c:v>0.66049662403595222</c:v>
                </c:pt>
                <c:pt idx="141">
                  <c:v>0.56874249549897493</c:v>
                </c:pt>
                <c:pt idx="142">
                  <c:v>0.47801946290453423</c:v>
                </c:pt>
                <c:pt idx="143">
                  <c:v>0.38830285931157055</c:v>
                </c:pt>
                <c:pt idx="144">
                  <c:v>0.29956888343769394</c:v>
                </c:pt>
                <c:pt idx="145">
                  <c:v>0.21179456015171486</c:v>
                </c:pt>
                <c:pt idx="146">
                  <c:v>0.12495770315841433</c:v>
                </c:pt>
                <c:pt idx="147">
                  <c:v>3.903687973338308E-2</c:v>
                </c:pt>
                <c:pt idx="148">
                  <c:v>-4.5988622623705296E-2</c:v>
                </c:pt>
                <c:pt idx="149">
                  <c:v>-0.13013882773957799</c:v>
                </c:pt>
                <c:pt idx="150">
                  <c:v>-0.21343310063464743</c:v>
                </c:pt>
                <c:pt idx="151">
                  <c:v>-0.29589017581228694</c:v>
                </c:pt>
                <c:pt idx="152">
                  <c:v>-0.37752818406761757</c:v>
                </c:pt>
                <c:pt idx="153">
                  <c:v>-0.45836467790654195</c:v>
                </c:pt>
                <c:pt idx="154">
                  <c:v>-0.53841665565937802</c:v>
                </c:pt>
                <c:pt idx="155">
                  <c:v>-0.61770058436769504</c:v>
                </c:pt>
                <c:pt idx="156">
                  <c:v>-0.69623242151728371</c:v>
                </c:pt>
                <c:pt idx="157">
                  <c:v>-0.77402763568567501</c:v>
                </c:pt>
                <c:pt idx="158">
                  <c:v>-0.85110122616763451</c:v>
                </c:pt>
                <c:pt idx="159">
                  <c:v>-0.92746774163788515</c:v>
                </c:pt>
                <c:pt idx="160">
                  <c:v>-1.0031412979066388</c:v>
                </c:pt>
                <c:pt idx="161">
                  <c:v>-1.0781355948194551</c:v>
                </c:pt>
                <c:pt idx="162">
                  <c:v>-1.1524639323500014</c:v>
                </c:pt>
                <c:pt idx="163">
                  <c:v>-1.2261392259308186</c:v>
                </c:pt>
                <c:pt idx="164">
                  <c:v>-1.2991740210645348</c:v>
                </c:pt>
                <c:pt idx="165">
                  <c:v>-1.3715805072551208</c:v>
                </c:pt>
                <c:pt idx="166">
                  <c:v>-1.4433705312964342</c:v>
                </c:pt>
                <c:pt idx="167">
                  <c:v>-1.5145556099527822</c:v>
                </c:pt>
                <c:pt idx="168">
                  <c:v>-1.5851469420643471</c:v>
                </c:pt>
                <c:pt idx="169">
                  <c:v>-1.6551554201079</c:v>
                </c:pt>
                <c:pt idx="170">
                  <c:v>-1.7245916412419051</c:v>
                </c:pt>
                <c:pt idx="171">
                  <c:v>-1.7934659178628156</c:v>
                </c:pt>
                <c:pt idx="172">
                  <c:v>-1.8617882876981557</c:v>
                </c:pt>
                <c:pt idx="173">
                  <c:v>-1.9295685234602413</c:v>
                </c:pt>
                <c:pt idx="174">
                  <c:v>-1.9968161420830461</c:v>
                </c:pt>
                <c:pt idx="175">
                  <c:v>-2.0635404135634627</c:v>
                </c:pt>
                <c:pt idx="176">
                  <c:v>-2.1297503694268047</c:v>
                </c:pt>
                <c:pt idx="177">
                  <c:v>-2.1954548108354546</c:v>
                </c:pt>
                <c:pt idx="178">
                  <c:v>-2.260662316358319</c:v>
                </c:pt>
                <c:pt idx="179">
                  <c:v>-2.3253812494178554</c:v>
                </c:pt>
                <c:pt idx="180">
                  <c:v>-2.3896197654303801</c:v>
                </c:pt>
                <c:pt idx="181">
                  <c:v>-2.4533858186545943</c:v>
                </c:pt>
                <c:pt idx="182">
                  <c:v>-2.5166871687624042</c:v>
                </c:pt>
                <c:pt idx="183">
                  <c:v>-2.5795313871452108</c:v>
                </c:pt>
                <c:pt idx="184">
                  <c:v>-2.6419258629684328</c:v>
                </c:pt>
                <c:pt idx="185">
                  <c:v>-2.7038778089858417</c:v>
                </c:pt>
                <c:pt idx="186">
                  <c:v>-2.7653942671252514</c:v>
                </c:pt>
                <c:pt idx="187">
                  <c:v>-2.8264821138559268</c:v>
                </c:pt>
                <c:pt idx="188">
                  <c:v>-2.8871480653479686</c:v>
                </c:pt>
                <c:pt idx="189">
                  <c:v>-2.9473986824330627</c:v>
                </c:pt>
                <c:pt idx="190">
                  <c:v>-3.0072403753757024</c:v>
                </c:pt>
                <c:pt idx="191">
                  <c:v>-3.0666794084634312</c:v>
                </c:pt>
                <c:pt idx="192">
                  <c:v>-3.1257219044241613</c:v>
                </c:pt>
                <c:pt idx="193">
                  <c:v>-3.1843738486783697</c:v>
                </c:pt>
                <c:pt idx="194">
                  <c:v>-3.2426410934333534</c:v>
                </c:pt>
                <c:pt idx="195">
                  <c:v>-3.3005293616265838</c:v>
                </c:pt>
                <c:pt idx="196">
                  <c:v>-3.3580442507246602</c:v>
                </c:pt>
                <c:pt idx="197">
                  <c:v>-3.4151912363841594</c:v>
                </c:pt>
                <c:pt idx="198">
                  <c:v>-3.4719756759803189</c:v>
                </c:pt>
                <c:pt idx="199">
                  <c:v>-3.5284028120091895</c:v>
                </c:pt>
                <c:pt idx="200">
                  <c:v>-3.5844777753686197</c:v>
                </c:pt>
                <c:pt idx="201">
                  <c:v>-3.6402055885232265</c:v>
                </c:pt>
                <c:pt idx="202">
                  <c:v>-3.6955911685581371</c:v>
                </c:pt>
                <c:pt idx="203">
                  <c:v>-3.7506393301261882</c:v>
                </c:pt>
                <c:pt idx="204">
                  <c:v>-3.8053547882929788</c:v>
                </c:pt>
                <c:pt idx="205">
                  <c:v>-3.8597421612839722</c:v>
                </c:pt>
                <c:pt idx="206">
                  <c:v>-3.9138059731375918</c:v>
                </c:pt>
                <c:pt idx="207">
                  <c:v>-3.9675506562681799</c:v>
                </c:pt>
                <c:pt idx="208">
                  <c:v>-4.0209805539425094</c:v>
                </c:pt>
                <c:pt idx="209">
                  <c:v>-4.0740999226731143</c:v>
                </c:pt>
                <c:pt idx="210">
                  <c:v>-4.1269129345319238</c:v>
                </c:pt>
                <c:pt idx="211">
                  <c:v>-4.1794236793873711</c:v>
                </c:pt>
                <c:pt idx="212">
                  <c:v>-4.2316361670677463</c:v>
                </c:pt>
                <c:pt idx="213">
                  <c:v>-4.283554329453974</c:v>
                </c:pt>
                <c:pt idx="214">
                  <c:v>-4.3351820225043722</c:v>
                </c:pt>
                <c:pt idx="215">
                  <c:v>-4.3865230282140031</c:v>
                </c:pt>
                <c:pt idx="216">
                  <c:v>-4.4375810565112621</c:v>
                </c:pt>
                <c:pt idx="217">
                  <c:v>-4.4883597470939147</c:v>
                </c:pt>
                <c:pt idx="218">
                  <c:v>-4.5388626712071103</c:v>
                </c:pt>
                <c:pt idx="219">
                  <c:v>-4.5890933333652217</c:v>
                </c:pt>
                <c:pt idx="220">
                  <c:v>-4.6390551730199672</c:v>
                </c:pt>
                <c:pt idx="221">
                  <c:v>-4.6887515661765926</c:v>
                </c:pt>
                <c:pt idx="222">
                  <c:v>-4.7381858269600636</c:v>
                </c:pt>
                <c:pt idx="223">
                  <c:v>-4.7873612091331754</c:v>
                </c:pt>
                <c:pt idx="224">
                  <c:v>-4.836280907568276</c:v>
                </c:pt>
                <c:pt idx="225">
                  <c:v>-4.8849480596742936</c:v>
                </c:pt>
                <c:pt idx="226">
                  <c:v>-5.3583813271827996</c:v>
                </c:pt>
                <c:pt idx="227">
                  <c:v>-5.8096328507505302</c:v>
                </c:pt>
                <c:pt idx="228">
                  <c:v>-6.2410749740788765</c:v>
                </c:pt>
                <c:pt idx="229">
                  <c:v>-6.65472960994434</c:v>
                </c:pt>
                <c:pt idx="230">
                  <c:v>-7.052334682693</c:v>
                </c:pt>
                <c:pt idx="231">
                  <c:v>-7.4353954493126215</c:v>
                </c:pt>
                <c:pt idx="232">
                  <c:v>-7.8052246515306321</c:v>
                </c:pt>
                <c:pt idx="233">
                  <c:v>-8.1629742974271053</c:v>
                </c:pt>
                <c:pt idx="234">
                  <c:v>-8.5096610860851403</c:v>
                </c:pt>
                <c:pt idx="235">
                  <c:v>-8.8461869454661919</c:v>
                </c:pt>
                <c:pt idx="236">
                  <c:v>-9.1733557715667562</c:v>
                </c:pt>
                <c:pt idx="237">
                  <c:v>-9.4918871841809516</c:v>
                </c:pt>
                <c:pt idx="238">
                  <c:v>-9.8024279172860869</c:v>
                </c:pt>
                <c:pt idx="239">
                  <c:v>-10.10556131752238</c:v>
                </c:pt>
                <c:pt idx="240">
                  <c:v>-10.401815317104258</c:v>
                </c:pt>
                <c:pt idx="241">
                  <c:v>-10.691669167229778</c:v>
                </c:pt>
                <c:pt idx="242">
                  <c:v>-10.975559157298916</c:v>
                </c:pt>
                <c:pt idx="243">
                  <c:v>-11.253883498829635</c:v>
                </c:pt>
                <c:pt idx="244">
                  <c:v>-11.52700651717478</c:v>
                </c:pt>
                <c:pt idx="245">
                  <c:v>-11.795262266325</c:v>
                </c:pt>
                <c:pt idx="246">
                  <c:v>-12.058957660290112</c:v>
                </c:pt>
                <c:pt idx="247">
                  <c:v>-12.318375197350324</c:v>
                </c:pt>
                <c:pt idx="248">
                  <c:v>-12.573775339798679</c:v>
                </c:pt>
                <c:pt idx="249">
                  <c:v>-12.825398600859476</c:v>
                </c:pt>
                <c:pt idx="250">
                  <c:v>-13.073467381662784</c:v>
                </c:pt>
                <c:pt idx="251">
                  <c:v>-13.318187594025524</c:v>
                </c:pt>
                <c:pt idx="252">
                  <c:v>-13.559750098982931</c:v>
                </c:pt>
                <c:pt idx="253">
                  <c:v>-13.798331986260324</c:v>
                </c:pt>
                <c:pt idx="254">
                  <c:v>-14.034097715962922</c:v>
                </c:pt>
                <c:pt idx="255">
                  <c:v>-14.267200140526551</c:v>
                </c:pt>
                <c:pt idx="256">
                  <c:v>-14.497781422284948</c:v>
                </c:pt>
                <c:pt idx="257">
                  <c:v>-14.725973859766802</c:v>
                </c:pt>
                <c:pt idx="258">
                  <c:v>-14.951900633957592</c:v>
                </c:pt>
                <c:pt idx="259">
                  <c:v>-15.1756764841808</c:v>
                </c:pt>
                <c:pt idx="260">
                  <c:v>-15.397408321918746</c:v>
                </c:pt>
                <c:pt idx="261">
                  <c:v>-15.617195789763299</c:v>
                </c:pt>
                <c:pt idx="262">
                  <c:v>-15.835131771724708</c:v>
                </c:pt>
                <c:pt idx="263">
                  <c:v>-16.051302860307882</c:v>
                </c:pt>
                <c:pt idx="264">
                  <c:v>-16.265789785063298</c:v>
                </c:pt>
                <c:pt idx="265">
                  <c:v>-16.47866780671885</c:v>
                </c:pt>
                <c:pt idx="266">
                  <c:v>-16.690007080480719</c:v>
                </c:pt>
                <c:pt idx="267">
                  <c:v>-16.899872991645925</c:v>
                </c:pt>
                <c:pt idx="268">
                  <c:v>-17.108326466283003</c:v>
                </c:pt>
                <c:pt idx="269">
                  <c:v>-17.315424259403954</c:v>
                </c:pt>
                <c:pt idx="270">
                  <c:v>-17.521219222760543</c:v>
                </c:pt>
                <c:pt idx="271">
                  <c:v>-17.725760554146589</c:v>
                </c:pt>
                <c:pt idx="272">
                  <c:v>-17.929094029868729</c:v>
                </c:pt>
                <c:pt idx="273">
                  <c:v>-18.131262221857018</c:v>
                </c:pt>
                <c:pt idx="274">
                  <c:v>-18.332304700720425</c:v>
                </c:pt>
                <c:pt idx="275">
                  <c:v>-18.532258225906357</c:v>
                </c:pt>
                <c:pt idx="276">
                  <c:v>-18.731156923996146</c:v>
                </c:pt>
                <c:pt idx="277">
                  <c:v>-18.929032456057097</c:v>
                </c:pt>
                <c:pt idx="278">
                  <c:v>-19.125914174873976</c:v>
                </c:pt>
                <c:pt idx="279">
                  <c:v>-19.321829272797181</c:v>
                </c:pt>
                <c:pt idx="280">
                  <c:v>-19.516802920870077</c:v>
                </c:pt>
                <c:pt idx="281">
                  <c:v>-19.710858399831778</c:v>
                </c:pt>
                <c:pt idx="282">
                  <c:v>-19.904017223534073</c:v>
                </c:pt>
                <c:pt idx="283">
                  <c:v>-20.096299255260273</c:v>
                </c:pt>
                <c:pt idx="284">
                  <c:v>-20.287722817389124</c:v>
                </c:pt>
                <c:pt idx="285">
                  <c:v>-20.478304794807528</c:v>
                </c:pt>
                <c:pt idx="286">
                  <c:v>-20.668060732441344</c:v>
                </c:pt>
                <c:pt idx="287">
                  <c:v>-20.857004927242848</c:v>
                </c:pt>
                <c:pt idx="288">
                  <c:v>-21.045150514946563</c:v>
                </c:pt>
                <c:pt idx="289">
                  <c:v>-21.232509551881446</c:v>
                </c:pt>
                <c:pt idx="290">
                  <c:v>-21.419093092106117</c:v>
                </c:pt>
                <c:pt idx="291">
                  <c:v>-21.604911260115244</c:v>
                </c:pt>
                <c:pt idx="292">
                  <c:v>-21.789973319348562</c:v>
                </c:pt>
                <c:pt idx="293">
                  <c:v>-21.974287736719056</c:v>
                </c:pt>
                <c:pt idx="294">
                  <c:v>-22.157862243363574</c:v>
                </c:pt>
                <c:pt idx="295">
                  <c:v>-22.340703891807344</c:v>
                </c:pt>
                <c:pt idx="296">
                  <c:v>-22.522819109722768</c:v>
                </c:pt>
                <c:pt idx="297">
                  <c:v>-22.704213750453629</c:v>
                </c:pt>
                <c:pt idx="298">
                  <c:v>-22.884893140466403</c:v>
                </c:pt>
                <c:pt idx="299">
                  <c:v>-23.064862123882747</c:v>
                </c:pt>
                <c:pt idx="300">
                  <c:v>-23.244125104239576</c:v>
                </c:pt>
                <c:pt idx="301">
                  <c:v>-23.422686083616178</c:v>
                </c:pt>
                <c:pt idx="302">
                  <c:v>-23.600548699261683</c:v>
                </c:pt>
                <c:pt idx="303">
                  <c:v>-23.777716257849981</c:v>
                </c:pt>
                <c:pt idx="304">
                  <c:v>-23.95419176748376</c:v>
                </c:pt>
                <c:pt idx="305">
                  <c:v>-24.129977967564056</c:v>
                </c:pt>
                <c:pt idx="306">
                  <c:v>-24.305077356636598</c:v>
                </c:pt>
                <c:pt idx="307">
                  <c:v>-24.479492218321639</c:v>
                </c:pt>
                <c:pt idx="308">
                  <c:v>-24.653224645429354</c:v>
                </c:pt>
                <c:pt idx="309">
                  <c:v>-24.826276562358611</c:v>
                </c:pt>
                <c:pt idx="310">
                  <c:v>-24.998649745872701</c:v>
                </c:pt>
                <c:pt idx="311">
                  <c:v>-25.170345844341682</c:v>
                </c:pt>
                <c:pt idx="312">
                  <c:v>-25.341366395537122</c:v>
                </c:pt>
                <c:pt idx="313">
                  <c:v>-25.511712843061296</c:v>
                </c:pt>
                <c:pt idx="314">
                  <c:v>-25.681386551489286</c:v>
                </c:pt>
                <c:pt idx="315">
                  <c:v>-25.850388820299006</c:v>
                </c:pt>
                <c:pt idx="316">
                  <c:v>-26.018720896660792</c:v>
                </c:pt>
                <c:pt idx="317">
                  <c:v>-26.186383987154848</c:v>
                </c:pt>
                <c:pt idx="318">
                  <c:v>-26.353379268481856</c:v>
                </c:pt>
                <c:pt idx="319">
                  <c:v>-26.519707897228862</c:v>
                </c:pt>
                <c:pt idx="320">
                  <c:v>-26.685371018749635</c:v>
                </c:pt>
                <c:pt idx="321">
                  <c:v>-26.850369775215871</c:v>
                </c:pt>
                <c:pt idx="322">
                  <c:v>-27.014705312892787</c:v>
                </c:pt>
                <c:pt idx="323">
                  <c:v>-27.178378788690086</c:v>
                </c:pt>
                <c:pt idx="324">
                  <c:v>-27.341391376036444</c:v>
                </c:pt>
                <c:pt idx="325">
                  <c:v>-27.503744270123622</c:v>
                </c:pt>
                <c:pt idx="326">
                  <c:v>-27.665438692563399</c:v>
                </c:pt>
                <c:pt idx="327">
                  <c:v>-27.826475895498582</c:v>
                </c:pt>
                <c:pt idx="328">
                  <c:v>-27.986857165206985</c:v>
                </c:pt>
                <c:pt idx="329">
                  <c:v>-28.146583825235179</c:v>
                </c:pt>
                <c:pt idx="330">
                  <c:v>-28.305657239096625</c:v>
                </c:pt>
                <c:pt idx="331">
                  <c:v>-28.464078812567102</c:v>
                </c:pt>
                <c:pt idx="332">
                  <c:v>-28.621849995608244</c:v>
                </c:pt>
                <c:pt idx="333">
                  <c:v>-28.778972283948185</c:v>
                </c:pt>
                <c:pt idx="334">
                  <c:v>-28.935447220346859</c:v>
                </c:pt>
                <c:pt idx="335">
                  <c:v>-29.091276395571434</c:v>
                </c:pt>
                <c:pt idx="336">
                  <c:v>-29.24646144910627</c:v>
                </c:pt>
                <c:pt idx="337">
                  <c:v>-29.401004069619766</c:v>
                </c:pt>
                <c:pt idx="338">
                  <c:v>-29.554905995209619</c:v>
                </c:pt>
                <c:pt idx="339">
                  <c:v>-29.70816901344612</c:v>
                </c:pt>
                <c:pt idx="340">
                  <c:v>-29.860794961232209</c:v>
                </c:pt>
                <c:pt idx="341">
                  <c:v>-30.01278572449764</c:v>
                </c:pt>
                <c:pt idx="342">
                  <c:v>-30.16414323774336</c:v>
                </c:pt>
                <c:pt idx="343">
                  <c:v>-30.314869483451336</c:v>
                </c:pt>
                <c:pt idx="344">
                  <c:v>-30.464966491373854</c:v>
                </c:pt>
                <c:pt idx="345">
                  <c:v>-30.614436337715333</c:v>
                </c:pt>
                <c:pt idx="346">
                  <c:v>-30.763281144218855</c:v>
                </c:pt>
                <c:pt idx="347">
                  <c:v>-30.91150307716876</c:v>
                </c:pt>
                <c:pt idx="348">
                  <c:v>-31.059104346319579</c:v>
                </c:pt>
                <c:pt idx="349">
                  <c:v>-31.206087203761236</c:v>
                </c:pt>
                <c:pt idx="350">
                  <c:v>-31.352453942729241</c:v>
                </c:pt>
                <c:pt idx="351">
                  <c:v>-31.498206896368288</c:v>
                </c:pt>
                <c:pt idx="352">
                  <c:v>-31.643348436456812</c:v>
                </c:pt>
                <c:pt idx="353">
                  <c:v>-31.787880972099515</c:v>
                </c:pt>
                <c:pt idx="354">
                  <c:v>-31.931806948394332</c:v>
                </c:pt>
                <c:pt idx="355">
                  <c:v>-32.075128845079689</c:v>
                </c:pt>
                <c:pt idx="356">
                  <c:v>-32.217849175167515</c:v>
                </c:pt>
                <c:pt idx="357">
                  <c:v>-32.359970483566926</c:v>
                </c:pt>
                <c:pt idx="358">
                  <c:v>-32.501495345703063</c:v>
                </c:pt>
                <c:pt idx="359">
                  <c:v>-32.642426366135247</c:v>
                </c:pt>
                <c:pt idx="360">
                  <c:v>-32.782766177178054</c:v>
                </c:pt>
                <c:pt idx="361">
                  <c:v>-32.922517437528811</c:v>
                </c:pt>
                <c:pt idx="362">
                  <c:v>-33.061682830904424</c:v>
                </c:pt>
                <c:pt idx="363">
                  <c:v>-33.20026506469037</c:v>
                </c:pt>
                <c:pt idx="364">
                  <c:v>-33.338266868604158</c:v>
                </c:pt>
                <c:pt idx="365">
                  <c:v>-33.475690993375608</c:v>
                </c:pt>
                <c:pt idx="366">
                  <c:v>-33.61254020944574</c:v>
                </c:pt>
                <c:pt idx="367">
                  <c:v>-33.74881730568606</c:v>
                </c:pt>
                <c:pt idx="368">
                  <c:v>-33.884525088139668</c:v>
                </c:pt>
                <c:pt idx="369">
                  <c:v>-34.019666378785558</c:v>
                </c:pt>
                <c:pt idx="370">
                  <c:v>-34.154244014327226</c:v>
                </c:pt>
                <c:pt idx="371">
                  <c:v>-34.288260845006505</c:v>
                </c:pt>
                <c:pt idx="372">
                  <c:v>-34.421719733443425</c:v>
                </c:pt>
                <c:pt idx="373">
                  <c:v>-34.554623553502807</c:v>
                </c:pt>
                <c:pt idx="374">
                  <c:v>-34.686975189188196</c:v>
                </c:pt>
                <c:pt idx="375">
                  <c:v>-34.818777533563335</c:v>
                </c:pt>
                <c:pt idx="376">
                  <c:v>-34.950033487701717</c:v>
                </c:pt>
                <c:pt idx="377">
                  <c:v>-35.080745959664384</c:v>
                </c:pt>
                <c:pt idx="378">
                  <c:v>-35.210917863505962</c:v>
                </c:pt>
                <c:pt idx="379">
                  <c:v>-35.340552118309184</c:v>
                </c:pt>
                <c:pt idx="380">
                  <c:v>-35.469651647247694</c:v>
                </c:pt>
                <c:pt idx="381">
                  <c:v>-35.598219376677214</c:v>
                </c:pt>
                <c:pt idx="382">
                  <c:v>-35.726258235254711</c:v>
                </c:pt>
                <c:pt idx="383">
                  <c:v>-35.85377115308556</c:v>
                </c:pt>
                <c:pt idx="384">
                  <c:v>-35.980761060898331</c:v>
                </c:pt>
                <c:pt idx="385">
                  <c:v>-36.107230889246935</c:v>
                </c:pt>
                <c:pt idx="386">
                  <c:v>-36.2331835677398</c:v>
                </c:pt>
                <c:pt idx="387">
                  <c:v>-36.358622024295677</c:v>
                </c:pt>
                <c:pt idx="388">
                  <c:v>-36.483549184425698</c:v>
                </c:pt>
                <c:pt idx="389">
                  <c:v>-36.607967970541281</c:v>
                </c:pt>
                <c:pt idx="390">
                  <c:v>-36.73188130128743</c:v>
                </c:pt>
                <c:pt idx="391">
                  <c:v>-36.855292090900853</c:v>
                </c:pt>
                <c:pt idx="392">
                  <c:v>-36.978203248592649</c:v>
                </c:pt>
                <c:pt idx="393">
                  <c:v>-37.100617677954759</c:v>
                </c:pt>
                <c:pt idx="394">
                  <c:v>-37.222538276390026</c:v>
                </c:pt>
                <c:pt idx="395">
                  <c:v>-37.343967934564979</c:v>
                </c:pt>
                <c:pt idx="396">
                  <c:v>-37.464909535885134</c:v>
                </c:pt>
                <c:pt idx="397">
                  <c:v>-37.585365955992053</c:v>
                </c:pt>
                <c:pt idx="398">
                  <c:v>-37.705340062281806</c:v>
                </c:pt>
                <c:pt idx="399">
                  <c:v>-37.824834713444154</c:v>
                </c:pt>
                <c:pt idx="400">
                  <c:v>-37.943852759022029</c:v>
                </c:pt>
                <c:pt idx="401">
                  <c:v>-38.062397038990696</c:v>
                </c:pt>
                <c:pt idx="402">
                  <c:v>-38.180470383356166</c:v>
                </c:pt>
                <c:pt idx="403">
                  <c:v>-38.298075611772198</c:v>
                </c:pt>
                <c:pt idx="404">
                  <c:v>-38.415215533175505</c:v>
                </c:pt>
                <c:pt idx="405">
                  <c:v>-38.531892945438543</c:v>
                </c:pt>
                <c:pt idx="406">
                  <c:v>-38.648110635039465</c:v>
                </c:pt>
                <c:pt idx="407">
                  <c:v>-38.763871376748618</c:v>
                </c:pt>
                <c:pt idx="408">
                  <c:v>-38.87917793333115</c:v>
                </c:pt>
                <c:pt idx="409">
                  <c:v>-38.994033055265348</c:v>
                </c:pt>
                <c:pt idx="410">
                  <c:v>-39.10843948047593</c:v>
                </c:pt>
                <c:pt idx="411">
                  <c:v>-39.222399934082148</c:v>
                </c:pt>
                <c:pt idx="412">
                  <c:v>-39.33591712816002</c:v>
                </c:pt>
                <c:pt idx="413">
                  <c:v>-39.448993761518274</c:v>
                </c:pt>
                <c:pt idx="414">
                  <c:v>-39.561632519487674</c:v>
                </c:pt>
                <c:pt idx="415">
                  <c:v>-39.673836073723081</c:v>
                </c:pt>
                <c:pt idx="416">
                  <c:v>-39.785607082018032</c:v>
                </c:pt>
                <c:pt idx="417">
                  <c:v>-39.896948188131255</c:v>
                </c:pt>
                <c:pt idx="418">
                  <c:v>-40.007862021624788</c:v>
                </c:pt>
                <c:pt idx="419">
                  <c:v>-40.118351197713352</c:v>
                </c:pt>
                <c:pt idx="420">
                  <c:v>-40.228418317124451</c:v>
                </c:pt>
                <c:pt idx="421">
                  <c:v>-40.338065965968902</c:v>
                </c:pt>
                <c:pt idx="422">
                  <c:v>-40.447296715621441</c:v>
                </c:pt>
                <c:pt idx="423">
                  <c:v>-40.556113122611023</c:v>
                </c:pt>
                <c:pt idx="424">
                  <c:v>-40.664517728520423</c:v>
                </c:pt>
                <c:pt idx="425">
                  <c:v>-40.772513059894862</c:v>
                </c:pt>
                <c:pt idx="426">
                  <c:v>-40.880101628159238</c:v>
                </c:pt>
                <c:pt idx="427">
                  <c:v>-40.987285929543788</c:v>
                </c:pt>
                <c:pt idx="428">
                  <c:v>-41.094068445017669</c:v>
                </c:pt>
                <c:pt idx="429">
                  <c:v>-41.200451640230341</c:v>
                </c:pt>
                <c:pt idx="430">
                  <c:v>-41.30643796546029</c:v>
                </c:pt>
                <c:pt idx="431">
                  <c:v>-41.412029855570935</c:v>
                </c:pt>
                <c:pt idx="432">
                  <c:v>-41.51722972997338</c:v>
                </c:pt>
                <c:pt idx="433">
                  <c:v>-41.622039992595681</c:v>
                </c:pt>
                <c:pt idx="434">
                  <c:v>-41.726463031858543</c:v>
                </c:pt>
                <c:pt idx="435">
                  <c:v>-41.83050122065697</c:v>
                </c:pt>
                <c:pt idx="436">
                  <c:v>-41.934156916347767</c:v>
                </c:pt>
                <c:pt idx="437">
                  <c:v>-42.037432460742622</c:v>
                </c:pt>
                <c:pt idx="438">
                  <c:v>-42.140330180106567</c:v>
                </c:pt>
                <c:pt idx="439">
                  <c:v>-42.242852385161413</c:v>
                </c:pt>
                <c:pt idx="440">
                  <c:v>-42.34500137109427</c:v>
                </c:pt>
                <c:pt idx="441">
                  <c:v>-42.446779417570639</c:v>
                </c:pt>
                <c:pt idx="442">
                  <c:v>-42.548188788752014</c:v>
                </c:pt>
                <c:pt idx="443">
                  <c:v>-42.64923173331777</c:v>
                </c:pt>
                <c:pt idx="444">
                  <c:v>-42.74991048449116</c:v>
                </c:pt>
                <c:pt idx="445">
                  <c:v>-42.850227260069218</c:v>
                </c:pt>
                <c:pt idx="446">
                  <c:v>-42.950184262456403</c:v>
                </c:pt>
                <c:pt idx="447">
                  <c:v>-43.0497836787018</c:v>
                </c:pt>
                <c:pt idx="448">
                  <c:v>-43.149027680539731</c:v>
                </c:pt>
                <c:pt idx="449">
                  <c:v>-43.247918424433593</c:v>
                </c:pt>
                <c:pt idx="450">
                  <c:v>-43.34645805162274</c:v>
                </c:pt>
                <c:pt idx="451">
                  <c:v>-43.444648688172421</c:v>
                </c:pt>
                <c:pt idx="452">
                  <c:v>-43.542492445026362</c:v>
                </c:pt>
                <c:pt idx="453">
                  <c:v>-43.63999141806211</c:v>
                </c:pt>
                <c:pt idx="454">
                  <c:v>-43.737147688148781</c:v>
                </c:pt>
                <c:pt idx="455">
                  <c:v>-43.833963321207335</c:v>
                </c:pt>
                <c:pt idx="456">
                  <c:v>-43.930440368273011</c:v>
                </c:pt>
                <c:pt idx="457">
                  <c:v>-44.026580865559893</c:v>
                </c:pt>
                <c:pt idx="458">
                  <c:v>-44.122386834527632</c:v>
                </c:pt>
                <c:pt idx="459">
                  <c:v>-44.217860281949868</c:v>
                </c:pt>
                <c:pt idx="460">
                  <c:v>-44.313003199984706</c:v>
                </c:pt>
                <c:pt idx="461">
                  <c:v>-44.407817566246692</c:v>
                </c:pt>
                <c:pt idx="462">
                  <c:v>-44.502305343880479</c:v>
                </c:pt>
                <c:pt idx="463">
                  <c:v>-44.596468481636023</c:v>
                </c:pt>
                <c:pt idx="464">
                  <c:v>-44.690308913945145</c:v>
                </c:pt>
                <c:pt idx="465">
                  <c:v>-44.783828560999439</c:v>
                </c:pt>
                <c:pt idx="466">
                  <c:v>-44.87702932882938</c:v>
                </c:pt>
                <c:pt idx="467">
                  <c:v>-44.969913109384692</c:v>
                </c:pt>
                <c:pt idx="468">
                  <c:v>-45.06248178061567</c:v>
                </c:pt>
                <c:pt idx="469">
                  <c:v>-45.154737206555581</c:v>
                </c:pt>
                <c:pt idx="470">
                  <c:v>-45.246681237404005</c:v>
                </c:pt>
                <c:pt idx="471">
                  <c:v>-45.338315709610924</c:v>
                </c:pt>
                <c:pt idx="472">
                  <c:v>-45.429642445961768</c:v>
                </c:pt>
                <c:pt idx="473">
                  <c:v>-45.520663255663038</c:v>
                </c:pt>
                <c:pt idx="474">
                  <c:v>-45.611379934428662</c:v>
                </c:pt>
                <c:pt idx="475">
                  <c:v>-45.701794264566985</c:v>
                </c:pt>
                <c:pt idx="476">
                  <c:v>-45.791908015068202</c:v>
                </c:pt>
                <c:pt idx="477">
                  <c:v>-45.881722941692388</c:v>
                </c:pt>
                <c:pt idx="478">
                  <c:v>-45.971240787057901</c:v>
                </c:pt>
                <c:pt idx="479">
                  <c:v>-46.060463280730204</c:v>
                </c:pt>
                <c:pt idx="480">
                  <c:v>-46.149392139311004</c:v>
                </c:pt>
                <c:pt idx="481">
                  <c:v>-46.238029066527659</c:v>
                </c:pt>
                <c:pt idx="482">
                  <c:v>-46.326375753322964</c:v>
                </c:pt>
                <c:pt idx="483">
                  <c:v>-46.414433877944916</c:v>
                </c:pt>
                <c:pt idx="484">
                  <c:v>-46.50220510603684</c:v>
                </c:pt>
                <c:pt idx="485">
                  <c:v>-46.589691090727541</c:v>
                </c:pt>
                <c:pt idx="486">
                  <c:v>-46.676893472721602</c:v>
                </c:pt>
                <c:pt idx="487">
                  <c:v>-46.763813880389634</c:v>
                </c:pt>
                <c:pt idx="488">
                  <c:v>-46.850453929858638</c:v>
                </c:pt>
                <c:pt idx="489">
                  <c:v>-46.936815225102329</c:v>
                </c:pt>
                <c:pt idx="490">
                  <c:v>-47.022899358031374</c:v>
                </c:pt>
                <c:pt idx="491">
                  <c:v>-47.108707908583575</c:v>
                </c:pt>
                <c:pt idx="492">
                  <c:v>-47.19424244481398</c:v>
                </c:pt>
                <c:pt idx="493">
                  <c:v>-47.27950452298478</c:v>
                </c:pt>
                <c:pt idx="494">
                  <c:v>-47.364495687655108</c:v>
                </c:pt>
                <c:pt idx="495">
                  <c:v>-47.449217471770666</c:v>
                </c:pt>
                <c:pt idx="496">
                  <c:v>-47.533671396753057</c:v>
                </c:pt>
                <c:pt idx="497">
                  <c:v>-47.617858972589005</c:v>
                </c:pt>
                <c:pt idx="498">
                  <c:v>-47.701781697919216</c:v>
                </c:pt>
                <c:pt idx="499">
                  <c:v>-47.785441060126999</c:v>
                </c:pt>
                <c:pt idx="500">
                  <c:v>-47.868838535426676</c:v>
                </c:pt>
                <c:pt idx="501">
                  <c:v>-47.951975588951498</c:v>
                </c:pt>
                <c:pt idx="502">
                  <c:v>-48.034853674841493</c:v>
                </c:pt>
                <c:pt idx="503">
                  <c:v>-48.117474236330665</c:v>
                </c:pt>
                <c:pt idx="504">
                  <c:v>-48.199838705834139</c:v>
                </c:pt>
                <c:pt idx="505">
                  <c:v>-48.281948505034642</c:v>
                </c:pt>
                <c:pt idx="506">
                  <c:v>-48.363805044968842</c:v>
                </c:pt>
                <c:pt idx="507">
                  <c:v>-48.445409726113155</c:v>
                </c:pt>
                <c:pt idx="508">
                  <c:v>-48.526763938469088</c:v>
                </c:pt>
                <c:pt idx="509">
                  <c:v>-48.60786906164833</c:v>
                </c:pt>
                <c:pt idx="510">
                  <c:v>-48.688726464957249</c:v>
                </c:pt>
                <c:pt idx="511">
                  <c:v>-48.769337507480984</c:v>
                </c:pt>
                <c:pt idx="512">
                  <c:v>-48.84970353816712</c:v>
                </c:pt>
                <c:pt idx="513">
                  <c:v>-48.929825895908856</c:v>
                </c:pt>
                <c:pt idx="514">
                  <c:v>-49.009705909627677</c:v>
                </c:pt>
                <c:pt idx="515">
                  <c:v>-49.089344898355648</c:v>
                </c:pt>
                <c:pt idx="516">
                  <c:v>-49.168744171317023</c:v>
                </c:pt>
                <c:pt idx="517">
                  <c:v>-49.247905028009612</c:v>
                </c:pt>
                <c:pt idx="518">
                  <c:v>-49.326828758285394</c:v>
                </c:pt>
                <c:pt idx="519">
                  <c:v>-49.405516642430769</c:v>
                </c:pt>
                <c:pt idx="520">
                  <c:v>-49.483969951246259</c:v>
                </c:pt>
                <c:pt idx="521">
                  <c:v>-49.562189946125699</c:v>
                </c:pt>
                <c:pt idx="522">
                  <c:v>-49.640177879134839</c:v>
                </c:pt>
                <c:pt idx="523">
                  <c:v>-49.717934993089514</c:v>
                </c:pt>
                <c:pt idx="524">
                  <c:v>-49.795462521633205</c:v>
                </c:pt>
                <c:pt idx="525">
                  <c:v>-49.872761689314075</c:v>
                </c:pt>
                <c:pt idx="526">
                  <c:v>-49.949833711661498</c:v>
                </c:pt>
                <c:pt idx="527">
                  <c:v>-50.026679795262005</c:v>
                </c:pt>
                <c:pt idx="528">
                  <c:v>-50.103301137834741</c:v>
                </c:pt>
                <c:pt idx="529">
                  <c:v>-50.179698928306252</c:v>
                </c:pt>
                <c:pt idx="530">
                  <c:v>-50.255874346884909</c:v>
                </c:pt>
                <c:pt idx="531">
                  <c:v>-50.331828565134586</c:v>
                </c:pt>
                <c:pt idx="532">
                  <c:v>-50.407562746047915</c:v>
                </c:pt>
                <c:pt idx="533">
                  <c:v>-50.483078044118955</c:v>
                </c:pt>
                <c:pt idx="534">
                  <c:v>-50.558375605415279</c:v>
                </c:pt>
                <c:pt idx="535">
                  <c:v>-50.633456567649553</c:v>
                </c:pt>
                <c:pt idx="536">
                  <c:v>-50.70832206025046</c:v>
                </c:pt>
                <c:pt idx="537">
                  <c:v>-50.782973204433254</c:v>
                </c:pt>
                <c:pt idx="538">
                  <c:v>-50.857411113269535</c:v>
                </c:pt>
                <c:pt idx="539">
                  <c:v>-50.931636891756668</c:v>
                </c:pt>
                <c:pt idx="540">
                  <c:v>-51.005651636886483</c:v>
                </c:pt>
                <c:pt idx="541">
                  <c:v>-51.079456437713546</c:v>
                </c:pt>
                <c:pt idx="542">
                  <c:v>-51.153052375422831</c:v>
                </c:pt>
                <c:pt idx="543">
                  <c:v>-51.226440523396811</c:v>
                </c:pt>
                <c:pt idx="544">
                  <c:v>-51.29962194728202</c:v>
                </c:pt>
                <c:pt idx="545">
                  <c:v>-51.372597705055128</c:v>
                </c:pt>
                <c:pt idx="546">
                  <c:v>-51.445368847088332</c:v>
                </c:pt>
                <c:pt idx="547">
                  <c:v>-51.517936416214326</c:v>
                </c:pt>
                <c:pt idx="548">
                  <c:v>-51.590301447790708</c:v>
                </c:pt>
                <c:pt idx="549">
                  <c:v>-51.662464969763747</c:v>
                </c:pt>
                <c:pt idx="550">
                  <c:v>-51.734428002731747</c:v>
                </c:pt>
                <c:pt idx="551">
                  <c:v>-51.806191560007768</c:v>
                </c:pt>
                <c:pt idx="552">
                  <c:v>-51.877756647681863</c:v>
                </c:pt>
                <c:pt idx="553">
                  <c:v>-51.94912426468278</c:v>
                </c:pt>
                <c:pt idx="554">
                  <c:v>-52.020295402839096</c:v>
                </c:pt>
                <c:pt idx="555">
                  <c:v>-52.09127104693988</c:v>
                </c:pt>
                <c:pt idx="556">
                  <c:v>-52.162052174794752</c:v>
                </c:pt>
                <c:pt idx="557">
                  <c:v>-52.232639757293519</c:v>
                </c:pt>
                <c:pt idx="558">
                  <c:v>-52.303034758465216</c:v>
                </c:pt>
                <c:pt idx="559">
                  <c:v>-52.373238135536624</c:v>
                </c:pt>
                <c:pt idx="560">
                  <c:v>-52.443250838990345</c:v>
                </c:pt>
                <c:pt idx="561">
                  <c:v>-52.513073812622267</c:v>
                </c:pt>
                <c:pt idx="562">
                  <c:v>-52.582707993598639</c:v>
                </c:pt>
                <c:pt idx="563">
                  <c:v>-52.652154312512501</c:v>
                </c:pt>
                <c:pt idx="564">
                  <c:v>-52.721413693439757</c:v>
                </c:pt>
                <c:pt idx="565">
                  <c:v>-52.790487053994596</c:v>
                </c:pt>
                <c:pt idx="566">
                  <c:v>-52.859375305384575</c:v>
                </c:pt>
                <c:pt idx="567">
                  <c:v>-52.928079352465083</c:v>
                </c:pt>
                <c:pt idx="568">
                  <c:v>-52.99660009379339</c:v>
                </c:pt>
                <c:pt idx="569">
                  <c:v>-53.064938421682164</c:v>
                </c:pt>
                <c:pt idx="570">
                  <c:v>-53.133095222252528</c:v>
                </c:pt>
                <c:pt idx="571">
                  <c:v>-53.201071375486634</c:v>
                </c:pt>
                <c:pt idx="572">
                  <c:v>-53.268867755279757</c:v>
                </c:pt>
                <c:pt idx="573">
                  <c:v>-53.336485229491963</c:v>
                </c:pt>
                <c:pt idx="574">
                  <c:v>-53.403924659999177</c:v>
                </c:pt>
                <c:pt idx="575">
                  <c:v>-53.471186902743959</c:v>
                </c:pt>
                <c:pt idx="576">
                  <c:v>-53.538272807785674</c:v>
                </c:pt>
                <c:pt idx="577">
                  <c:v>-53.605183219350295</c:v>
                </c:pt>
                <c:pt idx="578">
                  <c:v>-53.671918975879706</c:v>
                </c:pt>
                <c:pt idx="579">
                  <c:v>-53.73848091008054</c:v>
                </c:pt>
                <c:pt idx="580">
                  <c:v>-53.804869848972636</c:v>
                </c:pt>
                <c:pt idx="581">
                  <c:v>-53.871086613936967</c:v>
                </c:pt>
                <c:pt idx="582">
                  <c:v>-53.937132020763201</c:v>
                </c:pt>
                <c:pt idx="583">
                  <c:v>-54.003006879696748</c:v>
                </c:pt>
                <c:pt idx="584">
                  <c:v>-54.068711995485472</c:v>
                </c:pt>
                <c:pt idx="585">
                  <c:v>-54.134248167425852</c:v>
                </c:pt>
                <c:pt idx="586">
                  <c:v>-54.199616189408857</c:v>
                </c:pt>
                <c:pt idx="587">
                  <c:v>-54.264816849965243</c:v>
                </c:pt>
                <c:pt idx="588">
                  <c:v>-54.329850932310535</c:v>
                </c:pt>
                <c:pt idx="589">
                  <c:v>-54.39471921438961</c:v>
                </c:pt>
                <c:pt idx="590">
                  <c:v>-54.459422468920764</c:v>
                </c:pt>
                <c:pt idx="591">
                  <c:v>-54.523961463439441</c:v>
                </c:pt>
                <c:pt idx="592">
                  <c:v>-54.588336960341579</c:v>
                </c:pt>
                <c:pt idx="593">
                  <c:v>-54.652549716926472</c:v>
                </c:pt>
                <c:pt idx="594">
                  <c:v>-54.716600485439301</c:v>
                </c:pt>
                <c:pt idx="595">
                  <c:v>-54.780490013113258</c:v>
                </c:pt>
                <c:pt idx="596">
                  <c:v>-54.84421904221125</c:v>
                </c:pt>
                <c:pt idx="597">
                  <c:v>-54.907788310067254</c:v>
                </c:pt>
                <c:pt idx="598">
                  <c:v>-54.971198549127244</c:v>
                </c:pt>
                <c:pt idx="599">
                  <c:v>-55.034450486989769</c:v>
                </c:pt>
                <c:pt idx="600">
                  <c:v>-55.097544846446155</c:v>
                </c:pt>
                <c:pt idx="601">
                  <c:v>-55.1604823455203</c:v>
                </c:pt>
                <c:pt idx="602">
                  <c:v>-55.223263697508145</c:v>
                </c:pt>
                <c:pt idx="603">
                  <c:v>-55.285889611016721</c:v>
                </c:pt>
                <c:pt idx="604">
                  <c:v>-55.348360790002872</c:v>
                </c:pt>
                <c:pt idx="605">
                  <c:v>-55.410677933811641</c:v>
                </c:pt>
                <c:pt idx="606">
                  <c:v>-58.344356898493288</c:v>
                </c:pt>
                <c:pt idx="607">
                  <c:v>-60.967222357719905</c:v>
                </c:pt>
                <c:pt idx="608">
                  <c:v>-63.334621647620608</c:v>
                </c:pt>
                <c:pt idx="609">
                  <c:v>-65.488481655131295</c:v>
                </c:pt>
                <c:pt idx="610">
                  <c:v>-67.461277562163104</c:v>
                </c:pt>
                <c:pt idx="611">
                  <c:v>-69.27866058238358</c:v>
                </c:pt>
                <c:pt idx="612">
                  <c:v>-70.961242733116421</c:v>
                </c:pt>
                <c:pt idx="613">
                  <c:v>-72.525838573995159</c:v>
                </c:pt>
                <c:pt idx="614">
                  <c:v>-73.98634843060664</c:v>
                </c:pt>
                <c:pt idx="615">
                  <c:v>-75.354399358768219</c:v>
                </c:pt>
                <c:pt idx="616">
                  <c:v>-76.639818852458561</c:v>
                </c:pt>
                <c:pt idx="617">
                  <c:v>-77.850990784300819</c:v>
                </c:pt>
                <c:pt idx="618">
                  <c:v>-78.318124858497697</c:v>
                </c:pt>
                <c:pt idx="619">
                  <c:v>-78.77471905154367</c:v>
                </c:pt>
                <c:pt idx="620">
                  <c:v>-79.221187484345904</c:v>
                </c:pt>
                <c:pt idx="621">
                  <c:v>-79.657921171319458</c:v>
                </c:pt>
                <c:pt idx="622">
                  <c:v>-80.085289732785213</c:v>
                </c:pt>
                <c:pt idx="623">
                  <c:v>-80.503642948012995</c:v>
                </c:pt>
                <c:pt idx="624">
                  <c:v>-80.913312166603291</c:v>
                </c:pt>
                <c:pt idx="625">
                  <c:v>-81.314611593642923</c:v>
                </c:pt>
                <c:pt idx="626">
                  <c:v>-81.707839462136008</c:v>
                </c:pt>
                <c:pt idx="627">
                  <c:v>-82.093279104548259</c:v>
                </c:pt>
                <c:pt idx="628">
                  <c:v>-82.471199933871247</c:v>
                </c:pt>
                <c:pt idx="629">
                  <c:v>-82.841858343374724</c:v>
                </c:pt>
                <c:pt idx="630">
                  <c:v>-83.205498533143498</c:v>
                </c:pt>
                <c:pt idx="631">
                  <c:v>-83.56235327056369</c:v>
                </c:pt>
                <c:pt idx="632">
                  <c:v>-83.912644591112695</c:v>
                </c:pt>
                <c:pt idx="633">
                  <c:v>-84.256584445099435</c:v>
                </c:pt>
                <c:pt idx="634">
                  <c:v>-84.594375295382974</c:v>
                </c:pt>
                <c:pt idx="635">
                  <c:v>-84.926210670554724</c:v>
                </c:pt>
                <c:pt idx="636">
                  <c:v>-85.252275677593531</c:v>
                </c:pt>
                <c:pt idx="637">
                  <c:v>-85.572747477582823</c:v>
                </c:pt>
                <c:pt idx="638">
                  <c:v>-85.887795727709886</c:v>
                </c:pt>
                <c:pt idx="639">
                  <c:v>-86.197582992439834</c:v>
                </c:pt>
                <c:pt idx="640">
                  <c:v>-86.502265126467961</c:v>
                </c:pt>
                <c:pt idx="641">
                  <c:v>-86.801991631797094</c:v>
                </c:pt>
                <c:pt idx="642">
                  <c:v>-87.096905991059003</c:v>
                </c:pt>
                <c:pt idx="643">
                  <c:v>-87.387145978995733</c:v>
                </c:pt>
                <c:pt idx="644">
                  <c:v>-87.672843953835837</c:v>
                </c:pt>
                <c:pt idx="645">
                  <c:v>-87.954127130139042</c:v>
                </c:pt>
                <c:pt idx="646">
                  <c:v>-88.231117834538793</c:v>
                </c:pt>
                <c:pt idx="647">
                  <c:v>-88.503933745681593</c:v>
                </c:pt>
                <c:pt idx="648">
                  <c:v>-88.772688119548036</c:v>
                </c:pt>
                <c:pt idx="649">
                  <c:v>-89.037490001233579</c:v>
                </c:pt>
                <c:pt idx="650">
                  <c:v>-89.298444424176125</c:v>
                </c:pt>
                <c:pt idx="651">
                  <c:v>-89.555652597730358</c:v>
                </c:pt>
                <c:pt idx="652">
                  <c:v>-89.809212083914574</c:v>
                </c:pt>
                <c:pt idx="653">
                  <c:v>-90.059216964086133</c:v>
                </c:pt>
                <c:pt idx="654">
                  <c:v>-90.305757996238754</c:v>
                </c:pt>
                <c:pt idx="655">
                  <c:v>-90.548922763559744</c:v>
                </c:pt>
                <c:pt idx="656">
                  <c:v>-90.788795814833477</c:v>
                </c:pt>
                <c:pt idx="657">
                  <c:v>-91.025458797230272</c:v>
                </c:pt>
                <c:pt idx="658">
                  <c:v>-91.258990581979603</c:v>
                </c:pt>
                <c:pt idx="659">
                  <c:v>-91.48946738338546</c:v>
                </c:pt>
                <c:pt idx="660">
                  <c:v>-91.716962871609482</c:v>
                </c:pt>
                <c:pt idx="661">
                  <c:v>-91.941548279613187</c:v>
                </c:pt>
                <c:pt idx="662">
                  <c:v>-92.163292504623058</c:v>
                </c:pt>
                <c:pt idx="663">
                  <c:v>-92.382262204454705</c:v>
                </c:pt>
                <c:pt idx="664">
                  <c:v>-92.598521889008424</c:v>
                </c:pt>
                <c:pt idx="665">
                  <c:v>-92.812134007225524</c:v>
                </c:pt>
                <c:pt idx="666">
                  <c:v>-93.023159029775314</c:v>
                </c:pt>
                <c:pt idx="667">
                  <c:v>-93.231655527722324</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90.009877246626701</c:v>
                </c:pt>
                <c:pt idx="1">
                  <c:v>90.019754492971302</c:v>
                </c:pt>
                <c:pt idx="2">
                  <c:v>90.029631738751789</c:v>
                </c:pt>
                <c:pt idx="3">
                  <c:v>90.039508983686062</c:v>
                </c:pt>
                <c:pt idx="4">
                  <c:v>90.049386227492079</c:v>
                </c:pt>
                <c:pt idx="5">
                  <c:v>90.059263469887739</c:v>
                </c:pt>
                <c:pt idx="6">
                  <c:v>90.069140710590986</c:v>
                </c:pt>
                <c:pt idx="7">
                  <c:v>90.079017949319763</c:v>
                </c:pt>
                <c:pt idx="8">
                  <c:v>90.088895185791969</c:v>
                </c:pt>
                <c:pt idx="9">
                  <c:v>90.098772419725591</c:v>
                </c:pt>
                <c:pt idx="10">
                  <c:v>90.197544557383296</c:v>
                </c:pt>
                <c:pt idx="11">
                  <c:v>90.296316130908778</c:v>
                </c:pt>
                <c:pt idx="12">
                  <c:v>90.395086858244426</c:v>
                </c:pt>
                <c:pt idx="13">
                  <c:v>90.493856457343171</c:v>
                </c:pt>
                <c:pt idx="14">
                  <c:v>90.592624646171615</c:v>
                </c:pt>
                <c:pt idx="15">
                  <c:v>90.691391142713769</c:v>
                </c:pt>
                <c:pt idx="16">
                  <c:v>90.790155664974151</c:v>
                </c:pt>
                <c:pt idx="17">
                  <c:v>90.888917930981663</c:v>
                </c:pt>
                <c:pt idx="18">
                  <c:v>90.987677658792677</c:v>
                </c:pt>
                <c:pt idx="19">
                  <c:v>91.975073335143051</c:v>
                </c:pt>
                <c:pt idx="20">
                  <c:v>92.961905391392051</c:v>
                </c:pt>
                <c:pt idx="21">
                  <c:v>93.947892877914597</c:v>
                </c:pt>
                <c:pt idx="22">
                  <c:v>94.93275587331587</c:v>
                </c:pt>
                <c:pt idx="23">
                  <c:v>95.916215820075237</c:v>
                </c:pt>
                <c:pt idx="24">
                  <c:v>96.897995854172223</c:v>
                </c:pt>
                <c:pt idx="25">
                  <c:v>97.877821127273634</c:v>
                </c:pt>
                <c:pt idx="26">
                  <c:v>98.855419120115158</c:v>
                </c:pt>
                <c:pt idx="27">
                  <c:v>99.830519945774085</c:v>
                </c:pt>
                <c:pt idx="28">
                  <c:v>104.65934048451113</c:v>
                </c:pt>
                <c:pt idx="29">
                  <c:v>109.38723456946119</c:v>
                </c:pt>
                <c:pt idx="30">
                  <c:v>113.98491335457702</c:v>
                </c:pt>
                <c:pt idx="31">
                  <c:v>118.42624447630908</c:v>
                </c:pt>
                <c:pt idx="32">
                  <c:v>122.68842981351054</c:v>
                </c:pt>
                <c:pt idx="33">
                  <c:v>126.75191025426177</c:v>
                </c:pt>
                <c:pt idx="34">
                  <c:v>130.60003219963775</c:v>
                </c:pt>
                <c:pt idx="35">
                  <c:v>134.21852076745012</c:v>
                </c:pt>
                <c:pt idx="36">
                  <c:v>137.59480290553353</c:v>
                </c:pt>
                <c:pt idx="37">
                  <c:v>140.71721264797134</c:v>
                </c:pt>
                <c:pt idx="38">
                  <c:v>143.57409369053408</c:v>
                </c:pt>
                <c:pt idx="39">
                  <c:v>146.15279373935664</c:v>
                </c:pt>
                <c:pt idx="40">
                  <c:v>148.43852187878645</c:v>
                </c:pt>
                <c:pt idx="41">
                  <c:v>150.4130144620899</c:v>
                </c:pt>
                <c:pt idx="42">
                  <c:v>152.05292591795393</c:v>
                </c:pt>
                <c:pt idx="43">
                  <c:v>153.32782778555671</c:v>
                </c:pt>
                <c:pt idx="44">
                  <c:v>154.19766418234781</c:v>
                </c:pt>
                <c:pt idx="45">
                  <c:v>154.60948479117701</c:v>
                </c:pt>
                <c:pt idx="46">
                  <c:v>154.49328880881353</c:v>
                </c:pt>
                <c:pt idx="47">
                  <c:v>153.75694943231446</c:v>
                </c:pt>
                <c:pt idx="48">
                  <c:v>152.28065413674094</c:v>
                </c:pt>
                <c:pt idx="49">
                  <c:v>149.91254791096935</c:v>
                </c:pt>
                <c:pt idx="50">
                  <c:v>146.4701677206468</c:v>
                </c:pt>
                <c:pt idx="51">
                  <c:v>141.75786750816974</c:v>
                </c:pt>
                <c:pt idx="52">
                  <c:v>135.61786121079376</c:v>
                </c:pt>
                <c:pt idx="53">
                  <c:v>128.03173072345632</c:v>
                </c:pt>
                <c:pt idx="54">
                  <c:v>119.25336051797049</c:v>
                </c:pt>
                <c:pt idx="55">
                  <c:v>109.8712981857409</c:v>
                </c:pt>
                <c:pt idx="56">
                  <c:v>100.67029607138448</c:v>
                </c:pt>
                <c:pt idx="57">
                  <c:v>92.33582780252685</c:v>
                </c:pt>
                <c:pt idx="58">
                  <c:v>85.240847495481518</c:v>
                </c:pt>
                <c:pt idx="59">
                  <c:v>79.447477853638574</c:v>
                </c:pt>
                <c:pt idx="60">
                  <c:v>74.831140854939136</c:v>
                </c:pt>
                <c:pt idx="61">
                  <c:v>71.19899070922645</c:v>
                </c:pt>
                <c:pt idx="62">
                  <c:v>68.35772203610405</c:v>
                </c:pt>
                <c:pt idx="63">
                  <c:v>66.14061336445134</c:v>
                </c:pt>
                <c:pt idx="64">
                  <c:v>64.413127537045497</c:v>
                </c:pt>
                <c:pt idx="65">
                  <c:v>63.069914936139369</c:v>
                </c:pt>
                <c:pt idx="66">
                  <c:v>62.029454657578825</c:v>
                </c:pt>
                <c:pt idx="67">
                  <c:v>61.228807967843963</c:v>
                </c:pt>
                <c:pt idx="68">
                  <c:v>60.619243773981495</c:v>
                </c:pt>
                <c:pt idx="69">
                  <c:v>60.16282219848695</c:v>
                </c:pt>
                <c:pt idx="70">
                  <c:v>59.829802694355621</c:v>
                </c:pt>
                <c:pt idx="71">
                  <c:v>59.596700725750864</c:v>
                </c:pt>
                <c:pt idx="72">
                  <c:v>59.444834736020297</c:v>
                </c:pt>
                <c:pt idx="73">
                  <c:v>59.359237305814361</c:v>
                </c:pt>
                <c:pt idx="74">
                  <c:v>59.327835146718442</c:v>
                </c:pt>
                <c:pt idx="75">
                  <c:v>59.340827528492284</c:v>
                </c:pt>
                <c:pt idx="76">
                  <c:v>59.390211681612428</c:v>
                </c:pt>
                <c:pt idx="77">
                  <c:v>59.46941765878087</c:v>
                </c:pt>
                <c:pt idx="78">
                  <c:v>59.573025255535697</c:v>
                </c:pt>
                <c:pt idx="79">
                  <c:v>59.696542892728459</c:v>
                </c:pt>
                <c:pt idx="80">
                  <c:v>59.836233634774302</c:v>
                </c:pt>
                <c:pt idx="81">
                  <c:v>59.988977333728499</c:v>
                </c:pt>
                <c:pt idx="82">
                  <c:v>60.152160665372591</c:v>
                </c:pt>
                <c:pt idx="83">
                  <c:v>60.32358885499886</c:v>
                </c:pt>
                <c:pt idx="84">
                  <c:v>60.501414386956696</c:v>
                </c:pt>
                <c:pt idx="85">
                  <c:v>60.68407910180045</c:v>
                </c:pt>
                <c:pt idx="86">
                  <c:v>60.870266913729523</c:v>
                </c:pt>
                <c:pt idx="87">
                  <c:v>61.058865004374198</c:v>
                </c:pt>
                <c:pt idx="88">
                  <c:v>61.248931821052054</c:v>
                </c:pt>
                <c:pt idx="89">
                  <c:v>61.439670567536652</c:v>
                </c:pt>
                <c:pt idx="90">
                  <c:v>61.630407151594824</c:v>
                </c:pt>
                <c:pt idx="91">
                  <c:v>61.820571766881656</c:v>
                </c:pt>
                <c:pt idx="92">
                  <c:v>62.009683452557411</c:v>
                </c:pt>
                <c:pt idx="93">
                  <c:v>62.197337103582782</c:v>
                </c:pt>
                <c:pt idx="94">
                  <c:v>62.383192506524338</c:v>
                </c:pt>
                <c:pt idx="95">
                  <c:v>62.566965056233741</c:v>
                </c:pt>
                <c:pt idx="96">
                  <c:v>62.748417872756463</c:v>
                </c:pt>
                <c:pt idx="97">
                  <c:v>62.927355088931719</c:v>
                </c:pt>
                <c:pt idx="98">
                  <c:v>63.103616120155365</c:v>
                </c:pt>
                <c:pt idx="99">
                  <c:v>63.277070760847266</c:v>
                </c:pt>
                <c:pt idx="100">
                  <c:v>63.447614978933714</c:v>
                </c:pt>
                <c:pt idx="101">
                  <c:v>63.615167301436003</c:v>
                </c:pt>
                <c:pt idx="102">
                  <c:v>63.779665702035231</c:v>
                </c:pt>
                <c:pt idx="103">
                  <c:v>63.941064916059162</c:v>
                </c:pt>
                <c:pt idx="104">
                  <c:v>64.099334120332045</c:v>
                </c:pt>
                <c:pt idx="105">
                  <c:v>64.254454925233233</c:v>
                </c:pt>
                <c:pt idx="106">
                  <c:v>64.406419634516197</c:v>
                </c:pt>
                <c:pt idx="107">
                  <c:v>64.555229735267091</c:v>
                </c:pt>
                <c:pt idx="108">
                  <c:v>64.700894586069637</c:v>
                </c:pt>
                <c:pt idx="109">
                  <c:v>64.843430276207627</c:v>
                </c:pt>
                <c:pt idx="110">
                  <c:v>64.982858632730782</c:v>
                </c:pt>
                <c:pt idx="111">
                  <c:v>65.119206355570924</c:v>
                </c:pt>
                <c:pt idx="112">
                  <c:v>65.252504263732646</c:v>
                </c:pt>
                <c:pt idx="113">
                  <c:v>65.382786637981468</c:v>
                </c:pt>
                <c:pt idx="114">
                  <c:v>65.510090647487871</c:v>
                </c:pt>
                <c:pt idx="115">
                  <c:v>65.634455849613545</c:v>
                </c:pt>
                <c:pt idx="116">
                  <c:v>65.755923753502131</c:v>
                </c:pt>
                <c:pt idx="117">
                  <c:v>65.874537439393833</c:v>
                </c:pt>
                <c:pt idx="118">
                  <c:v>65.990341226659936</c:v>
                </c:pt>
                <c:pt idx="119">
                  <c:v>66.103380384478072</c:v>
                </c:pt>
                <c:pt idx="120">
                  <c:v>66.213700879861435</c:v>
                </c:pt>
                <c:pt idx="121">
                  <c:v>66.321349158438949</c:v>
                </c:pt>
                <c:pt idx="122">
                  <c:v>66.426371953971923</c:v>
                </c:pt>
                <c:pt idx="123">
                  <c:v>66.528816123102857</c:v>
                </c:pt>
                <c:pt idx="124">
                  <c:v>66.628728502271017</c:v>
                </c:pt>
                <c:pt idx="125">
                  <c:v>66.726155784113132</c:v>
                </c:pt>
                <c:pt idx="126">
                  <c:v>66.821144410997789</c:v>
                </c:pt>
                <c:pt idx="127">
                  <c:v>66.913740483631031</c:v>
                </c:pt>
                <c:pt idx="128">
                  <c:v>67.0039896829215</c:v>
                </c:pt>
                <c:pt idx="129">
                  <c:v>67.091937203512899</c:v>
                </c:pt>
                <c:pt idx="130">
                  <c:v>67.177627697582366</c:v>
                </c:pt>
                <c:pt idx="131">
                  <c:v>67.261105227670782</c:v>
                </c:pt>
                <c:pt idx="132">
                  <c:v>67.342413227457229</c:v>
                </c:pt>
                <c:pt idx="133">
                  <c:v>67.421594469517814</c:v>
                </c:pt>
                <c:pt idx="134">
                  <c:v>67.498691039223729</c:v>
                </c:pt>
                <c:pt idx="135">
                  <c:v>67.573744314028147</c:v>
                </c:pt>
                <c:pt idx="136">
                  <c:v>67.646794947483343</c:v>
                </c:pt>
                <c:pt idx="137">
                  <c:v>67.717882857402955</c:v>
                </c:pt>
                <c:pt idx="138">
                  <c:v>67.787047217651988</c:v>
                </c:pt>
                <c:pt idx="139">
                  <c:v>67.854326453108328</c:v>
                </c:pt>
                <c:pt idx="140">
                  <c:v>67.919758237390852</c:v>
                </c:pt>
                <c:pt idx="141">
                  <c:v>67.983379492994729</c:v>
                </c:pt>
                <c:pt idx="142">
                  <c:v>68.045226393518391</c:v>
                </c:pt>
                <c:pt idx="143">
                  <c:v>68.105334367699683</c:v>
                </c:pt>
                <c:pt idx="144">
                  <c:v>68.163738105013607</c:v>
                </c:pt>
                <c:pt idx="145">
                  <c:v>68.220471562610228</c:v>
                </c:pt>
                <c:pt idx="146">
                  <c:v>68.275567973398793</c:v>
                </c:pt>
                <c:pt idx="147">
                  <c:v>68.329059855104774</c:v>
                </c:pt>
                <c:pt idx="148">
                  <c:v>68.380979020147379</c:v>
                </c:pt>
                <c:pt idx="149">
                  <c:v>68.431356586202014</c:v>
                </c:pt>
                <c:pt idx="150">
                  <c:v>68.480222987329398</c:v>
                </c:pt>
                <c:pt idx="151">
                  <c:v>68.527607985564643</c:v>
                </c:pt>
                <c:pt idx="152">
                  <c:v>68.573540682874111</c:v>
                </c:pt>
                <c:pt idx="153">
                  <c:v>68.61804953339761</c:v>
                </c:pt>
                <c:pt idx="154">
                  <c:v>68.661162355904608</c:v>
                </c:pt>
                <c:pt idx="155">
                  <c:v>68.702906346399331</c:v>
                </c:pt>
                <c:pt idx="156">
                  <c:v>68.743308090821188</c:v>
                </c:pt>
                <c:pt idx="157">
                  <c:v>68.782393577789762</c:v>
                </c:pt>
                <c:pt idx="158">
                  <c:v>68.820188211353596</c:v>
                </c:pt>
                <c:pt idx="159">
                  <c:v>68.856716823703721</c:v>
                </c:pt>
                <c:pt idx="160">
                  <c:v>68.892003687821642</c:v>
                </c:pt>
                <c:pt idx="161">
                  <c:v>68.926072530032201</c:v>
                </c:pt>
                <c:pt idx="162">
                  <c:v>68.958946542438213</c:v>
                </c:pt>
                <c:pt idx="163">
                  <c:v>68.990648395215757</c:v>
                </c:pt>
                <c:pt idx="164">
                  <c:v>69.02120024875309</c:v>
                </c:pt>
                <c:pt idx="165">
                  <c:v>69.050623765617587</c:v>
                </c:pt>
                <c:pt idx="166">
                  <c:v>69.078940122338139</c:v>
                </c:pt>
                <c:pt idx="167">
                  <c:v>69.106170020994284</c:v>
                </c:pt>
                <c:pt idx="168">
                  <c:v>69.132333700601137</c:v>
                </c:pt>
                <c:pt idx="169">
                  <c:v>69.157450948285117</c:v>
                </c:pt>
                <c:pt idx="170">
                  <c:v>69.18154111024441</c:v>
                </c:pt>
                <c:pt idx="171">
                  <c:v>69.204623102490928</c:v>
                </c:pt>
                <c:pt idx="172">
                  <c:v>69.226715421369278</c:v>
                </c:pt>
                <c:pt idx="173">
                  <c:v>69.247836153853058</c:v>
                </c:pt>
                <c:pt idx="174">
                  <c:v>69.268002987615489</c:v>
                </c:pt>
                <c:pt idx="175">
                  <c:v>69.287233220876047</c:v>
                </c:pt>
                <c:pt idx="176">
                  <c:v>69.305543772021821</c:v>
                </c:pt>
                <c:pt idx="177">
                  <c:v>69.32295118900656</c:v>
                </c:pt>
                <c:pt idx="178">
                  <c:v>69.339471658527088</c:v>
                </c:pt>
                <c:pt idx="179">
                  <c:v>69.355121014980696</c:v>
                </c:pt>
                <c:pt idx="180">
                  <c:v>69.369914749205648</c:v>
                </c:pt>
                <c:pt idx="181">
                  <c:v>69.383868017006876</c:v>
                </c:pt>
                <c:pt idx="182">
                  <c:v>69.396995647470447</c:v>
                </c:pt>
                <c:pt idx="183">
                  <c:v>69.409312151070338</c:v>
                </c:pt>
                <c:pt idx="184">
                  <c:v>69.420831727570828</c:v>
                </c:pt>
                <c:pt idx="185">
                  <c:v>69.431568273727322</c:v>
                </c:pt>
                <c:pt idx="186">
                  <c:v>69.441535390791159</c:v>
                </c:pt>
                <c:pt idx="187">
                  <c:v>69.450746391820388</c:v>
                </c:pt>
                <c:pt idx="188">
                  <c:v>69.45921430880189</c:v>
                </c:pt>
                <c:pt idx="189">
                  <c:v>69.466951899588238</c:v>
                </c:pt>
                <c:pt idx="190">
                  <c:v>69.473971654653127</c:v>
                </c:pt>
                <c:pt idx="191">
                  <c:v>69.480285803670185</c:v>
                </c:pt>
                <c:pt idx="192">
                  <c:v>69.485906321918534</c:v>
                </c:pt>
                <c:pt idx="193">
                  <c:v>69.490844936519537</c:v>
                </c:pt>
                <c:pt idx="194">
                  <c:v>69.495113132508749</c:v>
                </c:pt>
                <c:pt idx="195">
                  <c:v>69.498722158747086</c:v>
                </c:pt>
                <c:pt idx="196">
                  <c:v>69.501683033674894</c:v>
                </c:pt>
                <c:pt idx="197">
                  <c:v>69.504006550913815</c:v>
                </c:pt>
                <c:pt idx="198">
                  <c:v>69.505703284718706</c:v>
                </c:pt>
                <c:pt idx="199">
                  <c:v>69.506783595285299</c:v>
                </c:pt>
                <c:pt idx="200">
                  <c:v>69.507257633915984</c:v>
                </c:pt>
                <c:pt idx="201">
                  <c:v>69.50713534804828</c:v>
                </c:pt>
                <c:pt idx="202">
                  <c:v>69.506426486148911</c:v>
                </c:pt>
                <c:pt idx="203">
                  <c:v>69.505140602477795</c:v>
                </c:pt>
                <c:pt idx="204">
                  <c:v>69.503287061725146</c:v>
                </c:pt>
                <c:pt idx="205">
                  <c:v>69.500875043524829</c:v>
                </c:pt>
                <c:pt idx="206">
                  <c:v>69.49791354684757</c:v>
                </c:pt>
                <c:pt idx="207">
                  <c:v>69.494411394277904</c:v>
                </c:pt>
                <c:pt idx="208">
                  <c:v>69.490377236176769</c:v>
                </c:pt>
                <c:pt idx="209">
                  <c:v>69.485819554734078</c:v>
                </c:pt>
                <c:pt idx="210">
                  <c:v>69.480746667913508</c:v>
                </c:pt>
                <c:pt idx="211">
                  <c:v>69.475166733293193</c:v>
                </c:pt>
                <c:pt idx="212">
                  <c:v>69.469087751804793</c:v>
                </c:pt>
                <c:pt idx="213">
                  <c:v>69.462517571373482</c:v>
                </c:pt>
                <c:pt idx="214">
                  <c:v>69.455463890462383</c:v>
                </c:pt>
                <c:pt idx="215">
                  <c:v>69.447934261523699</c:v>
                </c:pt>
                <c:pt idx="216">
                  <c:v>69.439936094358899</c:v>
                </c:pt>
                <c:pt idx="217">
                  <c:v>69.431476659391024</c:v>
                </c:pt>
                <c:pt idx="218">
                  <c:v>69.42256309085171</c:v>
                </c:pt>
                <c:pt idx="219">
                  <c:v>69.413202389883907</c:v>
                </c:pt>
                <c:pt idx="220">
                  <c:v>69.403401427564944</c:v>
                </c:pt>
                <c:pt idx="221">
                  <c:v>69.393166947850588</c:v>
                </c:pt>
                <c:pt idx="222">
                  <c:v>69.382505570441822</c:v>
                </c:pt>
                <c:pt idx="223">
                  <c:v>69.371423793579226</c:v>
                </c:pt>
                <c:pt idx="224">
                  <c:v>69.359927996763219</c:v>
                </c:pt>
                <c:pt idx="225">
                  <c:v>69.348024443405635</c:v>
                </c:pt>
                <c:pt idx="226">
                  <c:v>69.207862225530477</c:v>
                </c:pt>
                <c:pt idx="227">
                  <c:v>69.033043667283266</c:v>
                </c:pt>
                <c:pt idx="228">
                  <c:v>68.828265967324114</c:v>
                </c:pt>
                <c:pt idx="229">
                  <c:v>68.597499671555909</c:v>
                </c:pt>
                <c:pt idx="230">
                  <c:v>68.344123414816906</c:v>
                </c:pt>
                <c:pt idx="231">
                  <c:v>68.07103014082368</c:v>
                </c:pt>
                <c:pt idx="232">
                  <c:v>67.780711462235203</c:v>
                </c:pt>
                <c:pt idx="233">
                  <c:v>67.475325146822428</c:v>
                </c:pt>
                <c:pt idx="234">
                  <c:v>67.156749484069707</c:v>
                </c:pt>
                <c:pt idx="235">
                  <c:v>66.826627378005426</c:v>
                </c:pt>
                <c:pt idx="236">
                  <c:v>66.486402338373537</c:v>
                </c:pt>
                <c:pt idx="237">
                  <c:v>66.137348039668581</c:v>
                </c:pt>
                <c:pt idx="238">
                  <c:v>65.780592740157331</c:v>
                </c:pt>
                <c:pt idx="239">
                  <c:v>65.417139567704169</c:v>
                </c:pt>
                <c:pt idx="240">
                  <c:v>65.047883462081174</c:v>
                </c:pt>
                <c:pt idx="241">
                  <c:v>64.673625397069699</c:v>
                </c:pt>
                <c:pt idx="242">
                  <c:v>64.295084377356872</c:v>
                </c:pt>
                <c:pt idx="243">
                  <c:v>63.912907605645856</c:v>
                </c:pt>
                <c:pt idx="244">
                  <c:v>63.527679137630486</c:v>
                </c:pt>
                <c:pt idx="245">
                  <c:v>63.139927281388267</c:v>
                </c:pt>
                <c:pt idx="246">
                  <c:v>62.750130949472364</c:v>
                </c:pt>
                <c:pt idx="247">
                  <c:v>62.358725133628425</c:v>
                </c:pt>
                <c:pt idx="248">
                  <c:v>61.966105641427006</c:v>
                </c:pt>
                <c:pt idx="249">
                  <c:v>61.572633209505341</c:v>
                </c:pt>
                <c:pt idx="250">
                  <c:v>61.178637088271046</c:v>
                </c:pt>
                <c:pt idx="251">
                  <c:v>60.784418176834095</c:v>
                </c:pt>
                <c:pt idx="252">
                  <c:v>60.390251773836113</c:v>
                </c:pt>
                <c:pt idx="253">
                  <c:v>59.996389999135801</c:v>
                </c:pt>
                <c:pt idx="254">
                  <c:v>59.603063932512654</c:v>
                </c:pt>
                <c:pt idx="255">
                  <c:v>59.210485508298376</c:v>
                </c:pt>
                <c:pt idx="256">
                  <c:v>58.818849198843154</c:v>
                </c:pt>
                <c:pt idx="257">
                  <c:v>58.428333514737716</c:v>
                </c:pt>
                <c:pt idx="258">
                  <c:v>58.03910234555309</c:v>
                </c:pt>
                <c:pt idx="259">
                  <c:v>57.651306161384653</c:v>
                </c:pt>
                <c:pt idx="260">
                  <c:v>57.265083092565561</c:v>
                </c:pt>
                <c:pt idx="261">
                  <c:v>56.880559902461414</c:v>
                </c:pt>
                <c:pt idx="262">
                  <c:v>56.497852866177581</c:v>
                </c:pt>
                <c:pt idx="263">
                  <c:v>56.117068566258325</c:v>
                </c:pt>
                <c:pt idx="264">
                  <c:v>55.738304614961763</c:v>
                </c:pt>
                <c:pt idx="265">
                  <c:v>55.361650311423588</c:v>
                </c:pt>
                <c:pt idx="266">
                  <c:v>54.987187240939079</c:v>
                </c:pt>
                <c:pt idx="267">
                  <c:v>54.614989822662338</c:v>
                </c:pt>
                <c:pt idx="268">
                  <c:v>54.245125811225904</c:v>
                </c:pt>
                <c:pt idx="269">
                  <c:v>53.877656757098308</c:v>
                </c:pt>
                <c:pt idx="270">
                  <c:v>53.512638429906829</c:v>
                </c:pt>
                <c:pt idx="271">
                  <c:v>53.150121208441675</c:v>
                </c:pt>
                <c:pt idx="272">
                  <c:v>52.79015044061714</c:v>
                </c:pt>
                <c:pt idx="273">
                  <c:v>52.432766776281383</c:v>
                </c:pt>
                <c:pt idx="274">
                  <c:v>52.078006475434606</c:v>
                </c:pt>
                <c:pt idx="275">
                  <c:v>51.72590169412365</c:v>
                </c:pt>
                <c:pt idx="276">
                  <c:v>51.376480750030311</c:v>
                </c:pt>
                <c:pt idx="277">
                  <c:v>51.029768369548293</c:v>
                </c:pt>
                <c:pt idx="278">
                  <c:v>50.685785917949715</c:v>
                </c:pt>
                <c:pt idx="279">
                  <c:v>50.34455161407314</c:v>
                </c:pt>
                <c:pt idx="280">
                  <c:v>50.00608073081645</c:v>
                </c:pt>
                <c:pt idx="281">
                  <c:v>49.67038578258385</c:v>
                </c:pt>
                <c:pt idx="282">
                  <c:v>49.337476700724181</c:v>
                </c:pt>
                <c:pt idx="283">
                  <c:v>49.007360997891851</c:v>
                </c:pt>
                <c:pt idx="284">
                  <c:v>48.680043922174008</c:v>
                </c:pt>
                <c:pt idx="285">
                  <c:v>48.355528601744965</c:v>
                </c:pt>
                <c:pt idx="286">
                  <c:v>48.033816180739962</c:v>
                </c:pt>
                <c:pt idx="287">
                  <c:v>47.71490594697525</c:v>
                </c:pt>
                <c:pt idx="288">
                  <c:v>47.398795452085295</c:v>
                </c:pt>
                <c:pt idx="289">
                  <c:v>47.085480624598915</c:v>
                </c:pt>
                <c:pt idx="290">
                  <c:v>46.774955876429715</c:v>
                </c:pt>
                <c:pt idx="291">
                  <c:v>46.46721420321623</c:v>
                </c:pt>
                <c:pt idx="292">
                  <c:v>46.162247278911508</c:v>
                </c:pt>
                <c:pt idx="293">
                  <c:v>45.860045544989589</c:v>
                </c:pt>
                <c:pt idx="294">
                  <c:v>45.560598294605967</c:v>
                </c:pt>
                <c:pt idx="295">
                  <c:v>45.263893752023819</c:v>
                </c:pt>
                <c:pt idx="296">
                  <c:v>44.969919147594311</c:v>
                </c:pt>
                <c:pt idx="297">
                  <c:v>44.67866078855667</c:v>
                </c:pt>
                <c:pt idx="298">
                  <c:v>44.390104125904401</c:v>
                </c:pt>
                <c:pt idx="299">
                  <c:v>44.104233817548504</c:v>
                </c:pt>
                <c:pt idx="300">
                  <c:v>43.821033787987602</c:v>
                </c:pt>
                <c:pt idx="301">
                  <c:v>43.540487284687089</c:v>
                </c:pt>
                <c:pt idx="302">
                  <c:v>43.262576931348633</c:v>
                </c:pt>
                <c:pt idx="303">
                  <c:v>42.987284778244941</c:v>
                </c:pt>
                <c:pt idx="304">
                  <c:v>42.71459234978073</c:v>
                </c:pt>
                <c:pt idx="305">
                  <c:v>42.444480689430435</c:v>
                </c:pt>
                <c:pt idx="306">
                  <c:v>42.176930402195069</c:v>
                </c:pt>
                <c:pt idx="307">
                  <c:v>41.91192169471077</c:v>
                </c:pt>
                <c:pt idx="308">
                  <c:v>41.649434413133918</c:v>
                </c:pt>
                <c:pt idx="309">
                  <c:v>41.389448078920651</c:v>
                </c:pt>
                <c:pt idx="310">
                  <c:v>41.131941922610821</c:v>
                </c:pt>
                <c:pt idx="311">
                  <c:v>40.876894915721039</c:v>
                </c:pt>
                <c:pt idx="312">
                  <c:v>40.624285800844604</c:v>
                </c:pt>
                <c:pt idx="313">
                  <c:v>40.37409312005164</c:v>
                </c:pt>
                <c:pt idx="314">
                  <c:v>40.126295241676161</c:v>
                </c:pt>
                <c:pt idx="315">
                  <c:v>39.880870385573957</c:v>
                </c:pt>
                <c:pt idx="316">
                  <c:v>39.637796646928251</c:v>
                </c:pt>
                <c:pt idx="317">
                  <c:v>39.397052018678949</c:v>
                </c:pt>
                <c:pt idx="318">
                  <c:v>39.158614412643573</c:v>
                </c:pt>
                <c:pt idx="319">
                  <c:v>38.922461679398481</c:v>
                </c:pt>
                <c:pt idx="320">
                  <c:v>38.688571626981798</c:v>
                </c:pt>
                <c:pt idx="321">
                  <c:v>38.456922038478893</c:v>
                </c:pt>
                <c:pt idx="322">
                  <c:v>38.227490688546055</c:v>
                </c:pt>
                <c:pt idx="323">
                  <c:v>38.000255358927944</c:v>
                </c:pt>
                <c:pt idx="324">
                  <c:v>37.775193853017356</c:v>
                </c:pt>
                <c:pt idx="325">
                  <c:v>37.552284009508895</c:v>
                </c:pt>
                <c:pt idx="326">
                  <c:v>37.331503715189768</c:v>
                </c:pt>
                <c:pt idx="327">
                  <c:v>37.112830916914049</c:v>
                </c:pt>
                <c:pt idx="328">
                  <c:v>36.896243632799809</c:v>
                </c:pt>
                <c:pt idx="329">
                  <c:v>36.681719962690664</c:v>
                </c:pt>
                <c:pt idx="330">
                  <c:v>36.469238097918407</c:v>
                </c:pt>
                <c:pt idx="331">
                  <c:v>36.258776330402242</c:v>
                </c:pt>
                <c:pt idx="332">
                  <c:v>36.050313061120079</c:v>
                </c:pt>
                <c:pt idx="333">
                  <c:v>35.843826807982452</c:v>
                </c:pt>
                <c:pt idx="334">
                  <c:v>35.639296213141364</c:v>
                </c:pt>
                <c:pt idx="335">
                  <c:v>35.436700049763175</c:v>
                </c:pt>
                <c:pt idx="336">
                  <c:v>35.236017228292468</c:v>
                </c:pt>
                <c:pt idx="337">
                  <c:v>35.037226802234954</c:v>
                </c:pt>
                <c:pt idx="338">
                  <c:v>34.840307973483107</c:v>
                </c:pt>
                <c:pt idx="339">
                  <c:v>34.645240097210717</c:v>
                </c:pt>
                <c:pt idx="340">
                  <c:v>34.452002686356195</c:v>
                </c:pt>
                <c:pt idx="341">
                  <c:v>34.260575415720297</c:v>
                </c:pt>
                <c:pt idx="342">
                  <c:v>34.070938125694965</c:v>
                </c:pt>
                <c:pt idx="343">
                  <c:v>33.883070825646627</c:v>
                </c:pt>
                <c:pt idx="344">
                  <c:v>33.696953696970212</c:v>
                </c:pt>
                <c:pt idx="345">
                  <c:v>33.512567095832765</c:v>
                </c:pt>
                <c:pt idx="346">
                  <c:v>33.329891555624101</c:v>
                </c:pt>
                <c:pt idx="347">
                  <c:v>33.148907789129566</c:v>
                </c:pt>
                <c:pt idx="348">
                  <c:v>32.969596690441506</c:v>
                </c:pt>
                <c:pt idx="349">
                  <c:v>32.79193933662296</c:v>
                </c:pt>
                <c:pt idx="350">
                  <c:v>32.61591698913864</c:v>
                </c:pt>
                <c:pt idx="351">
                  <c:v>32.441511095065437</c:v>
                </c:pt>
                <c:pt idx="352">
                  <c:v>32.26870328809585</c:v>
                </c:pt>
                <c:pt idx="353">
                  <c:v>32.097475389345931</c:v>
                </c:pt>
                <c:pt idx="354">
                  <c:v>31.927809407979254</c:v>
                </c:pt>
                <c:pt idx="355">
                  <c:v>31.759687541657541</c:v>
                </c:pt>
                <c:pt idx="356">
                  <c:v>31.593092176828691</c:v>
                </c:pt>
                <c:pt idx="357">
                  <c:v>31.428005888862003</c:v>
                </c:pt>
                <c:pt idx="358">
                  <c:v>31.264411442038977</c:v>
                </c:pt>
                <c:pt idx="359">
                  <c:v>31.102291789410003</c:v>
                </c:pt>
                <c:pt idx="360">
                  <c:v>30.941630072524106</c:v>
                </c:pt>
                <c:pt idx="361">
                  <c:v>30.78240962104033</c:v>
                </c:pt>
                <c:pt idx="362">
                  <c:v>30.624613952228401</c:v>
                </c:pt>
                <c:pt idx="363">
                  <c:v>30.468226770365817</c:v>
                </c:pt>
                <c:pt idx="364">
                  <c:v>30.313231966037364</c:v>
                </c:pt>
                <c:pt idx="365">
                  <c:v>30.159613615345307</c:v>
                </c:pt>
                <c:pt idx="366">
                  <c:v>30.007355979034685</c:v>
                </c:pt>
                <c:pt idx="367">
                  <c:v>29.856443501540582</c:v>
                </c:pt>
                <c:pt idx="368">
                  <c:v>29.706860809962535</c:v>
                </c:pt>
                <c:pt idx="369">
                  <c:v>29.558592712971461</c:v>
                </c:pt>
                <c:pt idx="370">
                  <c:v>29.411624199653801</c:v>
                </c:pt>
                <c:pt idx="371">
                  <c:v>29.265940438298315</c:v>
                </c:pt>
                <c:pt idx="372">
                  <c:v>29.121526775129297</c:v>
                </c:pt>
                <c:pt idx="373">
                  <c:v>28.97836873299039</c:v>
                </c:pt>
                <c:pt idx="374">
                  <c:v>28.83645200998393</c:v>
                </c:pt>
                <c:pt idx="375">
                  <c:v>28.695762478068701</c:v>
                </c:pt>
                <c:pt idx="376">
                  <c:v>28.556286181619896</c:v>
                </c:pt>
                <c:pt idx="377">
                  <c:v>28.418009335955418</c:v>
                </c:pt>
                <c:pt idx="378">
                  <c:v>28.280918325830186</c:v>
                </c:pt>
                <c:pt idx="379">
                  <c:v>28.144999703903608</c:v>
                </c:pt>
                <c:pt idx="380">
                  <c:v>28.010240189181019</c:v>
                </c:pt>
                <c:pt idx="381">
                  <c:v>27.876626665433236</c:v>
                </c:pt>
                <c:pt idx="382">
                  <c:v>27.744146179596328</c:v>
                </c:pt>
                <c:pt idx="383">
                  <c:v>27.612785940153657</c:v>
                </c:pt>
                <c:pt idx="384">
                  <c:v>27.48253331550336</c:v>
                </c:pt>
                <c:pt idx="385">
                  <c:v>27.35337583231248</c:v>
                </c:pt>
                <c:pt idx="386">
                  <c:v>27.225301173860316</c:v>
                </c:pt>
                <c:pt idx="387">
                  <c:v>27.098297178373002</c:v>
                </c:pt>
                <c:pt idx="388">
                  <c:v>26.972351837350828</c:v>
                </c:pt>
                <c:pt idx="389">
                  <c:v>26.84745329388997</c:v>
                </c:pt>
                <c:pt idx="390">
                  <c:v>26.723589841000376</c:v>
                </c:pt>
                <c:pt idx="391">
                  <c:v>26.600749919921697</c:v>
                </c:pt>
                <c:pt idx="392">
                  <c:v>26.478922118437652</c:v>
                </c:pt>
                <c:pt idx="393">
                  <c:v>26.35809516919133</c:v>
                </c:pt>
                <c:pt idx="394">
                  <c:v>26.23825794800166</c:v>
                </c:pt>
                <c:pt idx="395">
                  <c:v>26.119399472182977</c:v>
                </c:pt>
                <c:pt idx="396">
                  <c:v>26.001508898868622</c:v>
                </c:pt>
                <c:pt idx="397">
                  <c:v>25.884575523338611</c:v>
                </c:pt>
                <c:pt idx="398">
                  <c:v>25.768588777354125</c:v>
                </c:pt>
                <c:pt idx="399">
                  <c:v>25.653538227498274</c:v>
                </c:pt>
                <c:pt idx="400">
                  <c:v>25.539413573524286</c:v>
                </c:pt>
                <c:pt idx="401">
                  <c:v>25.426204646712478</c:v>
                </c:pt>
                <c:pt idx="402">
                  <c:v>25.313901408235637</c:v>
                </c:pt>
                <c:pt idx="403">
                  <c:v>25.202493947534606</c:v>
                </c:pt>
                <c:pt idx="404">
                  <c:v>25.091972480704243</c:v>
                </c:pt>
                <c:pt idx="405">
                  <c:v>24.982327348889555</c:v>
                </c:pt>
                <c:pt idx="406">
                  <c:v>24.873549016694454</c:v>
                </c:pt>
                <c:pt idx="407">
                  <c:v>24.76562807060094</c:v>
                </c:pt>
                <c:pt idx="408">
                  <c:v>24.65855521740184</c:v>
                </c:pt>
                <c:pt idx="409">
                  <c:v>24.552321282645863</c:v>
                </c:pt>
                <c:pt idx="410">
                  <c:v>24.446917209095574</c:v>
                </c:pt>
                <c:pt idx="411">
                  <c:v>24.34233405519899</c:v>
                </c:pt>
                <c:pt idx="412">
                  <c:v>24.238562993575044</c:v>
                </c:pt>
                <c:pt idx="413">
                  <c:v>24.135595309512922</c:v>
                </c:pt>
                <c:pt idx="414">
                  <c:v>24.033422399485744</c:v>
                </c:pt>
                <c:pt idx="415">
                  <c:v>23.932035769678834</c:v>
                </c:pt>
                <c:pt idx="416">
                  <c:v>23.83142703453251</c:v>
                </c:pt>
                <c:pt idx="417">
                  <c:v>23.731587915299826</c:v>
                </c:pt>
                <c:pt idx="418">
                  <c:v>23.632510238619517</c:v>
                </c:pt>
                <c:pt idx="419">
                  <c:v>23.534185935104034</c:v>
                </c:pt>
                <c:pt idx="420">
                  <c:v>23.436607037942338</c:v>
                </c:pt>
                <c:pt idx="421">
                  <c:v>23.339765681518969</c:v>
                </c:pt>
                <c:pt idx="422">
                  <c:v>23.243654100047848</c:v>
                </c:pt>
                <c:pt idx="423">
                  <c:v>23.148264626221646</c:v>
                </c:pt>
                <c:pt idx="424">
                  <c:v>23.0535896898771</c:v>
                </c:pt>
                <c:pt idx="425">
                  <c:v>22.959621816675536</c:v>
                </c:pt>
                <c:pt idx="426">
                  <c:v>22.866353626798627</c:v>
                </c:pt>
                <c:pt idx="427">
                  <c:v>22.773777833660859</c:v>
                </c:pt>
                <c:pt idx="428">
                  <c:v>22.681887242636094</c:v>
                </c:pt>
                <c:pt idx="429">
                  <c:v>22.590674749800883</c:v>
                </c:pt>
                <c:pt idx="430">
                  <c:v>22.500133340692344</c:v>
                </c:pt>
                <c:pt idx="431">
                  <c:v>22.410256089082367</c:v>
                </c:pt>
                <c:pt idx="432">
                  <c:v>22.32103615576662</c:v>
                </c:pt>
                <c:pt idx="433">
                  <c:v>22.232466787368793</c:v>
                </c:pt>
                <c:pt idx="434">
                  <c:v>22.144541315160836</c:v>
                </c:pt>
                <c:pt idx="435">
                  <c:v>22.057253153897506</c:v>
                </c:pt>
                <c:pt idx="436">
                  <c:v>21.9705958006667</c:v>
                </c:pt>
                <c:pt idx="437">
                  <c:v>21.884562833754586</c:v>
                </c:pt>
                <c:pt idx="438">
                  <c:v>21.799147911525296</c:v>
                </c:pt>
                <c:pt idx="439">
                  <c:v>21.714344771316092</c:v>
                </c:pt>
                <c:pt idx="440">
                  <c:v>21.630147228346829</c:v>
                </c:pt>
                <c:pt idx="441">
                  <c:v>21.546549174643701</c:v>
                </c:pt>
                <c:pt idx="442">
                  <c:v>21.463544577978809</c:v>
                </c:pt>
                <c:pt idx="443">
                  <c:v>21.381127480821903</c:v>
                </c:pt>
                <c:pt idx="444">
                  <c:v>21.299291999308593</c:v>
                </c:pt>
                <c:pt idx="445">
                  <c:v>21.21803232222112</c:v>
                </c:pt>
                <c:pt idx="446">
                  <c:v>21.137342709984011</c:v>
                </c:pt>
                <c:pt idx="447">
                  <c:v>21.057217493672908</c:v>
                </c:pt>
                <c:pt idx="448">
                  <c:v>20.977651074037624</c:v>
                </c:pt>
                <c:pt idx="449">
                  <c:v>20.898637920538562</c:v>
                </c:pt>
                <c:pt idx="450">
                  <c:v>20.820172570396437</c:v>
                </c:pt>
                <c:pt idx="451">
                  <c:v>20.742249627655866</c:v>
                </c:pt>
                <c:pt idx="452">
                  <c:v>20.664863762260921</c:v>
                </c:pt>
                <c:pt idx="453">
                  <c:v>20.588009709145211</c:v>
                </c:pt>
                <c:pt idx="454">
                  <c:v>20.51168226733364</c:v>
                </c:pt>
                <c:pt idx="455">
                  <c:v>20.435876299057526</c:v>
                </c:pt>
                <c:pt idx="456">
                  <c:v>20.360586728881827</c:v>
                </c:pt>
                <c:pt idx="457">
                  <c:v>20.285808542845103</c:v>
                </c:pt>
                <c:pt idx="458">
                  <c:v>20.211536787611976</c:v>
                </c:pt>
                <c:pt idx="459">
                  <c:v>20.137766569636881</c:v>
                </c:pt>
                <c:pt idx="460">
                  <c:v>20.064493054340829</c:v>
                </c:pt>
                <c:pt idx="461">
                  <c:v>19.991711465299318</c:v>
                </c:pt>
                <c:pt idx="462">
                  <c:v>19.919417083442028</c:v>
                </c:pt>
                <c:pt idx="463">
                  <c:v>19.847605246264379</c:v>
                </c:pt>
                <c:pt idx="464">
                  <c:v>19.776271347049999</c:v>
                </c:pt>
                <c:pt idx="465">
                  <c:v>19.705410834104867</c:v>
                </c:pt>
                <c:pt idx="466">
                  <c:v>19.635019210002383</c:v>
                </c:pt>
                <c:pt idx="467">
                  <c:v>19.565092030839082</c:v>
                </c:pt>
                <c:pt idx="468">
                  <c:v>19.495624905501955</c:v>
                </c:pt>
                <c:pt idx="469">
                  <c:v>19.426613494945599</c:v>
                </c:pt>
                <c:pt idx="470">
                  <c:v>19.358053511480222</c:v>
                </c:pt>
                <c:pt idx="471">
                  <c:v>19.289940718070028</c:v>
                </c:pt>
                <c:pt idx="472">
                  <c:v>19.222270927642086</c:v>
                </c:pt>
                <c:pt idx="473">
                  <c:v>19.155040002404746</c:v>
                </c:pt>
                <c:pt idx="474">
                  <c:v>19.08824385317655</c:v>
                </c:pt>
                <c:pt idx="475">
                  <c:v>19.021878438724428</c:v>
                </c:pt>
                <c:pt idx="476">
                  <c:v>18.955939765112362</c:v>
                </c:pt>
                <c:pt idx="477">
                  <c:v>18.890423885058453</c:v>
                </c:pt>
                <c:pt idx="478">
                  <c:v>18.825326897302745</c:v>
                </c:pt>
                <c:pt idx="479">
                  <c:v>18.760644945983046</c:v>
                </c:pt>
                <c:pt idx="480">
                  <c:v>18.696374220020942</c:v>
                </c:pt>
                <c:pt idx="481">
                  <c:v>18.632510952516128</c:v>
                </c:pt>
                <c:pt idx="482">
                  <c:v>18.569051420149947</c:v>
                </c:pt>
                <c:pt idx="483">
                  <c:v>18.505991942597547</c:v>
                </c:pt>
                <c:pt idx="484">
                  <c:v>18.443328881948844</c:v>
                </c:pt>
                <c:pt idx="485">
                  <c:v>18.381058642137674</c:v>
                </c:pt>
                <c:pt idx="486">
                  <c:v>18.319177668379808</c:v>
                </c:pt>
                <c:pt idx="487">
                  <c:v>18.257682446618759</c:v>
                </c:pt>
                <c:pt idx="488">
                  <c:v>18.196569502979997</c:v>
                </c:pt>
                <c:pt idx="489">
                  <c:v>18.135835403232988</c:v>
                </c:pt>
                <c:pt idx="490">
                  <c:v>18.075476752261409</c:v>
                </c:pt>
                <c:pt idx="491">
                  <c:v>18.015490193540813</c:v>
                </c:pt>
                <c:pt idx="492">
                  <c:v>17.955872408624202</c:v>
                </c:pt>
                <c:pt idx="493">
                  <c:v>17.896620116635091</c:v>
                </c:pt>
                <c:pt idx="494">
                  <c:v>17.837730073768086</c:v>
                </c:pt>
                <c:pt idx="495">
                  <c:v>17.779199072796274</c:v>
                </c:pt>
                <c:pt idx="496">
                  <c:v>17.721023942586982</c:v>
                </c:pt>
                <c:pt idx="497">
                  <c:v>17.663201547623203</c:v>
                </c:pt>
                <c:pt idx="498">
                  <c:v>17.605728787533167</c:v>
                </c:pt>
                <c:pt idx="499">
                  <c:v>17.548602596626239</c:v>
                </c:pt>
                <c:pt idx="500">
                  <c:v>17.491819943435814</c:v>
                </c:pt>
                <c:pt idx="501">
                  <c:v>17.435377830268692</c:v>
                </c:pt>
                <c:pt idx="502">
                  <c:v>17.379273292761468</c:v>
                </c:pt>
                <c:pt idx="503">
                  <c:v>17.323503399442757</c:v>
                </c:pt>
                <c:pt idx="504">
                  <c:v>17.26806525130263</c:v>
                </c:pt>
                <c:pt idx="505">
                  <c:v>17.212955981367429</c:v>
                </c:pt>
                <c:pt idx="506">
                  <c:v>17.158172754281537</c:v>
                </c:pt>
                <c:pt idx="507">
                  <c:v>17.103712765895011</c:v>
                </c:pt>
                <c:pt idx="508">
                  <c:v>17.049573242856923</c:v>
                </c:pt>
                <c:pt idx="509">
                  <c:v>16.99575144221501</c:v>
                </c:pt>
                <c:pt idx="510">
                  <c:v>16.942244651020985</c:v>
                </c:pt>
                <c:pt idx="511">
                  <c:v>16.889050185941699</c:v>
                </c:pt>
                <c:pt idx="512">
                  <c:v>16.836165392875557</c:v>
                </c:pt>
                <c:pt idx="513">
                  <c:v>16.783587646575285</c:v>
                </c:pt>
                <c:pt idx="514">
                  <c:v>16.731314350275255</c:v>
                </c:pt>
                <c:pt idx="515">
                  <c:v>16.679342935324684</c:v>
                </c:pt>
                <c:pt idx="516">
                  <c:v>16.62767086082647</c:v>
                </c:pt>
                <c:pt idx="517">
                  <c:v>16.576295613280394</c:v>
                </c:pt>
                <c:pt idx="518">
                  <c:v>16.525214706232163</c:v>
                </c:pt>
                <c:pt idx="519">
                  <c:v>16.474425679927435</c:v>
                </c:pt>
                <c:pt idx="520">
                  <c:v>16.42392610097059</c:v>
                </c:pt>
                <c:pt idx="521">
                  <c:v>16.37371356198841</c:v>
                </c:pt>
                <c:pt idx="522">
                  <c:v>16.323785681299029</c:v>
                </c:pt>
                <c:pt idx="523">
                  <c:v>16.274140102584994</c:v>
                </c:pt>
                <c:pt idx="524">
                  <c:v>16.224774494571733</c:v>
                </c:pt>
                <c:pt idx="525">
                  <c:v>16.175686550709969</c:v>
                </c:pt>
                <c:pt idx="526">
                  <c:v>16.126873988863139</c:v>
                </c:pt>
                <c:pt idx="527">
                  <c:v>16.078334550999074</c:v>
                </c:pt>
                <c:pt idx="528">
                  <c:v>16.030066002886201</c:v>
                </c:pt>
                <c:pt idx="529">
                  <c:v>15.982066133793978</c:v>
                </c:pt>
                <c:pt idx="530">
                  <c:v>15.934332756197591</c:v>
                </c:pt>
                <c:pt idx="531">
                  <c:v>15.886863705487229</c:v>
                </c:pt>
                <c:pt idx="532">
                  <c:v>15.839656839680828</c:v>
                </c:pt>
                <c:pt idx="533">
                  <c:v>15.792710039141411</c:v>
                </c:pt>
                <c:pt idx="534">
                  <c:v>15.746021206298281</c:v>
                </c:pt>
                <c:pt idx="535">
                  <c:v>15.699588265372228</c:v>
                </c:pt>
                <c:pt idx="536">
                  <c:v>15.653409162104538</c:v>
                </c:pt>
                <c:pt idx="537">
                  <c:v>15.60748186348988</c:v>
                </c:pt>
                <c:pt idx="538">
                  <c:v>15.561804357512983</c:v>
                </c:pt>
                <c:pt idx="539">
                  <c:v>15.516374652888885</c:v>
                </c:pt>
                <c:pt idx="540">
                  <c:v>15.471190778807255</c:v>
                </c:pt>
                <c:pt idx="541">
                  <c:v>15.42625078467978</c:v>
                </c:pt>
                <c:pt idx="542">
                  <c:v>15.38155273989139</c:v>
                </c:pt>
                <c:pt idx="543">
                  <c:v>15.337094733554892</c:v>
                </c:pt>
                <c:pt idx="544">
                  <c:v>15.292874874269387</c:v>
                </c:pt>
                <c:pt idx="545">
                  <c:v>15.24889128988147</c:v>
                </c:pt>
                <c:pt idx="546">
                  <c:v>15.205142127250014</c:v>
                </c:pt>
                <c:pt idx="547">
                  <c:v>15.161625552014641</c:v>
                </c:pt>
                <c:pt idx="548">
                  <c:v>15.118339748366765</c:v>
                </c:pt>
                <c:pt idx="549">
                  <c:v>15.075282918824229</c:v>
                </c:pt>
                <c:pt idx="550">
                  <c:v>15.032453284009051</c:v>
                </c:pt>
                <c:pt idx="551">
                  <c:v>14.989849082428236</c:v>
                </c:pt>
                <c:pt idx="552">
                  <c:v>14.947468570257286</c:v>
                </c:pt>
                <c:pt idx="553">
                  <c:v>14.90531002112732</c:v>
                </c:pt>
                <c:pt idx="554">
                  <c:v>14.863371725914647</c:v>
                </c:pt>
                <c:pt idx="555">
                  <c:v>14.821651992533617</c:v>
                </c:pt>
                <c:pt idx="556">
                  <c:v>14.780149145731826</c:v>
                </c:pt>
                <c:pt idx="557">
                  <c:v>14.738861526888769</c:v>
                </c:pt>
                <c:pt idx="558">
                  <c:v>14.697787493816719</c:v>
                </c:pt>
                <c:pt idx="559">
                  <c:v>14.65692542056459</c:v>
                </c:pt>
                <c:pt idx="560">
                  <c:v>14.616273697224699</c:v>
                </c:pt>
                <c:pt idx="561">
                  <c:v>14.575830729741568</c:v>
                </c:pt>
                <c:pt idx="562">
                  <c:v>14.535594939723893</c:v>
                </c:pt>
                <c:pt idx="563">
                  <c:v>14.495564764259058</c:v>
                </c:pt>
                <c:pt idx="564">
                  <c:v>14.455738655729675</c:v>
                </c:pt>
                <c:pt idx="565">
                  <c:v>14.416115081633393</c:v>
                </c:pt>
                <c:pt idx="566">
                  <c:v>14.376692524404206</c:v>
                </c:pt>
                <c:pt idx="567">
                  <c:v>14.337469481237235</c:v>
                </c:pt>
                <c:pt idx="568">
                  <c:v>14.29844446391499</c:v>
                </c:pt>
                <c:pt idx="569">
                  <c:v>14.259615998636377</c:v>
                </c:pt>
                <c:pt idx="570">
                  <c:v>14.220982625848364</c:v>
                </c:pt>
                <c:pt idx="571">
                  <c:v>14.182542900079</c:v>
                </c:pt>
                <c:pt idx="572">
                  <c:v>14.144295389773703</c:v>
                </c:pt>
                <c:pt idx="573">
                  <c:v>14.106238677132893</c:v>
                </c:pt>
                <c:pt idx="574">
                  <c:v>14.068371357952486</c:v>
                </c:pt>
                <c:pt idx="575">
                  <c:v>14.030692041466068</c:v>
                </c:pt>
                <c:pt idx="576">
                  <c:v>13.993199350189371</c:v>
                </c:pt>
                <c:pt idx="577">
                  <c:v>13.955891919766884</c:v>
                </c:pt>
                <c:pt idx="578">
                  <c:v>13.918768398820191</c:v>
                </c:pt>
                <c:pt idx="579">
                  <c:v>13.881827448798845</c:v>
                </c:pt>
                <c:pt idx="580">
                  <c:v>13.845067743833027</c:v>
                </c:pt>
                <c:pt idx="581">
                  <c:v>13.808487970587464</c:v>
                </c:pt>
                <c:pt idx="582">
                  <c:v>13.772086828118717</c:v>
                </c:pt>
                <c:pt idx="583">
                  <c:v>13.735863027732904</c:v>
                </c:pt>
                <c:pt idx="584">
                  <c:v>13.699815292846495</c:v>
                </c:pt>
                <c:pt idx="585">
                  <c:v>13.663942358847777</c:v>
                </c:pt>
                <c:pt idx="586">
                  <c:v>13.628242972961516</c:v>
                </c:pt>
                <c:pt idx="587">
                  <c:v>13.59271589411378</c:v>
                </c:pt>
                <c:pt idx="588">
                  <c:v>13.557359892800292</c:v>
                </c:pt>
                <c:pt idx="589">
                  <c:v>13.522173750954948</c:v>
                </c:pt>
                <c:pt idx="590">
                  <c:v>13.487156261821127</c:v>
                </c:pt>
                <c:pt idx="591">
                  <c:v>13.452306229824046</c:v>
                </c:pt>
                <c:pt idx="592">
                  <c:v>13.417622470445394</c:v>
                </c:pt>
                <c:pt idx="593">
                  <c:v>13.38310381009876</c:v>
                </c:pt>
                <c:pt idx="594">
                  <c:v>13.34874908600753</c:v>
                </c:pt>
                <c:pt idx="595">
                  <c:v>13.314557146083757</c:v>
                </c:pt>
                <c:pt idx="596">
                  <c:v>13.28052684880916</c:v>
                </c:pt>
                <c:pt idx="597">
                  <c:v>13.246657063117055</c:v>
                </c:pt>
                <c:pt idx="598">
                  <c:v>13.212946668276118</c:v>
                </c:pt>
                <c:pt idx="599">
                  <c:v>13.179394553776035</c:v>
                </c:pt>
                <c:pt idx="600">
                  <c:v>13.145999619213569</c:v>
                </c:pt>
                <c:pt idx="601">
                  <c:v>13.112760774181453</c:v>
                </c:pt>
                <c:pt idx="602">
                  <c:v>13.079676938157519</c:v>
                </c:pt>
                <c:pt idx="603">
                  <c:v>13.046747040395928</c:v>
                </c:pt>
                <c:pt idx="604">
                  <c:v>13.013970019819794</c:v>
                </c:pt>
                <c:pt idx="605">
                  <c:v>12.981344824914572</c:v>
                </c:pt>
                <c:pt idx="606">
                  <c:v>11.522924409796019</c:v>
                </c:pt>
                <c:pt idx="607">
                  <c:v>10.33932524435167</c:v>
                </c:pt>
                <c:pt idx="608">
                  <c:v>9.3598198546533524</c:v>
                </c:pt>
                <c:pt idx="609">
                  <c:v>8.535958617725953</c:v>
                </c:pt>
                <c:pt idx="610">
                  <c:v>7.833504559457225</c:v>
                </c:pt>
                <c:pt idx="611">
                  <c:v>7.2276063454545749</c:v>
                </c:pt>
                <c:pt idx="612">
                  <c:v>6.6997993837312038</c:v>
                </c:pt>
                <c:pt idx="613">
                  <c:v>6.2360806123486441</c:v>
                </c:pt>
                <c:pt idx="614">
                  <c:v>5.8256364259186739</c:v>
                </c:pt>
                <c:pt idx="615">
                  <c:v>5.4599804926332638</c:v>
                </c:pt>
                <c:pt idx="616">
                  <c:v>5.1323560301189559</c:v>
                </c:pt>
                <c:pt idx="617">
                  <c:v>4.8373129735903717</c:v>
                </c:pt>
                <c:pt idx="618">
                  <c:v>4.7273940239555827</c:v>
                </c:pt>
                <c:pt idx="619">
                  <c:v>4.6217204748340635</c:v>
                </c:pt>
                <c:pt idx="620">
                  <c:v>4.52006293986841</c:v>
                </c:pt>
                <c:pt idx="621">
                  <c:v>4.4222083338773643</c:v>
                </c:pt>
                <c:pt idx="622">
                  <c:v>4.3279584252285304</c:v>
                </c:pt>
                <c:pt idx="623">
                  <c:v>4.2371285410266353</c:v>
                </c:pt>
                <c:pt idx="624">
                  <c:v>4.1495464066601642</c:v>
                </c:pt>
                <c:pt idx="625">
                  <c:v>4.0650511037405295</c:v>
                </c:pt>
                <c:pt idx="626">
                  <c:v>3.9834921325867469</c:v>
                </c:pt>
                <c:pt idx="627">
                  <c:v>3.9047285672188821</c:v>
                </c:pt>
                <c:pt idx="628">
                  <c:v>3.8286282923743613</c:v>
                </c:pt>
                <c:pt idx="629">
                  <c:v>3.7550673133885937</c:v>
                </c:pt>
                <c:pt idx="630">
                  <c:v>3.6839291309293287</c:v>
                </c:pt>
                <c:pt idx="631">
                  <c:v>3.6151041735568299</c:v>
                </c:pt>
                <c:pt idx="632">
                  <c:v>3.5484892819382878</c:v>
                </c:pt>
                <c:pt idx="633">
                  <c:v>3.4839872392820723</c:v>
                </c:pt>
                <c:pt idx="634">
                  <c:v>3.4215063431987858</c:v>
                </c:pt>
                <c:pt idx="635">
                  <c:v>3.3609600147555057</c:v>
                </c:pt>
                <c:pt idx="636">
                  <c:v>3.3022664409741651</c:v>
                </c:pt>
                <c:pt idx="637">
                  <c:v>3.2453482474513748</c:v>
                </c:pt>
                <c:pt idx="638">
                  <c:v>3.1901321981479214</c:v>
                </c:pt>
                <c:pt idx="639">
                  <c:v>3.1365489197230261</c:v>
                </c:pt>
                <c:pt idx="640">
                  <c:v>3.0845326480724111</c:v>
                </c:pt>
                <c:pt idx="641">
                  <c:v>3.0340209949837345</c:v>
                </c:pt>
                <c:pt idx="642">
                  <c:v>2.9849547330437929</c:v>
                </c:pt>
                <c:pt idx="643">
                  <c:v>2.9372775971259841</c:v>
                </c:pt>
                <c:pt idx="644">
                  <c:v>2.8909361009625911</c:v>
                </c:pt>
                <c:pt idx="645">
                  <c:v>2.8458793674574281</c:v>
                </c:pt>
                <c:pt idx="646">
                  <c:v>2.8020589715312667</c:v>
                </c:pt>
                <c:pt idx="647">
                  <c:v>2.7594287944125426</c:v>
                </c:pt>
                <c:pt idx="648">
                  <c:v>2.7179448883942996</c:v>
                </c:pt>
                <c:pt idx="649">
                  <c:v>2.6775653511725466</c:v>
                </c:pt>
                <c:pt idx="650">
                  <c:v>2.6382502089663262</c:v>
                </c:pt>
                <c:pt idx="651">
                  <c:v>2.5999613076986918</c:v>
                </c:pt>
                <c:pt idx="652">
                  <c:v>2.562662211580772</c:v>
                </c:pt>
                <c:pt idx="653">
                  <c:v>2.5263181085073825</c:v>
                </c:pt>
                <c:pt idx="654">
                  <c:v>2.490895721723291</c:v>
                </c:pt>
                <c:pt idx="655">
                  <c:v>2.4563632272706002</c:v>
                </c:pt>
                <c:pt idx="656">
                  <c:v>2.4226901767699758</c:v>
                </c:pt>
                <c:pt idx="657">
                  <c:v>2.3898474251300001</c:v>
                </c:pt>
                <c:pt idx="658">
                  <c:v>2.357807062812725</c:v>
                </c:pt>
                <c:pt idx="659">
                  <c:v>2.3265423523165509</c:v>
                </c:pt>
                <c:pt idx="660">
                  <c:v>2.2960276685676035</c:v>
                </c:pt>
                <c:pt idx="661">
                  <c:v>2.2662384429344229</c:v>
                </c:pt>
                <c:pt idx="662">
                  <c:v>2.237151110607499</c:v>
                </c:pt>
                <c:pt idx="663">
                  <c:v>2.2087430611041157</c:v>
                </c:pt>
                <c:pt idx="664">
                  <c:v>2.180992591681246</c:v>
                </c:pt>
                <c:pt idx="665">
                  <c:v>2.153878863453258</c:v>
                </c:pt>
                <c:pt idx="666">
                  <c:v>2.1273818600314485</c:v>
                </c:pt>
                <c:pt idx="667">
                  <c:v>2.1014823485141676</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169.48425306925969</c:v>
                </c:pt>
                <c:pt idx="1">
                  <c:v>159.6345045259003</c:v>
                </c:pt>
                <c:pt idx="2">
                  <c:v>150.89406306776553</c:v>
                </c:pt>
                <c:pt idx="3">
                  <c:v>143.41941686808488</c:v>
                </c:pt>
                <c:pt idx="4">
                  <c:v>137.15685280253558</c:v>
                </c:pt>
                <c:pt idx="5">
                  <c:v>131.95153172147138</c:v>
                </c:pt>
                <c:pt idx="6">
                  <c:v>127.62434000335115</c:v>
                </c:pt>
                <c:pt idx="7">
                  <c:v>124.00965813081527</c:v>
                </c:pt>
                <c:pt idx="8">
                  <c:v>120.96814912908323</c:v>
                </c:pt>
                <c:pt idx="9">
                  <c:v>118.38762360128291</c:v>
                </c:pt>
                <c:pt idx="10">
                  <c:v>105.25768117824799</c:v>
                </c:pt>
                <c:pt idx="11">
                  <c:v>100.46466506945538</c:v>
                </c:pt>
                <c:pt idx="12">
                  <c:v>98.054979414154872</c:v>
                </c:pt>
                <c:pt idx="13">
                  <c:v>96.633399560138727</c:v>
                </c:pt>
                <c:pt idx="14">
                  <c:v>95.713341737965592</c:v>
                </c:pt>
                <c:pt idx="15">
                  <c:v>95.082102095215362</c:v>
                </c:pt>
                <c:pt idx="16">
                  <c:v>94.632197844300109</c:v>
                </c:pt>
                <c:pt idx="17">
                  <c:v>94.303535279249985</c:v>
                </c:pt>
                <c:pt idx="18">
                  <c:v>94.059908596923535</c:v>
                </c:pt>
                <c:pt idx="19">
                  <c:v>93.499510242217383</c:v>
                </c:pt>
                <c:pt idx="20">
                  <c:v>93.96412030026147</c:v>
                </c:pt>
                <c:pt idx="21">
                  <c:v>94.684665409403266</c:v>
                </c:pt>
                <c:pt idx="22">
                  <c:v>95.506836049531586</c:v>
                </c:pt>
                <c:pt idx="23">
                  <c:v>96.378986503751833</c:v>
                </c:pt>
                <c:pt idx="24">
                  <c:v>97.278820986218335</c:v>
                </c:pt>
                <c:pt idx="25">
                  <c:v>98.19505401206932</c:v>
                </c:pt>
                <c:pt idx="26">
                  <c:v>99.121295650020116</c:v>
                </c:pt>
                <c:pt idx="27">
                  <c:v>100.05360541315261</c:v>
                </c:pt>
                <c:pt idx="28">
                  <c:v>104.73699447365959</c:v>
                </c:pt>
                <c:pt idx="29">
                  <c:v>109.37085080112027</c:v>
                </c:pt>
                <c:pt idx="30">
                  <c:v>113.89504941195331</c:v>
                </c:pt>
                <c:pt idx="31">
                  <c:v>118.27317898805413</c:v>
                </c:pt>
                <c:pt idx="32">
                  <c:v>122.47803606363661</c:v>
                </c:pt>
                <c:pt idx="33">
                  <c:v>126.48785880745876</c:v>
                </c:pt>
                <c:pt idx="34">
                  <c:v>130.28476985110245</c:v>
                </c:pt>
                <c:pt idx="35">
                  <c:v>133.85376001941495</c:v>
                </c:pt>
                <c:pt idx="36">
                  <c:v>137.18178895505605</c:v>
                </c:pt>
                <c:pt idx="37">
                  <c:v>140.25687913006163</c:v>
                </c:pt>
                <c:pt idx="38">
                  <c:v>143.06715852020105</c:v>
                </c:pt>
                <c:pt idx="39">
                  <c:v>145.5998207244196</c:v>
                </c:pt>
                <c:pt idx="40">
                  <c:v>147.83996179512633</c:v>
                </c:pt>
                <c:pt idx="41">
                  <c:v>149.769233292916</c:v>
                </c:pt>
                <c:pt idx="42">
                  <c:v>151.36422478743</c:v>
                </c:pt>
                <c:pt idx="43">
                  <c:v>152.59445735533149</c:v>
                </c:pt>
                <c:pt idx="44">
                  <c:v>153.41983525954561</c:v>
                </c:pt>
                <c:pt idx="45">
                  <c:v>153.7873762844111</c:v>
                </c:pt>
                <c:pt idx="46">
                  <c:v>153.62705378993027</c:v>
                </c:pt>
                <c:pt idx="47">
                  <c:v>152.84671982048738</c:v>
                </c:pt>
                <c:pt idx="48">
                  <c:v>151.32654436430289</c:v>
                </c:pt>
                <c:pt idx="49">
                  <c:v>148.91465782554872</c:v>
                </c:pt>
                <c:pt idx="50">
                  <c:v>145.42858490689565</c:v>
                </c:pt>
                <c:pt idx="51">
                  <c:v>140.67266916302458</c:v>
                </c:pt>
                <c:pt idx="52">
                  <c:v>134.48911567148539</c:v>
                </c:pt>
                <c:pt idx="53">
                  <c:v>126.85949872267946</c:v>
                </c:pt>
                <c:pt idx="54">
                  <c:v>118.03769622266417</c:v>
                </c:pt>
                <c:pt idx="55">
                  <c:v>108.61225006275839</c:v>
                </c:pt>
                <c:pt idx="56">
                  <c:v>99.367907613557534</c:v>
                </c:pt>
                <c:pt idx="57">
                  <c:v>90.990138141302452</c:v>
                </c:pt>
                <c:pt idx="58">
                  <c:v>83.851891920753545</c:v>
                </c:pt>
                <c:pt idx="59">
                  <c:v>78.015288257153586</c:v>
                </c:pt>
                <c:pt idx="60">
                  <c:v>73.355746110377183</c:v>
                </c:pt>
                <c:pt idx="61">
                  <c:v>69.680416999513</c:v>
                </c:pt>
                <c:pt idx="62">
                  <c:v>66.795993136509381</c:v>
                </c:pt>
                <c:pt idx="63">
                  <c:v>64.535750888459717</c:v>
                </c:pt>
                <c:pt idx="64">
                  <c:v>62.76515115072236</c:v>
                </c:pt>
                <c:pt idx="65">
                  <c:v>61.37884254572154</c:v>
                </c:pt>
                <c:pt idx="66">
                  <c:v>60.295302574207994</c:v>
                </c:pt>
                <c:pt idx="67">
                  <c:v>59.45159105270821</c:v>
                </c:pt>
                <c:pt idx="68">
                  <c:v>58.798975566599324</c:v>
                </c:pt>
                <c:pt idx="69">
                  <c:v>58.299515030433525</c:v>
                </c:pt>
                <c:pt idx="70">
                  <c:v>57.923467790371973</c:v>
                </c:pt>
                <c:pt idx="71">
                  <c:v>57.647348293882715</c:v>
                </c:pt>
                <c:pt idx="72">
                  <c:v>57.452474048187142</c:v>
                </c:pt>
                <c:pt idx="73">
                  <c:v>57.323876770005683</c:v>
                </c:pt>
                <c:pt idx="74">
                  <c:v>57.249482371842205</c:v>
                </c:pt>
                <c:pt idx="75">
                  <c:v>57.219489382758567</c:v>
                </c:pt>
                <c:pt idx="76">
                  <c:v>57.225894345212552</c:v>
                </c:pt>
                <c:pt idx="77">
                  <c:v>57.262126671520917</c:v>
                </c:pt>
                <c:pt idx="78">
                  <c:v>57.32276555999573</c:v>
                </c:pt>
                <c:pt idx="79">
                  <c:v>57.403318873445386</c:v>
                </c:pt>
                <c:pt idx="80">
                  <c:v>57.500049153882003</c:v>
                </c:pt>
                <c:pt idx="81">
                  <c:v>57.60983576343564</c:v>
                </c:pt>
                <c:pt idx="82">
                  <c:v>57.730064917610775</c:v>
                </c:pt>
                <c:pt idx="83">
                  <c:v>57.858541408535075</c:v>
                </c:pt>
                <c:pt idx="84">
                  <c:v>57.993417312226953</c:v>
                </c:pt>
                <c:pt idx="85">
                  <c:v>58.133134083693847</c:v>
                </c:pt>
                <c:pt idx="86">
                  <c:v>58.276375272524675</c:v>
                </c:pt>
                <c:pt idx="87">
                  <c:v>58.422027715006323</c:v>
                </c:pt>
                <c:pt idx="88">
                  <c:v>58.569149530870661</c:v>
                </c:pt>
                <c:pt idx="89">
                  <c:v>58.716943612695417</c:v>
                </c:pt>
                <c:pt idx="90">
                  <c:v>58.864735572200502</c:v>
                </c:pt>
                <c:pt idx="91">
                  <c:v>59.011955321014469</c:v>
                </c:pt>
                <c:pt idx="92">
                  <c:v>59.158121629264897</c:v>
                </c:pt>
                <c:pt idx="93">
                  <c:v>59.30282913493771</c:v>
                </c:pt>
                <c:pt idx="94">
                  <c:v>59.445737378828312</c:v>
                </c:pt>
                <c:pt idx="95">
                  <c:v>59.586561520440014</c:v>
                </c:pt>
                <c:pt idx="96">
                  <c:v>59.725064454178309</c:v>
                </c:pt>
                <c:pt idx="97">
                  <c:v>59.861050096295699</c:v>
                </c:pt>
                <c:pt idx="98">
                  <c:v>59.994357654054753</c:v>
                </c:pt>
                <c:pt idx="99">
                  <c:v>60.124856721642772</c:v>
                </c:pt>
                <c:pt idx="100">
                  <c:v>60.252443074147422</c:v>
                </c:pt>
                <c:pt idx="101">
                  <c:v>60.37703505267821</c:v>
                </c:pt>
                <c:pt idx="102">
                  <c:v>60.498570451500768</c:v>
                </c:pt>
                <c:pt idx="103">
                  <c:v>60.617003832626679</c:v>
                </c:pt>
                <c:pt idx="104">
                  <c:v>60.7323042052966</c:v>
                </c:pt>
                <c:pt idx="105">
                  <c:v>60.844453017699806</c:v>
                </c:pt>
                <c:pt idx="106">
                  <c:v>60.953442416479817</c:v>
                </c:pt>
                <c:pt idx="107">
                  <c:v>61.059273736402091</c:v>
                </c:pt>
                <c:pt idx="108">
                  <c:v>61.161956188250102</c:v>
                </c:pt>
                <c:pt idx="109">
                  <c:v>61.261505717777581</c:v>
                </c:pt>
                <c:pt idx="110">
                  <c:v>61.35794401254266</c:v>
                </c:pt>
                <c:pt idx="111">
                  <c:v>61.451297636808292</c:v>
                </c:pt>
                <c:pt idx="112">
                  <c:v>61.541597277532532</c:v>
                </c:pt>
                <c:pt idx="113">
                  <c:v>61.628877086869949</c:v>
                </c:pt>
                <c:pt idx="114">
                  <c:v>61.71317410864161</c:v>
                </c:pt>
                <c:pt idx="115">
                  <c:v>61.794527777959431</c:v>
                </c:pt>
                <c:pt idx="116">
                  <c:v>61.872979484665706</c:v>
                </c:pt>
                <c:pt idx="117">
                  <c:v>61.94857219250629</c:v>
                </c:pt>
                <c:pt idx="118">
                  <c:v>62.021350107033356</c:v>
                </c:pt>
                <c:pt idx="119">
                  <c:v>62.091358386157438</c:v>
                </c:pt>
                <c:pt idx="120">
                  <c:v>62.158642888061138</c:v>
                </c:pt>
                <c:pt idx="121">
                  <c:v>62.223249951871438</c:v>
                </c:pt>
                <c:pt idx="122">
                  <c:v>62.285226207075056</c:v>
                </c:pt>
                <c:pt idx="123">
                  <c:v>62.344618408172693</c:v>
                </c:pt>
                <c:pt idx="124">
                  <c:v>62.401473291505596</c:v>
                </c:pt>
                <c:pt idx="125">
                  <c:v>62.455837451573103</c:v>
                </c:pt>
                <c:pt idx="126">
                  <c:v>62.507757234488508</c:v>
                </c:pt>
                <c:pt idx="127">
                  <c:v>62.557278646511222</c:v>
                </c:pt>
                <c:pt idx="128">
                  <c:v>62.604447275842986</c:v>
                </c:pt>
                <c:pt idx="129">
                  <c:v>62.6493082260953</c:v>
                </c:pt>
                <c:pt idx="130">
                  <c:v>62.691906060026696</c:v>
                </c:pt>
                <c:pt idx="131">
                  <c:v>62.732284752315621</c:v>
                </c:pt>
                <c:pt idx="132">
                  <c:v>62.770487650280685</c:v>
                </c:pt>
                <c:pt idx="133">
                  <c:v>62.806557441588822</c:v>
                </c:pt>
                <c:pt idx="134">
                  <c:v>62.840536128104802</c:v>
                </c:pt>
                <c:pt idx="135">
                  <c:v>62.87246500513335</c:v>
                </c:pt>
                <c:pt idx="136">
                  <c:v>62.902384645393511</c:v>
                </c:pt>
                <c:pt idx="137">
                  <c:v>62.930334887140262</c:v>
                </c:pt>
                <c:pt idx="138">
                  <c:v>62.956354825916918</c:v>
                </c:pt>
                <c:pt idx="139">
                  <c:v>62.980482809480733</c:v>
                </c:pt>
                <c:pt idx="140">
                  <c:v>63.002756435496849</c:v>
                </c:pt>
                <c:pt idx="141">
                  <c:v>63.023212551641919</c:v>
                </c:pt>
                <c:pt idx="142">
                  <c:v>63.041887257800639</c:v>
                </c:pt>
                <c:pt idx="143">
                  <c:v>63.05881591007342</c:v>
                </c:pt>
                <c:pt idx="144">
                  <c:v>63.074033126346976</c:v>
                </c:pt>
                <c:pt idx="145">
                  <c:v>63.087572793206817</c:v>
                </c:pt>
                <c:pt idx="146">
                  <c:v>63.099468073997215</c:v>
                </c:pt>
                <c:pt idx="147">
                  <c:v>63.109751417855151</c:v>
                </c:pt>
                <c:pt idx="148">
                  <c:v>63.118454569566268</c:v>
                </c:pt>
                <c:pt idx="149">
                  <c:v>63.125608580107027</c:v>
                </c:pt>
                <c:pt idx="150">
                  <c:v>63.131243817754097</c:v>
                </c:pt>
                <c:pt idx="151">
                  <c:v>63.135389979655315</c:v>
                </c:pt>
                <c:pt idx="152">
                  <c:v>63.138076103768924</c:v>
                </c:pt>
                <c:pt idx="153">
                  <c:v>63.139330581089553</c:v>
                </c:pt>
                <c:pt idx="154">
                  <c:v>63.139181168088356</c:v>
                </c:pt>
                <c:pt idx="155">
                  <c:v>63.137654999303862</c:v>
                </c:pt>
                <c:pt idx="156">
                  <c:v>63.134778600027758</c:v>
                </c:pt>
                <c:pt idx="157">
                  <c:v>63.130577899037192</c:v>
                </c:pt>
                <c:pt idx="158">
                  <c:v>63.125078241330343</c:v>
                </c:pt>
                <c:pt idx="159">
                  <c:v>63.118304400828507</c:v>
                </c:pt>
                <c:pt idx="160">
                  <c:v>63.110280593012391</c:v>
                </c:pt>
                <c:pt idx="161">
                  <c:v>63.10103048746447</c:v>
                </c:pt>
                <c:pt idx="162">
                  <c:v>63.090577220293042</c:v>
                </c:pt>
                <c:pt idx="163">
                  <c:v>63.078943406418489</c:v>
                </c:pt>
                <c:pt idx="164">
                  <c:v>63.066151151702385</c:v>
                </c:pt>
                <c:pt idx="165">
                  <c:v>63.052222064906005</c:v>
                </c:pt>
                <c:pt idx="166">
                  <c:v>63.037177269464692</c:v>
                </c:pt>
                <c:pt idx="167">
                  <c:v>63.021037415068761</c:v>
                </c:pt>
                <c:pt idx="168">
                  <c:v>63.003822689041201</c:v>
                </c:pt>
                <c:pt idx="169">
                  <c:v>62.985552827506396</c:v>
                </c:pt>
                <c:pt idx="170">
                  <c:v>62.966247126344058</c:v>
                </c:pt>
                <c:pt idx="171">
                  <c:v>62.945924451924469</c:v>
                </c:pt>
                <c:pt idx="172">
                  <c:v>62.924603251621846</c:v>
                </c:pt>
                <c:pt idx="173">
                  <c:v>62.902301564104746</c:v>
                </c:pt>
                <c:pt idx="174">
                  <c:v>62.879037029401402</c:v>
                </c:pt>
                <c:pt idx="175">
                  <c:v>62.85482689874118</c:v>
                </c:pt>
                <c:pt idx="176">
                  <c:v>62.82968804417132</c:v>
                </c:pt>
                <c:pt idx="177">
                  <c:v>62.803636967950865</c:v>
                </c:pt>
                <c:pt idx="178">
                  <c:v>62.77668981172333</c:v>
                </c:pt>
                <c:pt idx="179">
                  <c:v>62.748862365469961</c:v>
                </c:pt>
                <c:pt idx="180">
                  <c:v>62.720170076245864</c:v>
                </c:pt>
                <c:pt idx="181">
                  <c:v>62.690628056702352</c:v>
                </c:pt>
                <c:pt idx="182">
                  <c:v>62.660251093397918</c:v>
                </c:pt>
                <c:pt idx="183">
                  <c:v>62.629053654901853</c:v>
                </c:pt>
                <c:pt idx="184">
                  <c:v>62.597049899693019</c:v>
                </c:pt>
                <c:pt idx="185">
                  <c:v>62.564253683858368</c:v>
                </c:pt>
                <c:pt idx="186">
                  <c:v>62.530678568594467</c:v>
                </c:pt>
                <c:pt idx="187">
                  <c:v>62.496337827516001</c:v>
                </c:pt>
                <c:pt idx="188">
                  <c:v>62.461244453775194</c:v>
                </c:pt>
                <c:pt idx="189">
                  <c:v>62.425411166996426</c:v>
                </c:pt>
                <c:pt idx="190">
                  <c:v>62.388850420029328</c:v>
                </c:pt>
                <c:pt idx="191">
                  <c:v>62.351574405525767</c:v>
                </c:pt>
                <c:pt idx="192">
                  <c:v>62.31359506234314</c:v>
                </c:pt>
                <c:pt idx="193">
                  <c:v>62.274924081779474</c:v>
                </c:pt>
                <c:pt idx="194">
                  <c:v>62.235572913643679</c:v>
                </c:pt>
                <c:pt idx="195">
                  <c:v>62.195552772164802</c:v>
                </c:pt>
                <c:pt idx="196">
                  <c:v>62.154874641744996</c:v>
                </c:pt>
                <c:pt idx="197">
                  <c:v>62.113549282559418</c:v>
                </c:pt>
                <c:pt idx="198">
                  <c:v>62.071587236007304</c:v>
                </c:pt>
                <c:pt idx="199">
                  <c:v>62.02899883001804</c:v>
                </c:pt>
                <c:pt idx="200">
                  <c:v>61.985794184215877</c:v>
                </c:pt>
                <c:pt idx="201">
                  <c:v>61.941983214947143</c:v>
                </c:pt>
                <c:pt idx="202">
                  <c:v>61.897575640173557</c:v>
                </c:pt>
                <c:pt idx="203">
                  <c:v>61.852580984235075</c:v>
                </c:pt>
                <c:pt idx="204">
                  <c:v>61.807008582485949</c:v>
                </c:pt>
                <c:pt idx="205">
                  <c:v>61.760867585807432</c:v>
                </c:pt>
                <c:pt idx="206">
                  <c:v>61.714166965000402</c:v>
                </c:pt>
                <c:pt idx="207">
                  <c:v>61.66691551506095</c:v>
                </c:pt>
                <c:pt idx="208">
                  <c:v>61.619121859342911</c:v>
                </c:pt>
                <c:pt idx="209">
                  <c:v>61.570794453609565</c:v>
                </c:pt>
                <c:pt idx="210">
                  <c:v>61.521941589977871</c:v>
                </c:pt>
                <c:pt idx="211">
                  <c:v>61.472571400758511</c:v>
                </c:pt>
                <c:pt idx="212">
                  <c:v>61.422691862194668</c:v>
                </c:pt>
                <c:pt idx="213">
                  <c:v>61.372310798101381</c:v>
                </c:pt>
                <c:pt idx="214">
                  <c:v>61.321435883409833</c:v>
                </c:pt>
                <c:pt idx="215">
                  <c:v>61.270074647617577</c:v>
                </c:pt>
                <c:pt idx="216">
                  <c:v>61.218234478149029</c:v>
                </c:pt>
                <c:pt idx="217">
                  <c:v>61.165922623627026</c:v>
                </c:pt>
                <c:pt idx="218">
                  <c:v>61.113146197059606</c:v>
                </c:pt>
                <c:pt idx="219">
                  <c:v>61.059912178942568</c:v>
                </c:pt>
                <c:pt idx="220">
                  <c:v>61.006227420282443</c:v>
                </c:pt>
                <c:pt idx="221">
                  <c:v>60.952098645539849</c:v>
                </c:pt>
                <c:pt idx="222">
                  <c:v>60.89753245549673</c:v>
                </c:pt>
                <c:pt idx="223">
                  <c:v>60.842535330049998</c:v>
                </c:pt>
                <c:pt idx="224">
                  <c:v>60.787113630931955</c:v>
                </c:pt>
                <c:pt idx="225">
                  <c:v>60.731273604361732</c:v>
                </c:pt>
                <c:pt idx="226">
                  <c:v>60.151161883053078</c:v>
                </c:pt>
                <c:pt idx="227">
                  <c:v>59.535322087390256</c:v>
                </c:pt>
                <c:pt idx="228">
                  <c:v>58.888443708311584</c:v>
                </c:pt>
                <c:pt idx="229">
                  <c:v>58.214495330688862</c:v>
                </c:pt>
                <c:pt idx="230">
                  <c:v>57.516859370848479</c:v>
                </c:pt>
                <c:pt idx="231">
                  <c:v>56.798438284421366</c:v>
                </c:pt>
                <c:pt idx="232">
                  <c:v>56.061738902926777</c:v>
                </c:pt>
                <c:pt idx="233">
                  <c:v>55.308939882705275</c:v>
                </c:pt>
                <c:pt idx="234">
                  <c:v>54.541946018939996</c:v>
                </c:pt>
                <c:pt idx="235">
                  <c:v>53.76243226955765</c:v>
                </c:pt>
                <c:pt idx="236">
                  <c:v>52.971879660550172</c:v>
                </c:pt>
                <c:pt idx="237">
                  <c:v>52.171604742012704</c:v>
                </c:pt>
                <c:pt idx="238">
                  <c:v>51.362783887061823</c:v>
                </c:pt>
                <c:pt idx="239">
                  <c:v>50.546473440716881</c:v>
                </c:pt>
                <c:pt idx="240">
                  <c:v>49.723626508869245</c:v>
                </c:pt>
                <c:pt idx="241">
                  <c:v>48.895107011249422</c:v>
                </c:pt>
                <c:pt idx="242">
                  <c:v>48.06170149412651</c:v>
                </c:pt>
                <c:pt idx="243">
                  <c:v>47.224129099003733</c:v>
                </c:pt>
                <c:pt idx="244">
                  <c:v>46.383050005901936</c:v>
                </c:pt>
                <c:pt idx="245">
                  <c:v>45.539072608808851</c:v>
                </c:pt>
                <c:pt idx="246">
                  <c:v>44.692759632667475</c:v>
                </c:pt>
                <c:pt idx="247">
                  <c:v>43.844633362979948</c:v>
                </c:pt>
                <c:pt idx="248">
                  <c:v>42.995180128515386</c:v>
                </c:pt>
                <c:pt idx="249">
                  <c:v>42.144854153048726</c:v>
                </c:pt>
                <c:pt idx="250">
                  <c:v>41.294080872240585</c:v>
                </c:pt>
                <c:pt idx="251">
                  <c:v>40.443259795699731</c:v>
                </c:pt>
                <c:pt idx="252">
                  <c:v>39.592766981176794</c:v>
                </c:pt>
                <c:pt idx="253">
                  <c:v>38.742957177123628</c:v>
                </c:pt>
                <c:pt idx="254">
                  <c:v>37.894165681045479</c:v>
                </c:pt>
                <c:pt idx="255">
                  <c:v>37.046709953797404</c:v>
                </c:pt>
                <c:pt idx="256">
                  <c:v>36.200891023946156</c:v>
                </c:pt>
                <c:pt idx="257">
                  <c:v>35.356994711294391</c:v>
                </c:pt>
                <c:pt idx="258">
                  <c:v>34.515292694462516</c:v>
                </c:pt>
                <c:pt idx="259">
                  <c:v>33.676043443895622</c:v>
                </c:pt>
                <c:pt idx="260">
                  <c:v>32.83949303868738</c:v>
                </c:pt>
                <c:pt idx="261">
                  <c:v>32.005875883093864</c:v>
                </c:pt>
                <c:pt idx="262">
                  <c:v>31.175415336467807</c:v>
                </c:pt>
                <c:pt idx="263">
                  <c:v>30.348324268518297</c:v>
                </c:pt>
                <c:pt idx="264">
                  <c:v>29.524805550230923</c:v>
                </c:pt>
                <c:pt idx="265">
                  <c:v>28.705052489442181</c:v>
                </c:pt>
                <c:pt idx="266">
                  <c:v>27.889249218892559</c:v>
                </c:pt>
                <c:pt idx="267">
                  <c:v>27.077571043580491</c:v>
                </c:pt>
                <c:pt idx="268">
                  <c:v>26.270184753361292</c:v>
                </c:pt>
                <c:pt idx="269">
                  <c:v>25.467248905970621</c:v>
                </c:pt>
                <c:pt idx="270">
                  <c:v>24.668914084985772</c:v>
                </c:pt>
                <c:pt idx="271">
                  <c:v>23.875323136650167</c:v>
                </c:pt>
                <c:pt idx="272">
                  <c:v>23.086611388971448</c:v>
                </c:pt>
                <c:pt idx="273">
                  <c:v>22.302906856049447</c:v>
                </c:pt>
                <c:pt idx="274">
                  <c:v>21.524330430189991</c:v>
                </c:pt>
                <c:pt idx="275">
                  <c:v>20.750996064003658</c:v>
                </c:pt>
                <c:pt idx="276">
                  <c:v>19.983010944378236</c:v>
                </c:pt>
                <c:pt idx="277">
                  <c:v>19.220475659933101</c:v>
                </c:pt>
                <c:pt idx="278">
                  <c:v>18.463484363319196</c:v>
                </c:pt>
                <c:pt idx="279">
                  <c:v>17.712124929511276</c:v>
                </c:pt>
                <c:pt idx="280">
                  <c:v>16.966479111044464</c:v>
                </c:pt>
                <c:pt idx="281">
                  <c:v>16.22662269098052</c:v>
                </c:pt>
                <c:pt idx="282">
                  <c:v>15.492625634236617</c:v>
                </c:pt>
                <c:pt idx="283">
                  <c:v>14.764552237779498</c:v>
                </c:pt>
                <c:pt idx="284">
                  <c:v>14.042461280073354</c:v>
                </c:pt>
                <c:pt idx="285">
                  <c:v>13.326406170066832</c:v>
                </c:pt>
                <c:pt idx="286">
                  <c:v>12.616435095921076</c:v>
                </c:pt>
                <c:pt idx="287">
                  <c:v>11.912591173602408</c:v>
                </c:pt>
                <c:pt idx="288">
                  <c:v>11.214912595400364</c:v>
                </c:pt>
                <c:pt idx="289">
                  <c:v>10.523432778378407</c:v>
                </c:pt>
                <c:pt idx="290">
                  <c:v>9.8381805127156952</c:v>
                </c:pt>
                <c:pt idx="291">
                  <c:v>9.1591801098639962</c:v>
                </c:pt>
                <c:pt idx="292">
                  <c:v>8.4864515504107203</c:v>
                </c:pt>
                <c:pt idx="293">
                  <c:v>7.8200106315152027</c:v>
                </c:pt>
                <c:pt idx="294">
                  <c:v>7.1598691137665185</c:v>
                </c:pt>
                <c:pt idx="295">
                  <c:v>6.5060348672973021</c:v>
                </c:pt>
                <c:pt idx="296">
                  <c:v>5.8585120169779259</c:v>
                </c:pt>
                <c:pt idx="297">
                  <c:v>5.2173010865110427</c:v>
                </c:pt>
                <c:pt idx="298">
                  <c:v>4.5823991412421208</c:v>
                </c:pt>
                <c:pt idx="299">
                  <c:v>3.9537999295044699</c:v>
                </c:pt>
                <c:pt idx="300">
                  <c:v>3.3314940223185658</c:v>
                </c:pt>
                <c:pt idx="301">
                  <c:v>2.7154689512714185</c:v>
                </c:pt>
                <c:pt idx="302">
                  <c:v>2.1057093444086377</c:v>
                </c:pt>
                <c:pt idx="303">
                  <c:v>1.5021970599800341</c:v>
                </c:pt>
                <c:pt idx="304">
                  <c:v>0.90491131788894563</c:v>
                </c:pt>
                <c:pt idx="305">
                  <c:v>0.31382882870670414</c:v>
                </c:pt>
                <c:pt idx="306">
                  <c:v>-0.27107607987693427</c:v>
                </c:pt>
                <c:pt idx="307">
                  <c:v>-0.84983133928278676</c:v>
                </c:pt>
                <c:pt idx="308">
                  <c:v>-1.4224670190561426</c:v>
                </c:pt>
                <c:pt idx="309">
                  <c:v>-1.9890152087582464</c:v>
                </c:pt>
                <c:pt idx="310">
                  <c:v>-2.5495099028159416</c:v>
                </c:pt>
                <c:pt idx="311">
                  <c:v>-3.1039868883985662</c:v>
                </c:pt>
                <c:pt idx="312">
                  <c:v>-3.6524836363795998</c:v>
                </c:pt>
                <c:pt idx="313">
                  <c:v>-4.195039195429132</c:v>
                </c:pt>
                <c:pt idx="314">
                  <c:v>-4.7316940892718549</c:v>
                </c:pt>
                <c:pt idx="315">
                  <c:v>-5.262490217136417</c:v>
                </c:pt>
                <c:pt idx="316">
                  <c:v>-5.7874707574098068</c:v>
                </c:pt>
                <c:pt idx="317">
                  <c:v>-6.3066800745024238</c:v>
                </c:pt>
                <c:pt idx="318">
                  <c:v>-6.8201636289208238</c:v>
                </c:pt>
                <c:pt idx="319">
                  <c:v>-7.3279678905354615</c:v>
                </c:pt>
                <c:pt idx="320">
                  <c:v>-7.8301402550241903</c:v>
                </c:pt>
                <c:pt idx="321">
                  <c:v>-8.326728963464717</c:v>
                </c:pt>
                <c:pt idx="322">
                  <c:v>-8.8177830250430418</c:v>
                </c:pt>
                <c:pt idx="323">
                  <c:v>-9.3033521428371841</c:v>
                </c:pt>
                <c:pt idx="324">
                  <c:v>-9.7834866426331644</c:v>
                </c:pt>
                <c:pt idx="325">
                  <c:v>-10.258237404722109</c:v>
                </c:pt>
                <c:pt idx="326">
                  <c:v>-10.727655798624994</c:v>
                </c:pt>
                <c:pt idx="327">
                  <c:v>-11.191793620686923</c:v>
                </c:pt>
                <c:pt idx="328">
                  <c:v>-11.650703034479818</c:v>
                </c:pt>
                <c:pt idx="329">
                  <c:v>-12.104436513948741</c:v>
                </c:pt>
                <c:pt idx="330">
                  <c:v>-12.553046789235424</c:v>
                </c:pt>
                <c:pt idx="331">
                  <c:v>-12.99658679511063</c:v>
                </c:pt>
                <c:pt idx="332">
                  <c:v>-13.435109621943809</c:v>
                </c:pt>
                <c:pt idx="333">
                  <c:v>-13.868668469139465</c:v>
                </c:pt>
                <c:pt idx="334">
                  <c:v>-14.297316600966525</c:v>
                </c:pt>
                <c:pt idx="335">
                  <c:v>-14.721107304707687</c:v>
                </c:pt>
                <c:pt idx="336">
                  <c:v>-15.140093851055298</c:v>
                </c:pt>
                <c:pt idx="337">
                  <c:v>-15.554329456679085</c:v>
                </c:pt>
                <c:pt idx="338">
                  <c:v>-15.963867248892768</c:v>
                </c:pt>
                <c:pt idx="339">
                  <c:v>-16.368760232345693</c:v>
                </c:pt>
                <c:pt idx="340">
                  <c:v>-16.76906125766709</c:v>
                </c:pt>
                <c:pt idx="341">
                  <c:v>-17.164822991990206</c:v>
                </c:pt>
                <c:pt idx="342">
                  <c:v>-17.556097891285759</c:v>
                </c:pt>
                <c:pt idx="343">
                  <c:v>-17.942938174434971</c:v>
                </c:pt>
                <c:pt idx="344">
                  <c:v>-18.325395798971812</c:v>
                </c:pt>
                <c:pt idx="345">
                  <c:v>-18.703522438428195</c:v>
                </c:pt>
                <c:pt idx="346">
                  <c:v>-19.077369461215341</c:v>
                </c:pt>
                <c:pt idx="347">
                  <c:v>-19.446987910976247</c:v>
                </c:pt>
                <c:pt idx="348">
                  <c:v>-19.812428488346626</c:v>
                </c:pt>
                <c:pt idx="349">
                  <c:v>-20.17374153406189</c:v>
                </c:pt>
                <c:pt idx="350">
                  <c:v>-20.530977013350537</c:v>
                </c:pt>
                <c:pt idx="351">
                  <c:v>-20.884184501555751</c:v>
                </c:pt>
                <c:pt idx="352">
                  <c:v>-21.233413170927918</c:v>
                </c:pt>
                <c:pt idx="353">
                  <c:v>-21.578711778533489</c:v>
                </c:pt>
                <c:pt idx="354">
                  <c:v>-21.920128655227245</c:v>
                </c:pt>
                <c:pt idx="355">
                  <c:v>-22.257711695635294</c:v>
                </c:pt>
                <c:pt idx="356">
                  <c:v>-22.591508349100621</c:v>
                </c:pt>
                <c:pt idx="357">
                  <c:v>-22.921565611541581</c:v>
                </c:pt>
                <c:pt idx="358">
                  <c:v>-23.247930018177755</c:v>
                </c:pt>
                <c:pt idx="359">
                  <c:v>-23.570647637078537</c:v>
                </c:pt>
                <c:pt idx="360">
                  <c:v>-23.889764063490787</c:v>
                </c:pt>
                <c:pt idx="361">
                  <c:v>-24.205324414904652</c:v>
                </c:pt>
                <c:pt idx="362">
                  <c:v>-24.517373326817733</c:v>
                </c:pt>
                <c:pt idx="363">
                  <c:v>-24.825954949158813</c:v>
                </c:pt>
                <c:pt idx="364">
                  <c:v>-25.131112943335268</c:v>
                </c:pt>
                <c:pt idx="365">
                  <c:v>-25.432890479868206</c:v>
                </c:pt>
                <c:pt idx="366">
                  <c:v>-25.731330236582096</c:v>
                </c:pt>
                <c:pt idx="367">
                  <c:v>-26.026474397316235</c:v>
                </c:pt>
                <c:pt idx="368">
                  <c:v>-26.318364651127666</c:v>
                </c:pt>
                <c:pt idx="369">
                  <c:v>-26.60704219195506</c:v>
                </c:pt>
                <c:pt idx="370">
                  <c:v>-26.892547718716514</c:v>
                </c:pt>
                <c:pt idx="371">
                  <c:v>-27.174921435813332</c:v>
                </c:pt>
                <c:pt idx="372">
                  <c:v>-27.454203054014101</c:v>
                </c:pt>
                <c:pt idx="373">
                  <c:v>-27.730431791695423</c:v>
                </c:pt>
                <c:pt idx="374">
                  <c:v>-28.003646376414594</c:v>
                </c:pt>
                <c:pt idx="375">
                  <c:v>-28.273885046792742</c:v>
                </c:pt>
                <c:pt idx="376">
                  <c:v>-28.541185554687161</c:v>
                </c:pt>
                <c:pt idx="377">
                  <c:v>-28.805585167632046</c:v>
                </c:pt>
                <c:pt idx="378">
                  <c:v>-29.067120671529125</c:v>
                </c:pt>
                <c:pt idx="379">
                  <c:v>-29.325828373569607</c:v>
                </c:pt>
                <c:pt idx="380">
                  <c:v>-29.581744105369637</c:v>
                </c:pt>
                <c:pt idx="381">
                  <c:v>-29.834903226303794</c:v>
                </c:pt>
                <c:pt idx="382">
                  <c:v>-30.085340627019889</c:v>
                </c:pt>
                <c:pt idx="383">
                  <c:v>-30.333090733121281</c:v>
                </c:pt>
                <c:pt idx="384">
                  <c:v>-30.578187509001594</c:v>
                </c:pt>
                <c:pt idx="385">
                  <c:v>-30.820664461819547</c:v>
                </c:pt>
                <c:pt idx="386">
                  <c:v>-31.060554645600519</c:v>
                </c:pt>
                <c:pt idx="387">
                  <c:v>-31.297890665453394</c:v>
                </c:pt>
                <c:pt idx="388">
                  <c:v>-31.532704681891374</c:v>
                </c:pt>
                <c:pt idx="389">
                  <c:v>-31.765028415245609</c:v>
                </c:pt>
                <c:pt idx="390">
                  <c:v>-31.994893150162682</c:v>
                </c:pt>
                <c:pt idx="391">
                  <c:v>-32.222329740175041</c:v>
                </c:pt>
                <c:pt idx="392">
                  <c:v>-32.447368612336845</c:v>
                </c:pt>
                <c:pt idx="393">
                  <c:v>-32.670039771915583</c:v>
                </c:pt>
                <c:pt idx="394">
                  <c:v>-32.890372807132735</c:v>
                </c:pt>
                <c:pt idx="395">
                  <c:v>-33.10839689394453</c:v>
                </c:pt>
                <c:pt idx="396">
                  <c:v>-33.324140800857577</c:v>
                </c:pt>
                <c:pt idx="397">
                  <c:v>-33.537632893771246</c:v>
                </c:pt>
                <c:pt idx="398">
                  <c:v>-33.748901140841127</c:v>
                </c:pt>
                <c:pt idx="399">
                  <c:v>-33.957973117358137</c:v>
                </c:pt>
                <c:pt idx="400">
                  <c:v>-34.164876010637641</c:v>
                </c:pt>
                <c:pt idx="401">
                  <c:v>-34.369636624912971</c:v>
                </c:pt>
                <c:pt idx="402">
                  <c:v>-34.572281386229179</c:v>
                </c:pt>
                <c:pt idx="403">
                  <c:v>-34.772836347332913</c:v>
                </c:pt>
                <c:pt idx="404">
                  <c:v>-34.971327192552707</c:v>
                </c:pt>
                <c:pt idx="405">
                  <c:v>-35.167779242667962</c:v>
                </c:pt>
                <c:pt idx="406">
                  <c:v>-35.362217459761411</c:v>
                </c:pt>
                <c:pt idx="407">
                  <c:v>-35.554666452052288</c:v>
                </c:pt>
                <c:pt idx="408">
                  <c:v>-35.745150478707018</c:v>
                </c:pt>
                <c:pt idx="409">
                  <c:v>-35.933693454625057</c:v>
                </c:pt>
                <c:pt idx="410">
                  <c:v>-36.120318955195899</c:v>
                </c:pt>
                <c:pt idx="411">
                  <c:v>-36.305050221026846</c:v>
                </c:pt>
                <c:pt idx="412">
                  <c:v>-36.487910162636837</c:v>
                </c:pt>
                <c:pt idx="413">
                  <c:v>-36.668921365116688</c:v>
                </c:pt>
                <c:pt idx="414">
                  <c:v>-36.848106092751692</c:v>
                </c:pt>
                <c:pt idx="415">
                  <c:v>-37.025486293606491</c:v>
                </c:pt>
                <c:pt idx="416">
                  <c:v>-37.201083604069566</c:v>
                </c:pt>
                <c:pt idx="417">
                  <c:v>-37.374919353356546</c:v>
                </c:pt>
                <c:pt idx="418">
                  <c:v>-37.547014567970763</c:v>
                </c:pt>
                <c:pt idx="419">
                  <c:v>-37.717389976119392</c:v>
                </c:pt>
                <c:pt idx="420">
                  <c:v>-37.886066012085365</c:v>
                </c:pt>
                <c:pt idx="421">
                  <c:v>-38.053062820552668</c:v>
                </c:pt>
                <c:pt idx="422">
                  <c:v>-38.218400260885488</c:v>
                </c:pt>
                <c:pt idx="423">
                  <c:v>-38.382097911359267</c:v>
                </c:pt>
                <c:pt idx="424">
                  <c:v>-38.544175073344036</c:v>
                </c:pt>
                <c:pt idx="425">
                  <c:v>-38.704650775438949</c:v>
                </c:pt>
                <c:pt idx="426">
                  <c:v>-38.863543777557481</c:v>
                </c:pt>
                <c:pt idx="427">
                  <c:v>-39.020872574963335</c:v>
                </c:pt>
                <c:pt idx="428">
                  <c:v>-39.176655402256472</c:v>
                </c:pt>
                <c:pt idx="429">
                  <c:v>-39.330910237308785</c:v>
                </c:pt>
                <c:pt idx="430">
                  <c:v>-39.483654805149769</c:v>
                </c:pt>
                <c:pt idx="431">
                  <c:v>-39.634906581801573</c:v>
                </c:pt>
                <c:pt idx="432">
                  <c:v>-39.784682798063812</c:v>
                </c:pt>
                <c:pt idx="433">
                  <c:v>-39.933000443247806</c:v>
                </c:pt>
                <c:pt idx="434">
                  <c:v>-40.079876268860147</c:v>
                </c:pt>
                <c:pt idx="435">
                  <c:v>-40.225326792236388</c:v>
                </c:pt>
                <c:pt idx="436">
                  <c:v>-40.369368300123995</c:v>
                </c:pt>
                <c:pt idx="437">
                  <c:v>-40.512016852215652</c:v>
                </c:pt>
                <c:pt idx="438">
                  <c:v>-40.653288284632538</c:v>
                </c:pt>
                <c:pt idx="439">
                  <c:v>-40.79319821335784</c:v>
                </c:pt>
                <c:pt idx="440">
                  <c:v>-40.931762037621183</c:v>
                </c:pt>
                <c:pt idx="441">
                  <c:v>-41.068994943233974</c:v>
                </c:pt>
                <c:pt idx="442">
                  <c:v>-41.204911905875434</c:v>
                </c:pt>
                <c:pt idx="443">
                  <c:v>-41.339527694331451</c:v>
                </c:pt>
                <c:pt idx="444">
                  <c:v>-41.472856873684179</c:v>
                </c:pt>
                <c:pt idx="445">
                  <c:v>-41.604913808454597</c:v>
                </c:pt>
                <c:pt idx="446">
                  <c:v>-41.735712665698003</c:v>
                </c:pt>
                <c:pt idx="447">
                  <c:v>-41.865267418052326</c:v>
                </c:pt>
                <c:pt idx="448">
                  <c:v>-41.993591846740344</c:v>
                </c:pt>
                <c:pt idx="449">
                  <c:v>-42.120699544526047</c:v>
                </c:pt>
                <c:pt idx="450">
                  <c:v>-42.246603918625198</c:v>
                </c:pt>
                <c:pt idx="451">
                  <c:v>-42.37131819357171</c:v>
                </c:pt>
                <c:pt idx="452">
                  <c:v>-42.494855414038824</c:v>
                </c:pt>
                <c:pt idx="453">
                  <c:v>-42.617228447616583</c:v>
                </c:pt>
                <c:pt idx="454">
                  <c:v>-42.738449987546232</c:v>
                </c:pt>
                <c:pt idx="455">
                  <c:v>-42.858532555411159</c:v>
                </c:pt>
                <c:pt idx="456">
                  <c:v>-42.977488503785565</c:v>
                </c:pt>
                <c:pt idx="457">
                  <c:v>-43.095330018841878</c:v>
                </c:pt>
                <c:pt idx="458">
                  <c:v>-43.212069122915608</c:v>
                </c:pt>
                <c:pt idx="459">
                  <c:v>-43.32771767703062</c:v>
                </c:pt>
                <c:pt idx="460">
                  <c:v>-43.442287383383245</c:v>
                </c:pt>
                <c:pt idx="461">
                  <c:v>-43.555789787787091</c:v>
                </c:pt>
                <c:pt idx="462">
                  <c:v>-43.668236282078539</c:v>
                </c:pt>
                <c:pt idx="463">
                  <c:v>-43.779638106483446</c:v>
                </c:pt>
                <c:pt idx="464">
                  <c:v>-43.890006351945971</c:v>
                </c:pt>
                <c:pt idx="465">
                  <c:v>-43.999351962419297</c:v>
                </c:pt>
                <c:pt idx="466">
                  <c:v>-44.10768573712005</c:v>
                </c:pt>
                <c:pt idx="467">
                  <c:v>-44.215018332745416</c:v>
                </c:pt>
                <c:pt idx="468">
                  <c:v>-44.321360265654704</c:v>
                </c:pt>
                <c:pt idx="469">
                  <c:v>-44.426721914015275</c:v>
                </c:pt>
                <c:pt idx="470">
                  <c:v>-44.531113519913674</c:v>
                </c:pt>
                <c:pt idx="471">
                  <c:v>-44.634545191432039</c:v>
                </c:pt>
                <c:pt idx="472">
                  <c:v>-44.737026904691049</c:v>
                </c:pt>
                <c:pt idx="473">
                  <c:v>-44.838568505858944</c:v>
                </c:pt>
                <c:pt idx="474">
                  <c:v>-44.939179713128055</c:v>
                </c:pt>
                <c:pt idx="475">
                  <c:v>-45.038870118658991</c:v>
                </c:pt>
                <c:pt idx="476">
                  <c:v>-45.137649190492652</c:v>
                </c:pt>
                <c:pt idx="477">
                  <c:v>-45.235526274431123</c:v>
                </c:pt>
                <c:pt idx="478">
                  <c:v>-45.332510595887697</c:v>
                </c:pt>
                <c:pt idx="479">
                  <c:v>-45.428611261706237</c:v>
                </c:pt>
                <c:pt idx="480">
                  <c:v>-45.523837261951115</c:v>
                </c:pt>
                <c:pt idx="481">
                  <c:v>-45.618197471667202</c:v>
                </c:pt>
                <c:pt idx="482">
                  <c:v>-45.711700652611341</c:v>
                </c:pt>
                <c:pt idx="483">
                  <c:v>-45.804355454955214</c:v>
                </c:pt>
                <c:pt idx="484">
                  <c:v>-45.896170418959969</c:v>
                </c:pt>
                <c:pt idx="485">
                  <c:v>-45.987153976623546</c:v>
                </c:pt>
                <c:pt idx="486">
                  <c:v>-46.077314453301085</c:v>
                </c:pt>
                <c:pt idx="487">
                  <c:v>-46.166660069297933</c:v>
                </c:pt>
                <c:pt idx="488">
                  <c:v>-46.255198941437271</c:v>
                </c:pt>
                <c:pt idx="489">
                  <c:v>-46.342939084601539</c:v>
                </c:pt>
                <c:pt idx="490">
                  <c:v>-46.429888413248477</c:v>
                </c:pt>
                <c:pt idx="491">
                  <c:v>-46.516054742902497</c:v>
                </c:pt>
                <c:pt idx="492">
                  <c:v>-46.601445791621131</c:v>
                </c:pt>
                <c:pt idx="493">
                  <c:v>-46.686069181437716</c:v>
                </c:pt>
                <c:pt idx="494">
                  <c:v>-46.76993243978032</c:v>
                </c:pt>
                <c:pt idx="495">
                  <c:v>-46.853043000867302</c:v>
                </c:pt>
                <c:pt idx="496">
                  <c:v>-46.935408207079917</c:v>
                </c:pt>
                <c:pt idx="497">
                  <c:v>-47.017035310312338</c:v>
                </c:pt>
                <c:pt idx="498">
                  <c:v>-47.09793147330015</c:v>
                </c:pt>
                <c:pt idx="499">
                  <c:v>-47.178103770925958</c:v>
                </c:pt>
                <c:pt idx="500">
                  <c:v>-47.257559191504697</c:v>
                </c:pt>
                <c:pt idx="501">
                  <c:v>-47.336304638047238</c:v>
                </c:pt>
                <c:pt idx="502">
                  <c:v>-47.414346929503637</c:v>
                </c:pt>
                <c:pt idx="503">
                  <c:v>-47.491692801986062</c:v>
                </c:pt>
                <c:pt idx="504">
                  <c:v>-47.568348909971462</c:v>
                </c:pt>
                <c:pt idx="505">
                  <c:v>-47.644321827485072</c:v>
                </c:pt>
                <c:pt idx="506">
                  <c:v>-47.719618049264142</c:v>
                </c:pt>
                <c:pt idx="507">
                  <c:v>-47.794243991903016</c:v>
                </c:pt>
                <c:pt idx="508">
                  <c:v>-47.86820599497986</c:v>
                </c:pt>
                <c:pt idx="509">
                  <c:v>-47.941510322164135</c:v>
                </c:pt>
                <c:pt idx="510">
                  <c:v>-48.01416316230717</c:v>
                </c:pt>
                <c:pt idx="511">
                  <c:v>-48.086170630514289</c:v>
                </c:pt>
                <c:pt idx="512">
                  <c:v>-48.15753876920013</c:v>
                </c:pt>
                <c:pt idx="513">
                  <c:v>-48.228273549126214</c:v>
                </c:pt>
                <c:pt idx="514">
                  <c:v>-48.298380870422307</c:v>
                </c:pt>
                <c:pt idx="515">
                  <c:v>-48.367866563591235</c:v>
                </c:pt>
                <c:pt idx="516">
                  <c:v>-48.436736390497003</c:v>
                </c:pt>
                <c:pt idx="517">
                  <c:v>-48.504996045337606</c:v>
                </c:pt>
                <c:pt idx="518">
                  <c:v>-48.572651155601847</c:v>
                </c:pt>
                <c:pt idx="519">
                  <c:v>-48.639707283010807</c:v>
                </c:pt>
                <c:pt idx="520">
                  <c:v>-48.706169924444225</c:v>
                </c:pt>
                <c:pt idx="521">
                  <c:v>-48.77204451285192</c:v>
                </c:pt>
                <c:pt idx="522">
                  <c:v>-48.837336418151125</c:v>
                </c:pt>
                <c:pt idx="523">
                  <c:v>-48.902050948108524</c:v>
                </c:pt>
                <c:pt idx="524">
                  <c:v>-48.96619334920922</c:v>
                </c:pt>
                <c:pt idx="525">
                  <c:v>-49.029768807511061</c:v>
                </c:pt>
                <c:pt idx="526">
                  <c:v>-49.092782449485895</c:v>
                </c:pt>
                <c:pt idx="527">
                  <c:v>-49.15523934284704</c:v>
                </c:pt>
                <c:pt idx="528">
                  <c:v>-49.217144497363876</c:v>
                </c:pt>
                <c:pt idx="529">
                  <c:v>-49.27850286566337</c:v>
                </c:pt>
                <c:pt idx="530">
                  <c:v>-49.339319344019231</c:v>
                </c:pt>
                <c:pt idx="531">
                  <c:v>-49.399598773127906</c:v>
                </c:pt>
                <c:pt idx="532">
                  <c:v>-49.459345938872872</c:v>
                </c:pt>
                <c:pt idx="533">
                  <c:v>-49.518565573077126</c:v>
                </c:pt>
                <c:pt idx="534">
                  <c:v>-49.57726235424272</c:v>
                </c:pt>
                <c:pt idx="535">
                  <c:v>-49.635440908280174</c:v>
                </c:pt>
                <c:pt idx="536">
                  <c:v>-49.69310580922496</c:v>
                </c:pt>
                <c:pt idx="537">
                  <c:v>-49.750261579943867</c:v>
                </c:pt>
                <c:pt idx="538">
                  <c:v>-49.806912692829769</c:v>
                </c:pt>
                <c:pt idx="539">
                  <c:v>-49.863063570485735</c:v>
                </c:pt>
                <c:pt idx="540">
                  <c:v>-49.918718586398313</c:v>
                </c:pt>
                <c:pt idx="541">
                  <c:v>-49.973882065600179</c:v>
                </c:pt>
                <c:pt idx="542">
                  <c:v>-50.028558285323385</c:v>
                </c:pt>
                <c:pt idx="543">
                  <c:v>-50.082751475640976</c:v>
                </c:pt>
                <c:pt idx="544">
                  <c:v>-50.136465820100057</c:v>
                </c:pt>
                <c:pt idx="545">
                  <c:v>-50.1897054563442</c:v>
                </c:pt>
                <c:pt idx="546">
                  <c:v>-50.242474476726642</c:v>
                </c:pt>
                <c:pt idx="547">
                  <c:v>-50.294776928913677</c:v>
                </c:pt>
                <c:pt idx="548">
                  <c:v>-50.34661681647944</c:v>
                </c:pt>
                <c:pt idx="549">
                  <c:v>-50.397998099490479</c:v>
                </c:pt>
                <c:pt idx="550">
                  <c:v>-50.448924695082439</c:v>
                </c:pt>
                <c:pt idx="551">
                  <c:v>-50.499400478027212</c:v>
                </c:pt>
                <c:pt idx="552">
                  <c:v>-50.549429281291623</c:v>
                </c:pt>
                <c:pt idx="553">
                  <c:v>-50.599014896587505</c:v>
                </c:pt>
                <c:pt idx="554">
                  <c:v>-50.648161074913986</c:v>
                </c:pt>
                <c:pt idx="555">
                  <c:v>-50.696871527090281</c:v>
                </c:pt>
                <c:pt idx="556">
                  <c:v>-50.745149924281606</c:v>
                </c:pt>
                <c:pt idx="557">
                  <c:v>-50.792999898516399</c:v>
                </c:pt>
                <c:pt idx="558">
                  <c:v>-50.84042504319612</c:v>
                </c:pt>
                <c:pt idx="559">
                  <c:v>-50.887428913597006</c:v>
                </c:pt>
                <c:pt idx="560">
                  <c:v>-50.934015027364495</c:v>
                </c:pt>
                <c:pt idx="561">
                  <c:v>-50.980186865000263</c:v>
                </c:pt>
                <c:pt idx="562">
                  <c:v>-51.025947870341469</c:v>
                </c:pt>
                <c:pt idx="563">
                  <c:v>-51.071301451033406</c:v>
                </c:pt>
                <c:pt idx="564">
                  <c:v>-51.116250978994799</c:v>
                </c:pt>
                <c:pt idx="565">
                  <c:v>-51.160799790875956</c:v>
                </c:pt>
                <c:pt idx="566">
                  <c:v>-51.204951188510535</c:v>
                </c:pt>
                <c:pt idx="567">
                  <c:v>-51.248708439360229</c:v>
                </c:pt>
                <c:pt idx="568">
                  <c:v>-51.292074776952745</c:v>
                </c:pt>
                <c:pt idx="569">
                  <c:v>-51.335053401313814</c:v>
                </c:pt>
                <c:pt idx="570">
                  <c:v>-51.377647479392152</c:v>
                </c:pt>
                <c:pt idx="571">
                  <c:v>-51.419860145478623</c:v>
                </c:pt>
                <c:pt idx="572">
                  <c:v>-51.461694501618865</c:v>
                </c:pt>
                <c:pt idx="573">
                  <c:v>-51.503153618020121</c:v>
                </c:pt>
                <c:pt idx="574">
                  <c:v>-51.544240533451955</c:v>
                </c:pt>
                <c:pt idx="575">
                  <c:v>-51.584958255640913</c:v>
                </c:pt>
                <c:pt idx="576">
                  <c:v>-51.625309761659878</c:v>
                </c:pt>
                <c:pt idx="577">
                  <c:v>-51.665297998311161</c:v>
                </c:pt>
                <c:pt idx="578">
                  <c:v>-51.704925882504313</c:v>
                </c:pt>
                <c:pt idx="579">
                  <c:v>-51.744196301628449</c:v>
                </c:pt>
                <c:pt idx="580">
                  <c:v>-51.783112113919003</c:v>
                </c:pt>
                <c:pt idx="581">
                  <c:v>-51.821676148819336</c:v>
                </c:pt>
                <c:pt idx="582">
                  <c:v>-51.859891207336801</c:v>
                </c:pt>
                <c:pt idx="583">
                  <c:v>-51.897760062393985</c:v>
                </c:pt>
                <c:pt idx="584">
                  <c:v>-51.935285459174821</c:v>
                </c:pt>
                <c:pt idx="585">
                  <c:v>-51.972470115465569</c:v>
                </c:pt>
                <c:pt idx="586">
                  <c:v>-52.009316721990842</c:v>
                </c:pt>
                <c:pt idx="587">
                  <c:v>-52.04582794274495</c:v>
                </c:pt>
                <c:pt idx="588">
                  <c:v>-52.082006415318659</c:v>
                </c:pt>
                <c:pt idx="589">
                  <c:v>-52.11785475122096</c:v>
                </c:pt>
                <c:pt idx="590">
                  <c:v>-52.153375536196194</c:v>
                </c:pt>
                <c:pt idx="591">
                  <c:v>-52.188571330536973</c:v>
                </c:pt>
                <c:pt idx="592">
                  <c:v>-52.223444669392677</c:v>
                </c:pt>
                <c:pt idx="593">
                  <c:v>-52.257998063073131</c:v>
                </c:pt>
                <c:pt idx="594">
                  <c:v>-52.29223399734812</c:v>
                </c:pt>
                <c:pt idx="595">
                  <c:v>-52.326154933743283</c:v>
                </c:pt>
                <c:pt idx="596">
                  <c:v>-52.359763309830726</c:v>
                </c:pt>
                <c:pt idx="597">
                  <c:v>-52.393061539516594</c:v>
                </c:pt>
                <c:pt idx="598">
                  <c:v>-52.426052013323982</c:v>
                </c:pt>
                <c:pt idx="599">
                  <c:v>-52.458737098671946</c:v>
                </c:pt>
                <c:pt idx="600">
                  <c:v>-52.491119140150829</c:v>
                </c:pt>
                <c:pt idx="601">
                  <c:v>-52.523200459793486</c:v>
                </c:pt>
                <c:pt idx="602">
                  <c:v>-52.554983357342962</c:v>
                </c:pt>
                <c:pt idx="603">
                  <c:v>-52.586470110516188</c:v>
                </c:pt>
                <c:pt idx="604">
                  <c:v>-52.617662975264125</c:v>
                </c:pt>
                <c:pt idx="605">
                  <c:v>-52.648564186028466</c:v>
                </c:pt>
                <c:pt idx="606">
                  <c:v>-53.865567065822432</c:v>
                </c:pt>
                <c:pt idx="607">
                  <c:v>-54.573304979002558</c:v>
                </c:pt>
                <c:pt idx="608">
                  <c:v>-54.917818009860099</c:v>
                </c:pt>
                <c:pt idx="609">
                  <c:v>-54.997785629808362</c:v>
                </c:pt>
                <c:pt idx="610">
                  <c:v>-54.882248296279329</c:v>
                </c:pt>
                <c:pt idx="611">
                  <c:v>-54.620925089138922</c:v>
                </c:pt>
                <c:pt idx="612">
                  <c:v>-54.250489834656236</c:v>
                </c:pt>
                <c:pt idx="613">
                  <c:v>-53.798536779276617</c:v>
                </c:pt>
                <c:pt idx="614">
                  <c:v>-53.286171170006384</c:v>
                </c:pt>
                <c:pt idx="615">
                  <c:v>-52.7297520718665</c:v>
                </c:pt>
                <c:pt idx="616">
                  <c:v>-52.142096015917474</c:v>
                </c:pt>
                <c:pt idx="617">
                  <c:v>-51.533328106665948</c:v>
                </c:pt>
                <c:pt idx="618">
                  <c:v>-51.315338669546804</c:v>
                </c:pt>
                <c:pt idx="619">
                  <c:v>-51.094479474158334</c:v>
                </c:pt>
                <c:pt idx="620">
                  <c:v>-50.871227269423883</c:v>
                </c:pt>
                <c:pt idx="621">
                  <c:v>-50.64601853831428</c:v>
                </c:pt>
                <c:pt idx="622">
                  <c:v>-50.419253075075119</c:v>
                </c:pt>
                <c:pt idx="623">
                  <c:v>-50.191297191166313</c:v>
                </c:pt>
                <c:pt idx="624">
                  <c:v>-49.962486595143389</c:v>
                </c:pt>
                <c:pt idx="625">
                  <c:v>-49.733128985422098</c:v>
                </c:pt>
                <c:pt idx="626">
                  <c:v>-49.503506389550381</c:v>
                </c:pt>
                <c:pt idx="627">
                  <c:v>-49.273877279103289</c:v>
                </c:pt>
                <c:pt idx="628">
                  <c:v>-49.044478485478294</c:v>
                </c:pt>
                <c:pt idx="629">
                  <c:v>-48.815526938596065</c:v>
                </c:pt>
                <c:pt idx="630">
                  <c:v>-48.587221247710971</c:v>
                </c:pt>
                <c:pt idx="631">
                  <c:v>-48.359743141134317</c:v>
                </c:pt>
                <c:pt idx="632">
                  <c:v>-48.133258779607729</c:v>
                </c:pt>
                <c:pt idx="633">
                  <c:v>-47.907919956282797</c:v>
                </c:pt>
                <c:pt idx="634">
                  <c:v>-47.683865194725541</c:v>
                </c:pt>
                <c:pt idx="635">
                  <c:v>-47.461220755029188</c:v>
                </c:pt>
                <c:pt idx="636">
                  <c:v>-47.240101556963282</c:v>
                </c:pt>
                <c:pt idx="637">
                  <c:v>-47.020612028078119</c:v>
                </c:pt>
                <c:pt idx="638">
                  <c:v>-46.80284688380533</c:v>
                </c:pt>
                <c:pt idx="639">
                  <c:v>-46.586891845828035</c:v>
                </c:pt>
                <c:pt idx="640">
                  <c:v>-46.372824304318925</c:v>
                </c:pt>
                <c:pt idx="641">
                  <c:v>-46.160713929057806</c:v>
                </c:pt>
                <c:pt idx="642">
                  <c:v>-45.950623233915337</c:v>
                </c:pt>
                <c:pt idx="643">
                  <c:v>-45.742608098736696</c:v>
                </c:pt>
                <c:pt idx="644">
                  <c:v>-45.536718252251148</c:v>
                </c:pt>
                <c:pt idx="645">
                  <c:v>-45.33299771927588</c:v>
                </c:pt>
                <c:pt idx="646">
                  <c:v>-45.131485235166906</c:v>
                </c:pt>
                <c:pt idx="647">
                  <c:v>-44.932214630184774</c:v>
                </c:pt>
                <c:pt idx="648">
                  <c:v>-44.735215186194949</c:v>
                </c:pt>
                <c:pt idx="649">
                  <c:v>-44.540511967895583</c:v>
                </c:pt>
                <c:pt idx="650">
                  <c:v>-44.348126130569227</c:v>
                </c:pt>
                <c:pt idx="651">
                  <c:v>-44.158075206171787</c:v>
                </c:pt>
                <c:pt idx="652">
                  <c:v>-43.970373369415455</c:v>
                </c:pt>
                <c:pt idx="653">
                  <c:v>-43.785031685355534</c:v>
                </c:pt>
                <c:pt idx="654">
                  <c:v>-43.602058339862793</c:v>
                </c:pt>
                <c:pt idx="655">
                  <c:v>-43.421458854245572</c:v>
                </c:pt>
                <c:pt idx="656">
                  <c:v>-43.243236285181013</c:v>
                </c:pt>
                <c:pt idx="657">
                  <c:v>-43.067391411018406</c:v>
                </c:pt>
                <c:pt idx="658">
                  <c:v>-42.893922905432703</c:v>
                </c:pt>
                <c:pt idx="659">
                  <c:v>-42.722827499326826</c:v>
                </c:pt>
                <c:pt idx="660">
                  <c:v>-42.554100131810713</c:v>
                </c:pt>
                <c:pt idx="661">
                  <c:v>-42.387734091020803</c:v>
                </c:pt>
                <c:pt idx="662">
                  <c:v>-42.223721145483836</c:v>
                </c:pt>
                <c:pt idx="663">
                  <c:v>-42.062051666676268</c:v>
                </c:pt>
                <c:pt idx="664">
                  <c:v>-41.902714743380187</c:v>
                </c:pt>
                <c:pt idx="665">
                  <c:v>-41.745698288393896</c:v>
                </c:pt>
                <c:pt idx="666">
                  <c:v>-41.590989138110672</c:v>
                </c:pt>
                <c:pt idx="667">
                  <c:v>-41.438573145446327</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50.31017899177855</c:v>
                </c:pt>
                <c:pt idx="1">
                  <c:v>49.895821563282645</c:v>
                </c:pt>
                <c:pt idx="2">
                  <c:v>49.282558605248774</c:v>
                </c:pt>
                <c:pt idx="3">
                  <c:v>48.547688180817175</c:v>
                </c:pt>
                <c:pt idx="4">
                  <c:v>47.755350127207322</c:v>
                </c:pt>
                <c:pt idx="5">
                  <c:v>46.949709774619947</c:v>
                </c:pt>
                <c:pt idx="6">
                  <c:v>46.1575341135797</c:v>
                </c:pt>
                <c:pt idx="7">
                  <c:v>45.393358171733873</c:v>
                </c:pt>
                <c:pt idx="8">
                  <c:v>44.664026206012288</c:v>
                </c:pt>
                <c:pt idx="9">
                  <c:v>43.971867403819054</c:v>
                </c:pt>
                <c:pt idx="10">
                  <c:v>38.75244797619316</c:v>
                </c:pt>
                <c:pt idx="11">
                  <c:v>35.396729647890474</c:v>
                </c:pt>
                <c:pt idx="12">
                  <c:v>32.9576719677898</c:v>
                </c:pt>
                <c:pt idx="13">
                  <c:v>31.047442844009325</c:v>
                </c:pt>
                <c:pt idx="14">
                  <c:v>29.479141420501207</c:v>
                </c:pt>
                <c:pt idx="15">
                  <c:v>28.149527219415063</c:v>
                </c:pt>
                <c:pt idx="16">
                  <c:v>26.995806672863615</c:v>
                </c:pt>
                <c:pt idx="17">
                  <c:v>25.977014958357007</c:v>
                </c:pt>
                <c:pt idx="18">
                  <c:v>25.064974083959811</c:v>
                </c:pt>
                <c:pt idx="19">
                  <c:v>19.056436824770508</c:v>
                </c:pt>
                <c:pt idx="20">
                  <c:v>15.540763335372505</c:v>
                </c:pt>
                <c:pt idx="21">
                  <c:v>13.048763104339088</c:v>
                </c:pt>
                <c:pt idx="22">
                  <c:v>11.118762398907354</c:v>
                </c:pt>
                <c:pt idx="23">
                  <c:v>9.5449556214381648</c:v>
                </c:pt>
                <c:pt idx="24">
                  <c:v>8.217518016303746</c:v>
                </c:pt>
                <c:pt idx="25">
                  <c:v>7.0708778441139151</c:v>
                </c:pt>
                <c:pt idx="26">
                  <c:v>6.0627312216366089</c:v>
                </c:pt>
                <c:pt idx="27">
                  <c:v>5.1641871824036398</c:v>
                </c:pt>
                <c:pt idx="28">
                  <c:v>1.7505816579101865</c:v>
                </c:pt>
                <c:pt idx="29">
                  <c:v>-0.59932777808356807</c:v>
                </c:pt>
                <c:pt idx="30">
                  <c:v>-2.3503675220422302</c:v>
                </c:pt>
                <c:pt idx="31">
                  <c:v>-3.7113532269496159</c:v>
                </c:pt>
                <c:pt idx="32">
                  <c:v>-4.7952961453924834</c:v>
                </c:pt>
                <c:pt idx="33">
                  <c:v>-5.6710839582274533</c:v>
                </c:pt>
                <c:pt idx="34">
                  <c:v>-6.3843691827465188</c:v>
                </c:pt>
                <c:pt idx="35">
                  <c:v>-6.9673316563535561</c:v>
                </c:pt>
                <c:pt idx="36">
                  <c:v>-7.4437375969257413</c:v>
                </c:pt>
                <c:pt idx="37">
                  <c:v>-7.8317762303362324</c:v>
                </c:pt>
                <c:pt idx="38">
                  <c:v>-8.1457547131671841</c:v>
                </c:pt>
                <c:pt idx="39">
                  <c:v>-8.3971665803602118</c:v>
                </c:pt>
                <c:pt idx="40">
                  <c:v>-8.5953972261295615</c:v>
                </c:pt>
                <c:pt idx="41">
                  <c:v>-8.7482090216020669</c:v>
                </c:pt>
                <c:pt idx="42">
                  <c:v>-8.8620869642915032</c:v>
                </c:pt>
                <c:pt idx="43">
                  <c:v>-8.9424926593989138</c:v>
                </c:pt>
                <c:pt idx="44">
                  <c:v>-8.9940559309892461</c:v>
                </c:pt>
                <c:pt idx="45">
                  <c:v>-9.0207226387549468</c:v>
                </c:pt>
                <c:pt idx="46">
                  <c:v>-9.0258708583023708</c:v>
                </c:pt>
                <c:pt idx="47">
                  <c:v>-9.0124036247610064</c:v>
                </c:pt>
                <c:pt idx="48">
                  <c:v>-8.9828239278236381</c:v>
                </c:pt>
                <c:pt idx="49">
                  <c:v>-8.9392960081838417</c:v>
                </c:pt>
                <c:pt idx="50">
                  <c:v>-8.8836959083040874</c:v>
                </c:pt>
                <c:pt idx="51">
                  <c:v>-8.8176534769576556</c:v>
                </c:pt>
                <c:pt idx="52">
                  <c:v>-8.7425874969375137</c:v>
                </c:pt>
                <c:pt idx="53">
                  <c:v>-8.6597352240744172</c:v>
                </c:pt>
                <c:pt idx="54">
                  <c:v>-8.5701773458459343</c:v>
                </c:pt>
                <c:pt idx="55">
                  <c:v>-8.4748591586155015</c:v>
                </c:pt>
                <c:pt idx="56">
                  <c:v>-8.3746086035134955</c:v>
                </c:pt>
                <c:pt idx="57">
                  <c:v>-8.2701516783445665</c:v>
                </c:pt>
                <c:pt idx="58">
                  <c:v>-8.1621256471336405</c:v>
                </c:pt>
                <c:pt idx="59">
                  <c:v>-8.0510903932834026</c:v>
                </c:pt>
                <c:pt idx="60">
                  <c:v>-7.937538201988926</c:v>
                </c:pt>
                <c:pt idx="61">
                  <c:v>-7.8219022090235111</c:v>
                </c:pt>
                <c:pt idx="62">
                  <c:v>-7.7045637136704137</c:v>
                </c:pt>
                <c:pt idx="63">
                  <c:v>-7.5858585214723284</c:v>
                </c:pt>
                <c:pt idx="64">
                  <c:v>-7.4660824561159504</c:v>
                </c:pt>
                <c:pt idx="65">
                  <c:v>-7.3454961580186362</c:v>
                </c:pt>
                <c:pt idx="66">
                  <c:v>-7.2243292691472991</c:v>
                </c:pt>
                <c:pt idx="67">
                  <c:v>-7.1027840885782165</c:v>
                </c:pt>
                <c:pt idx="68">
                  <c:v>-6.9810387707467871</c:v>
                </c:pt>
                <c:pt idx="69">
                  <c:v>-6.8592501277983287</c:v>
                </c:pt>
                <c:pt idx="70">
                  <c:v>-6.7375560885797885</c:v>
                </c:pt>
                <c:pt idx="71">
                  <c:v>-6.6160778593220639</c:v>
                </c:pt>
                <c:pt idx="72">
                  <c:v>-6.4949218247210752</c:v>
                </c:pt>
                <c:pt idx="73">
                  <c:v>-6.3741812227424326</c:v>
                </c:pt>
                <c:pt idx="74">
                  <c:v>-6.2539376218936784</c:v>
                </c:pt>
                <c:pt idx="75">
                  <c:v>-6.1342622258019226</c:v>
                </c:pt>
                <c:pt idx="76">
                  <c:v>-6.0152170265954314</c:v>
                </c:pt>
                <c:pt idx="77">
                  <c:v>-5.8968558257288546</c:v>
                </c:pt>
                <c:pt idx="78">
                  <c:v>-5.7792251384380826</c:v>
                </c:pt>
                <c:pt idx="79">
                  <c:v>-5.6623649959020463</c:v>
                </c:pt>
                <c:pt idx="80">
                  <c:v>-5.5463096573725821</c:v>
                </c:pt>
                <c:pt idx="81">
                  <c:v>-5.4310882429671921</c:v>
                </c:pt>
                <c:pt idx="82">
                  <c:v>-5.3167252964661245</c:v>
                </c:pt>
                <c:pt idx="83">
                  <c:v>-5.2032412862841966</c:v>
                </c:pt>
                <c:pt idx="84">
                  <c:v>-5.0906530517729731</c:v>
                </c:pt>
                <c:pt idx="85">
                  <c:v>-4.9789742011281239</c:v>
                </c:pt>
                <c:pt idx="86">
                  <c:v>-4.8682154664113009</c:v>
                </c:pt>
                <c:pt idx="87">
                  <c:v>-4.7583850205296212</c:v>
                </c:pt>
                <c:pt idx="88">
                  <c:v>-4.6494887604354567</c:v>
                </c:pt>
                <c:pt idx="89">
                  <c:v>-4.5415305603021912</c:v>
                </c:pt>
                <c:pt idx="90">
                  <c:v>-4.4345124979893757</c:v>
                </c:pt>
                <c:pt idx="91">
                  <c:v>-4.3284350577230235</c:v>
                </c:pt>
                <c:pt idx="92">
                  <c:v>-4.2232973115779391</c:v>
                </c:pt>
                <c:pt idx="93">
                  <c:v>-4.1190970820510877</c:v>
                </c:pt>
                <c:pt idx="94">
                  <c:v>-4.0158310877543082</c:v>
                </c:pt>
                <c:pt idx="95">
                  <c:v>-3.9134950740245906</c:v>
                </c:pt>
                <c:pt idx="96">
                  <c:v>-3.8120839300485416</c:v>
                </c:pt>
                <c:pt idx="97">
                  <c:v>-3.7115917939193817</c:v>
                </c:pt>
                <c:pt idx="98">
                  <c:v>-3.6120121468881665</c:v>
                </c:pt>
                <c:pt idx="99">
                  <c:v>-3.5133378979320087</c:v>
                </c:pt>
                <c:pt idx="100">
                  <c:v>-3.4155614596399624</c:v>
                </c:pt>
                <c:pt idx="101">
                  <c:v>-3.3186748163088091</c:v>
                </c:pt>
                <c:pt idx="102">
                  <c:v>-3.2226695850448617</c:v>
                </c:pt>
                <c:pt idx="103">
                  <c:v>-3.127537070583303</c:v>
                </c:pt>
                <c:pt idx="104">
                  <c:v>-3.0332683144606962</c:v>
                </c:pt>
                <c:pt idx="105">
                  <c:v>-2.9398541391097295</c:v>
                </c:pt>
                <c:pt idx="106">
                  <c:v>-2.8472851873853489</c:v>
                </c:pt>
                <c:pt idx="107">
                  <c:v>-2.7555519579788483</c:v>
                </c:pt>
                <c:pt idx="108">
                  <c:v>-2.6646448371289204</c:v>
                </c:pt>
                <c:pt idx="109">
                  <c:v>-2.5745541269970111</c:v>
                </c:pt>
                <c:pt idx="110">
                  <c:v>-2.4852700710365898</c:v>
                </c:pt>
                <c:pt idx="111">
                  <c:v>-2.3967828766525794</c:v>
                </c:pt>
                <c:pt idx="112">
                  <c:v>-2.3090827354172205</c:v>
                </c:pt>
                <c:pt idx="113">
                  <c:v>-2.2221598410821084</c:v>
                </c:pt>
                <c:pt idx="114">
                  <c:v>-2.1360044056018364</c:v>
                </c:pt>
                <c:pt idx="115">
                  <c:v>-2.0506066733637782</c:v>
                </c:pt>
                <c:pt idx="116">
                  <c:v>-1.9659569337988052</c:v>
                </c:pt>
                <c:pt idx="117">
                  <c:v>-1.8820455325309742</c:v>
                </c:pt>
                <c:pt idx="118">
                  <c:v>-1.7988628812084637</c:v>
                </c:pt>
                <c:pt idx="119">
                  <c:v>-1.7163994661443491</c:v>
                </c:pt>
                <c:pt idx="120">
                  <c:v>-1.6346458558832069</c:v>
                </c:pt>
                <c:pt idx="121">
                  <c:v>-1.5535927077984446</c:v>
                </c:pt>
                <c:pt idx="122">
                  <c:v>-1.4732307738150481</c:v>
                </c:pt>
                <c:pt idx="123">
                  <c:v>-1.3935509053435213</c:v>
                </c:pt>
                <c:pt idx="124">
                  <c:v>-1.3145440575023613</c:v>
                </c:pt>
                <c:pt idx="125">
                  <c:v>-1.2362012926992869</c:v>
                </c:pt>
                <c:pt idx="126">
                  <c:v>-1.1585137836346497</c:v>
                </c:pt>
                <c:pt idx="127">
                  <c:v>-1.0814728157844558</c:v>
                </c:pt>
                <c:pt idx="128">
                  <c:v>-1.0050697894150167</c:v>
                </c:pt>
                <c:pt idx="129">
                  <c:v>-0.92929622117644928</c:v>
                </c:pt>
                <c:pt idx="130">
                  <c:v>-0.85414374531758441</c:v>
                </c:pt>
                <c:pt idx="131">
                  <c:v>-0.77960411456109435</c:v>
                </c:pt>
                <c:pt idx="132">
                  <c:v>-0.70566920067385897</c:v>
                </c:pt>
                <c:pt idx="133">
                  <c:v>-0.63233099476438759</c:v>
                </c:pt>
                <c:pt idx="134">
                  <c:v>-0.55958160733608642</c:v>
                </c:pt>
                <c:pt idx="135">
                  <c:v>-0.48741326812253605</c:v>
                </c:pt>
                <c:pt idx="136">
                  <c:v>-0.41581832572847632</c:v>
                </c:pt>
                <c:pt idx="137">
                  <c:v>-0.34478924709789671</c:v>
                </c:pt>
                <c:pt idx="138">
                  <c:v>-0.27431861682887587</c:v>
                </c:pt>
                <c:pt idx="139">
                  <c:v>-0.20439913635260817</c:v>
                </c:pt>
                <c:pt idx="140">
                  <c:v>-0.13502362299279766</c:v>
                </c:pt>
                <c:pt idx="141">
                  <c:v>-6.6185008919850935E-2</c:v>
                </c:pt>
                <c:pt idx="142">
                  <c:v>2.1236599870416671E-3</c:v>
                </c:pt>
                <c:pt idx="143">
                  <c:v>6.9909225357923335E-2</c:v>
                </c:pt>
                <c:pt idx="144">
                  <c:v>0.13717841761948504</c:v>
                </c:pt>
                <c:pt idx="145">
                  <c:v>0.20393785734217162</c:v>
                </c:pt>
                <c:pt idx="146">
                  <c:v>0.27019405663800949</c:v>
                </c:pt>
                <c:pt idx="147">
                  <c:v>0.33595342060131217</c:v>
                </c:pt>
                <c:pt idx="148">
                  <c:v>0.40122224878501561</c:v>
                </c:pt>
                <c:pt idx="149">
                  <c:v>0.46600673670607556</c:v>
                </c:pt>
                <c:pt idx="150">
                  <c:v>0.53031297737416505</c:v>
                </c:pt>
                <c:pt idx="151">
                  <c:v>0.59414696283825741</c:v>
                </c:pt>
                <c:pt idx="152">
                  <c:v>0.65751458574643062</c:v>
                </c:pt>
                <c:pt idx="153">
                  <c:v>0.72042164091454297</c:v>
                </c:pt>
                <c:pt idx="154">
                  <c:v>0.78287382689994933</c:v>
                </c:pt>
                <c:pt idx="155">
                  <c:v>0.84487674757674591</c:v>
                </c:pt>
                <c:pt idx="156">
                  <c:v>0.90643591370962562</c:v>
                </c:pt>
                <c:pt idx="157">
                  <c:v>0.96755674452333595</c:v>
                </c:pt>
                <c:pt idx="158">
                  <c:v>1.0282445692654252</c:v>
                </c:pt>
                <c:pt idx="159">
                  <c:v>1.0885046287601117</c:v>
                </c:pt>
                <c:pt idx="160">
                  <c:v>1.1483420769511801</c:v>
                </c:pt>
                <c:pt idx="161">
                  <c:v>1.2077619824323558</c:v>
                </c:pt>
                <c:pt idx="162">
                  <c:v>1.2667693299634717</c:v>
                </c:pt>
                <c:pt idx="163">
                  <c:v>1.325369021971269</c:v>
                </c:pt>
                <c:pt idx="164">
                  <c:v>1.383565880033502</c:v>
                </c:pt>
                <c:pt idx="165">
                  <c:v>1.4413646463454972</c:v>
                </c:pt>
                <c:pt idx="166">
                  <c:v>1.4987699851681384</c:v>
                </c:pt>
                <c:pt idx="167">
                  <c:v>1.5557864842566809</c:v>
                </c:pt>
                <c:pt idx="168">
                  <c:v>1.6124186562696254</c:v>
                </c:pt>
                <c:pt idx="169">
                  <c:v>1.6686709401572828</c:v>
                </c:pt>
                <c:pt idx="170">
                  <c:v>1.7245477025294396</c:v>
                </c:pt>
                <c:pt idx="171">
                  <c:v>1.7800532390019039</c:v>
                </c:pt>
                <c:pt idx="172">
                  <c:v>1.8351917755215472</c:v>
                </c:pt>
                <c:pt idx="173">
                  <c:v>1.8899674696697686</c:v>
                </c:pt>
                <c:pt idx="174">
                  <c:v>1.9443844119441367</c:v>
                </c:pt>
                <c:pt idx="175">
                  <c:v>1.99844662701815</c:v>
                </c:pt>
                <c:pt idx="176">
                  <c:v>2.0521580749791495</c:v>
                </c:pt>
                <c:pt idx="177">
                  <c:v>2.1055226525442987</c:v>
                </c:pt>
                <c:pt idx="178">
                  <c:v>2.1585441942547603</c:v>
                </c:pt>
                <c:pt idx="179">
                  <c:v>2.2112264736481047</c:v>
                </c:pt>
                <c:pt idx="180">
                  <c:v>2.2635732044091288</c:v>
                </c:pt>
                <c:pt idx="181">
                  <c:v>2.3155880414991872</c:v>
                </c:pt>
                <c:pt idx="182">
                  <c:v>2.3672745822642245</c:v>
                </c:pt>
                <c:pt idx="183">
                  <c:v>2.418636367521759</c:v>
                </c:pt>
                <c:pt idx="184">
                  <c:v>2.4696768826268967</c:v>
                </c:pt>
                <c:pt idx="185">
                  <c:v>2.5203995585178394</c:v>
                </c:pt>
                <c:pt idx="186">
                  <c:v>2.5708077727408734</c:v>
                </c:pt>
                <c:pt idx="187">
                  <c:v>2.62090485045535</c:v>
                </c:pt>
                <c:pt idx="188">
                  <c:v>2.6706940654187123</c:v>
                </c:pt>
                <c:pt idx="189">
                  <c:v>2.7201786409520494</c:v>
                </c:pt>
                <c:pt idx="190">
                  <c:v>2.7693617508863215</c:v>
                </c:pt>
                <c:pt idx="191">
                  <c:v>2.8182465204896423</c:v>
                </c:pt>
                <c:pt idx="192">
                  <c:v>2.8668360273758902</c:v>
                </c:pt>
                <c:pt idx="193">
                  <c:v>2.9151333023949428</c:v>
                </c:pt>
                <c:pt idx="194">
                  <c:v>2.9631413305048948</c:v>
                </c:pt>
                <c:pt idx="195">
                  <c:v>3.0108630516265231</c:v>
                </c:pt>
                <c:pt idx="196">
                  <c:v>3.0583013614803471</c:v>
                </c:pt>
                <c:pt idx="197">
                  <c:v>3.105459112406574</c:v>
                </c:pt>
                <c:pt idx="198">
                  <c:v>3.1523391141682895</c:v>
                </c:pt>
                <c:pt idx="199">
                  <c:v>3.1989441347381224</c:v>
                </c:pt>
                <c:pt idx="200">
                  <c:v>3.2452769010688249</c:v>
                </c:pt>
                <c:pt idx="201">
                  <c:v>3.2913400998479481</c:v>
                </c:pt>
                <c:pt idx="202">
                  <c:v>3.3371363782370151</c:v>
                </c:pt>
                <c:pt idx="203">
                  <c:v>3.3826683445954768</c:v>
                </c:pt>
                <c:pt idx="204">
                  <c:v>3.4279385691897128</c:v>
                </c:pt>
                <c:pt idx="205">
                  <c:v>3.472949584887429</c:v>
                </c:pt>
                <c:pt idx="206">
                  <c:v>3.5177038878377473</c:v>
                </c:pt>
                <c:pt idx="207">
                  <c:v>3.5622039381372672</c:v>
                </c:pt>
                <c:pt idx="208">
                  <c:v>3.6064521604823212</c:v>
                </c:pt>
                <c:pt idx="209">
                  <c:v>3.6504509448078952</c:v>
                </c:pt>
                <c:pt idx="210">
                  <c:v>3.6942026469133111</c:v>
                </c:pt>
                <c:pt idx="211">
                  <c:v>3.737709589074969</c:v>
                </c:pt>
                <c:pt idx="212">
                  <c:v>3.7809740606466042</c:v>
                </c:pt>
                <c:pt idx="213">
                  <c:v>3.8239983186470767</c:v>
                </c:pt>
                <c:pt idx="214">
                  <c:v>3.8667845883361118</c:v>
                </c:pt>
                <c:pt idx="215">
                  <c:v>3.909335063778252</c:v>
                </c:pt>
                <c:pt idx="216">
                  <c:v>3.9516519083951755</c:v>
                </c:pt>
                <c:pt idx="217">
                  <c:v>3.9937372555067685</c:v>
                </c:pt>
                <c:pt idx="218">
                  <c:v>4.0355932088610196</c:v>
                </c:pt>
                <c:pt idx="219">
                  <c:v>4.0772218431532012</c:v>
                </c:pt>
                <c:pt idx="220">
                  <c:v>4.1186252045343767</c:v>
                </c:pt>
                <c:pt idx="221">
                  <c:v>4.1598053111095465</c:v>
                </c:pt>
                <c:pt idx="222">
                  <c:v>4.2007641534256832</c:v>
                </c:pt>
                <c:pt idx="223">
                  <c:v>4.2415036949498424</c:v>
                </c:pt>
                <c:pt idx="224">
                  <c:v>4.2820258725375586</c:v>
                </c:pt>
                <c:pt idx="225">
                  <c:v>4.3223325968917843</c:v>
                </c:pt>
                <c:pt idx="226">
                  <c:v>4.7139524417608571</c:v>
                </c:pt>
                <c:pt idx="227">
                  <c:v>5.0859507632082153</c:v>
                </c:pt>
                <c:pt idx="228">
                  <c:v>5.4398694143035637</c:v>
                </c:pt>
                <c:pt idx="229">
                  <c:v>5.7770685301437039</c:v>
                </c:pt>
                <c:pt idx="230">
                  <c:v>6.0987533624592603</c:v>
                </c:pt>
                <c:pt idx="231">
                  <c:v>6.4059964864168517</c:v>
                </c:pt>
                <c:pt idx="232">
                  <c:v>6.6997562742044012</c:v>
                </c:pt>
                <c:pt idx="233">
                  <c:v>6.9808923433744958</c:v>
                </c:pt>
                <c:pt idx="234">
                  <c:v>7.2501785416819828</c:v>
                </c:pt>
                <c:pt idx="235">
                  <c:v>7.5083139157349423</c:v>
                </c:pt>
                <c:pt idx="236">
                  <c:v>7.7559320211778751</c:v>
                </c:pt>
                <c:pt idx="237">
                  <c:v>7.9936088617888874</c:v>
                </c:pt>
                <c:pt idx="238">
                  <c:v>8.2218696894680221</c:v>
                </c:pt>
                <c:pt idx="239">
                  <c:v>8.4411948532774659</c:v>
                </c:pt>
                <c:pt idx="240">
                  <c:v>8.6520248508904256</c:v>
                </c:pt>
                <c:pt idx="241">
                  <c:v>8.8547647080348089</c:v>
                </c:pt>
                <c:pt idx="242">
                  <c:v>9.0497877892560847</c:v>
                </c:pt>
                <c:pt idx="243">
                  <c:v>9.2374391253953068</c:v>
                </c:pt>
                <c:pt idx="244">
                  <c:v>9.4180383286731875</c:v>
                </c:pt>
                <c:pt idx="245">
                  <c:v>9.5918821544830291</c:v>
                </c:pt>
                <c:pt idx="246">
                  <c:v>9.7592467593721661</c:v>
                </c:pt>
                <c:pt idx="247">
                  <c:v>9.9203896968031735</c:v>
                </c:pt>
                <c:pt idx="248">
                  <c:v>10.075551685791673</c:v>
                </c:pt>
                <c:pt idx="249">
                  <c:v>10.224958182149862</c:v>
                </c:pt>
                <c:pt idx="250">
                  <c:v>10.368820777610894</c:v>
                </c:pt>
                <c:pt idx="251">
                  <c:v>10.507338448399482</c:v>
                </c:pt>
                <c:pt idx="252">
                  <c:v>10.640698671712963</c:v>
                </c:pt>
                <c:pt idx="253">
                  <c:v>10.769078425975628</c:v>
                </c:pt>
                <c:pt idx="254">
                  <c:v>10.892645088539332</c:v>
                </c:pt>
                <c:pt idx="255">
                  <c:v>11.011557242654199</c:v>
                </c:pt>
                <c:pt idx="256">
                  <c:v>11.125965403966342</c:v>
                </c:pt>
                <c:pt idx="257">
                  <c:v>11.236012675468402</c:v>
                </c:pt>
                <c:pt idx="258">
                  <c:v>11.341835338693265</c:v>
                </c:pt>
                <c:pt idx="259">
                  <c:v>11.443563387971317</c:v>
                </c:pt>
                <c:pt idx="260">
                  <c:v>11.541321013739518</c:v>
                </c:pt>
                <c:pt idx="261">
                  <c:v>11.635227040174886</c:v>
                </c:pt>
                <c:pt idx="262">
                  <c:v>11.72539532180844</c:v>
                </c:pt>
                <c:pt idx="263">
                  <c:v>11.811935103241636</c:v>
                </c:pt>
                <c:pt idx="264">
                  <c:v>11.894951345625145</c:v>
                </c:pt>
                <c:pt idx="265">
                  <c:v>11.974545023156972</c:v>
                </c:pt>
                <c:pt idx="266">
                  <c:v>12.050813392506512</c:v>
                </c:pt>
                <c:pt idx="267">
                  <c:v>12.123850237763723</c:v>
                </c:pt>
                <c:pt idx="268">
                  <c:v>12.193746093243989</c:v>
                </c:pt>
                <c:pt idx="269">
                  <c:v>12.260588446242018</c:v>
                </c:pt>
                <c:pt idx="270">
                  <c:v>12.324461921619605</c:v>
                </c:pt>
                <c:pt idx="271">
                  <c:v>12.38544844992717</c:v>
                </c:pt>
                <c:pt idx="272">
                  <c:v>12.443627420595035</c:v>
                </c:pt>
                <c:pt idx="273">
                  <c:v>12.4990758215847</c:v>
                </c:pt>
                <c:pt idx="274">
                  <c:v>12.551868366759875</c:v>
                </c:pt>
                <c:pt idx="275">
                  <c:v>12.602077612120857</c:v>
                </c:pt>
                <c:pt idx="276">
                  <c:v>12.649774061941022</c:v>
                </c:pt>
                <c:pt idx="277">
                  <c:v>12.695026265750212</c:v>
                </c:pt>
                <c:pt idx="278">
                  <c:v>12.737900907024828</c:v>
                </c:pt>
                <c:pt idx="279">
                  <c:v>12.778462884367785</c:v>
                </c:pt>
                <c:pt idx="280">
                  <c:v>12.816775385891521</c:v>
                </c:pt>
                <c:pt idx="281">
                  <c:v>12.852899957454492</c:v>
                </c:pt>
                <c:pt idx="282">
                  <c:v>12.886896565343402</c:v>
                </c:pt>
                <c:pt idx="283">
                  <c:v>12.918823653941303</c:v>
                </c:pt>
                <c:pt idx="284">
                  <c:v>12.948738198873482</c:v>
                </c:pt>
                <c:pt idx="285">
                  <c:v>12.976695756079078</c:v>
                </c:pt>
                <c:pt idx="286">
                  <c:v>13.00275050721628</c:v>
                </c:pt>
                <c:pt idx="287">
                  <c:v>13.026955301771885</c:v>
                </c:pt>
                <c:pt idx="288">
                  <c:v>13.049361696212166</c:v>
                </c:pt>
                <c:pt idx="289">
                  <c:v>13.07001999048097</c:v>
                </c:pt>
                <c:pt idx="290">
                  <c:v>13.088979262122223</c:v>
                </c:pt>
                <c:pt idx="291">
                  <c:v>13.106287398277917</c:v>
                </c:pt>
                <c:pt idx="292">
                  <c:v>13.121991125788465</c:v>
                </c:pt>
                <c:pt idx="293">
                  <c:v>13.136136039600119</c:v>
                </c:pt>
                <c:pt idx="294">
                  <c:v>13.148766629663919</c:v>
                </c:pt>
                <c:pt idx="295">
                  <c:v>13.159926306491872</c:v>
                </c:pt>
                <c:pt idx="296">
                  <c:v>13.169657425519068</c:v>
                </c:pt>
                <c:pt idx="297">
                  <c:v>13.178001310404641</c:v>
                </c:pt>
                <c:pt idx="298">
                  <c:v>13.184998275390354</c:v>
                </c:pt>
                <c:pt idx="299">
                  <c:v>13.190687646822344</c:v>
                </c:pt>
                <c:pt idx="300">
                  <c:v>13.195107783929682</c:v>
                </c:pt>
                <c:pt idx="301">
                  <c:v>13.198296098942661</c:v>
                </c:pt>
                <c:pt idx="302">
                  <c:v>13.200289076623598</c:v>
                </c:pt>
                <c:pt idx="303">
                  <c:v>13.201122293274288</c:v>
                </c:pt>
                <c:pt idx="304">
                  <c:v>13.200830435276004</c:v>
                </c:pt>
                <c:pt idx="305">
                  <c:v>13.199447317210446</c:v>
                </c:pt>
                <c:pt idx="306">
                  <c:v>13.197005899603958</c:v>
                </c:pt>
                <c:pt idx="307">
                  <c:v>13.193538306330803</c:v>
                </c:pt>
                <c:pt idx="308">
                  <c:v>13.189075841706533</c:v>
                </c:pt>
                <c:pt idx="309">
                  <c:v>13.183649007297358</c:v>
                </c:pt>
                <c:pt idx="310">
                  <c:v>13.177287518467576</c:v>
                </c:pt>
                <c:pt idx="311">
                  <c:v>13.170020320683067</c:v>
                </c:pt>
                <c:pt idx="312">
                  <c:v>13.161875605585859</c:v>
                </c:pt>
                <c:pt idx="313">
                  <c:v>13.152880826851746</c:v>
                </c:pt>
                <c:pt idx="314">
                  <c:v>13.143062715840399</c:v>
                </c:pt>
                <c:pt idx="315">
                  <c:v>13.132447297045424</c:v>
                </c:pt>
                <c:pt idx="316">
                  <c:v>13.121059903349657</c:v>
                </c:pt>
                <c:pt idx="317">
                  <c:v>13.108925191089638</c:v>
                </c:pt>
                <c:pt idx="318">
                  <c:v>13.096067154931701</c:v>
                </c:pt>
                <c:pt idx="319">
                  <c:v>13.082509142560969</c:v>
                </c:pt>
                <c:pt idx="320">
                  <c:v>13.068273869183741</c:v>
                </c:pt>
                <c:pt idx="321">
                  <c:v>13.053383431842709</c:v>
                </c:pt>
                <c:pt idx="322">
                  <c:v>13.037859323544229</c:v>
                </c:pt>
                <c:pt idx="323">
                  <c:v>13.021722447195952</c:v>
                </c:pt>
                <c:pt idx="324">
                  <c:v>13.004993129353116</c:v>
                </c:pt>
                <c:pt idx="325">
                  <c:v>12.98769113377136</c:v>
                </c:pt>
                <c:pt idx="326">
                  <c:v>12.969835674763864</c:v>
                </c:pt>
                <c:pt idx="327">
                  <c:v>12.951445430360442</c:v>
                </c:pt>
                <c:pt idx="328">
                  <c:v>12.932538555266316</c:v>
                </c:pt>
                <c:pt idx="329">
                  <c:v>12.913132693618245</c:v>
                </c:pt>
                <c:pt idx="330">
                  <c:v>12.893244991535957</c:v>
                </c:pt>
                <c:pt idx="331">
                  <c:v>12.872892109466685</c:v>
                </c:pt>
                <c:pt idx="332">
                  <c:v>12.852090234321071</c:v>
                </c:pt>
                <c:pt idx="333">
                  <c:v>12.830855091398785</c:v>
                </c:pt>
                <c:pt idx="334">
                  <c:v>12.809201956102338</c:v>
                </c:pt>
                <c:pt idx="335">
                  <c:v>12.787145665437977</c:v>
                </c:pt>
                <c:pt idx="336">
                  <c:v>12.764700629302684</c:v>
                </c:pt>
                <c:pt idx="337">
                  <c:v>12.741880841556592</c:v>
                </c:pt>
                <c:pt idx="338">
                  <c:v>12.718699890880384</c:v>
                </c:pt>
                <c:pt idx="339">
                  <c:v>12.695170971417483</c:v>
                </c:pt>
                <c:pt idx="340">
                  <c:v>12.671306893201166</c:v>
                </c:pt>
                <c:pt idx="341">
                  <c:v>12.64712009236689</c:v>
                </c:pt>
                <c:pt idx="342">
                  <c:v>12.622622641150434</c:v>
                </c:pt>
                <c:pt idx="343">
                  <c:v>12.597826257672697</c:v>
                </c:pt>
                <c:pt idx="344">
                  <c:v>12.572742315512141</c:v>
                </c:pt>
                <c:pt idx="345">
                  <c:v>12.547381853066259</c:v>
                </c:pt>
                <c:pt idx="346">
                  <c:v>12.521755582703465</c:v>
                </c:pt>
                <c:pt idx="347">
                  <c:v>12.49587389970706</c:v>
                </c:pt>
                <c:pt idx="348">
                  <c:v>12.469746891013314</c:v>
                </c:pt>
                <c:pt idx="349">
                  <c:v>12.443384343745427</c:v>
                </c:pt>
                <c:pt idx="350">
                  <c:v>12.416795753545864</c:v>
                </c:pt>
                <c:pt idx="351">
                  <c:v>12.389990332709216</c:v>
                </c:pt>
                <c:pt idx="352">
                  <c:v>12.362977018118123</c:v>
                </c:pt>
                <c:pt idx="353">
                  <c:v>12.335764478984956</c:v>
                </c:pt>
                <c:pt idx="354">
                  <c:v>12.308361124401868</c:v>
                </c:pt>
                <c:pt idx="355">
                  <c:v>12.280775110702136</c:v>
                </c:pt>
                <c:pt idx="356">
                  <c:v>12.253014348635682</c:v>
                </c:pt>
                <c:pt idx="357">
                  <c:v>12.225086510361777</c:v>
                </c:pt>
                <c:pt idx="358">
                  <c:v>12.196999036262014</c:v>
                </c:pt>
                <c:pt idx="359">
                  <c:v>12.168759141576677</c:v>
                </c:pt>
                <c:pt idx="360">
                  <c:v>12.140373822867712</c:v>
                </c:pt>
                <c:pt idx="361">
                  <c:v>12.111849864311505</c:v>
                </c:pt>
                <c:pt idx="362">
                  <c:v>12.083193843824748</c:v>
                </c:pt>
                <c:pt idx="363">
                  <c:v>12.054412139026656</c:v>
                </c:pt>
                <c:pt idx="364">
                  <c:v>12.025510933040922</c:v>
                </c:pt>
                <c:pt idx="365">
                  <c:v>11.996496220140596</c:v>
                </c:pt>
                <c:pt idx="366">
                  <c:v>11.967373811239348</c:v>
                </c:pt>
                <c:pt idx="367">
                  <c:v>11.938149339232337</c:v>
                </c:pt>
                <c:pt idx="368">
                  <c:v>11.90882826419007</c:v>
                </c:pt>
                <c:pt idx="369">
                  <c:v>11.879415878408505</c:v>
                </c:pt>
                <c:pt idx="370">
                  <c:v>11.849917311318698</c:v>
                </c:pt>
                <c:pt idx="371">
                  <c:v>11.820337534259282</c:v>
                </c:pt>
                <c:pt idx="372">
                  <c:v>11.79068136511497</c:v>
                </c:pt>
                <c:pt idx="373">
                  <c:v>11.760953472824337</c:v>
                </c:pt>
                <c:pt idx="374">
                  <c:v>11.731158381759981</c:v>
                </c:pt>
                <c:pt idx="375">
                  <c:v>11.701300475984311</c:v>
                </c:pt>
                <c:pt idx="376">
                  <c:v>11.671384003383942</c:v>
                </c:pt>
                <c:pt idx="377">
                  <c:v>11.64141307968583</c:v>
                </c:pt>
                <c:pt idx="378">
                  <c:v>11.611391692358136</c:v>
                </c:pt>
                <c:pt idx="379">
                  <c:v>11.581323704398772</c:v>
                </c:pt>
                <c:pt idx="380">
                  <c:v>11.551212858014551</c:v>
                </c:pt>
                <c:pt idx="381">
                  <c:v>11.521062778193841</c:v>
                </c:pt>
                <c:pt idx="382">
                  <c:v>11.490876976175491</c:v>
                </c:pt>
                <c:pt idx="383">
                  <c:v>11.460658852816849</c:v>
                </c:pt>
                <c:pt idx="384">
                  <c:v>11.430411701863507</c:v>
                </c:pt>
                <c:pt idx="385">
                  <c:v>11.400138713123543</c:v>
                </c:pt>
                <c:pt idx="386">
                  <c:v>11.369842975548764</c:v>
                </c:pt>
                <c:pt idx="387">
                  <c:v>11.339527480225584</c:v>
                </c:pt>
                <c:pt idx="388">
                  <c:v>11.30919512327797</c:v>
                </c:pt>
                <c:pt idx="389">
                  <c:v>11.278848708684961</c:v>
                </c:pt>
                <c:pt idx="390">
                  <c:v>11.248490951015089</c:v>
                </c:pt>
                <c:pt idx="391">
                  <c:v>11.218124478080096</c:v>
                </c:pt>
                <c:pt idx="392">
                  <c:v>11.187751833510202</c:v>
                </c:pt>
                <c:pt idx="393">
                  <c:v>11.157375479253142</c:v>
                </c:pt>
                <c:pt idx="394">
                  <c:v>11.126997797999174</c:v>
                </c:pt>
                <c:pt idx="395">
                  <c:v>11.096621095534138</c:v>
                </c:pt>
                <c:pt idx="396">
                  <c:v>11.066247603022735</c:v>
                </c:pt>
                <c:pt idx="397">
                  <c:v>11.035879479223871</c:v>
                </c:pt>
                <c:pt idx="398">
                  <c:v>11.005518812640226</c:v>
                </c:pt>
                <c:pt idx="399">
                  <c:v>10.975167623603818</c:v>
                </c:pt>
                <c:pt idx="400">
                  <c:v>10.944827866299544</c:v>
                </c:pt>
                <c:pt idx="401">
                  <c:v>10.914501430728379</c:v>
                </c:pt>
                <c:pt idx="402">
                  <c:v>10.884190144612159</c:v>
                </c:pt>
                <c:pt idx="403">
                  <c:v>10.853895775241536</c:v>
                </c:pt>
                <c:pt idx="404">
                  <c:v>10.823620031268904</c:v>
                </c:pt>
                <c:pt idx="405">
                  <c:v>10.793364564447781</c:v>
                </c:pt>
                <c:pt idx="406">
                  <c:v>10.763130971320384</c:v>
                </c:pt>
                <c:pt idx="407">
                  <c:v>10.732920794854827</c:v>
                </c:pt>
                <c:pt idx="408">
                  <c:v>10.702735526033528</c:v>
                </c:pt>
                <c:pt idx="409">
                  <c:v>10.672576605394163</c:v>
                </c:pt>
                <c:pt idx="410">
                  <c:v>10.642445424524745</c:v>
                </c:pt>
                <c:pt idx="411">
                  <c:v>10.612343327514054</c:v>
                </c:pt>
                <c:pt idx="412">
                  <c:v>10.582271612358845</c:v>
                </c:pt>
                <c:pt idx="413">
                  <c:v>10.552231532329108</c:v>
                </c:pt>
                <c:pt idx="414">
                  <c:v>10.522224297292617</c:v>
                </c:pt>
                <c:pt idx="415">
                  <c:v>10.492251075000041</c:v>
                </c:pt>
                <c:pt idx="416">
                  <c:v>10.462312992331739</c:v>
                </c:pt>
                <c:pt idx="417">
                  <c:v>10.432411136507477</c:v>
                </c:pt>
                <c:pt idx="418">
                  <c:v>10.402546556260134</c:v>
                </c:pt>
                <c:pt idx="419">
                  <c:v>10.372720262974443</c:v>
                </c:pt>
                <c:pt idx="420">
                  <c:v>10.342933231791946</c:v>
                </c:pt>
                <c:pt idx="421">
                  <c:v>10.313186402683044</c:v>
                </c:pt>
                <c:pt idx="422">
                  <c:v>10.283480681487262</c:v>
                </c:pt>
                <c:pt idx="423">
                  <c:v>10.253816940922588</c:v>
                </c:pt>
                <c:pt idx="424">
                  <c:v>10.224196021564895</c:v>
                </c:pt>
                <c:pt idx="425">
                  <c:v>10.194618732798324</c:v>
                </c:pt>
                <c:pt idx="426">
                  <c:v>10.165085853737462</c:v>
                </c:pt>
                <c:pt idx="427">
                  <c:v>10.135598134122311</c:v>
                </c:pt>
                <c:pt idx="428">
                  <c:v>10.106156295186663</c:v>
                </c:pt>
                <c:pt idx="429">
                  <c:v>10.076761030500869</c:v>
                </c:pt>
                <c:pt idx="430">
                  <c:v>10.047413006789725</c:v>
                </c:pt>
                <c:pt idx="431">
                  <c:v>10.018112864726131</c:v>
                </c:pt>
                <c:pt idx="432">
                  <c:v>9.9888612197014197</c:v>
                </c:pt>
                <c:pt idx="433">
                  <c:v>9.9596586625729238</c:v>
                </c:pt>
                <c:pt idx="434">
                  <c:v>9.930505760389579</c:v>
                </c:pt>
                <c:pt idx="435">
                  <c:v>9.9014030570961058</c:v>
                </c:pt>
                <c:pt idx="436">
                  <c:v>9.8723510742165512</c:v>
                </c:pt>
                <c:pt idx="437">
                  <c:v>9.843350311517705</c:v>
                </c:pt>
                <c:pt idx="438">
                  <c:v>9.814401247653068</c:v>
                </c:pt>
                <c:pt idx="439">
                  <c:v>9.7855043407879254</c:v>
                </c:pt>
                <c:pt idx="440">
                  <c:v>9.7566600292061167</c:v>
                </c:pt>
                <c:pt idx="441">
                  <c:v>9.7278687318990098</c:v>
                </c:pt>
                <c:pt idx="442">
                  <c:v>9.6991308491372905</c:v>
                </c:pt>
                <c:pt idx="443">
                  <c:v>9.67044676302603</c:v>
                </c:pt>
                <c:pt idx="444">
                  <c:v>9.6418168380435247</c:v>
                </c:pt>
                <c:pt idx="445">
                  <c:v>9.6132414215644584</c:v>
                </c:pt>
                <c:pt idx="446">
                  <c:v>9.5847208443677729</c:v>
                </c:pt>
                <c:pt idx="447">
                  <c:v>9.5562554211298139</c:v>
                </c:pt>
                <c:pt idx="448">
                  <c:v>9.5278454509030617</c:v>
                </c:pt>
                <c:pt idx="449">
                  <c:v>9.4994912175810136</c:v>
                </c:pt>
                <c:pt idx="450">
                  <c:v>9.4711929903495378</c:v>
                </c:pt>
                <c:pt idx="451">
                  <c:v>9.44295102412514</c:v>
                </c:pt>
                <c:pt idx="452">
                  <c:v>9.4147655599805304</c:v>
                </c:pt>
                <c:pt idx="453">
                  <c:v>9.3866368255578738</c:v>
                </c:pt>
                <c:pt idx="454">
                  <c:v>9.3585650354700984</c:v>
                </c:pt>
                <c:pt idx="455">
                  <c:v>9.3305503916905828</c:v>
                </c:pt>
                <c:pt idx="456">
                  <c:v>9.3025930839316153</c:v>
                </c:pt>
                <c:pt idx="457">
                  <c:v>9.2746932900119337</c:v>
                </c:pt>
                <c:pt idx="458">
                  <c:v>9.2468511762136512</c:v>
                </c:pt>
                <c:pt idx="459">
                  <c:v>9.2190668976289682</c:v>
                </c:pt>
                <c:pt idx="460">
                  <c:v>9.1913405984968239</c:v>
                </c:pt>
                <c:pt idx="461">
                  <c:v>9.163672412529948</c:v>
                </c:pt>
                <c:pt idx="462">
                  <c:v>9.1360624632325056</c:v>
                </c:pt>
                <c:pt idx="463">
                  <c:v>9.1085108642085846</c:v>
                </c:pt>
                <c:pt idx="464">
                  <c:v>9.0810177194619097</c:v>
                </c:pt>
                <c:pt idx="465">
                  <c:v>9.053583123686936</c:v>
                </c:pt>
                <c:pt idx="466">
                  <c:v>9.0262071625516107</c:v>
                </c:pt>
                <c:pt idx="467">
                  <c:v>8.9988899129720892</c:v>
                </c:pt>
                <c:pt idx="468">
                  <c:v>8.9716314433795468</c:v>
                </c:pt>
                <c:pt idx="469">
                  <c:v>8.9444318139794365</c:v>
                </c:pt>
                <c:pt idx="470">
                  <c:v>8.9172910770033145</c:v>
                </c:pt>
                <c:pt idx="471">
                  <c:v>8.8902092769535095</c:v>
                </c:pt>
                <c:pt idx="472">
                  <c:v>8.8631864508408249</c:v>
                </c:pt>
                <c:pt idx="473">
                  <c:v>8.8362226284154772</c:v>
                </c:pt>
                <c:pt idx="474">
                  <c:v>8.8093178323914572</c:v>
                </c:pt>
                <c:pt idx="475">
                  <c:v>8.782472078664556</c:v>
                </c:pt>
                <c:pt idx="476">
                  <c:v>8.7556853765241733</c:v>
                </c:pt>
                <c:pt idx="477">
                  <c:v>8.7289577288591129</c:v>
                </c:pt>
                <c:pt idx="478">
                  <c:v>8.7022891323575742</c:v>
                </c:pt>
                <c:pt idx="479">
                  <c:v>8.675679577701473</c:v>
                </c:pt>
                <c:pt idx="480">
                  <c:v>8.649129049755226</c:v>
                </c:pt>
                <c:pt idx="481">
                  <c:v>8.6226375277492728</c:v>
                </c:pt>
                <c:pt idx="482">
                  <c:v>8.5962049854583107</c:v>
                </c:pt>
                <c:pt idx="483">
                  <c:v>8.5698313913746009</c:v>
                </c:pt>
                <c:pt idx="484">
                  <c:v>8.5435167088763038</c:v>
                </c:pt>
                <c:pt idx="485">
                  <c:v>8.5172608963910825</c:v>
                </c:pt>
                <c:pt idx="486">
                  <c:v>8.4910639075551391</c:v>
                </c:pt>
                <c:pt idx="487">
                  <c:v>8.4649256913677036</c:v>
                </c:pt>
                <c:pt idx="488">
                  <c:v>8.4388461923412095</c:v>
                </c:pt>
                <c:pt idx="489">
                  <c:v>8.412825350647239</c:v>
                </c:pt>
                <c:pt idx="490">
                  <c:v>8.3868631022583546</c:v>
                </c:pt>
                <c:pt idx="491">
                  <c:v>8.360959379085946</c:v>
                </c:pt>
                <c:pt idx="492">
                  <c:v>8.3351141091141816</c:v>
                </c:pt>
                <c:pt idx="493">
                  <c:v>8.3093272165302352</c:v>
                </c:pt>
                <c:pt idx="494">
                  <c:v>8.28359862185083</c:v>
                </c:pt>
                <c:pt idx="495">
                  <c:v>8.2579282420452049</c:v>
                </c:pt>
                <c:pt idx="496">
                  <c:v>8.2323159906546923</c:v>
                </c:pt>
                <c:pt idx="497">
                  <c:v>8.2067617779088682</c:v>
                </c:pt>
                <c:pt idx="498">
                  <c:v>8.1812655108385002</c:v>
                </c:pt>
                <c:pt idx="499">
                  <c:v>8.1558270933852874</c:v>
                </c:pt>
                <c:pt idx="500">
                  <c:v>8.1304464265085592</c:v>
                </c:pt>
                <c:pt idx="501">
                  <c:v>8.105123408288943</c:v>
                </c:pt>
                <c:pt idx="502">
                  <c:v>8.0798579340291425</c:v>
                </c:pt>
                <c:pt idx="503">
                  <c:v>8.0546498963519166</c:v>
                </c:pt>
                <c:pt idx="504">
                  <c:v>8.0294991852952613</c:v>
                </c:pt>
                <c:pt idx="505">
                  <c:v>8.0044056884049688</c:v>
                </c:pt>
                <c:pt idx="506">
                  <c:v>7.9793692908245557</c:v>
                </c:pt>
                <c:pt idx="507">
                  <c:v>7.9543898753827023</c:v>
                </c:pt>
                <c:pt idx="508">
                  <c:v>7.9294673226782209</c:v>
                </c:pt>
                <c:pt idx="509">
                  <c:v>7.9046015111626469</c:v>
                </c:pt>
                <c:pt idx="510">
                  <c:v>7.879792317220514</c:v>
                </c:pt>
                <c:pt idx="511">
                  <c:v>7.8550396152473789</c:v>
                </c:pt>
                <c:pt idx="512">
                  <c:v>7.830343277725663</c:v>
                </c:pt>
                <c:pt idx="513">
                  <c:v>7.8057031752983494</c:v>
                </c:pt>
                <c:pt idx="514">
                  <c:v>7.7811191768406331</c:v>
                </c:pt>
                <c:pt idx="515">
                  <c:v>7.7565911495295321</c:v>
                </c:pt>
                <c:pt idx="516">
                  <c:v>7.7321189589115864</c:v>
                </c:pt>
                <c:pt idx="517">
                  <c:v>7.7077024689686047</c:v>
                </c:pt>
                <c:pt idx="518">
                  <c:v>7.6833415421816023</c:v>
                </c:pt>
                <c:pt idx="519">
                  <c:v>7.6590360395929125</c:v>
                </c:pt>
                <c:pt idx="520">
                  <c:v>7.6347858208665773</c:v>
                </c:pt>
                <c:pt idx="521">
                  <c:v>7.6105907443470198</c:v>
                </c:pt>
                <c:pt idx="522">
                  <c:v>7.586450667116055</c:v>
                </c:pt>
                <c:pt idx="523">
                  <c:v>7.5623654450483278</c:v>
                </c:pt>
                <c:pt idx="524">
                  <c:v>7.5383349328651361</c:v>
                </c:pt>
                <c:pt idx="525">
                  <c:v>7.5143589841867975</c:v>
                </c:pt>
                <c:pt idx="526">
                  <c:v>7.4904374515834675</c:v>
                </c:pt>
                <c:pt idx="527">
                  <c:v>7.4665701866245824</c:v>
                </c:pt>
                <c:pt idx="528">
                  <c:v>7.4427570399268443</c:v>
                </c:pt>
                <c:pt idx="529">
                  <c:v>7.4189978612009124</c:v>
                </c:pt>
                <c:pt idx="530">
                  <c:v>7.3952924992966995</c:v>
                </c:pt>
                <c:pt idx="531">
                  <c:v>7.3716408022474367</c:v>
                </c:pt>
                <c:pt idx="532">
                  <c:v>7.348042617312446</c:v>
                </c:pt>
                <c:pt idx="533">
                  <c:v>7.3244977910187279</c:v>
                </c:pt>
                <c:pt idx="534">
                  <c:v>7.3010061692013428</c:v>
                </c:pt>
                <c:pt idx="535">
                  <c:v>7.2775675970426468</c:v>
                </c:pt>
                <c:pt idx="536">
                  <c:v>7.2541819191103949</c:v>
                </c:pt>
                <c:pt idx="537">
                  <c:v>7.2308489793947714</c:v>
                </c:pt>
                <c:pt idx="538">
                  <c:v>7.2075686213443513</c:v>
                </c:pt>
                <c:pt idx="539">
                  <c:v>7.1843406879010088</c:v>
                </c:pt>
                <c:pt idx="540">
                  <c:v>7.1611650215338667</c:v>
                </c:pt>
                <c:pt idx="541">
                  <c:v>7.1380414642722103</c:v>
                </c:pt>
                <c:pt idx="542">
                  <c:v>7.1149698577374956</c:v>
                </c:pt>
                <c:pt idx="543">
                  <c:v>7.091950043174422</c:v>
                </c:pt>
                <c:pt idx="544">
                  <c:v>7.0689818614810784</c:v>
                </c:pt>
                <c:pt idx="545">
                  <c:v>7.0460651532382537</c:v>
                </c:pt>
                <c:pt idx="546">
                  <c:v>7.023199758737853</c:v>
                </c:pt>
                <c:pt idx="547">
                  <c:v>7.0003855180105177</c:v>
                </c:pt>
                <c:pt idx="548">
                  <c:v>6.9776222708524198</c:v>
                </c:pt>
                <c:pt idx="549">
                  <c:v>6.9549098568512822</c:v>
                </c:pt>
                <c:pt idx="550">
                  <c:v>6.9322481154116087</c:v>
                </c:pt>
                <c:pt idx="551">
                  <c:v>6.9096368857792081</c:v>
                </c:pt>
                <c:pt idx="552">
                  <c:v>6.887076007064965</c:v>
                </c:pt>
                <c:pt idx="553">
                  <c:v>6.8645653182679167</c:v>
                </c:pt>
                <c:pt idx="554">
                  <c:v>6.842104658297643</c:v>
                </c:pt>
                <c:pt idx="555">
                  <c:v>6.819693865995986</c:v>
                </c:pt>
                <c:pt idx="556">
                  <c:v>6.7973327801581291</c:v>
                </c:pt>
                <c:pt idx="557">
                  <c:v>6.7750212395530252</c:v>
                </c:pt>
                <c:pt idx="558">
                  <c:v>6.752759082943224</c:v>
                </c:pt>
                <c:pt idx="559">
                  <c:v>6.7305461491041161</c:v>
                </c:pt>
                <c:pt idx="560">
                  <c:v>6.7083822768425527</c:v>
                </c:pt>
                <c:pt idx="561">
                  <c:v>6.6862673050149297</c:v>
                </c:pt>
                <c:pt idx="562">
                  <c:v>6.6642010725447118</c:v>
                </c:pt>
                <c:pt idx="563">
                  <c:v>6.6421834184394299</c:v>
                </c:pt>
                <c:pt idx="564">
                  <c:v>6.6202141818071114</c:v>
                </c:pt>
                <c:pt idx="565">
                  <c:v>6.5982932018722762</c:v>
                </c:pt>
                <c:pt idx="566">
                  <c:v>6.5764203179913592</c:v>
                </c:pt>
                <c:pt idx="567">
                  <c:v>6.5545953696677142</c:v>
                </c:pt>
                <c:pt idx="568">
                  <c:v>6.5328181965661001</c:v>
                </c:pt>
                <c:pt idx="569">
                  <c:v>6.5110886385267408</c:v>
                </c:pt>
                <c:pt idx="570">
                  <c:v>6.4894065355789241</c:v>
                </c:pt>
                <c:pt idx="571">
                  <c:v>6.4677717279541902</c:v>
                </c:pt>
                <c:pt idx="572">
                  <c:v>6.4461840560990584</c:v>
                </c:pt>
                <c:pt idx="573">
                  <c:v>6.4246433606873845</c:v>
                </c:pt>
                <c:pt idx="574">
                  <c:v>6.4031494826322923</c:v>
                </c:pt>
                <c:pt idx="575">
                  <c:v>6.3817022630977425</c:v>
                </c:pt>
                <c:pt idx="576">
                  <c:v>6.3603015435096841</c:v>
                </c:pt>
                <c:pt idx="577">
                  <c:v>6.3389471655668839</c:v>
                </c:pt>
                <c:pt idx="578">
                  <c:v>6.3176389712513554</c:v>
                </c:pt>
                <c:pt idx="579">
                  <c:v>6.2963768028384735</c:v>
                </c:pt>
                <c:pt idx="580">
                  <c:v>6.2751605029067212</c:v>
                </c:pt>
                <c:pt idx="581">
                  <c:v>6.2539899143471391</c:v>
                </c:pt>
                <c:pt idx="582">
                  <c:v>6.2328648803724054</c:v>
                </c:pt>
                <c:pt idx="583">
                  <c:v>6.2117852445256583</c:v>
                </c:pt>
                <c:pt idx="584">
                  <c:v>6.190750850688965</c:v>
                </c:pt>
                <c:pt idx="585">
                  <c:v>6.1697615430915329</c:v>
                </c:pt>
                <c:pt idx="586">
                  <c:v>6.1488171663175981</c:v>
                </c:pt>
                <c:pt idx="587">
                  <c:v>6.127917565314065</c:v>
                </c:pt>
                <c:pt idx="588">
                  <c:v>6.1070625853978511</c:v>
                </c:pt>
                <c:pt idx="589">
                  <c:v>6.0862520722629565</c:v>
                </c:pt>
                <c:pt idx="590">
                  <c:v>6.0654858719873248</c:v>
                </c:pt>
                <c:pt idx="591">
                  <c:v>6.0447638310393801</c:v>
                </c:pt>
                <c:pt idx="592">
                  <c:v>6.0240857962843748</c:v>
                </c:pt>
                <c:pt idx="593">
                  <c:v>6.003451614990488</c:v>
                </c:pt>
                <c:pt idx="594">
                  <c:v>5.9828611348346517</c:v>
                </c:pt>
                <c:pt idx="595">
                  <c:v>5.9623142039082166</c:v>
                </c:pt>
                <c:pt idx="596">
                  <c:v>5.9418106707223304</c:v>
                </c:pt>
                <c:pt idx="597">
                  <c:v>5.9213503842131772</c:v>
                </c:pt>
                <c:pt idx="598">
                  <c:v>5.9009331937469209</c:v>
                </c:pt>
                <c:pt idx="599">
                  <c:v>5.8805589491245227</c:v>
                </c:pt>
                <c:pt idx="600">
                  <c:v>5.8602275005863067</c:v>
                </c:pt>
                <c:pt idx="601">
                  <c:v>5.8399386988163879</c:v>
                </c:pt>
                <c:pt idx="602">
                  <c:v>5.8196923949468458</c:v>
                </c:pt>
                <c:pt idx="603">
                  <c:v>5.7994884405617855</c:v>
                </c:pt>
                <c:pt idx="604">
                  <c:v>5.779326687701162</c:v>
                </c:pt>
                <c:pt idx="605">
                  <c:v>5.7592069888644781</c:v>
                </c:pt>
                <c:pt idx="606">
                  <c:v>4.8037233143595728</c:v>
                </c:pt>
                <c:pt idx="607">
                  <c:v>3.9364630104232265</c:v>
                </c:pt>
                <c:pt idx="608">
                  <c:v>3.1436590272147584</c:v>
                </c:pt>
                <c:pt idx="609">
                  <c:v>2.4141937043462396</c:v>
                </c:pt>
                <c:pt idx="610">
                  <c:v>1.7390881689538005</c:v>
                </c:pt>
                <c:pt idx="611">
                  <c:v>1.1110458062803574</c:v>
                </c:pt>
                <c:pt idx="612">
                  <c:v>0.52408648720011042</c:v>
                </c:pt>
                <c:pt idx="613">
                  <c:v>-2.6736063524096056E-2</c:v>
                </c:pt>
                <c:pt idx="614">
                  <c:v>-0.54555038541617162</c:v>
                </c:pt>
                <c:pt idx="615">
                  <c:v>-1.0358326091399213</c:v>
                </c:pt>
                <c:pt idx="616">
                  <c:v>-1.5005336100592446</c:v>
                </c:pt>
                <c:pt idx="617">
                  <c:v>-1.9421775525747949</c:v>
                </c:pt>
                <c:pt idx="618">
                  <c:v>-2.1146814208175897</c:v>
                </c:pt>
                <c:pt idx="619">
                  <c:v>-2.2837318983282668</c:v>
                </c:pt>
                <c:pt idx="620">
                  <c:v>-2.4494684270702356</c:v>
                </c:pt>
                <c:pt idx="621">
                  <c:v>-2.6120220489038637</c:v>
                </c:pt>
                <c:pt idx="622">
                  <c:v>-2.7715160760811806</c:v>
                </c:pt>
                <c:pt idx="623">
                  <c:v>-2.9280666955407382</c:v>
                </c:pt>
                <c:pt idx="624">
                  <c:v>-3.0817835147373343</c:v>
                </c:pt>
                <c:pt idx="625">
                  <c:v>-3.2327700557043522</c:v>
                </c:pt>
                <c:pt idx="626">
                  <c:v>-3.3811242031652062</c:v>
                </c:pt>
                <c:pt idx="627">
                  <c:v>-3.5269386117596229</c:v>
                </c:pt>
                <c:pt idx="628">
                  <c:v>-3.6703010768084692</c:v>
                </c:pt>
                <c:pt idx="629">
                  <c:v>-3.8112948724902251</c:v>
                </c:pt>
                <c:pt idx="630">
                  <c:v>-3.9499990608288549</c:v>
                </c:pt>
                <c:pt idx="631">
                  <c:v>-4.0864887744843861</c:v>
                </c:pt>
                <c:pt idx="632">
                  <c:v>-4.2208354759844537</c:v>
                </c:pt>
                <c:pt idx="633">
                  <c:v>-4.3531071957289358</c:v>
                </c:pt>
                <c:pt idx="634">
                  <c:v>-4.483368750833538</c:v>
                </c:pt>
                <c:pt idx="635">
                  <c:v>-4.6116819466465211</c:v>
                </c:pt>
                <c:pt idx="636">
                  <c:v>-4.7381057625700258</c:v>
                </c:pt>
                <c:pt idx="637">
                  <c:v>-4.8626965236403006</c:v>
                </c:pt>
                <c:pt idx="638">
                  <c:v>-4.9855080591655234</c:v>
                </c:pt>
                <c:pt idx="639">
                  <c:v>-5.1065918495831184</c:v>
                </c:pt>
                <c:pt idx="640">
                  <c:v>-5.2259971625780892</c:v>
                </c:pt>
                <c:pt idx="641">
                  <c:v>-5.3437711793973461</c:v>
                </c:pt>
                <c:pt idx="642">
                  <c:v>-5.4599591122010676</c:v>
                </c:pt>
                <c:pt idx="643">
                  <c:v>-5.5746043132086456</c:v>
                </c:pt>
                <c:pt idx="644">
                  <c:v>-5.6877483763227534</c:v>
                </c:pt>
                <c:pt idx="645">
                  <c:v>-5.7994312318492183</c:v>
                </c:pt>
                <c:pt idx="646">
                  <c:v>-5.9096912348717447</c:v>
                </c:pt>
                <c:pt idx="647">
                  <c:v>-6.0185652477880547</c:v>
                </c:pt>
                <c:pt idx="648">
                  <c:v>-6.1260887174673782</c:v>
                </c:pt>
                <c:pt idx="649">
                  <c:v>-6.2322957474470675</c:v>
                </c:pt>
                <c:pt idx="650">
                  <c:v>-6.3372191655488024</c:v>
                </c:pt>
                <c:pt idx="651">
                  <c:v>-6.4408905872608413</c:v>
                </c:pt>
                <c:pt idx="652">
                  <c:v>-6.5433404752025561</c:v>
                </c:pt>
                <c:pt idx="653">
                  <c:v>-6.6445981949601007</c:v>
                </c:pt>
                <c:pt idx="654">
                  <c:v>-6.7446920675573736</c:v>
                </c:pt>
                <c:pt idx="655">
                  <c:v>-6.8436494188041896</c:v>
                </c:pt>
                <c:pt idx="656">
                  <c:v>-6.9414966257434081</c:v>
                </c:pt>
                <c:pt idx="657">
                  <c:v>-7.0382591604005098</c:v>
                </c:pt>
                <c:pt idx="658">
                  <c:v>-7.1339616310225651</c:v>
                </c:pt>
                <c:pt idx="659">
                  <c:v>-7.2286278209785824</c:v>
                </c:pt>
                <c:pt idx="660">
                  <c:v>-7.3222807254794509</c:v>
                </c:pt>
                <c:pt idx="661">
                  <c:v>-7.4149425862634466</c:v>
                </c:pt>
                <c:pt idx="662">
                  <c:v>-7.5066349243817365</c:v>
                </c:pt>
                <c:pt idx="663">
                  <c:v>-7.5973785712082131</c:v>
                </c:pt>
                <c:pt idx="664">
                  <c:v>-7.6871936977884348</c:v>
                </c:pt>
                <c:pt idx="665">
                  <c:v>-7.7760998426338555</c:v>
                </c:pt>
                <c:pt idx="666">
                  <c:v>-7.8641159380597365</c:v>
                </c:pt>
                <c:pt idx="667">
                  <c:v>-7.9512603351577908</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-190.51444851196493</c:v>
                </c:pt>
                <c:pt idx="1">
                  <c:v>-200.36289863651578</c:v>
                </c:pt>
                <c:pt idx="2">
                  <c:v>-209.10204167577564</c:v>
                </c:pt>
                <c:pt idx="3">
                  <c:v>-216.5753894564819</c:v>
                </c:pt>
                <c:pt idx="4">
                  <c:v>-222.83665510292406</c:v>
                </c:pt>
                <c:pt idx="5">
                  <c:v>-228.04067776471527</c:v>
                </c:pt>
                <c:pt idx="6">
                  <c:v>-232.36657106336349</c:v>
                </c:pt>
                <c:pt idx="7">
                  <c:v>-235.97995451619514</c:v>
                </c:pt>
                <c:pt idx="8">
                  <c:v>-239.02016509795754</c:v>
                </c:pt>
                <c:pt idx="9">
                  <c:v>-241.59939220548966</c:v>
                </c:pt>
                <c:pt idx="10">
                  <c:v>-254.71635040212345</c:v>
                </c:pt>
                <c:pt idx="11">
                  <c:v>-259.4963822181673</c:v>
                </c:pt>
                <c:pt idx="12">
                  <c:v>-261.89308348119675</c:v>
                </c:pt>
                <c:pt idx="13">
                  <c:v>-263.30167881024431</c:v>
                </c:pt>
                <c:pt idx="14">
                  <c:v>-264.20875194157492</c:v>
                </c:pt>
                <c:pt idx="15">
                  <c:v>-264.82700669443096</c:v>
                </c:pt>
                <c:pt idx="16">
                  <c:v>-265.26392582322092</c:v>
                </c:pt>
                <c:pt idx="17">
                  <c:v>-265.57960300073341</c:v>
                </c:pt>
                <c:pt idx="18">
                  <c:v>-265.81024399692654</c:v>
                </c:pt>
                <c:pt idx="19">
                  <c:v>-266.24076176510255</c:v>
                </c:pt>
                <c:pt idx="20">
                  <c:v>-265.64620473281497</c:v>
                </c:pt>
                <c:pt idx="21">
                  <c:v>-264.79561300043275</c:v>
                </c:pt>
                <c:pt idx="22">
                  <c:v>-263.8432627457488</c:v>
                </c:pt>
                <c:pt idx="23">
                  <c:v>-262.84076623508702</c:v>
                </c:pt>
                <c:pt idx="24">
                  <c:v>-261.81038566807683</c:v>
                </c:pt>
                <c:pt idx="25">
                  <c:v>-260.76337278010209</c:v>
                </c:pt>
                <c:pt idx="26">
                  <c:v>-259.70608356182504</c:v>
                </c:pt>
                <c:pt idx="27">
                  <c:v>-258.64242434020019</c:v>
                </c:pt>
                <c:pt idx="28">
                  <c:v>-253.29654522768135</c:v>
                </c:pt>
                <c:pt idx="29">
                  <c:v>-247.98735047263111</c:v>
                </c:pt>
                <c:pt idx="30">
                  <c:v>-242.77026736396766</c:v>
                </c:pt>
                <c:pt idx="31">
                  <c:v>-237.6766315246017</c:v>
                </c:pt>
                <c:pt idx="32">
                  <c:v>-232.72806845812948</c:v>
                </c:pt>
                <c:pt idx="33">
                  <c:v>-227.94011265152631</c:v>
                </c:pt>
                <c:pt idx="34">
                  <c:v>-223.32358682700047</c:v>
                </c:pt>
                <c:pt idx="35">
                  <c:v>-218.88539914091925</c:v>
                </c:pt>
                <c:pt idx="36">
                  <c:v>-214.62916865918385</c:v>
                </c:pt>
                <c:pt idx="37">
                  <c:v>-210.5557842981726</c:v>
                </c:pt>
                <c:pt idx="38">
                  <c:v>-206.66391718102841</c:v>
                </c:pt>
                <c:pt idx="39">
                  <c:v>-202.95048387680785</c:v>
                </c:pt>
                <c:pt idx="40">
                  <c:v>-199.41105508270701</c:v>
                </c:pt>
                <c:pt idx="41">
                  <c:v>-196.04020705532884</c:v>
                </c:pt>
                <c:pt idx="42">
                  <c:v>-192.83181666490032</c:v>
                </c:pt>
                <c:pt idx="43">
                  <c:v>-189.77930375915113</c:v>
                </c:pt>
                <c:pt idx="44">
                  <c:v>-186.87582625150424</c:v>
                </c:pt>
                <c:pt idx="45">
                  <c:v>-184.11443412167984</c:v>
                </c:pt>
                <c:pt idx="46">
                  <c:v>-181.48818859573566</c:v>
                </c:pt>
                <c:pt idx="47">
                  <c:v>-178.99025241111713</c:v>
                </c:pt>
                <c:pt idx="48">
                  <c:v>-176.61395647209619</c:v>
                </c:pt>
                <c:pt idx="49">
                  <c:v>-174.35284750390568</c:v>
                </c:pt>
                <c:pt idx="50">
                  <c:v>-172.2007206105593</c:v>
                </c:pt>
                <c:pt idx="51">
                  <c:v>-170.15163998391299</c:v>
                </c:pt>
                <c:pt idx="52">
                  <c:v>-168.1999504256392</c:v>
                </c:pt>
                <c:pt idx="53">
                  <c:v>-166.34028183823744</c:v>
                </c:pt>
                <c:pt idx="54">
                  <c:v>-164.56754841482962</c:v>
                </c:pt>
                <c:pt idx="55">
                  <c:v>-162.87694390385332</c:v>
                </c:pt>
                <c:pt idx="56">
                  <c:v>-161.26393403511747</c:v>
                </c:pt>
                <c:pt idx="57">
                  <c:v>-159.72424695871518</c:v>
                </c:pt>
                <c:pt idx="58">
                  <c:v>-158.25386235913373</c:v>
                </c:pt>
                <c:pt idx="59">
                  <c:v>-156.84899975554993</c:v>
                </c:pt>
                <c:pt idx="60">
                  <c:v>-155.50610637885381</c:v>
                </c:pt>
                <c:pt idx="61">
                  <c:v>-154.22184492052222</c:v>
                </c:pt>
                <c:pt idx="62">
                  <c:v>-152.99308137322373</c:v>
                </c:pt>
                <c:pt idx="63">
                  <c:v>-151.81687312396369</c:v>
                </c:pt>
                <c:pt idx="64">
                  <c:v>-150.6904574144271</c:v>
                </c:pt>
                <c:pt idx="65">
                  <c:v>-149.61124024731518</c:v>
                </c:pt>
                <c:pt idx="66">
                  <c:v>-148.57678578977533</c:v>
                </c:pt>
                <c:pt idx="67">
                  <c:v>-147.58480630380117</c:v>
                </c:pt>
                <c:pt idx="68">
                  <c:v>-146.63315261736233</c:v>
                </c:pt>
                <c:pt idx="69">
                  <c:v>-145.71980513793065</c:v>
                </c:pt>
                <c:pt idx="70">
                  <c:v>-144.84286540113655</c:v>
                </c:pt>
                <c:pt idx="71">
                  <c:v>-144.00054814082304</c:v>
                </c:pt>
                <c:pt idx="72">
                  <c:v>-143.19117386222499</c:v>
                </c:pt>
                <c:pt idx="73">
                  <c:v>-142.41316189694749</c:v>
                </c:pt>
                <c:pt idx="74">
                  <c:v>-141.66502391651181</c:v>
                </c:pt>
                <c:pt idx="75">
                  <c:v>-140.94535788020585</c:v>
                </c:pt>
                <c:pt idx="76">
                  <c:v>-140.25284239260395</c:v>
                </c:pt>
                <c:pt idx="77">
                  <c:v>-139.58623144624295</c:v>
                </c:pt>
                <c:pt idx="78">
                  <c:v>-138.94434952542332</c:v>
                </c:pt>
                <c:pt idx="79">
                  <c:v>-138.32608704784286</c:v>
                </c:pt>
                <c:pt idx="80">
                  <c:v>-137.73039612168799</c:v>
                </c:pt>
                <c:pt idx="81">
                  <c:v>-137.15628659684057</c:v>
                </c:pt>
                <c:pt idx="82">
                  <c:v>-136.60282238995913</c:v>
                </c:pt>
                <c:pt idx="83">
                  <c:v>-136.06911806432703</c:v>
                </c:pt>
                <c:pt idx="84">
                  <c:v>-135.55433564649968</c:v>
                </c:pt>
                <c:pt idx="85">
                  <c:v>-135.05768166290639</c:v>
                </c:pt>
                <c:pt idx="86">
                  <c:v>-134.57840438065898</c:v>
                </c:pt>
                <c:pt idx="87">
                  <c:v>-134.11579123787448</c:v>
                </c:pt>
                <c:pt idx="88">
                  <c:v>-133.66916644982996</c:v>
                </c:pt>
                <c:pt idx="89">
                  <c:v>-133.23788877822656</c:v>
                </c:pt>
                <c:pt idx="90">
                  <c:v>-132.82134945174735</c:v>
                </c:pt>
                <c:pt idx="91">
                  <c:v>-132.41897022694704</c:v>
                </c:pt>
                <c:pt idx="92">
                  <c:v>-132.03020157931138</c:v>
                </c:pt>
                <c:pt idx="93">
                  <c:v>-131.65452101507316</c:v>
                </c:pt>
                <c:pt idx="94">
                  <c:v>-131.29143149506763</c:v>
                </c:pt>
                <c:pt idx="95">
                  <c:v>-130.94045996256199</c:v>
                </c:pt>
                <c:pt idx="96">
                  <c:v>-130.60115596759368</c:v>
                </c:pt>
                <c:pt idx="97">
                  <c:v>-130.27309038091377</c:v>
                </c:pt>
                <c:pt idx="98">
                  <c:v>-129.95585419114894</c:v>
                </c:pt>
                <c:pt idx="99">
                  <c:v>-129.64905737927626</c:v>
                </c:pt>
                <c:pt idx="100">
                  <c:v>-129.3523278649466</c:v>
                </c:pt>
                <c:pt idx="101">
                  <c:v>-129.06531051960536</c:v>
                </c:pt>
                <c:pt idx="102">
                  <c:v>-128.78766624173491</c:v>
                </c:pt>
                <c:pt idx="103">
                  <c:v>-128.51907108989514</c:v>
                </c:pt>
                <c:pt idx="104">
                  <c:v>-128.25921546956005</c:v>
                </c:pt>
                <c:pt idx="105">
                  <c:v>-128.00780337004591</c:v>
                </c:pt>
                <c:pt idx="106">
                  <c:v>-127.7645516481028</c:v>
                </c:pt>
                <c:pt idx="107">
                  <c:v>-127.52918935499264</c:v>
                </c:pt>
                <c:pt idx="108">
                  <c:v>-127.30145710411254</c:v>
                </c:pt>
                <c:pt idx="109">
                  <c:v>-127.0811064764375</c:v>
                </c:pt>
                <c:pt idx="110">
                  <c:v>-126.86789946125485</c:v>
                </c:pt>
                <c:pt idx="111">
                  <c:v>-126.66160792984763</c:v>
                </c:pt>
                <c:pt idx="112">
                  <c:v>-126.46201313995327</c:v>
                </c:pt>
                <c:pt idx="113">
                  <c:v>-126.26890526897978</c:v>
                </c:pt>
                <c:pt idx="114">
                  <c:v>-126.08208297410729</c:v>
                </c:pt>
                <c:pt idx="115">
                  <c:v>-125.90135297753542</c:v>
                </c:pt>
                <c:pt idx="116">
                  <c:v>-125.72652967526062</c:v>
                </c:pt>
                <c:pt idx="117">
                  <c:v>-125.55743476788112</c:v>
                </c:pt>
                <c:pt idx="118">
                  <c:v>-125.39389691203353</c:v>
                </c:pt>
                <c:pt idx="119">
                  <c:v>-125.23575139116065</c:v>
                </c:pt>
                <c:pt idx="120">
                  <c:v>-125.08283980440206</c:v>
                </c:pt>
                <c:pt idx="121">
                  <c:v>-124.93500977248124</c:v>
                </c:pt>
                <c:pt idx="122">
                  <c:v>-124.79211465954015</c:v>
                </c:pt>
                <c:pt idx="123">
                  <c:v>-124.6540133099443</c:v>
                </c:pt>
                <c:pt idx="124">
                  <c:v>-124.52056979914661</c:v>
                </c:pt>
                <c:pt idx="125">
                  <c:v>-124.39165319776058</c:v>
                </c:pt>
                <c:pt idx="126">
                  <c:v>-124.26713734804932</c:v>
                </c:pt>
                <c:pt idx="127">
                  <c:v>-124.14690065209028</c:v>
                </c:pt>
                <c:pt idx="128">
                  <c:v>-124.03082587092422</c:v>
                </c:pt>
                <c:pt idx="129">
                  <c:v>-123.91879993404199</c:v>
                </c:pt>
                <c:pt idx="130">
                  <c:v>-123.81071375860589</c:v>
                </c:pt>
                <c:pt idx="131">
                  <c:v>-123.7064620778401</c:v>
                </c:pt>
                <c:pt idx="132">
                  <c:v>-123.60594327806236</c:v>
                </c:pt>
                <c:pt idx="133">
                  <c:v>-123.50905924386203</c:v>
                </c:pt>
                <c:pt idx="134">
                  <c:v>-123.41571521096179</c:v>
                </c:pt>
                <c:pt idx="135">
                  <c:v>-123.32581962632871</c:v>
                </c:pt>
                <c:pt idx="136">
                  <c:v>-123.23928401512862</c:v>
                </c:pt>
                <c:pt idx="137">
                  <c:v>-123.15602285414256</c:v>
                </c:pt>
                <c:pt idx="138">
                  <c:v>-123.07595345128749</c:v>
                </c:pt>
                <c:pt idx="139">
                  <c:v>-122.99899583090614</c:v>
                </c:pt>
                <c:pt idx="140">
                  <c:v>-122.92507262451093</c:v>
                </c:pt>
                <c:pt idx="141">
                  <c:v>-122.85410896668657</c:v>
                </c:pt>
                <c:pt idx="142">
                  <c:v>-122.78603239587284</c:v>
                </c:pt>
                <c:pt idx="143">
                  <c:v>-122.72077275976716</c:v>
                </c:pt>
                <c:pt idx="144">
                  <c:v>-122.65826212510103</c:v>
                </c:pt>
                <c:pt idx="145">
                  <c:v>-122.59843469155939</c:v>
                </c:pt>
                <c:pt idx="146">
                  <c:v>-122.54122670962573</c:v>
                </c:pt>
                <c:pt idx="147">
                  <c:v>-122.48657640214853</c:v>
                </c:pt>
                <c:pt idx="148">
                  <c:v>-122.43442388943585</c:v>
                </c:pt>
                <c:pt idx="149">
                  <c:v>-122.38471111769724</c:v>
                </c:pt>
                <c:pt idx="150">
                  <c:v>-122.3373817906614</c:v>
                </c:pt>
                <c:pt idx="151">
                  <c:v>-122.29238130420887</c:v>
                </c:pt>
                <c:pt idx="152">
                  <c:v>-122.24965668386709</c:v>
                </c:pt>
                <c:pt idx="153">
                  <c:v>-122.20915652502458</c:v>
                </c:pt>
                <c:pt idx="154">
                  <c:v>-122.1708309357293</c:v>
                </c:pt>
                <c:pt idx="155">
                  <c:v>-122.13463148194228</c:v>
                </c:pt>
                <c:pt idx="156">
                  <c:v>-122.10051113512682</c:v>
                </c:pt>
                <c:pt idx="157">
                  <c:v>-122.06842422205843</c:v>
                </c:pt>
                <c:pt idx="158">
                  <c:v>-122.03832637674797</c:v>
                </c:pt>
                <c:pt idx="159">
                  <c:v>-122.01017449437605</c:v>
                </c:pt>
                <c:pt idx="160">
                  <c:v>-121.98392668714183</c:v>
                </c:pt>
                <c:pt idx="161">
                  <c:v>-121.95954224193562</c:v>
                </c:pt>
                <c:pt idx="162">
                  <c:v>-121.93698157974828</c:v>
                </c:pt>
                <c:pt idx="163">
                  <c:v>-121.91620621673596</c:v>
                </c:pt>
                <c:pt idx="164">
                  <c:v>-121.89717872686282</c:v>
                </c:pt>
                <c:pt idx="165">
                  <c:v>-121.87986270604794</c:v>
                </c:pt>
                <c:pt idx="166">
                  <c:v>-121.86422273774735</c:v>
                </c:pt>
                <c:pt idx="167">
                  <c:v>-121.85022435990476</c:v>
                </c:pt>
                <c:pt idx="168">
                  <c:v>-121.83783403320911</c:v>
                </c:pt>
                <c:pt idx="169">
                  <c:v>-121.82701911059874</c:v>
                </c:pt>
                <c:pt idx="170">
                  <c:v>-121.81774780795689</c:v>
                </c:pt>
                <c:pt idx="171">
                  <c:v>-121.8099891759443</c:v>
                </c:pt>
                <c:pt idx="172">
                  <c:v>-121.80371307291841</c:v>
                </c:pt>
                <c:pt idx="173">
                  <c:v>-121.79889013889151</c:v>
                </c:pt>
                <c:pt idx="174">
                  <c:v>-121.79549177048099</c:v>
                </c:pt>
                <c:pt idx="175">
                  <c:v>-121.79349009680925</c:v>
                </c:pt>
                <c:pt idx="176">
                  <c:v>-121.7928579563112</c:v>
                </c:pt>
                <c:pt idx="177">
                  <c:v>-121.79356887441051</c:v>
                </c:pt>
                <c:pt idx="178">
                  <c:v>-121.79559704202671</c:v>
                </c:pt>
                <c:pt idx="179">
                  <c:v>-121.79891729487784</c:v>
                </c:pt>
                <c:pt idx="180">
                  <c:v>-121.80350509354496</c:v>
                </c:pt>
                <c:pt idx="181">
                  <c:v>-121.80933650426573</c:v>
                </c:pt>
                <c:pt idx="182">
                  <c:v>-121.81638818042691</c:v>
                </c:pt>
                <c:pt idx="183">
                  <c:v>-121.82463734472594</c:v>
                </c:pt>
                <c:pt idx="184">
                  <c:v>-121.83406177197455</c:v>
                </c:pt>
                <c:pt idx="185">
                  <c:v>-121.84463977251679</c:v>
                </c:pt>
                <c:pt idx="186">
                  <c:v>-121.85635017623713</c:v>
                </c:pt>
                <c:pt idx="187">
                  <c:v>-121.8691723171338</c:v>
                </c:pt>
                <c:pt idx="188">
                  <c:v>-121.88308601843472</c:v>
                </c:pt>
                <c:pt idx="189">
                  <c:v>-121.89807157823388</c:v>
                </c:pt>
                <c:pt idx="190">
                  <c:v>-121.91410975562722</c:v>
                </c:pt>
                <c:pt idx="191">
                  <c:v>-121.93118175732812</c:v>
                </c:pt>
                <c:pt idx="192">
                  <c:v>-121.94926922474303</c:v>
                </c:pt>
                <c:pt idx="193">
                  <c:v>-121.96835422148965</c:v>
                </c:pt>
                <c:pt idx="194">
                  <c:v>-121.98841922133929</c:v>
                </c:pt>
                <c:pt idx="195">
                  <c:v>-122.00944709656778</c:v>
                </c:pt>
                <c:pt idx="196">
                  <c:v>-122.03142110669822</c:v>
                </c:pt>
                <c:pt idx="197">
                  <c:v>-122.05432488762067</c:v>
                </c:pt>
                <c:pt idx="198">
                  <c:v>-122.07814244107422</c:v>
                </c:pt>
                <c:pt idx="199">
                  <c:v>-122.10285812447766</c:v>
                </c:pt>
                <c:pt idx="200">
                  <c:v>-122.12845664109491</c:v>
                </c:pt>
                <c:pt idx="201">
                  <c:v>-122.15492303052318</c:v>
                </c:pt>
                <c:pt idx="202">
                  <c:v>-122.18224265949115</c:v>
                </c:pt>
                <c:pt idx="203">
                  <c:v>-122.21040121295573</c:v>
                </c:pt>
                <c:pt idx="204">
                  <c:v>-122.2393846854862</c:v>
                </c:pt>
                <c:pt idx="205">
                  <c:v>-122.2691793729249</c:v>
                </c:pt>
                <c:pt idx="206">
                  <c:v>-122.29977186431427</c:v>
                </c:pt>
                <c:pt idx="207">
                  <c:v>-122.33114903408089</c:v>
                </c:pt>
                <c:pt idx="208">
                  <c:v>-122.363298034466</c:v>
                </c:pt>
                <c:pt idx="209">
                  <c:v>-122.39620628819472</c:v>
                </c:pt>
                <c:pt idx="210">
                  <c:v>-122.4298614813745</c:v>
                </c:pt>
                <c:pt idx="211">
                  <c:v>-122.46425155661488</c:v>
                </c:pt>
                <c:pt idx="212">
                  <c:v>-122.49936470636041</c:v>
                </c:pt>
                <c:pt idx="213">
                  <c:v>-122.53518936642912</c:v>
                </c:pt>
                <c:pt idx="214">
                  <c:v>-122.57171420974957</c:v>
                </c:pt>
                <c:pt idx="215">
                  <c:v>-122.60892814028884</c:v>
                </c:pt>
                <c:pt idx="216">
                  <c:v>-122.6468202871651</c:v>
                </c:pt>
                <c:pt idx="217">
                  <c:v>-122.68537999893846</c:v>
                </c:pt>
                <c:pt idx="218">
                  <c:v>-122.72459683807321</c:v>
                </c:pt>
                <c:pt idx="219">
                  <c:v>-122.76446057556636</c:v>
                </c:pt>
                <c:pt idx="220">
                  <c:v>-122.804961185736</c:v>
                </c:pt>
                <c:pt idx="221">
                  <c:v>-122.84608884116429</c:v>
                </c:pt>
                <c:pt idx="222">
                  <c:v>-122.88783390778988</c:v>
                </c:pt>
                <c:pt idx="223">
                  <c:v>-122.9301869401443</c:v>
                </c:pt>
                <c:pt idx="224">
                  <c:v>-122.97313867672798</c:v>
                </c:pt>
                <c:pt idx="225">
                  <c:v>-123.01668003552049</c:v>
                </c:pt>
                <c:pt idx="226">
                  <c:v>-123.48264476397577</c:v>
                </c:pt>
                <c:pt idx="227">
                  <c:v>-123.99876113475345</c:v>
                </c:pt>
                <c:pt idx="228">
                  <c:v>-124.55832862880902</c:v>
                </c:pt>
                <c:pt idx="229">
                  <c:v>-125.15572891001388</c:v>
                </c:pt>
                <c:pt idx="230">
                  <c:v>-125.78621274060831</c:v>
                </c:pt>
                <c:pt idx="231">
                  <c:v>-126.44573510784494</c:v>
                </c:pt>
                <c:pt idx="232">
                  <c:v>-127.13082633567308</c:v>
                </c:pt>
                <c:pt idx="233">
                  <c:v>-127.83849036793922</c:v>
                </c:pt>
                <c:pt idx="234">
                  <c:v>-128.56612378893823</c:v>
                </c:pt>
                <c:pt idx="235">
                  <c:v>-129.31145082882404</c:v>
                </c:pt>
                <c:pt idx="236">
                  <c:v>-130.07247080508671</c:v>
                </c:pt>
                <c:pt idx="237">
                  <c:v>-130.84741532307856</c:v>
                </c:pt>
                <c:pt idx="238">
                  <c:v>-131.63471319692974</c:v>
                </c:pt>
                <c:pt idx="239">
                  <c:v>-132.43296152445677</c:v>
                </c:pt>
                <c:pt idx="240">
                  <c:v>-133.24090170243502</c:v>
                </c:pt>
                <c:pt idx="241">
                  <c:v>-134.05739943450027</c:v>
                </c:pt>
                <c:pt idx="242">
                  <c:v>-134.88142798607581</c:v>
                </c:pt>
                <c:pt idx="243">
                  <c:v>-135.71205409561378</c:v>
                </c:pt>
                <c:pt idx="244">
                  <c:v>-136.54842607103157</c:v>
                </c:pt>
                <c:pt idx="245">
                  <c:v>-137.38976369322913</c:v>
                </c:pt>
                <c:pt idx="246">
                  <c:v>-138.23534962138834</c:v>
                </c:pt>
                <c:pt idx="247">
                  <c:v>-139.0845220521349</c:v>
                </c:pt>
                <c:pt idx="248">
                  <c:v>-139.93666843013523</c:v>
                </c:pt>
                <c:pt idx="249">
                  <c:v>-140.79122004398053</c:v>
                </c:pt>
                <c:pt idx="250">
                  <c:v>-141.64764737030248</c:v>
                </c:pt>
                <c:pt idx="251">
                  <c:v>-142.50545605252171</c:v>
                </c:pt>
                <c:pt idx="252">
                  <c:v>-143.36418341963801</c:v>
                </c:pt>
                <c:pt idx="253">
                  <c:v>-144.22339546595106</c:v>
                </c:pt>
                <c:pt idx="254">
                  <c:v>-145.08268422526717</c:v>
                </c:pt>
                <c:pt idx="255">
                  <c:v>-145.94166548356168</c:v>
                </c:pt>
                <c:pt idx="256">
                  <c:v>-146.79997678266389</c:v>
                </c:pt>
                <c:pt idx="257">
                  <c:v>-147.65727567466465</c:v>
                </c:pt>
                <c:pt idx="258">
                  <c:v>-148.51323819268674</c:v>
                </c:pt>
                <c:pt idx="259">
                  <c:v>-149.36755750862656</c:v>
                </c:pt>
                <c:pt idx="260">
                  <c:v>-150.21994275264984</c:v>
                </c:pt>
                <c:pt idx="261">
                  <c:v>-151.07011797274146</c:v>
                </c:pt>
                <c:pt idx="262">
                  <c:v>-151.9178212155916</c:v>
                </c:pt>
                <c:pt idx="263">
                  <c:v>-152.76280371262899</c:v>
                </c:pt>
                <c:pt idx="264">
                  <c:v>-153.60482915717628</c:v>
                </c:pt>
                <c:pt idx="265">
                  <c:v>-154.44367306054789</c:v>
                </c:pt>
                <c:pt idx="266">
                  <c:v>-155.27912217650538</c:v>
                </c:pt>
                <c:pt idx="267">
                  <c:v>-156.11097398485208</c:v>
                </c:pt>
                <c:pt idx="268">
                  <c:v>-156.93903622613738</c:v>
                </c:pt>
                <c:pt idx="269">
                  <c:v>-157.76312648047048</c:v>
                </c:pt>
                <c:pt idx="270">
                  <c:v>-158.58307178433932</c:v>
                </c:pt>
                <c:pt idx="271">
                  <c:v>-159.39870828011348</c:v>
                </c:pt>
                <c:pt idx="272">
                  <c:v>-160.20988089359528</c:v>
                </c:pt>
                <c:pt idx="273">
                  <c:v>-161.01644303558373</c:v>
                </c:pt>
                <c:pt idx="274">
                  <c:v>-161.81825632394367</c:v>
                </c:pt>
                <c:pt idx="275">
                  <c:v>-162.61519032313973</c:v>
                </c:pt>
                <c:pt idx="276">
                  <c:v>-163.40712229860137</c:v>
                </c:pt>
                <c:pt idx="277">
                  <c:v>-164.1939369836503</c:v>
                </c:pt>
                <c:pt idx="278">
                  <c:v>-164.97552635703852</c:v>
                </c:pt>
                <c:pt idx="279">
                  <c:v>-165.75178942942838</c:v>
                </c:pt>
                <c:pt idx="280">
                  <c:v>-166.5226320373952</c:v>
                </c:pt>
                <c:pt idx="281">
                  <c:v>-167.28796664375159</c:v>
                </c:pt>
                <c:pt idx="282">
                  <c:v>-168.0477121431868</c:v>
                </c:pt>
                <c:pt idx="283">
                  <c:v>-168.80179367238546</c:v>
                </c:pt>
                <c:pt idx="284">
                  <c:v>-169.55014242393662</c:v>
                </c:pt>
                <c:pt idx="285">
                  <c:v>-170.29269546347896</c:v>
                </c:pt>
                <c:pt idx="286">
                  <c:v>-171.02939554963757</c:v>
                </c:pt>
                <c:pt idx="287">
                  <c:v>-171.76019095641021</c:v>
                </c:pt>
                <c:pt idx="288">
                  <c:v>-172.48503529774521</c:v>
                </c:pt>
                <c:pt idx="289">
                  <c:v>-173.20388735412558</c:v>
                </c:pt>
                <c:pt idx="290">
                  <c:v>-173.91671090103924</c:v>
                </c:pt>
                <c:pt idx="291">
                  <c:v>-174.6234745392658</c:v>
                </c:pt>
                <c:pt idx="292">
                  <c:v>-175.32415152695617</c:v>
                </c:pt>
                <c:pt idx="293">
                  <c:v>-176.01871961351745</c:v>
                </c:pt>
                <c:pt idx="294">
                  <c:v>-176.70716087534532</c:v>
                </c:pt>
                <c:pt idx="295">
                  <c:v>-177.38946155347031</c:v>
                </c:pt>
                <c:pt idx="296">
                  <c:v>-178.06561189320243</c:v>
                </c:pt>
                <c:pt idx="297">
                  <c:v>-178.73560598587139</c:v>
                </c:pt>
                <c:pt idx="298">
                  <c:v>-179.39944161277157</c:v>
                </c:pt>
                <c:pt idx="299">
                  <c:v>-180.05712009142374</c:v>
                </c:pt>
                <c:pt idx="300">
                  <c:v>-180.7086461242705</c:v>
                </c:pt>
                <c:pt idx="301">
                  <c:v>-181.3540276499223</c:v>
                </c:pt>
                <c:pt idx="302">
                  <c:v>-181.99327569706745</c:v>
                </c:pt>
                <c:pt idx="303">
                  <c:v>-182.62640424115733</c:v>
                </c:pt>
                <c:pt idx="304">
                  <c:v>-183.25343006397131</c:v>
                </c:pt>
                <c:pt idx="305">
                  <c:v>-183.87437261615941</c:v>
                </c:pt>
                <c:pt idx="306">
                  <c:v>-184.48925388285306</c:v>
                </c:pt>
                <c:pt idx="307">
                  <c:v>-185.09809825242564</c:v>
                </c:pt>
                <c:pt idx="308">
                  <c:v>-185.7009323884752</c:v>
                </c:pt>
                <c:pt idx="309">
                  <c:v>-186.29778510509277</c:v>
                </c:pt>
                <c:pt idx="310">
                  <c:v>-186.8886872454697</c:v>
                </c:pt>
                <c:pt idx="311">
                  <c:v>-187.47367156388736</c:v>
                </c:pt>
                <c:pt idx="312">
                  <c:v>-188.0527726111234</c:v>
                </c:pt>
                <c:pt idx="313">
                  <c:v>-188.62602662329937</c:v>
                </c:pt>
                <c:pt idx="314">
                  <c:v>-189.19347141418407</c:v>
                </c:pt>
                <c:pt idx="315">
                  <c:v>-189.75514627095967</c:v>
                </c:pt>
                <c:pt idx="316">
                  <c:v>-190.31109185344752</c:v>
                </c:pt>
                <c:pt idx="317">
                  <c:v>-190.86135009678307</c:v>
                </c:pt>
                <c:pt idx="318">
                  <c:v>-191.40596411752185</c:v>
                </c:pt>
                <c:pt idx="319">
                  <c:v>-191.94497812315052</c:v>
                </c:pt>
                <c:pt idx="320">
                  <c:v>-192.47843732497034</c:v>
                </c:pt>
                <c:pt idx="321">
                  <c:v>-193.00638785431485</c:v>
                </c:pt>
                <c:pt idx="322">
                  <c:v>-193.52887668205696</c:v>
                </c:pt>
                <c:pt idx="323">
                  <c:v>-194.04595154135546</c:v>
                </c:pt>
                <c:pt idx="324">
                  <c:v>-194.55766085358709</c:v>
                </c:pt>
                <c:pt idx="325">
                  <c:v>-195.06405365740471</c:v>
                </c:pt>
                <c:pt idx="326">
                  <c:v>-195.56517954085973</c:v>
                </c:pt>
                <c:pt idx="327">
                  <c:v>-196.06108857652222</c:v>
                </c:pt>
                <c:pt idx="328">
                  <c:v>-196.55183125953084</c:v>
                </c:pt>
                <c:pt idx="329">
                  <c:v>-197.0374584485007</c:v>
                </c:pt>
                <c:pt idx="330">
                  <c:v>-197.51802130921638</c:v>
                </c:pt>
                <c:pt idx="331">
                  <c:v>-197.99357126103538</c:v>
                </c:pt>
                <c:pt idx="332">
                  <c:v>-198.46415992592546</c:v>
                </c:pt>
                <c:pt idx="333">
                  <c:v>-198.92983908005911</c:v>
                </c:pt>
                <c:pt idx="334">
                  <c:v>-199.3906606078877</c:v>
                </c:pt>
                <c:pt idx="335">
                  <c:v>-199.84667645861632</c:v>
                </c:pt>
                <c:pt idx="336">
                  <c:v>-200.29793860500234</c:v>
                </c:pt>
                <c:pt idx="337">
                  <c:v>-200.74449900439882</c:v>
                </c:pt>
                <c:pt idx="338">
                  <c:v>-201.18640956196566</c:v>
                </c:pt>
                <c:pt idx="339">
                  <c:v>-201.62372209597123</c:v>
                </c:pt>
                <c:pt idx="340">
                  <c:v>-202.05648830510845</c:v>
                </c:pt>
                <c:pt idx="341">
                  <c:v>-202.48475973774995</c:v>
                </c:pt>
                <c:pt idx="342">
                  <c:v>-202.908587763068</c:v>
                </c:pt>
                <c:pt idx="343">
                  <c:v>-203.32802354394681</c:v>
                </c:pt>
                <c:pt idx="344">
                  <c:v>-203.74311801161474</c:v>
                </c:pt>
                <c:pt idx="345">
                  <c:v>-204.15392184192692</c:v>
                </c:pt>
                <c:pt idx="346">
                  <c:v>-204.56048543322936</c:v>
                </c:pt>
                <c:pt idx="347">
                  <c:v>-204.96285888573752</c:v>
                </c:pt>
                <c:pt idx="348">
                  <c:v>-205.36109198236414</c:v>
                </c:pt>
                <c:pt idx="349">
                  <c:v>-205.75523417093211</c:v>
                </c:pt>
                <c:pt idx="350">
                  <c:v>-206.14533454771095</c:v>
                </c:pt>
                <c:pt idx="351">
                  <c:v>-206.53144184221685</c:v>
                </c:pt>
                <c:pt idx="352">
                  <c:v>-206.91360440321716</c:v>
                </c:pt>
                <c:pt idx="353">
                  <c:v>-207.2918701858834</c:v>
                </c:pt>
                <c:pt idx="354">
                  <c:v>-207.66628674003786</c:v>
                </c:pt>
                <c:pt idx="355">
                  <c:v>-208.03690119944059</c:v>
                </c:pt>
                <c:pt idx="356">
                  <c:v>-208.40376027206625</c:v>
                </c:pt>
                <c:pt idx="357">
                  <c:v>-208.76691023132042</c:v>
                </c:pt>
                <c:pt idx="358">
                  <c:v>-209.12639690814882</c:v>
                </c:pt>
                <c:pt idx="359">
                  <c:v>-209.48226568399303</c:v>
                </c:pt>
                <c:pt idx="360">
                  <c:v>-209.83456148454837</c:v>
                </c:pt>
                <c:pt idx="361">
                  <c:v>-210.1833287742821</c:v>
                </c:pt>
                <c:pt idx="362">
                  <c:v>-210.52861155167059</c:v>
                </c:pt>
                <c:pt idx="363">
                  <c:v>-210.87045334511657</c:v>
                </c:pt>
                <c:pt idx="364">
                  <c:v>-211.20889720950885</c:v>
                </c:pt>
                <c:pt idx="365">
                  <c:v>-211.54398572338835</c:v>
                </c:pt>
                <c:pt idx="366">
                  <c:v>-211.87576098668592</c:v>
                </c:pt>
                <c:pt idx="367">
                  <c:v>-212.20426461899902</c:v>
                </c:pt>
                <c:pt idx="368">
                  <c:v>-212.52953775837571</c:v>
                </c:pt>
                <c:pt idx="369">
                  <c:v>-212.85162106057516</c:v>
                </c:pt>
                <c:pt idx="370">
                  <c:v>-213.17055469877641</c:v>
                </c:pt>
                <c:pt idx="371">
                  <c:v>-213.48637836370781</c:v>
                </c:pt>
                <c:pt idx="372">
                  <c:v>-213.79913126416957</c:v>
                </c:pt>
                <c:pt idx="373">
                  <c:v>-214.10885212792641</c:v>
                </c:pt>
                <c:pt idx="374">
                  <c:v>-214.41557920294429</c:v>
                </c:pt>
                <c:pt idx="375">
                  <c:v>-214.71935025894967</c:v>
                </c:pt>
                <c:pt idx="376">
                  <c:v>-215.020202589289</c:v>
                </c:pt>
                <c:pt idx="377">
                  <c:v>-215.31817301306822</c:v>
                </c:pt>
                <c:pt idx="378">
                  <c:v>-215.6132978775517</c:v>
                </c:pt>
                <c:pt idx="379">
                  <c:v>-215.90561306080346</c:v>
                </c:pt>
                <c:pt idx="380">
                  <c:v>-216.19515397455115</c:v>
                </c:pt>
                <c:pt idx="381">
                  <c:v>-216.48195556725705</c:v>
                </c:pt>
                <c:pt idx="382">
                  <c:v>-216.76605232738012</c:v>
                </c:pt>
                <c:pt idx="383">
                  <c:v>-217.04747828681303</c:v>
                </c:pt>
                <c:pt idx="384">
                  <c:v>-217.32626702448098</c:v>
                </c:pt>
                <c:pt idx="385">
                  <c:v>-217.60245167008742</c:v>
                </c:pt>
                <c:pt idx="386">
                  <c:v>-217.87606490799493</c:v>
                </c:pt>
                <c:pt idx="387">
                  <c:v>-218.14713898122847</c:v>
                </c:pt>
                <c:pt idx="388">
                  <c:v>-218.41570569558911</c:v>
                </c:pt>
                <c:pt idx="389">
                  <c:v>-218.68179642386821</c:v>
                </c:pt>
                <c:pt idx="390">
                  <c:v>-218.94544211015116</c:v>
                </c:pt>
                <c:pt idx="391">
                  <c:v>-219.20667327420091</c:v>
                </c:pt>
                <c:pt idx="392">
                  <c:v>-219.46552001591249</c:v>
                </c:pt>
                <c:pt idx="393">
                  <c:v>-219.72201201982938</c:v>
                </c:pt>
                <c:pt idx="394">
                  <c:v>-219.97617855971427</c:v>
                </c:pt>
                <c:pt idx="395">
                  <c:v>-220.22804850316575</c:v>
                </c:pt>
                <c:pt idx="396">
                  <c:v>-220.47765031627443</c:v>
                </c:pt>
                <c:pt idx="397">
                  <c:v>-220.72501206831106</c:v>
                </c:pt>
                <c:pt idx="398">
                  <c:v>-220.97016143644078</c:v>
                </c:pt>
                <c:pt idx="399">
                  <c:v>-221.21312571045735</c:v>
                </c:pt>
                <c:pt idx="400">
                  <c:v>-221.45393179753194</c:v>
                </c:pt>
                <c:pt idx="401">
                  <c:v>-221.69260622697061</c:v>
                </c:pt>
                <c:pt idx="402">
                  <c:v>-221.92917515497621</c:v>
                </c:pt>
                <c:pt idx="403">
                  <c:v>-222.1636643694103</c:v>
                </c:pt>
                <c:pt idx="404">
                  <c:v>-222.39609929454977</c:v>
                </c:pt>
                <c:pt idx="405">
                  <c:v>-222.62650499583515</c:v>
                </c:pt>
                <c:pt idx="406">
                  <c:v>-222.85490618460656</c:v>
                </c:pt>
                <c:pt idx="407">
                  <c:v>-223.08132722282375</c:v>
                </c:pt>
                <c:pt idx="408">
                  <c:v>-223.30579212776692</c:v>
                </c:pt>
                <c:pt idx="409">
                  <c:v>-223.52832457671585</c:v>
                </c:pt>
                <c:pt idx="410">
                  <c:v>-223.74894791160369</c:v>
                </c:pt>
                <c:pt idx="411">
                  <c:v>-223.96768514364385</c:v>
                </c:pt>
                <c:pt idx="412">
                  <c:v>-224.18455895792667</c:v>
                </c:pt>
                <c:pt idx="413">
                  <c:v>-224.39959171798472</c:v>
                </c:pt>
                <c:pt idx="414">
                  <c:v>-224.61280547032359</c:v>
                </c:pt>
                <c:pt idx="415">
                  <c:v>-224.82422194891726</c:v>
                </c:pt>
                <c:pt idx="416">
                  <c:v>-225.03386257966585</c:v>
                </c:pt>
                <c:pt idx="417">
                  <c:v>-225.24174848481459</c:v>
                </c:pt>
                <c:pt idx="418">
                  <c:v>-225.44790048733222</c:v>
                </c:pt>
                <c:pt idx="419">
                  <c:v>-225.6523391152478</c:v>
                </c:pt>
                <c:pt idx="420">
                  <c:v>-225.85508460594491</c:v>
                </c:pt>
                <c:pt idx="421">
                  <c:v>-226.05615691041194</c:v>
                </c:pt>
                <c:pt idx="422">
                  <c:v>-226.25557569744768</c:v>
                </c:pt>
                <c:pt idx="423">
                  <c:v>-226.45336035782157</c:v>
                </c:pt>
                <c:pt idx="424">
                  <c:v>-226.64953000838753</c:v>
                </c:pt>
                <c:pt idx="425">
                  <c:v>-226.84410349615138</c:v>
                </c:pt>
                <c:pt idx="426">
                  <c:v>-227.03709940229049</c:v>
                </c:pt>
                <c:pt idx="427">
                  <c:v>-227.2285360461259</c:v>
                </c:pt>
                <c:pt idx="428">
                  <c:v>-227.41843148904636</c:v>
                </c:pt>
                <c:pt idx="429">
                  <c:v>-227.60680353838382</c:v>
                </c:pt>
                <c:pt idx="430">
                  <c:v>-227.79366975124015</c:v>
                </c:pt>
                <c:pt idx="431">
                  <c:v>-227.9790474382653</c:v>
                </c:pt>
                <c:pt idx="432">
                  <c:v>-228.16295366738626</c:v>
                </c:pt>
                <c:pt idx="433">
                  <c:v>-228.34540526748714</c:v>
                </c:pt>
                <c:pt idx="434">
                  <c:v>-228.52641883204018</c:v>
                </c:pt>
                <c:pt idx="435">
                  <c:v>-228.70601072268772</c:v>
                </c:pt>
                <c:pt idx="436">
                  <c:v>-228.88419707277563</c:v>
                </c:pt>
                <c:pt idx="437">
                  <c:v>-229.06099379083741</c:v>
                </c:pt>
                <c:pt idx="438">
                  <c:v>-229.23641656403009</c:v>
                </c:pt>
                <c:pt idx="439">
                  <c:v>-229.41048086152176</c:v>
                </c:pt>
                <c:pt idx="440">
                  <c:v>-229.58320193783064</c:v>
                </c:pt>
                <c:pt idx="441">
                  <c:v>-229.7545948361165</c:v>
                </c:pt>
                <c:pt idx="442">
                  <c:v>-229.9246743914243</c:v>
                </c:pt>
                <c:pt idx="443">
                  <c:v>-230.09345523388066</c:v>
                </c:pt>
                <c:pt idx="444">
                  <c:v>-230.26095179184327</c:v>
                </c:pt>
                <c:pt idx="445">
                  <c:v>-230.42717829500376</c:v>
                </c:pt>
                <c:pt idx="446">
                  <c:v>-230.59214877744424</c:v>
                </c:pt>
                <c:pt idx="447">
                  <c:v>-230.7558770806483</c:v>
                </c:pt>
                <c:pt idx="448">
                  <c:v>-230.91837685646612</c:v>
                </c:pt>
                <c:pt idx="449">
                  <c:v>-231.07966157003517</c:v>
                </c:pt>
                <c:pt idx="450">
                  <c:v>-231.23974450265578</c:v>
                </c:pt>
                <c:pt idx="451">
                  <c:v>-231.39863875462331</c:v>
                </c:pt>
                <c:pt idx="452">
                  <c:v>-231.55635724801607</c:v>
                </c:pt>
                <c:pt idx="453">
                  <c:v>-231.71291272944035</c:v>
                </c:pt>
                <c:pt idx="454">
                  <c:v>-231.86831777273306</c:v>
                </c:pt>
                <c:pt idx="455">
                  <c:v>-232.02258478162182</c:v>
                </c:pt>
                <c:pt idx="456">
                  <c:v>-232.1757259923435</c:v>
                </c:pt>
                <c:pt idx="457">
                  <c:v>-232.32775347622177</c:v>
                </c:pt>
                <c:pt idx="458">
                  <c:v>-232.4786791422037</c:v>
                </c:pt>
                <c:pt idx="459">
                  <c:v>-232.62851473935663</c:v>
                </c:pt>
                <c:pt idx="460">
                  <c:v>-232.77727185932494</c:v>
                </c:pt>
                <c:pt idx="461">
                  <c:v>-232.9249619387482</c:v>
                </c:pt>
                <c:pt idx="462">
                  <c:v>-233.0715962616402</c:v>
                </c:pt>
                <c:pt idx="463">
                  <c:v>-233.21718596173048</c:v>
                </c:pt>
                <c:pt idx="464">
                  <c:v>-233.36174202476789</c:v>
                </c:pt>
                <c:pt idx="465">
                  <c:v>-233.50527529078732</c:v>
                </c:pt>
                <c:pt idx="466">
                  <c:v>-233.64779645633985</c:v>
                </c:pt>
                <c:pt idx="467">
                  <c:v>-233.78931607668704</c:v>
                </c:pt>
                <c:pt idx="468">
                  <c:v>-233.92984456795941</c:v>
                </c:pt>
                <c:pt idx="469">
                  <c:v>-234.06939220928041</c:v>
                </c:pt>
                <c:pt idx="470">
                  <c:v>-234.20796914485575</c:v>
                </c:pt>
                <c:pt idx="471">
                  <c:v>-234.34558538602866</c:v>
                </c:pt>
                <c:pt idx="472">
                  <c:v>-234.48225081330185</c:v>
                </c:pt>
                <c:pt idx="473">
                  <c:v>-234.61797517832676</c:v>
                </c:pt>
                <c:pt idx="474">
                  <c:v>-234.75276810585979</c:v>
                </c:pt>
                <c:pt idx="475">
                  <c:v>-234.88663909568743</c:v>
                </c:pt>
                <c:pt idx="476">
                  <c:v>-235.01959752451913</c:v>
                </c:pt>
                <c:pt idx="477">
                  <c:v>-235.15165264784974</c:v>
                </c:pt>
                <c:pt idx="478">
                  <c:v>-235.28281360179156</c:v>
                </c:pt>
                <c:pt idx="479">
                  <c:v>-235.41308940487576</c:v>
                </c:pt>
                <c:pt idx="480">
                  <c:v>-235.54248895982516</c:v>
                </c:pt>
                <c:pt idx="481">
                  <c:v>-235.67102105529727</c:v>
                </c:pt>
                <c:pt idx="482">
                  <c:v>-235.79869436759907</c:v>
                </c:pt>
                <c:pt idx="483">
                  <c:v>-235.92551746237368</c:v>
                </c:pt>
                <c:pt idx="484">
                  <c:v>-236.05149879625927</c:v>
                </c:pt>
                <c:pt idx="485">
                  <c:v>-236.17664671852077</c:v>
                </c:pt>
                <c:pt idx="486">
                  <c:v>-236.30096947265491</c:v>
                </c:pt>
                <c:pt idx="487">
                  <c:v>-236.42447519796869</c:v>
                </c:pt>
                <c:pt idx="488">
                  <c:v>-236.54717193113225</c:v>
                </c:pt>
                <c:pt idx="489">
                  <c:v>-236.6690676077061</c:v>
                </c:pt>
                <c:pt idx="490">
                  <c:v>-236.79017006364316</c:v>
                </c:pt>
                <c:pt idx="491">
                  <c:v>-236.91048703676654</c:v>
                </c:pt>
                <c:pt idx="492">
                  <c:v>-237.03002616822269</c:v>
                </c:pt>
                <c:pt idx="493">
                  <c:v>-237.14879500391095</c:v>
                </c:pt>
                <c:pt idx="494">
                  <c:v>-237.26680099588961</c:v>
                </c:pt>
                <c:pt idx="495">
                  <c:v>-237.38405150375897</c:v>
                </c:pt>
                <c:pt idx="496">
                  <c:v>-237.50055379602173</c:v>
                </c:pt>
                <c:pt idx="497">
                  <c:v>-237.61631505142103</c:v>
                </c:pt>
                <c:pt idx="498">
                  <c:v>-237.73134236025678</c:v>
                </c:pt>
                <c:pt idx="499">
                  <c:v>-237.84564272568028</c:v>
                </c:pt>
                <c:pt idx="500">
                  <c:v>-237.95922306496792</c:v>
                </c:pt>
                <c:pt idx="501">
                  <c:v>-238.07209021077372</c:v>
                </c:pt>
                <c:pt idx="502">
                  <c:v>-238.18425091236185</c:v>
                </c:pt>
                <c:pt idx="503">
                  <c:v>-238.29571183681873</c:v>
                </c:pt>
                <c:pt idx="504">
                  <c:v>-238.40647957024555</c:v>
                </c:pt>
                <c:pt idx="505">
                  <c:v>-238.51656061893138</c:v>
                </c:pt>
                <c:pt idx="506">
                  <c:v>-238.62596141050699</c:v>
                </c:pt>
                <c:pt idx="507">
                  <c:v>-238.73468829508016</c:v>
                </c:pt>
                <c:pt idx="508">
                  <c:v>-238.8427475463526</c:v>
                </c:pt>
                <c:pt idx="509">
                  <c:v>-238.9501453627183</c:v>
                </c:pt>
                <c:pt idx="510">
                  <c:v>-239.05688786834469</c:v>
                </c:pt>
                <c:pt idx="511">
                  <c:v>-239.16298111423592</c:v>
                </c:pt>
                <c:pt idx="512">
                  <c:v>-239.26843107927883</c:v>
                </c:pt>
                <c:pt idx="513">
                  <c:v>-239.37324367127258</c:v>
                </c:pt>
                <c:pt idx="514">
                  <c:v>-239.47742472794079</c:v>
                </c:pt>
                <c:pt idx="515">
                  <c:v>-239.58098001792843</c:v>
                </c:pt>
                <c:pt idx="516">
                  <c:v>-239.68391524178156</c:v>
                </c:pt>
                <c:pt idx="517">
                  <c:v>-239.7862360329122</c:v>
                </c:pt>
                <c:pt idx="518">
                  <c:v>-239.88794795854719</c:v>
                </c:pt>
                <c:pt idx="519">
                  <c:v>-239.98905652066193</c:v>
                </c:pt>
                <c:pt idx="520">
                  <c:v>-240.08956715689928</c:v>
                </c:pt>
                <c:pt idx="521">
                  <c:v>-240.18948524147356</c:v>
                </c:pt>
                <c:pt idx="522">
                  <c:v>-240.28881608606028</c:v>
                </c:pt>
                <c:pt idx="523">
                  <c:v>-240.38756494067158</c:v>
                </c:pt>
                <c:pt idx="524">
                  <c:v>-240.48573699451759</c:v>
                </c:pt>
                <c:pt idx="525">
                  <c:v>-240.58333737685427</c:v>
                </c:pt>
                <c:pt idx="526">
                  <c:v>-240.68037115781777</c:v>
                </c:pt>
                <c:pt idx="527">
                  <c:v>-240.7768433492453</c:v>
                </c:pt>
                <c:pt idx="528">
                  <c:v>-240.87275890548312</c:v>
                </c:pt>
                <c:pt idx="529">
                  <c:v>-240.968122724182</c:v>
                </c:pt>
                <c:pt idx="530">
                  <c:v>-241.06293964707945</c:v>
                </c:pt>
                <c:pt idx="531">
                  <c:v>-241.15721446077038</c:v>
                </c:pt>
                <c:pt idx="532">
                  <c:v>-241.25095189746492</c:v>
                </c:pt>
                <c:pt idx="533">
                  <c:v>-241.34415663573475</c:v>
                </c:pt>
                <c:pt idx="534">
                  <c:v>-241.43683330124745</c:v>
                </c:pt>
                <c:pt idx="535">
                  <c:v>-241.5289864674896</c:v>
                </c:pt>
                <c:pt idx="536">
                  <c:v>-241.62062065647814</c:v>
                </c:pt>
                <c:pt idx="537">
                  <c:v>-241.71174033946085</c:v>
                </c:pt>
                <c:pt idx="538">
                  <c:v>-241.80234993760601</c:v>
                </c:pt>
                <c:pt idx="539">
                  <c:v>-241.89245382268092</c:v>
                </c:pt>
                <c:pt idx="540">
                  <c:v>-241.98205631772024</c:v>
                </c:pt>
                <c:pt idx="541">
                  <c:v>-242.07116169768358</c:v>
                </c:pt>
                <c:pt idx="542">
                  <c:v>-242.15977419010315</c:v>
                </c:pt>
                <c:pt idx="543">
                  <c:v>-242.24789797572129</c:v>
                </c:pt>
                <c:pt idx="544">
                  <c:v>-242.33553718911799</c:v>
                </c:pt>
                <c:pt idx="545">
                  <c:v>-242.42269591932899</c:v>
                </c:pt>
                <c:pt idx="546">
                  <c:v>-242.50937821045395</c:v>
                </c:pt>
                <c:pt idx="547">
                  <c:v>-242.59558806225567</c:v>
                </c:pt>
                <c:pt idx="548">
                  <c:v>-242.68132943074983</c:v>
                </c:pt>
                <c:pt idx="549">
                  <c:v>-242.76660622878563</c:v>
                </c:pt>
                <c:pt idx="550">
                  <c:v>-242.85142232661789</c:v>
                </c:pt>
                <c:pt idx="551">
                  <c:v>-242.9357815524699</c:v>
                </c:pt>
                <c:pt idx="552">
                  <c:v>-243.01968769308803</c:v>
                </c:pt>
                <c:pt idx="553">
                  <c:v>-243.10314449428762</c:v>
                </c:pt>
                <c:pt idx="554">
                  <c:v>-243.18615566149097</c:v>
                </c:pt>
                <c:pt idx="555">
                  <c:v>-243.26872486025664</c:v>
                </c:pt>
                <c:pt idx="556">
                  <c:v>-243.35085571680105</c:v>
                </c:pt>
                <c:pt idx="557">
                  <c:v>-243.432551818512</c:v>
                </c:pt>
                <c:pt idx="558">
                  <c:v>-243.51381671445461</c:v>
                </c:pt>
                <c:pt idx="559">
                  <c:v>-243.59465391586954</c:v>
                </c:pt>
                <c:pt idx="560">
                  <c:v>-243.67506689666351</c:v>
                </c:pt>
                <c:pt idx="561">
                  <c:v>-243.75505909389284</c:v>
                </c:pt>
                <c:pt idx="562">
                  <c:v>-243.83463390823923</c:v>
                </c:pt>
                <c:pt idx="563">
                  <c:v>-243.91379470447896</c:v>
                </c:pt>
                <c:pt idx="564">
                  <c:v>-243.99254481194455</c:v>
                </c:pt>
                <c:pt idx="565">
                  <c:v>-244.0708875249799</c:v>
                </c:pt>
                <c:pt idx="566">
                  <c:v>-244.14882610338839</c:v>
                </c:pt>
                <c:pt idx="567">
                  <c:v>-244.22636377287444</c:v>
                </c:pt>
                <c:pt idx="568">
                  <c:v>-244.30350372547866</c:v>
                </c:pt>
                <c:pt idx="569">
                  <c:v>-244.38024912000606</c:v>
                </c:pt>
                <c:pt idx="570">
                  <c:v>-244.45660308244857</c:v>
                </c:pt>
                <c:pt idx="571">
                  <c:v>-244.53256870640061</c:v>
                </c:pt>
                <c:pt idx="572">
                  <c:v>-244.60814905346922</c:v>
                </c:pt>
                <c:pt idx="573">
                  <c:v>-244.68334715367763</c:v>
                </c:pt>
                <c:pt idx="574">
                  <c:v>-244.75816600586316</c:v>
                </c:pt>
                <c:pt idx="575">
                  <c:v>-244.83260857806923</c:v>
                </c:pt>
                <c:pt idx="576">
                  <c:v>-244.90667780793154</c:v>
                </c:pt>
                <c:pt idx="577">
                  <c:v>-244.98037660305877</c:v>
                </c:pt>
                <c:pt idx="578">
                  <c:v>-245.0537078414076</c:v>
                </c:pt>
                <c:pt idx="579">
                  <c:v>-245.1266743716522</c:v>
                </c:pt>
                <c:pt idx="580">
                  <c:v>-245.19927901354865</c:v>
                </c:pt>
                <c:pt idx="581">
                  <c:v>-245.27152455829361</c:v>
                </c:pt>
                <c:pt idx="582">
                  <c:v>-245.34341376887829</c:v>
                </c:pt>
                <c:pt idx="583">
                  <c:v>-245.41494938043695</c:v>
                </c:pt>
                <c:pt idx="584">
                  <c:v>-245.48613410059045</c:v>
                </c:pt>
                <c:pt idx="585">
                  <c:v>-245.55697060978497</c:v>
                </c:pt>
                <c:pt idx="586">
                  <c:v>-245.62746156162575</c:v>
                </c:pt>
                <c:pt idx="587">
                  <c:v>-245.69760958320592</c:v>
                </c:pt>
                <c:pt idx="588">
                  <c:v>-245.76741727543109</c:v>
                </c:pt>
                <c:pt idx="589">
                  <c:v>-245.83688721333863</c:v>
                </c:pt>
                <c:pt idx="590">
                  <c:v>-245.90602194641292</c:v>
                </c:pt>
                <c:pt idx="591">
                  <c:v>-245.97482399889594</c:v>
                </c:pt>
                <c:pt idx="592">
                  <c:v>-246.04329587009323</c:v>
                </c:pt>
                <c:pt idx="593">
                  <c:v>-246.11144003467604</c:v>
                </c:pt>
                <c:pt idx="594">
                  <c:v>-246.17925894297849</c:v>
                </c:pt>
                <c:pt idx="595">
                  <c:v>-246.24675502129116</c:v>
                </c:pt>
                <c:pt idx="596">
                  <c:v>-246.31393067215021</c:v>
                </c:pt>
                <c:pt idx="597">
                  <c:v>-246.38078827462249</c:v>
                </c:pt>
                <c:pt idx="598">
                  <c:v>-246.44733018458663</c:v>
                </c:pt>
                <c:pt idx="599">
                  <c:v>-246.51355873501024</c:v>
                </c:pt>
                <c:pt idx="600">
                  <c:v>-246.57947623622312</c:v>
                </c:pt>
                <c:pt idx="601">
                  <c:v>-246.64508497618687</c:v>
                </c:pt>
                <c:pt idx="602">
                  <c:v>-246.71038722076034</c:v>
                </c:pt>
                <c:pt idx="603">
                  <c:v>-246.77538521396195</c:v>
                </c:pt>
                <c:pt idx="604">
                  <c:v>-246.84008117822771</c:v>
                </c:pt>
                <c:pt idx="605">
                  <c:v>-246.90447731466625</c:v>
                </c:pt>
                <c:pt idx="606">
                  <c:v>-249.78511654185198</c:v>
                </c:pt>
                <c:pt idx="607">
                  <c:v>-252.13238575144385</c:v>
                </c:pt>
                <c:pt idx="608">
                  <c:v>-254.08941198927579</c:v>
                </c:pt>
                <c:pt idx="609">
                  <c:v>-255.75252052924012</c:v>
                </c:pt>
                <c:pt idx="610">
                  <c:v>-257.1888406990131</c:v>
                </c:pt>
                <c:pt idx="611">
                  <c:v>-258.4465528327118</c:v>
                </c:pt>
                <c:pt idx="612">
                  <c:v>-259.56111636251023</c:v>
                </c:pt>
                <c:pt idx="613">
                  <c:v>-260.559199237413</c:v>
                </c:pt>
                <c:pt idx="614">
                  <c:v>-261.46123858061259</c:v>
                </c:pt>
                <c:pt idx="615">
                  <c:v>-262.28315715944541</c:v>
                </c:pt>
                <c:pt idx="616">
                  <c:v>-263.03754288766862</c:v>
                </c:pt>
                <c:pt idx="617">
                  <c:v>-263.73447734006976</c:v>
                </c:pt>
                <c:pt idx="618">
                  <c:v>-264.02861570866139</c:v>
                </c:pt>
                <c:pt idx="619">
                  <c:v>-264.3141020361528</c:v>
                </c:pt>
                <c:pt idx="620">
                  <c:v>-264.59143094034607</c:v>
                </c:pt>
                <c:pt idx="621">
                  <c:v>-264.86106005727709</c:v>
                </c:pt>
                <c:pt idx="622">
                  <c:v>-265.1234134312997</c:v>
                </c:pt>
                <c:pt idx="623">
                  <c:v>-265.37888453906635</c:v>
                </c:pt>
                <c:pt idx="624">
                  <c:v>-265.62783899270903</c:v>
                </c:pt>
                <c:pt idx="625">
                  <c:v>-265.87061696122851</c:v>
                </c:pt>
                <c:pt idx="626">
                  <c:v>-266.10753534377119</c:v>
                </c:pt>
                <c:pt idx="627">
                  <c:v>-266.3388897239505</c:v>
                </c:pt>
                <c:pt idx="628">
                  <c:v>-266.56495613051936</c:v>
                </c:pt>
                <c:pt idx="629">
                  <c:v>-266.78599262641086</c:v>
                </c:pt>
                <c:pt idx="630">
                  <c:v>-267.002240745351</c:v>
                </c:pt>
                <c:pt idx="631">
                  <c:v>-267.21392679282917</c:v>
                </c:pt>
                <c:pt idx="632">
                  <c:v>-267.42126302613383</c:v>
                </c:pt>
                <c:pt idx="633">
                  <c:v>-267.62444872636564</c:v>
                </c:pt>
                <c:pt idx="634">
                  <c:v>-267.82367117378794</c:v>
                </c:pt>
                <c:pt idx="635">
                  <c:v>-268.01910653653181</c:v>
                </c:pt>
                <c:pt idx="636">
                  <c:v>-268.21092068150148</c:v>
                </c:pt>
                <c:pt idx="637">
                  <c:v>-268.3992699153107</c:v>
                </c:pt>
                <c:pt idx="638">
                  <c:v>-268.58430166219131</c:v>
                </c:pt>
                <c:pt idx="639">
                  <c:v>-268.76615508504142</c:v>
                </c:pt>
                <c:pt idx="640">
                  <c:v>-268.9449616550981</c:v>
                </c:pt>
                <c:pt idx="641">
                  <c:v>-269.120845675125</c:v>
                </c:pt>
                <c:pt idx="642">
                  <c:v>-269.29392476048014</c:v>
                </c:pt>
                <c:pt idx="643">
                  <c:v>-269.46431028196565</c:v>
                </c:pt>
                <c:pt idx="644">
                  <c:v>-269.63210777395625</c:v>
                </c:pt>
                <c:pt idx="645">
                  <c:v>-269.79741731093941</c:v>
                </c:pt>
                <c:pt idx="646">
                  <c:v>-269.96033385528312</c:v>
                </c:pt>
                <c:pt idx="647">
                  <c:v>-270.12094757876366</c:v>
                </c:pt>
                <c:pt idx="648">
                  <c:v>-270.27934416013403</c:v>
                </c:pt>
                <c:pt idx="649">
                  <c:v>-270.43560506079001</c:v>
                </c:pt>
                <c:pt idx="650">
                  <c:v>-270.5898077803908</c:v>
                </c:pt>
                <c:pt idx="651">
                  <c:v>-270.74202609411554</c:v>
                </c:pt>
                <c:pt idx="652">
                  <c:v>-270.89233027307517</c:v>
                </c:pt>
                <c:pt idx="653">
                  <c:v>-271.04078728925867</c:v>
                </c:pt>
                <c:pt idx="654">
                  <c:v>-271.18746100626504</c:v>
                </c:pt>
                <c:pt idx="655">
                  <c:v>-271.33241235695772</c:v>
                </c:pt>
                <c:pt idx="656">
                  <c:v>-271.4756995090757</c:v>
                </c:pt>
                <c:pt idx="657">
                  <c:v>-271.61737801974232</c:v>
                </c:pt>
                <c:pt idx="658">
                  <c:v>-271.7575009797315</c:v>
                </c:pt>
                <c:pt idx="659">
                  <c:v>-271.8961191482739</c:v>
                </c:pt>
                <c:pt idx="660">
                  <c:v>-272.03328107911909</c:v>
                </c:pt>
                <c:pt idx="661">
                  <c:v>-272.16903323850806</c:v>
                </c:pt>
                <c:pt idx="662">
                  <c:v>-272.3034201156558</c:v>
                </c:pt>
                <c:pt idx="663">
                  <c:v>-272.43648432629209</c:v>
                </c:pt>
                <c:pt idx="664">
                  <c:v>-272.56826670976437</c:v>
                </c:pt>
                <c:pt idx="665">
                  <c:v>-272.69880642016517</c:v>
                </c:pt>
                <c:pt idx="666">
                  <c:v>-272.82814101190792</c:v>
                </c:pt>
                <c:pt idx="667">
                  <c:v>-272.95630652014239</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23.489311780371565</c:v>
                </c:pt>
                <c:pt idx="1">
                  <c:v>23.489311888463785</c:v>
                </c:pt>
                <c:pt idx="2">
                  <c:v>23.489312068617494</c:v>
                </c:pt>
                <c:pt idx="3">
                  <c:v>23.489312320832685</c:v>
                </c:pt>
                <c:pt idx="4">
                  <c:v>23.489312645109376</c:v>
                </c:pt>
                <c:pt idx="5">
                  <c:v>23.489313041447563</c:v>
                </c:pt>
                <c:pt idx="6">
                  <c:v>23.489313509847261</c:v>
                </c:pt>
                <c:pt idx="7">
                  <c:v>23.489314050308483</c:v>
                </c:pt>
                <c:pt idx="8">
                  <c:v>23.489314662831227</c:v>
                </c:pt>
                <c:pt idx="9">
                  <c:v>23.489315347415523</c:v>
                </c:pt>
                <c:pt idx="10">
                  <c:v>23.489326156647437</c:v>
                </c:pt>
                <c:pt idx="11">
                  <c:v>23.489344172059987</c:v>
                </c:pt>
                <c:pt idx="12">
                  <c:v>23.489369393692229</c:v>
                </c:pt>
                <c:pt idx="13">
                  <c:v>23.48940182159884</c:v>
                </c:pt>
                <c:pt idx="14">
                  <c:v>23.489441455850091</c:v>
                </c:pt>
                <c:pt idx="15">
                  <c:v>23.489488296531924</c:v>
                </c:pt>
                <c:pt idx="16">
                  <c:v>23.489542343745853</c:v>
                </c:pt>
                <c:pt idx="17">
                  <c:v>23.48960359760904</c:v>
                </c:pt>
                <c:pt idx="18">
                  <c:v>23.489672058254261</c:v>
                </c:pt>
                <c:pt idx="19">
                  <c:v>23.490753078102365</c:v>
                </c:pt>
                <c:pt idx="20">
                  <c:v>23.492555038254057</c:v>
                </c:pt>
                <c:pt idx="21">
                  <c:v>23.495078329476229</c:v>
                </c:pt>
                <c:pt idx="22">
                  <c:v>23.498323499161859</c:v>
                </c:pt>
                <c:pt idx="23">
                  <c:v>23.502291251649602</c:v>
                </c:pt>
                <c:pt idx="24">
                  <c:v>23.506982448635064</c:v>
                </c:pt>
                <c:pt idx="25">
                  <c:v>23.512398109674045</c:v>
                </c:pt>
                <c:pt idx="26">
                  <c:v>23.518539412778114</c:v>
                </c:pt>
                <c:pt idx="27">
                  <c:v>23.525407695102839</c:v>
                </c:pt>
                <c:pt idx="28">
                  <c:v>23.570711841911283</c:v>
                </c:pt>
                <c:pt idx="29">
                  <c:v>23.634484185526439</c:v>
                </c:pt>
                <c:pt idx="30">
                  <c:v>23.71707734363406</c:v>
                </c:pt>
                <c:pt idx="31">
                  <c:v>23.818953473836729</c:v>
                </c:pt>
                <c:pt idx="32">
                  <c:v>23.940691043009267</c:v>
                </c:pt>
                <c:pt idx="33">
                  <c:v>24.082993268139923</c:v>
                </c:pt>
                <c:pt idx="34">
                  <c:v>24.246698279441677</c:v>
                </c:pt>
                <c:pt idx="35">
                  <c:v>24.432790999609523</c:v>
                </c:pt>
                <c:pt idx="36">
                  <c:v>24.642416611067528</c:v>
                </c:pt>
                <c:pt idx="37">
                  <c:v>24.87689524819961</c:v>
                </c:pt>
                <c:pt idx="38">
                  <c:v>25.137737121618734</c:v>
                </c:pt>
                <c:pt idx="39">
                  <c:v>25.426656513886002</c:v>
                </c:pt>
                <c:pt idx="40">
                  <c:v>25.745581732090553</c:v>
                </c:pt>
                <c:pt idx="41">
                  <c:v>26.096655726261176</c:v>
                </c:pt>
                <c:pt idx="42">
                  <c:v>26.482217915425899</c:v>
                </c:pt>
                <c:pt idx="43">
                  <c:v>26.904750450030264</c:v>
                </c:pt>
                <c:pt idx="44">
                  <c:v>27.366759302686155</c:v>
                </c:pt>
                <c:pt idx="45">
                  <c:v>27.870538124156216</c:v>
                </c:pt>
                <c:pt idx="46">
                  <c:v>28.417723991972185</c:v>
                </c:pt>
                <c:pt idx="47">
                  <c:v>29.008489097913959</c:v>
                </c:pt>
                <c:pt idx="48">
                  <c:v>29.640110659300039</c:v>
                </c:pt>
                <c:pt idx="49">
                  <c:v>30.304527854154863</c:v>
                </c:pt>
                <c:pt idx="50">
                  <c:v>30.984406893832059</c:v>
                </c:pt>
                <c:pt idx="51">
                  <c:v>31.647498088680965</c:v>
                </c:pt>
                <c:pt idx="52">
                  <c:v>32.240469686208684</c:v>
                </c:pt>
                <c:pt idx="53">
                  <c:v>32.687026443627204</c:v>
                </c:pt>
                <c:pt idx="54">
                  <c:v>32.899692945456522</c:v>
                </c:pt>
                <c:pt idx="55">
                  <c:v>32.811102945512999</c:v>
                </c:pt>
                <c:pt idx="56">
                  <c:v>32.409386025632976</c:v>
                </c:pt>
                <c:pt idx="57">
                  <c:v>31.745295600978999</c:v>
                </c:pt>
                <c:pt idx="58">
                  <c:v>30.903423187136092</c:v>
                </c:pt>
                <c:pt idx="59">
                  <c:v>29.966238380895462</c:v>
                </c:pt>
                <c:pt idx="60">
                  <c:v>28.995321739135296</c:v>
                </c:pt>
                <c:pt idx="61">
                  <c:v>28.029603865336231</c:v>
                </c:pt>
                <c:pt idx="62">
                  <c:v>27.090822561494203</c:v>
                </c:pt>
                <c:pt idx="63">
                  <c:v>26.189618394986958</c:v>
                </c:pt>
                <c:pt idx="64">
                  <c:v>25.330087394532342</c:v>
                </c:pt>
                <c:pt idx="65">
                  <c:v>24.51269913520575</c:v>
                </c:pt>
                <c:pt idx="66">
                  <c:v>23.736033858962308</c:v>
                </c:pt>
                <c:pt idx="67">
                  <c:v>22.997774787335917</c:v>
                </c:pt>
                <c:pt idx="68">
                  <c:v>22.295258576627639</c:v>
                </c:pt>
                <c:pt idx="69">
                  <c:v>21.62577141339241</c:v>
                </c:pt>
                <c:pt idx="70">
                  <c:v>20.986701113670367</c:v>
                </c:pt>
                <c:pt idx="71">
                  <c:v>20.375608735405923</c:v>
                </c:pt>
                <c:pt idx="72">
                  <c:v>19.79025588807157</c:v>
                </c:pt>
                <c:pt idx="73">
                  <c:v>19.228608255849899</c:v>
                </c:pt>
                <c:pt idx="74">
                  <c:v>18.688826918574669</c:v>
                </c:pt>
                <c:pt idx="75">
                  <c:v>18.169253965284721</c:v>
                </c:pt>
                <c:pt idx="76">
                  <c:v>17.668395992280544</c:v>
                </c:pt>
                <c:pt idx="77">
                  <c:v>17.184907421085494</c:v>
                </c:pt>
                <c:pt idx="78">
                  <c:v>16.717574628677905</c:v>
                </c:pt>
                <c:pt idx="79">
                  <c:v>16.265301349367366</c:v>
                </c:pt>
                <c:pt idx="80">
                  <c:v>15.827095511046963</c:v>
                </c:pt>
                <c:pt idx="81">
                  <c:v>15.402057508214904</c:v>
                </c:pt>
                <c:pt idx="82">
                  <c:v>14.989369832167601</c:v>
                </c:pt>
                <c:pt idx="83">
                  <c:v>14.588287941403539</c:v>
                </c:pt>
                <c:pt idx="84">
                  <c:v>14.198132242881446</c:v>
                </c:pt>
                <c:pt idx="85">
                  <c:v>13.818281055891926</c:v>
                </c:pt>
                <c:pt idx="86">
                  <c:v>13.448164438287636</c:v>
                </c:pt>
                <c:pt idx="87">
                  <c:v>13.087258765865794</c:v>
                </c:pt>
                <c:pt idx="88">
                  <c:v>12.735081967672377</c:v>
                </c:pt>
                <c:pt idx="89">
                  <c:v>12.391189331743304</c:v>
                </c:pt>
                <c:pt idx="90">
                  <c:v>12.055169806732916</c:v>
                </c:pt>
                <c:pt idx="91">
                  <c:v>11.726642734751415</c:v>
                </c:pt>
                <c:pt idx="92">
                  <c:v>11.405254959473648</c:v>
                </c:pt>
                <c:pt idx="93">
                  <c:v>11.090678261225733</c:v>
                </c:pt>
                <c:pt idx="94">
                  <c:v>10.782607077385594</c:v>
                </c:pt>
                <c:pt idx="95">
                  <c:v>10.480756472152898</c:v>
                </c:pt>
                <c:pt idx="96">
                  <c:v>10.184860324661376</c:v>
                </c:pt>
                <c:pt idx="97">
                  <c:v>9.8946697086259796</c:v>
                </c:pt>
                <c:pt idx="98">
                  <c:v>9.6099514403341448</c:v>
                </c:pt>
                <c:pt idx="99">
                  <c:v>9.3304867748904954</c:v>
                </c:pt>
                <c:pt idx="100">
                  <c:v>9.0560702332816252</c:v>
                </c:pt>
                <c:pt idx="101">
                  <c:v>8.7865085451073863</c:v>
                </c:pt>
                <c:pt idx="102">
                  <c:v>8.5216196937831548</c:v>
                </c:pt>
                <c:pt idx="103">
                  <c:v>8.261232052701061</c:v>
                </c:pt>
                <c:pt idx="104">
                  <c:v>8.0051836022880316</c:v>
                </c:pt>
                <c:pt idx="105">
                  <c:v>7.7533212191488641</c:v>
                </c:pt>
                <c:pt idx="106">
                  <c:v>7.5055000295630494</c:v>
                </c:pt>
                <c:pt idx="107">
                  <c:v>7.2615828205387789</c:v>
                </c:pt>
                <c:pt idx="108">
                  <c:v>7.0214395024383922</c:v>
                </c:pt>
                <c:pt idx="109">
                  <c:v>6.7849466178933691</c:v>
                </c:pt>
                <c:pt idx="110">
                  <c:v>6.5519868923397482</c:v>
                </c:pt>
                <c:pt idx="111">
                  <c:v>6.3224488220388197</c:v>
                </c:pt>
                <c:pt idx="112">
                  <c:v>6.0962262959143345</c:v>
                </c:pt>
                <c:pt idx="113">
                  <c:v>5.8732182479456707</c:v>
                </c:pt>
                <c:pt idx="114">
                  <c:v>5.6533283372138801</c:v>
                </c:pt>
                <c:pt idx="115">
                  <c:v>5.4364646530118046</c:v>
                </c:pt>
                <c:pt idx="116">
                  <c:v>5.2225394427055791</c:v>
                </c:pt>
                <c:pt idx="117">
                  <c:v>5.0114688602783364</c:v>
                </c:pt>
                <c:pt idx="118">
                  <c:v>4.8031727337017811</c:v>
                </c:pt>
                <c:pt idx="119">
                  <c:v>4.5975743494712287</c:v>
                </c:pt>
                <c:pt idx="120">
                  <c:v>4.3946002528080301</c:v>
                </c:pt>
                <c:pt idx="121">
                  <c:v>4.1941800621824354</c:v>
                </c:pt>
                <c:pt idx="122">
                  <c:v>3.9962462969426262</c:v>
                </c:pt>
                <c:pt idx="123">
                  <c:v>3.8007342169535532</c:v>
                </c:pt>
                <c:pt idx="124">
                  <c:v>3.6075816732544324</c:v>
                </c:pt>
                <c:pt idx="125">
                  <c:v>3.4167289688375089</c:v>
                </c:pt>
                <c:pt idx="126">
                  <c:v>3.2281187287347053</c:v>
                </c:pt>
                <c:pt idx="127">
                  <c:v>3.041695778673688</c:v>
                </c:pt>
                <c:pt idx="128">
                  <c:v>2.8574070316323836</c:v>
                </c:pt>
                <c:pt idx="129">
                  <c:v>2.6752013816812066</c:v>
                </c:pt>
                <c:pt idx="130">
                  <c:v>2.4950296045567395</c:v>
                </c:pt>
                <c:pt idx="131">
                  <c:v>2.3168442644593239</c:v>
                </c:pt>
                <c:pt idx="132">
                  <c:v>2.1405996266111869</c:v>
                </c:pt>
                <c:pt idx="133">
                  <c:v>1.9662515751513969</c:v>
                </c:pt>
                <c:pt idx="134">
                  <c:v>1.7937575359799198</c:v>
                </c:pt>
                <c:pt idx="135">
                  <c:v>1.6230764041953996</c:v>
                </c:pt>
                <c:pt idx="136">
                  <c:v>1.4541684758009294</c:v>
                </c:pt>
                <c:pt idx="137">
                  <c:v>1.2869953833784611</c:v>
                </c:pt>
                <c:pt idx="138">
                  <c:v>1.1215200354569612</c:v>
                </c:pt>
                <c:pt idx="139">
                  <c:v>0.9577065593212768</c:v>
                </c:pt>
                <c:pt idx="140">
                  <c:v>0.79552024702875146</c:v>
                </c:pt>
                <c:pt idx="141">
                  <c:v>0.63492750441882539</c:v>
                </c:pt>
                <c:pt idx="142">
                  <c:v>0.47589580291749367</c:v>
                </c:pt>
                <c:pt idx="143">
                  <c:v>0.31839363395364922</c:v>
                </c:pt>
                <c:pt idx="144">
                  <c:v>0.16239046581820751</c:v>
                </c:pt>
                <c:pt idx="145">
                  <c:v>7.8567028095430941E-3</c:v>
                </c:pt>
                <c:pt idx="146">
                  <c:v>-0.14523635347959576</c:v>
                </c:pt>
                <c:pt idx="147">
                  <c:v>-0.29691654086792818</c:v>
                </c:pt>
                <c:pt idx="148">
                  <c:v>-0.44721087140872084</c:v>
                </c:pt>
                <c:pt idx="149">
                  <c:v>-0.59614556444565459</c:v>
                </c:pt>
                <c:pt idx="150">
                  <c:v>-0.74374607800881209</c:v>
                </c:pt>
                <c:pt idx="151">
                  <c:v>-0.89003713865054446</c:v>
                </c:pt>
                <c:pt idx="152">
                  <c:v>-1.035042769814047</c:v>
                </c:pt>
                <c:pt idx="153">
                  <c:v>-1.1787863188210839</c:v>
                </c:pt>
                <c:pt idx="154">
                  <c:v>-1.3212904825593277</c:v>
                </c:pt>
                <c:pt idx="155">
                  <c:v>-1.4625773319444417</c:v>
                </c:pt>
                <c:pt idx="156">
                  <c:v>-1.6026683352269091</c:v>
                </c:pt>
                <c:pt idx="157">
                  <c:v>-1.7415843802090112</c:v>
                </c:pt>
                <c:pt idx="158">
                  <c:v>-1.8793457954330601</c:v>
                </c:pt>
                <c:pt idx="159">
                  <c:v>-2.0159723703979973</c:v>
                </c:pt>
                <c:pt idx="160">
                  <c:v>-2.1514833748578197</c:v>
                </c:pt>
                <c:pt idx="161">
                  <c:v>-2.2858975772518106</c:v>
                </c:pt>
                <c:pt idx="162">
                  <c:v>-2.4192332623134734</c:v>
                </c:pt>
                <c:pt idx="163">
                  <c:v>-2.5515082479020883</c:v>
                </c:pt>
                <c:pt idx="164">
                  <c:v>-2.682739901098036</c:v>
                </c:pt>
                <c:pt idx="165">
                  <c:v>-2.8129451536006176</c:v>
                </c:pt>
                <c:pt idx="166">
                  <c:v>-2.9421405164645718</c:v>
                </c:pt>
                <c:pt idx="167">
                  <c:v>-3.0703420942094621</c:v>
                </c:pt>
                <c:pt idx="168">
                  <c:v>-3.1975655983339735</c:v>
                </c:pt>
                <c:pt idx="169">
                  <c:v>-3.323826360265183</c:v>
                </c:pt>
                <c:pt idx="170">
                  <c:v>-3.4491393437713458</c:v>
                </c:pt>
                <c:pt idx="171">
                  <c:v>-3.5735191568647213</c:v>
                </c:pt>
                <c:pt idx="172">
                  <c:v>-3.6969800632197023</c:v>
                </c:pt>
                <c:pt idx="173">
                  <c:v>-3.8195359931300099</c:v>
                </c:pt>
                <c:pt idx="174">
                  <c:v>-3.9412005540271835</c:v>
                </c:pt>
                <c:pt idx="175">
                  <c:v>-4.0619870405816121</c:v>
                </c:pt>
                <c:pt idx="176">
                  <c:v>-4.1819084444059529</c:v>
                </c:pt>
                <c:pt idx="177">
                  <c:v>-4.300977463379752</c:v>
                </c:pt>
                <c:pt idx="178">
                  <c:v>-4.4192065106130798</c:v>
                </c:pt>
                <c:pt idx="179">
                  <c:v>-4.5366077230659618</c:v>
                </c:pt>
                <c:pt idx="180">
                  <c:v>-4.6531929698395107</c:v>
                </c:pt>
                <c:pt idx="181">
                  <c:v>-4.7689738601537828</c:v>
                </c:pt>
                <c:pt idx="182">
                  <c:v>-4.8839617510266269</c:v>
                </c:pt>
                <c:pt idx="183">
                  <c:v>-4.9981677546669703</c:v>
                </c:pt>
                <c:pt idx="184">
                  <c:v>-5.1116027455953308</c:v>
                </c:pt>
                <c:pt idx="185">
                  <c:v>-5.2242773675036824</c:v>
                </c:pt>
                <c:pt idx="186">
                  <c:v>-5.3362020398661238</c:v>
                </c:pt>
                <c:pt idx="187">
                  <c:v>-5.4473869643112769</c:v>
                </c:pt>
                <c:pt idx="188">
                  <c:v>-5.5578421307666819</c:v>
                </c:pt>
                <c:pt idx="189">
                  <c:v>-5.6675773233851112</c:v>
                </c:pt>
                <c:pt idx="190">
                  <c:v>-5.7766021262620262</c:v>
                </c:pt>
                <c:pt idx="191">
                  <c:v>-5.8849259289530735</c:v>
                </c:pt>
                <c:pt idx="192">
                  <c:v>-5.992557931800051</c:v>
                </c:pt>
                <c:pt idx="193">
                  <c:v>-6.0995071510733112</c:v>
                </c:pt>
                <c:pt idx="194">
                  <c:v>-6.2057824239382473</c:v>
                </c:pt>
                <c:pt idx="195">
                  <c:v>-6.3113924132531078</c:v>
                </c:pt>
                <c:pt idx="196">
                  <c:v>-6.4163456122050064</c:v>
                </c:pt>
                <c:pt idx="197">
                  <c:v>-6.5206503487907348</c:v>
                </c:pt>
                <c:pt idx="198">
                  <c:v>-6.6243147901486079</c:v>
                </c:pt>
                <c:pt idx="199">
                  <c:v>-6.7273469467473115</c:v>
                </c:pt>
                <c:pt idx="200">
                  <c:v>-6.8297546764374442</c:v>
                </c:pt>
                <c:pt idx="201">
                  <c:v>-6.9315456883711759</c:v>
                </c:pt>
                <c:pt idx="202">
                  <c:v>-7.0327275467951536</c:v>
                </c:pt>
                <c:pt idx="203">
                  <c:v>-7.1333076747216655</c:v>
                </c:pt>
                <c:pt idx="204">
                  <c:v>-7.2332933574826921</c:v>
                </c:pt>
                <c:pt idx="205">
                  <c:v>-7.3326917461714025</c:v>
                </c:pt>
                <c:pt idx="206">
                  <c:v>-7.4315098609753392</c:v>
                </c:pt>
                <c:pt idx="207">
                  <c:v>-7.5297545944054489</c:v>
                </c:pt>
                <c:pt idx="208">
                  <c:v>-7.6274327144248319</c:v>
                </c:pt>
                <c:pt idx="209">
                  <c:v>-7.7245508674810095</c:v>
                </c:pt>
                <c:pt idx="210">
                  <c:v>-7.8211155814452376</c:v>
                </c:pt>
                <c:pt idx="211">
                  <c:v>-7.9171332684623401</c:v>
                </c:pt>
                <c:pt idx="212">
                  <c:v>-8.0126102277143492</c:v>
                </c:pt>
                <c:pt idx="213">
                  <c:v>-8.107552648101052</c:v>
                </c:pt>
                <c:pt idx="214">
                  <c:v>-8.2019666108404845</c:v>
                </c:pt>
                <c:pt idx="215">
                  <c:v>-8.2958580919922529</c:v>
                </c:pt>
                <c:pt idx="216">
                  <c:v>-8.3892329649064354</c:v>
                </c:pt>
                <c:pt idx="217">
                  <c:v>-8.4820970026006854</c:v>
                </c:pt>
                <c:pt idx="218">
                  <c:v>-8.574455880068129</c:v>
                </c:pt>
                <c:pt idx="219">
                  <c:v>-8.6663151765184221</c:v>
                </c:pt>
                <c:pt idx="220">
                  <c:v>-8.7576803775543421</c:v>
                </c:pt>
                <c:pt idx="221">
                  <c:v>-8.8485568772861374</c:v>
                </c:pt>
                <c:pt idx="222">
                  <c:v>-8.9389499803857468</c:v>
                </c:pt>
                <c:pt idx="223">
                  <c:v>-9.0288649040830187</c:v>
                </c:pt>
                <c:pt idx="224">
                  <c:v>-9.1183067801058346</c:v>
                </c:pt>
                <c:pt idx="225">
                  <c:v>-9.207280656566077</c:v>
                </c:pt>
                <c:pt idx="226">
                  <c:v>-10.072333768943656</c:v>
                </c:pt>
                <c:pt idx="227">
                  <c:v>-10.895583613958744</c:v>
                </c:pt>
                <c:pt idx="228">
                  <c:v>-11.680944388382441</c:v>
                </c:pt>
                <c:pt idx="229">
                  <c:v>-12.431798140088045</c:v>
                </c:pt>
                <c:pt idx="230">
                  <c:v>-13.151088045152262</c:v>
                </c:pt>
                <c:pt idx="231">
                  <c:v>-13.841391935729474</c:v>
                </c:pt>
                <c:pt idx="232">
                  <c:v>-14.504980925735032</c:v>
                </c:pt>
                <c:pt idx="233">
                  <c:v>-15.143866640801599</c:v>
                </c:pt>
                <c:pt idx="234">
                  <c:v>-15.759839627767123</c:v>
                </c:pt>
                <c:pt idx="235">
                  <c:v>-16.354500861201135</c:v>
                </c:pt>
                <c:pt idx="236">
                  <c:v>-16.929287792744631</c:v>
                </c:pt>
                <c:pt idx="237">
                  <c:v>-17.485496045969839</c:v>
                </c:pt>
                <c:pt idx="238">
                  <c:v>-18.024297606754111</c:v>
                </c:pt>
                <c:pt idx="239">
                  <c:v>-18.546756170799846</c:v>
                </c:pt>
                <c:pt idx="240">
                  <c:v>-19.053840167994686</c:v>
                </c:pt>
                <c:pt idx="241">
                  <c:v>-19.54643387526459</c:v>
                </c:pt>
                <c:pt idx="242">
                  <c:v>-20.025346946555</c:v>
                </c:pt>
                <c:pt idx="243">
                  <c:v>-20.491322624224942</c:v>
                </c:pt>
                <c:pt idx="244">
                  <c:v>-20.945044845847967</c:v>
                </c:pt>
                <c:pt idx="245">
                  <c:v>-21.387144420808028</c:v>
                </c:pt>
                <c:pt idx="246">
                  <c:v>-21.818204419662276</c:v>
                </c:pt>
                <c:pt idx="247">
                  <c:v>-22.238764894153494</c:v>
                </c:pt>
                <c:pt idx="248">
                  <c:v>-22.649327025590352</c:v>
                </c:pt>
                <c:pt idx="249">
                  <c:v>-23.050356783009338</c:v>
                </c:pt>
                <c:pt idx="250">
                  <c:v>-23.442288159273676</c:v>
                </c:pt>
                <c:pt idx="251">
                  <c:v>-23.825526042425004</c:v>
                </c:pt>
                <c:pt idx="252">
                  <c:v>-24.200448770695893</c:v>
                </c:pt>
                <c:pt idx="253">
                  <c:v>-24.567410412235951</c:v>
                </c:pt>
                <c:pt idx="254">
                  <c:v>-24.926742804502254</c:v>
                </c:pt>
                <c:pt idx="255">
                  <c:v>-25.27875738318075</c:v>
                </c:pt>
                <c:pt idx="256">
                  <c:v>-25.623746826251292</c:v>
                </c:pt>
                <c:pt idx="257">
                  <c:v>-25.961986535235205</c:v>
                </c:pt>
                <c:pt idx="258">
                  <c:v>-26.293735972650857</c:v>
                </c:pt>
                <c:pt idx="259">
                  <c:v>-26.619239872152114</c:v>
                </c:pt>
                <c:pt idx="260">
                  <c:v>-26.938729335658266</c:v>
                </c:pt>
                <c:pt idx="261">
                  <c:v>-27.252422829938187</c:v>
                </c:pt>
                <c:pt idx="262">
                  <c:v>-27.560527093533153</c:v>
                </c:pt>
                <c:pt idx="263">
                  <c:v>-27.863237963549516</c:v>
                </c:pt>
                <c:pt idx="264">
                  <c:v>-28.160741130688439</c:v>
                </c:pt>
                <c:pt idx="265">
                  <c:v>-28.453212829875824</c:v>
                </c:pt>
                <c:pt idx="266">
                  <c:v>-28.740820472987231</c:v>
                </c:pt>
                <c:pt idx="267">
                  <c:v>-29.023723229409647</c:v>
                </c:pt>
                <c:pt idx="268">
                  <c:v>-29.302072559526991</c:v>
                </c:pt>
                <c:pt idx="269">
                  <c:v>-29.576012705645969</c:v>
                </c:pt>
                <c:pt idx="270">
                  <c:v>-29.845681144380151</c:v>
                </c:pt>
                <c:pt idx="271">
                  <c:v>-30.111209004073764</c:v>
                </c:pt>
                <c:pt idx="272">
                  <c:v>-30.372721450463764</c:v>
                </c:pt>
                <c:pt idx="273">
                  <c:v>-30.630338043441718</c:v>
                </c:pt>
                <c:pt idx="274">
                  <c:v>-30.884173067480297</c:v>
                </c:pt>
                <c:pt idx="275">
                  <c:v>-31.134335838027212</c:v>
                </c:pt>
                <c:pt idx="276">
                  <c:v>-31.380930985937162</c:v>
                </c:pt>
                <c:pt idx="277">
                  <c:v>-31.624058721807309</c:v>
                </c:pt>
                <c:pt idx="278">
                  <c:v>-31.863815081898807</c:v>
                </c:pt>
                <c:pt idx="279">
                  <c:v>-32.100292157164965</c:v>
                </c:pt>
                <c:pt idx="280">
                  <c:v>-32.333578306761595</c:v>
                </c:pt>
                <c:pt idx="281">
                  <c:v>-32.563758357286268</c:v>
                </c:pt>
                <c:pt idx="282">
                  <c:v>-32.790913788877475</c:v>
                </c:pt>
                <c:pt idx="283">
                  <c:v>-33.015122909201573</c:v>
                </c:pt>
                <c:pt idx="284">
                  <c:v>-33.236461016262602</c:v>
                </c:pt>
                <c:pt idx="285">
                  <c:v>-33.455000550886609</c:v>
                </c:pt>
                <c:pt idx="286">
                  <c:v>-33.670811239657624</c:v>
                </c:pt>
                <c:pt idx="287">
                  <c:v>-33.883960229014733</c:v>
                </c:pt>
                <c:pt idx="288">
                  <c:v>-34.09451221115873</c:v>
                </c:pt>
                <c:pt idx="289">
                  <c:v>-34.302529542362421</c:v>
                </c:pt>
                <c:pt idx="290">
                  <c:v>-34.508072354228347</c:v>
                </c:pt>
                <c:pt idx="291">
                  <c:v>-34.711198658393165</c:v>
                </c:pt>
                <c:pt idx="292">
                  <c:v>-34.911964445137031</c:v>
                </c:pt>
                <c:pt idx="293">
                  <c:v>-35.110423776319173</c:v>
                </c:pt>
                <c:pt idx="294">
                  <c:v>-35.306628873027492</c:v>
                </c:pt>
                <c:pt idx="295">
                  <c:v>-35.500630198299213</c:v>
                </c:pt>
                <c:pt idx="296">
                  <c:v>-35.692476535241838</c:v>
                </c:pt>
                <c:pt idx="297">
                  <c:v>-35.882215060858272</c:v>
                </c:pt>
                <c:pt idx="298">
                  <c:v>-36.069891415856759</c:v>
                </c:pt>
                <c:pt idx="299">
                  <c:v>-36.255549770705088</c:v>
                </c:pt>
                <c:pt idx="300">
                  <c:v>-36.439232888169258</c:v>
                </c:pt>
                <c:pt idx="301">
                  <c:v>-36.620982182558841</c:v>
                </c:pt>
                <c:pt idx="302">
                  <c:v>-36.800837775885277</c:v>
                </c:pt>
                <c:pt idx="303">
                  <c:v>-36.978838551124269</c:v>
                </c:pt>
                <c:pt idx="304">
                  <c:v>-37.15502220275976</c:v>
                </c:pt>
                <c:pt idx="305">
                  <c:v>-37.329425284774501</c:v>
                </c:pt>
                <c:pt idx="306">
                  <c:v>-37.502083256240553</c:v>
                </c:pt>
                <c:pt idx="307">
                  <c:v>-37.67303052465244</c:v>
                </c:pt>
                <c:pt idx="308">
                  <c:v>-37.84230048713588</c:v>
                </c:pt>
                <c:pt idx="309">
                  <c:v>-38.009925569655969</c:v>
                </c:pt>
                <c:pt idx="310">
                  <c:v>-38.175937264340277</c:v>
                </c:pt>
                <c:pt idx="311">
                  <c:v>-38.340366165024747</c:v>
                </c:pt>
                <c:pt idx="312">
                  <c:v>-38.503242001122985</c:v>
                </c:pt>
                <c:pt idx="313">
                  <c:v>-38.664593669913046</c:v>
                </c:pt>
                <c:pt idx="314">
                  <c:v>-38.824449267329683</c:v>
                </c:pt>
                <c:pt idx="315">
                  <c:v>-38.982836117344434</c:v>
                </c:pt>
                <c:pt idx="316">
                  <c:v>-39.139780800010449</c:v>
                </c:pt>
                <c:pt idx="317">
                  <c:v>-39.295309178244487</c:v>
                </c:pt>
                <c:pt idx="318">
                  <c:v>-39.449446423413555</c:v>
                </c:pt>
                <c:pt idx="319">
                  <c:v>-39.602217039789835</c:v>
                </c:pt>
                <c:pt idx="320">
                  <c:v>-39.753644887933376</c:v>
                </c:pt>
                <c:pt idx="321">
                  <c:v>-39.903753207058578</c:v>
                </c:pt>
                <c:pt idx="322">
                  <c:v>-40.052564636437026</c:v>
                </c:pt>
                <c:pt idx="323">
                  <c:v>-40.200101235886038</c:v>
                </c:pt>
                <c:pt idx="324">
                  <c:v>-40.346384505389558</c:v>
                </c:pt>
                <c:pt idx="325">
                  <c:v>-40.491435403894982</c:v>
                </c:pt>
                <c:pt idx="326">
                  <c:v>-40.635274367327263</c:v>
                </c:pt>
                <c:pt idx="327">
                  <c:v>-40.777921325859026</c:v>
                </c:pt>
                <c:pt idx="328">
                  <c:v>-40.919395720473304</c:v>
                </c:pt>
                <c:pt idx="329">
                  <c:v>-41.059716518853421</c:v>
                </c:pt>
                <c:pt idx="330">
                  <c:v>-41.198902230632584</c:v>
                </c:pt>
                <c:pt idx="331">
                  <c:v>-41.336970922033785</c:v>
                </c:pt>
                <c:pt idx="332">
                  <c:v>-41.473940229929312</c:v>
                </c:pt>
                <c:pt idx="333">
                  <c:v>-41.609827375346967</c:v>
                </c:pt>
                <c:pt idx="334">
                  <c:v>-41.744649176449194</c:v>
                </c:pt>
                <c:pt idx="335">
                  <c:v>-41.878422061009417</c:v>
                </c:pt>
                <c:pt idx="336">
                  <c:v>-42.011162078408958</c:v>
                </c:pt>
                <c:pt idx="337">
                  <c:v>-42.14288491117636</c:v>
                </c:pt>
                <c:pt idx="338">
                  <c:v>-42.273605886089996</c:v>
                </c:pt>
                <c:pt idx="339">
                  <c:v>-42.403339984863599</c:v>
                </c:pt>
                <c:pt idx="340">
                  <c:v>-42.532101854433371</c:v>
                </c:pt>
                <c:pt idx="341">
                  <c:v>-42.65990581686453</c:v>
                </c:pt>
                <c:pt idx="342">
                  <c:v>-42.786765878893796</c:v>
                </c:pt>
                <c:pt idx="343">
                  <c:v>-42.91269574112404</c:v>
                </c:pt>
                <c:pt idx="344">
                  <c:v>-43.037708806885995</c:v>
                </c:pt>
                <c:pt idx="345">
                  <c:v>-43.161818190781595</c:v>
                </c:pt>
                <c:pt idx="346">
                  <c:v>-43.285036726922321</c:v>
                </c:pt>
                <c:pt idx="347">
                  <c:v>-43.407376976875824</c:v>
                </c:pt>
                <c:pt idx="348">
                  <c:v>-43.528851237332887</c:v>
                </c:pt>
                <c:pt idx="349">
                  <c:v>-43.649471547506664</c:v>
                </c:pt>
                <c:pt idx="350">
                  <c:v>-43.769249696275104</c:v>
                </c:pt>
                <c:pt idx="351">
                  <c:v>-43.888197229077505</c:v>
                </c:pt>
                <c:pt idx="352">
                  <c:v>-44.006325454574934</c:v>
                </c:pt>
                <c:pt idx="353">
                  <c:v>-44.123645451084471</c:v>
                </c:pt>
                <c:pt idx="354">
                  <c:v>-44.240168072796202</c:v>
                </c:pt>
                <c:pt idx="355">
                  <c:v>-44.355903955781827</c:v>
                </c:pt>
                <c:pt idx="356">
                  <c:v>-44.470863523803203</c:v>
                </c:pt>
                <c:pt idx="357">
                  <c:v>-44.585056993928703</c:v>
                </c:pt>
                <c:pt idx="358">
                  <c:v>-44.698494381965084</c:v>
                </c:pt>
                <c:pt idx="359">
                  <c:v>-44.811185507711926</c:v>
                </c:pt>
                <c:pt idx="360">
                  <c:v>-44.92314000004577</c:v>
                </c:pt>
                <c:pt idx="361">
                  <c:v>-45.034367301840312</c:v>
                </c:pt>
                <c:pt idx="362">
                  <c:v>-45.144876674729176</c:v>
                </c:pt>
                <c:pt idx="363">
                  <c:v>-45.254677203717023</c:v>
                </c:pt>
                <c:pt idx="364">
                  <c:v>-45.363777801645078</c:v>
                </c:pt>
                <c:pt idx="365">
                  <c:v>-45.4721872135162</c:v>
                </c:pt>
                <c:pt idx="366">
                  <c:v>-45.579914020685088</c:v>
                </c:pt>
                <c:pt idx="367">
                  <c:v>-45.6869666449184</c:v>
                </c:pt>
                <c:pt idx="368">
                  <c:v>-45.793353352329746</c:v>
                </c:pt>
                <c:pt idx="369">
                  <c:v>-45.89908225719406</c:v>
                </c:pt>
                <c:pt idx="370">
                  <c:v>-46.004161325645931</c:v>
                </c:pt>
                <c:pt idx="371">
                  <c:v>-46.108598379265793</c:v>
                </c:pt>
                <c:pt idx="372">
                  <c:v>-46.212401098558395</c:v>
                </c:pt>
                <c:pt idx="373">
                  <c:v>-46.315577026327148</c:v>
                </c:pt>
                <c:pt idx="374">
                  <c:v>-46.418133570948179</c:v>
                </c:pt>
                <c:pt idx="375">
                  <c:v>-46.520078009547639</c:v>
                </c:pt>
                <c:pt idx="376">
                  <c:v>-46.621417491085666</c:v>
                </c:pt>
                <c:pt idx="377">
                  <c:v>-46.722159039350217</c:v>
                </c:pt>
                <c:pt idx="378">
                  <c:v>-46.822309555864095</c:v>
                </c:pt>
                <c:pt idx="379">
                  <c:v>-46.921875822707946</c:v>
                </c:pt>
                <c:pt idx="380">
                  <c:v>-47.020864505262246</c:v>
                </c:pt>
                <c:pt idx="381">
                  <c:v>-47.119282154871058</c:v>
                </c:pt>
                <c:pt idx="382">
                  <c:v>-47.217135211430204</c:v>
                </c:pt>
                <c:pt idx="383">
                  <c:v>-47.314430005902402</c:v>
                </c:pt>
                <c:pt idx="384">
                  <c:v>-47.411172762761836</c:v>
                </c:pt>
                <c:pt idx="385">
                  <c:v>-47.507369602370481</c:v>
                </c:pt>
                <c:pt idx="386">
                  <c:v>-47.603026543288571</c:v>
                </c:pt>
                <c:pt idx="387">
                  <c:v>-47.698149504521261</c:v>
                </c:pt>
                <c:pt idx="388">
                  <c:v>-47.792744307703671</c:v>
                </c:pt>
                <c:pt idx="389">
                  <c:v>-47.88681667922625</c:v>
                </c:pt>
                <c:pt idx="390">
                  <c:v>-47.980372252302523</c:v>
                </c:pt>
                <c:pt idx="391">
                  <c:v>-48.073416568980953</c:v>
                </c:pt>
                <c:pt idx="392">
                  <c:v>-48.165955082102847</c:v>
                </c:pt>
                <c:pt idx="393">
                  <c:v>-48.257993157207906</c:v>
                </c:pt>
                <c:pt idx="394">
                  <c:v>-48.349536074389199</c:v>
                </c:pt>
                <c:pt idx="395">
                  <c:v>-48.440589030099126</c:v>
                </c:pt>
                <c:pt idx="396">
                  <c:v>-48.531157138907872</c:v>
                </c:pt>
                <c:pt idx="397">
                  <c:v>-48.621245435215926</c:v>
                </c:pt>
                <c:pt idx="398">
                  <c:v>-48.710858874922032</c:v>
                </c:pt>
                <c:pt idx="399">
                  <c:v>-48.800002337047978</c:v>
                </c:pt>
                <c:pt idx="400">
                  <c:v>-48.888680625321577</c:v>
                </c:pt>
                <c:pt idx="401">
                  <c:v>-48.976898469719082</c:v>
                </c:pt>
                <c:pt idx="402">
                  <c:v>-49.064660527968329</c:v>
                </c:pt>
                <c:pt idx="403">
                  <c:v>-49.151971387013738</c:v>
                </c:pt>
                <c:pt idx="404">
                  <c:v>-49.238835564444408</c:v>
                </c:pt>
                <c:pt idx="405">
                  <c:v>-49.325257509886328</c:v>
                </c:pt>
                <c:pt idx="406">
                  <c:v>-49.411241606359852</c:v>
                </c:pt>
                <c:pt idx="407">
                  <c:v>-49.496792171603445</c:v>
                </c:pt>
                <c:pt idx="408">
                  <c:v>-49.581913459364685</c:v>
                </c:pt>
                <c:pt idx="409">
                  <c:v>-49.66660966065951</c:v>
                </c:pt>
                <c:pt idx="410">
                  <c:v>-49.750884905000675</c:v>
                </c:pt>
                <c:pt idx="411">
                  <c:v>-49.834743261596195</c:v>
                </c:pt>
                <c:pt idx="412">
                  <c:v>-49.918188740518865</c:v>
                </c:pt>
                <c:pt idx="413">
                  <c:v>-50.001225293847384</c:v>
                </c:pt>
                <c:pt idx="414">
                  <c:v>-50.08385681678029</c:v>
                </c:pt>
                <c:pt idx="415">
                  <c:v>-50.166087148723122</c:v>
                </c:pt>
                <c:pt idx="416">
                  <c:v>-50.247920074349778</c:v>
                </c:pt>
                <c:pt idx="417">
                  <c:v>-50.32935932463873</c:v>
                </c:pt>
                <c:pt idx="418">
                  <c:v>-50.410408577884915</c:v>
                </c:pt>
                <c:pt idx="419">
                  <c:v>-50.491071460687792</c:v>
                </c:pt>
                <c:pt idx="420">
                  <c:v>-50.571351548916397</c:v>
                </c:pt>
                <c:pt idx="421">
                  <c:v>-50.651252368651939</c:v>
                </c:pt>
                <c:pt idx="422">
                  <c:v>-50.730777397108696</c:v>
                </c:pt>
                <c:pt idx="423">
                  <c:v>-50.809930063533606</c:v>
                </c:pt>
                <c:pt idx="424">
                  <c:v>-50.88871375008533</c:v>
                </c:pt>
                <c:pt idx="425">
                  <c:v>-50.967131792693188</c:v>
                </c:pt>
                <c:pt idx="426">
                  <c:v>-51.045187481896704</c:v>
                </c:pt>
                <c:pt idx="427">
                  <c:v>-51.122884063666099</c:v>
                </c:pt>
                <c:pt idx="428">
                  <c:v>-51.200224740204334</c:v>
                </c:pt>
                <c:pt idx="429">
                  <c:v>-51.27721267073121</c:v>
                </c:pt>
                <c:pt idx="430">
                  <c:v>-51.353850972250015</c:v>
                </c:pt>
                <c:pt idx="431">
                  <c:v>-51.43014272029707</c:v>
                </c:pt>
                <c:pt idx="432">
                  <c:v>-51.506090949674793</c:v>
                </c:pt>
                <c:pt idx="433">
                  <c:v>-51.581698655168609</c:v>
                </c:pt>
                <c:pt idx="434">
                  <c:v>-51.656968792248122</c:v>
                </c:pt>
                <c:pt idx="435">
                  <c:v>-51.731904277753074</c:v>
                </c:pt>
                <c:pt idx="436">
                  <c:v>-51.806507990564313</c:v>
                </c:pt>
                <c:pt idx="437">
                  <c:v>-51.880782772260332</c:v>
                </c:pt>
                <c:pt idx="438">
                  <c:v>-51.954731427759633</c:v>
                </c:pt>
                <c:pt idx="439">
                  <c:v>-52.028356725949337</c:v>
                </c:pt>
                <c:pt idx="440">
                  <c:v>-52.101661400300387</c:v>
                </c:pt>
                <c:pt idx="441">
                  <c:v>-52.174648149469647</c:v>
                </c:pt>
                <c:pt idx="442">
                  <c:v>-52.247319637889305</c:v>
                </c:pt>
                <c:pt idx="443">
                  <c:v>-52.319678496343805</c:v>
                </c:pt>
                <c:pt idx="444">
                  <c:v>-52.391727322534685</c:v>
                </c:pt>
                <c:pt idx="445">
                  <c:v>-52.463468681633678</c:v>
                </c:pt>
                <c:pt idx="446">
                  <c:v>-52.534905106824176</c:v>
                </c:pt>
                <c:pt idx="447">
                  <c:v>-52.606039099831612</c:v>
                </c:pt>
                <c:pt idx="448">
                  <c:v>-52.676873131442797</c:v>
                </c:pt>
                <c:pt idx="449">
                  <c:v>-52.747409642014595</c:v>
                </c:pt>
                <c:pt idx="450">
                  <c:v>-52.817651041972276</c:v>
                </c:pt>
                <c:pt idx="451">
                  <c:v>-52.887599712297558</c:v>
                </c:pt>
                <c:pt idx="452">
                  <c:v>-52.957258005006899</c:v>
                </c:pt>
                <c:pt idx="453">
                  <c:v>-53.026628243619982</c:v>
                </c:pt>
                <c:pt idx="454">
                  <c:v>-53.095712723618874</c:v>
                </c:pt>
                <c:pt idx="455">
                  <c:v>-53.164513712897929</c:v>
                </c:pt>
                <c:pt idx="456">
                  <c:v>-53.233033452204623</c:v>
                </c:pt>
                <c:pt idx="457">
                  <c:v>-53.301274155571832</c:v>
                </c:pt>
                <c:pt idx="458">
                  <c:v>-53.369238010741284</c:v>
                </c:pt>
                <c:pt idx="459">
                  <c:v>-53.436927179578845</c:v>
                </c:pt>
                <c:pt idx="460">
                  <c:v>-53.504343798481528</c:v>
                </c:pt>
                <c:pt idx="461">
                  <c:v>-53.57148997877664</c:v>
                </c:pt>
                <c:pt idx="462">
                  <c:v>-53.638367807112985</c:v>
                </c:pt>
                <c:pt idx="463">
                  <c:v>-53.704979345844606</c:v>
                </c:pt>
                <c:pt idx="464">
                  <c:v>-53.771326633407057</c:v>
                </c:pt>
                <c:pt idx="465">
                  <c:v>-53.837411684686373</c:v>
                </c:pt>
                <c:pt idx="466">
                  <c:v>-53.903236491380994</c:v>
                </c:pt>
                <c:pt idx="467">
                  <c:v>-53.968803022356781</c:v>
                </c:pt>
                <c:pt idx="468">
                  <c:v>-54.034113223995213</c:v>
                </c:pt>
                <c:pt idx="469">
                  <c:v>-54.099169020535022</c:v>
                </c:pt>
                <c:pt idx="470">
                  <c:v>-54.163972314407317</c:v>
                </c:pt>
                <c:pt idx="471">
                  <c:v>-54.228524986564437</c:v>
                </c:pt>
                <c:pt idx="472">
                  <c:v>-54.292828896802597</c:v>
                </c:pt>
                <c:pt idx="473">
                  <c:v>-54.356885884078508</c:v>
                </c:pt>
                <c:pt idx="474">
                  <c:v>-54.420697766820119</c:v>
                </c:pt>
                <c:pt idx="475">
                  <c:v>-54.484266343231546</c:v>
                </c:pt>
                <c:pt idx="476">
                  <c:v>-54.547593391592379</c:v>
                </c:pt>
                <c:pt idx="477">
                  <c:v>-54.610680670551503</c:v>
                </c:pt>
                <c:pt idx="478">
                  <c:v>-54.673529919415472</c:v>
                </c:pt>
                <c:pt idx="479">
                  <c:v>-54.736142858431677</c:v>
                </c:pt>
                <c:pt idx="480">
                  <c:v>-54.798521189066221</c:v>
                </c:pt>
                <c:pt idx="481">
                  <c:v>-54.860666594276928</c:v>
                </c:pt>
                <c:pt idx="482">
                  <c:v>-54.922580738781271</c:v>
                </c:pt>
                <c:pt idx="483">
                  <c:v>-54.984265269319515</c:v>
                </c:pt>
                <c:pt idx="484">
                  <c:v>-55.045721814913136</c:v>
                </c:pt>
                <c:pt idx="485">
                  <c:v>-55.106951987118634</c:v>
                </c:pt>
                <c:pt idx="486">
                  <c:v>-55.167957380276746</c:v>
                </c:pt>
                <c:pt idx="487">
                  <c:v>-55.228739571757338</c:v>
                </c:pt>
                <c:pt idx="488">
                  <c:v>-55.289300122199847</c:v>
                </c:pt>
                <c:pt idx="489">
                  <c:v>-55.349640575749568</c:v>
                </c:pt>
                <c:pt idx="490">
                  <c:v>-55.409762460289727</c:v>
                </c:pt>
                <c:pt idx="491">
                  <c:v>-55.469667287669523</c:v>
                </c:pt>
                <c:pt idx="492">
                  <c:v>-55.52935655392816</c:v>
                </c:pt>
                <c:pt idx="493">
                  <c:v>-55.588831739515008</c:v>
                </c:pt>
                <c:pt idx="494">
                  <c:v>-55.648094309505936</c:v>
                </c:pt>
                <c:pt idx="495">
                  <c:v>-55.707145713815869</c:v>
                </c:pt>
                <c:pt idx="496">
                  <c:v>-55.765987387407762</c:v>
                </c:pt>
                <c:pt idx="497">
                  <c:v>-55.824620750497886</c:v>
                </c:pt>
                <c:pt idx="498">
                  <c:v>-55.883047208757716</c:v>
                </c:pt>
                <c:pt idx="499">
                  <c:v>-55.941268153512297</c:v>
                </c:pt>
                <c:pt idx="500">
                  <c:v>-55.999284961935231</c:v>
                </c:pt>
                <c:pt idx="501">
                  <c:v>-56.057098997240438</c:v>
                </c:pt>
                <c:pt idx="502">
                  <c:v>-56.114711608870628</c:v>
                </c:pt>
                <c:pt idx="503">
                  <c:v>-56.17212413268259</c:v>
                </c:pt>
                <c:pt idx="504">
                  <c:v>-56.229337891129404</c:v>
                </c:pt>
                <c:pt idx="505">
                  <c:v>-56.286354193439614</c:v>
                </c:pt>
                <c:pt idx="506">
                  <c:v>-56.343174335793407</c:v>
                </c:pt>
                <c:pt idx="507">
                  <c:v>-56.39979960149585</c:v>
                </c:pt>
                <c:pt idx="508">
                  <c:v>-56.456231261147309</c:v>
                </c:pt>
                <c:pt idx="509">
                  <c:v>-56.512470572810976</c:v>
                </c:pt>
                <c:pt idx="510">
                  <c:v>-56.568518782177762</c:v>
                </c:pt>
                <c:pt idx="511">
                  <c:v>-56.624377122728362</c:v>
                </c:pt>
                <c:pt idx="512">
                  <c:v>-56.68004681589278</c:v>
                </c:pt>
                <c:pt idx="513">
                  <c:v>-56.73552907120721</c:v>
                </c:pt>
                <c:pt idx="514">
                  <c:v>-56.790825086468303</c:v>
                </c:pt>
                <c:pt idx="515">
                  <c:v>-56.845936047885175</c:v>
                </c:pt>
                <c:pt idx="516">
                  <c:v>-56.900863130228608</c:v>
                </c:pt>
                <c:pt idx="517">
                  <c:v>-56.955607496978224</c:v>
                </c:pt>
                <c:pt idx="518">
                  <c:v>-57.010170300466996</c:v>
                </c:pt>
                <c:pt idx="519">
                  <c:v>-57.064552682023681</c:v>
                </c:pt>
                <c:pt idx="520">
                  <c:v>-57.118755772112841</c:v>
                </c:pt>
                <c:pt idx="521">
                  <c:v>-57.17278069047272</c:v>
                </c:pt>
                <c:pt idx="522">
                  <c:v>-57.226628546250893</c:v>
                </c:pt>
                <c:pt idx="523">
                  <c:v>-57.28030043813785</c:v>
                </c:pt>
                <c:pt idx="524">
                  <c:v>-57.333797454498345</c:v>
                </c:pt>
                <c:pt idx="525">
                  <c:v>-57.387120673500867</c:v>
                </c:pt>
                <c:pt idx="526">
                  <c:v>-57.440271163244965</c:v>
                </c:pt>
                <c:pt idx="527">
                  <c:v>-57.493249981886585</c:v>
                </c:pt>
                <c:pt idx="528">
                  <c:v>-57.546058177761587</c:v>
                </c:pt>
                <c:pt idx="529">
                  <c:v>-57.598696789507173</c:v>
                </c:pt>
                <c:pt idx="530">
                  <c:v>-57.65116684618161</c:v>
                </c:pt>
                <c:pt idx="531">
                  <c:v>-57.703469367382013</c:v>
                </c:pt>
                <c:pt idx="532">
                  <c:v>-57.75560536336036</c:v>
                </c:pt>
                <c:pt idx="533">
                  <c:v>-57.807575835137683</c:v>
                </c:pt>
                <c:pt idx="534">
                  <c:v>-57.859381774616629</c:v>
                </c:pt>
                <c:pt idx="535">
                  <c:v>-57.911024164692193</c:v>
                </c:pt>
                <c:pt idx="536">
                  <c:v>-57.962503979360854</c:v>
                </c:pt>
                <c:pt idx="537">
                  <c:v>-58.013822183828026</c:v>
                </c:pt>
                <c:pt idx="538">
                  <c:v>-58.064979734613893</c:v>
                </c:pt>
                <c:pt idx="539">
                  <c:v>-58.115977579657674</c:v>
                </c:pt>
                <c:pt idx="540">
                  <c:v>-58.166816658420345</c:v>
                </c:pt>
                <c:pt idx="541">
                  <c:v>-58.217497901985752</c:v>
                </c:pt>
                <c:pt idx="542">
                  <c:v>-58.26802223316033</c:v>
                </c:pt>
                <c:pt idx="543">
                  <c:v>-58.318390566571232</c:v>
                </c:pt>
                <c:pt idx="544">
                  <c:v>-58.368603808763105</c:v>
                </c:pt>
                <c:pt idx="545">
                  <c:v>-58.418662858293388</c:v>
                </c:pt>
                <c:pt idx="546">
                  <c:v>-58.468568605826178</c:v>
                </c:pt>
                <c:pt idx="547">
                  <c:v>-58.518321934224844</c:v>
                </c:pt>
                <c:pt idx="548">
                  <c:v>-58.567923718643122</c:v>
                </c:pt>
                <c:pt idx="549">
                  <c:v>-58.617374826615027</c:v>
                </c:pt>
                <c:pt idx="550">
                  <c:v>-58.666676118143357</c:v>
                </c:pt>
                <c:pt idx="551">
                  <c:v>-58.715828445786975</c:v>
                </c:pt>
                <c:pt idx="552">
                  <c:v>-58.764832654746833</c:v>
                </c:pt>
                <c:pt idx="553">
                  <c:v>-58.813689582950701</c:v>
                </c:pt>
                <c:pt idx="554">
                  <c:v>-58.862400061136746</c:v>
                </c:pt>
                <c:pt idx="555">
                  <c:v>-58.910964912935867</c:v>
                </c:pt>
                <c:pt idx="556">
                  <c:v>-58.959384954952874</c:v>
                </c:pt>
                <c:pt idx="557">
                  <c:v>-59.007660996846539</c:v>
                </c:pt>
                <c:pt idx="558">
                  <c:v>-59.055793841408438</c:v>
                </c:pt>
                <c:pt idx="559">
                  <c:v>-59.103784284640746</c:v>
                </c:pt>
                <c:pt idx="560">
                  <c:v>-59.151633115832894</c:v>
                </c:pt>
                <c:pt idx="561">
                  <c:v>-59.199341117637196</c:v>
                </c:pt>
                <c:pt idx="562">
                  <c:v>-59.24690906614336</c:v>
                </c:pt>
                <c:pt idx="563">
                  <c:v>-59.294337730951938</c:v>
                </c:pt>
                <c:pt idx="564">
                  <c:v>-59.341627875246857</c:v>
                </c:pt>
                <c:pt idx="565">
                  <c:v>-59.388780255866862</c:v>
                </c:pt>
                <c:pt idx="566">
                  <c:v>-59.435795623375931</c:v>
                </c:pt>
                <c:pt idx="567">
                  <c:v>-59.482674722132799</c:v>
                </c:pt>
                <c:pt idx="568">
                  <c:v>-59.529418290359494</c:v>
                </c:pt>
                <c:pt idx="569">
                  <c:v>-59.576027060208901</c:v>
                </c:pt>
                <c:pt idx="570">
                  <c:v>-59.622501757831458</c:v>
                </c:pt>
                <c:pt idx="571">
                  <c:v>-59.668843103440821</c:v>
                </c:pt>
                <c:pt idx="572">
                  <c:v>-59.715051811378821</c:v>
                </c:pt>
                <c:pt idx="573">
                  <c:v>-59.761128590179347</c:v>
                </c:pt>
                <c:pt idx="574">
                  <c:v>-59.807074142631471</c:v>
                </c:pt>
                <c:pt idx="575">
                  <c:v>-59.852889165841702</c:v>
                </c:pt>
                <c:pt idx="576">
                  <c:v>-59.898574351295359</c:v>
                </c:pt>
                <c:pt idx="577">
                  <c:v>-59.94413038491718</c:v>
                </c:pt>
                <c:pt idx="578">
                  <c:v>-59.989557947131061</c:v>
                </c:pt>
                <c:pt idx="579">
                  <c:v>-60.03485771291902</c:v>
                </c:pt>
                <c:pt idx="580">
                  <c:v>-60.080030351879358</c:v>
                </c:pt>
                <c:pt idx="581">
                  <c:v>-60.125076528284112</c:v>
                </c:pt>
                <c:pt idx="582">
                  <c:v>-60.169996901135612</c:v>
                </c:pt>
                <c:pt idx="583">
                  <c:v>-60.214792124222413</c:v>
                </c:pt>
                <c:pt idx="584">
                  <c:v>-60.259462846174436</c:v>
                </c:pt>
                <c:pt idx="585">
                  <c:v>-60.304009710517398</c:v>
                </c:pt>
                <c:pt idx="586">
                  <c:v>-60.348433355726456</c:v>
                </c:pt>
                <c:pt idx="587">
                  <c:v>-60.392734415279307</c:v>
                </c:pt>
                <c:pt idx="588">
                  <c:v>-60.436913517708383</c:v>
                </c:pt>
                <c:pt idx="589">
                  <c:v>-60.480971286652562</c:v>
                </c:pt>
                <c:pt idx="590">
                  <c:v>-60.524908340908084</c:v>
                </c:pt>
                <c:pt idx="591">
                  <c:v>-60.568725294478824</c:v>
                </c:pt>
                <c:pt idx="592">
                  <c:v>-60.612422756625961</c:v>
                </c:pt>
                <c:pt idx="593">
                  <c:v>-60.656001331916954</c:v>
                </c:pt>
                <c:pt idx="594">
                  <c:v>-60.699461620273951</c:v>
                </c:pt>
                <c:pt idx="595">
                  <c:v>-60.742804217021472</c:v>
                </c:pt>
                <c:pt idx="596">
                  <c:v>-60.786029712933576</c:v>
                </c:pt>
                <c:pt idx="597">
                  <c:v>-60.829138694280431</c:v>
                </c:pt>
                <c:pt idx="598">
                  <c:v>-60.87213174287416</c:v>
                </c:pt>
                <c:pt idx="599">
                  <c:v>-60.915009436114289</c:v>
                </c:pt>
                <c:pt idx="600">
                  <c:v>-60.95777234703246</c:v>
                </c:pt>
                <c:pt idx="601">
                  <c:v>-61.000421044336683</c:v>
                </c:pt>
                <c:pt idx="602">
                  <c:v>-61.042956092454986</c:v>
                </c:pt>
                <c:pt idx="603">
                  <c:v>-61.085378051578509</c:v>
                </c:pt>
                <c:pt idx="604">
                  <c:v>-61.127687477704036</c:v>
                </c:pt>
                <c:pt idx="605">
                  <c:v>-61.169884922676118</c:v>
                </c:pt>
                <c:pt idx="606">
                  <c:v>-63.148080212852861</c:v>
                </c:pt>
                <c:pt idx="607">
                  <c:v>-64.90368536814313</c:v>
                </c:pt>
                <c:pt idx="608">
                  <c:v>-66.478280674835361</c:v>
                </c:pt>
                <c:pt idx="609">
                  <c:v>-67.902675359477527</c:v>
                </c:pt>
                <c:pt idx="610">
                  <c:v>-69.200365731116904</c:v>
                </c:pt>
                <c:pt idx="611">
                  <c:v>-70.389706388663939</c:v>
                </c:pt>
                <c:pt idx="612">
                  <c:v>-71.48532922031653</c:v>
                </c:pt>
                <c:pt idx="613">
                  <c:v>-72.499102510471062</c:v>
                </c:pt>
                <c:pt idx="614">
                  <c:v>-73.440798045190476</c:v>
                </c:pt>
                <c:pt idx="615">
                  <c:v>-74.318566749628289</c:v>
                </c:pt>
                <c:pt idx="616">
                  <c:v>-75.139285242399325</c:v>
                </c:pt>
                <c:pt idx="617">
                  <c:v>-75.908813231726015</c:v>
                </c:pt>
                <c:pt idx="618">
                  <c:v>-76.203443437680122</c:v>
                </c:pt>
                <c:pt idx="619">
                  <c:v>-76.4909871532154</c:v>
                </c:pt>
                <c:pt idx="620">
                  <c:v>-76.771719057275675</c:v>
                </c:pt>
                <c:pt idx="621">
                  <c:v>-77.045899122415591</c:v>
                </c:pt>
                <c:pt idx="622">
                  <c:v>-77.313773656704029</c:v>
                </c:pt>
                <c:pt idx="623">
                  <c:v>-77.57557625247226</c:v>
                </c:pt>
                <c:pt idx="624">
                  <c:v>-77.831528651865952</c:v>
                </c:pt>
                <c:pt idx="625">
                  <c:v>-78.081841537938573</c:v>
                </c:pt>
                <c:pt idx="626">
                  <c:v>-78.326715258970808</c:v>
                </c:pt>
                <c:pt idx="627">
                  <c:v>-78.56634049278864</c:v>
                </c:pt>
                <c:pt idx="628">
                  <c:v>-78.800898857062791</c:v>
                </c:pt>
                <c:pt idx="629">
                  <c:v>-79.030563470884502</c:v>
                </c:pt>
                <c:pt idx="630">
                  <c:v>-79.255499472314639</c:v>
                </c:pt>
                <c:pt idx="631">
                  <c:v>-79.475864496079311</c:v>
                </c:pt>
                <c:pt idx="632">
                  <c:v>-79.691809115128237</c:v>
                </c:pt>
                <c:pt idx="633">
                  <c:v>-79.903477249370496</c:v>
                </c:pt>
                <c:pt idx="634">
                  <c:v>-80.111006544549426</c:v>
                </c:pt>
                <c:pt idx="635">
                  <c:v>-80.314528723908211</c:v>
                </c:pt>
                <c:pt idx="636">
                  <c:v>-80.514169915023501</c:v>
                </c:pt>
                <c:pt idx="637">
                  <c:v>-80.710050953942527</c:v>
                </c:pt>
                <c:pt idx="638">
                  <c:v>-80.902287668544361</c:v>
                </c:pt>
                <c:pt idx="639">
                  <c:v>-81.090991142856709</c:v>
                </c:pt>
                <c:pt idx="640">
                  <c:v>-81.276267963889879</c:v>
                </c:pt>
                <c:pt idx="641">
                  <c:v>-81.458220452399743</c:v>
                </c:pt>
                <c:pt idx="642">
                  <c:v>-81.636946878857941</c:v>
                </c:pt>
                <c:pt idx="643">
                  <c:v>-81.812541665787094</c:v>
                </c:pt>
                <c:pt idx="644">
                  <c:v>-81.985095577513079</c:v>
                </c:pt>
                <c:pt idx="645">
                  <c:v>-82.154695898289845</c:v>
                </c:pt>
                <c:pt idx="646">
                  <c:v>-82.321426599667035</c:v>
                </c:pt>
                <c:pt idx="647">
                  <c:v>-82.485368497893546</c:v>
                </c:pt>
                <c:pt idx="648">
                  <c:v>-82.646599402080639</c:v>
                </c:pt>
                <c:pt idx="649">
                  <c:v>-82.80519425378651</c:v>
                </c:pt>
                <c:pt idx="650">
                  <c:v>-82.961225258627337</c:v>
                </c:pt>
                <c:pt idx="651">
                  <c:v>-83.114762010469505</c:v>
                </c:pt>
                <c:pt idx="652">
                  <c:v>-83.265871608712018</c:v>
                </c:pt>
                <c:pt idx="653">
                  <c:v>-83.414618769126037</c:v>
                </c:pt>
                <c:pt idx="654">
                  <c:v>-83.561065928681373</c:v>
                </c:pt>
                <c:pt idx="655">
                  <c:v>-83.705273344755568</c:v>
                </c:pt>
                <c:pt idx="656">
                  <c:v>-83.847299189090052</c:v>
                </c:pt>
                <c:pt idx="657">
                  <c:v>-83.987199636829772</c:v>
                </c:pt>
                <c:pt idx="658">
                  <c:v>-84.125028950957045</c:v>
                </c:pt>
                <c:pt idx="659">
                  <c:v>-84.260839562406886</c:v>
                </c:pt>
                <c:pt idx="660">
                  <c:v>-84.394682146130023</c:v>
                </c:pt>
                <c:pt idx="661">
                  <c:v>-84.526605693349737</c:v>
                </c:pt>
                <c:pt idx="662">
                  <c:v>-84.656657580241315</c:v>
                </c:pt>
                <c:pt idx="663">
                  <c:v>-84.784883633246508</c:v>
                </c:pt>
                <c:pt idx="664">
                  <c:v>-84.91132819121998</c:v>
                </c:pt>
                <c:pt idx="665">
                  <c:v>-85.036034164591683</c:v>
                </c:pt>
                <c:pt idx="666">
                  <c:v>-85.159043091715574</c:v>
                </c:pt>
                <c:pt idx="667">
                  <c:v>-85.280395192564526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-1.2984187753760023E-3</c:v>
                </c:pt>
                <c:pt idx="1">
                  <c:v>-2.5968375839256494E-3</c:v>
                </c:pt>
                <c:pt idx="2">
                  <c:v>-3.8952564588225903E-3</c:v>
                </c:pt>
                <c:pt idx="3">
                  <c:v>-5.1936754332404765E-3</c:v>
                </c:pt>
                <c:pt idx="4">
                  <c:v>-6.492094540352971E-3</c:v>
                </c:pt>
                <c:pt idx="5">
                  <c:v>-7.790513813333743E-3</c:v>
                </c:pt>
                <c:pt idx="6">
                  <c:v>-9.0889332853564819E-3</c:v>
                </c:pt>
                <c:pt idx="7">
                  <c:v>-1.0387352989594888E-2</c:v>
                </c:pt>
                <c:pt idx="8">
                  <c:v>-1.1685772959222678E-2</c:v>
                </c:pt>
                <c:pt idx="9">
                  <c:v>-1.2984193227413603E-2</c:v>
                </c:pt>
                <c:pt idx="10">
                  <c:v>-2.5968419628538988E-2</c:v>
                </c:pt>
                <c:pt idx="11">
                  <c:v>-3.895271237735734E-2</c:v>
                </c:pt>
                <c:pt idx="12">
                  <c:v>-5.1937104648388598E-2</c:v>
                </c:pt>
                <c:pt idx="13">
                  <c:v>-6.4921629616960894E-2</c:v>
                </c:pt>
                <c:pt idx="14">
                  <c:v>-7.7906320459479955E-2</c:v>
                </c:pt>
                <c:pt idx="15">
                  <c:v>-9.0891210353698487E-2</c:v>
                </c:pt>
                <c:pt idx="16">
                  <c:v>-0.10387633247898574</c:v>
                </c:pt>
                <c:pt idx="17">
                  <c:v>-0.11686172001659688</c:v>
                </c:pt>
                <c:pt idx="18">
                  <c:v>-0.12984740614994247</c:v>
                </c:pt>
                <c:pt idx="19">
                  <c:v>-0.25972799268004615</c:v>
                </c:pt>
                <c:pt idx="20">
                  <c:v>-0.38967496692358861</c:v>
                </c:pt>
                <c:pt idx="21">
                  <c:v>-0.51972159016397323</c:v>
                </c:pt>
                <c:pt idx="22">
                  <c:v>-0.64990120471964019</c:v>
                </c:pt>
                <c:pt idx="23">
                  <c:v>-0.78024726116112042</c:v>
                </c:pt>
                <c:pt idx="24">
                  <c:v>-0.91079334570482318</c:v>
                </c:pt>
                <c:pt idx="25">
                  <c:v>-1.0415732078286191</c:v>
                </c:pt>
                <c:pt idx="26">
                  <c:v>-1.1726207881548596</c:v>
                </c:pt>
                <c:pt idx="27">
                  <c:v>-1.3039702466472036</c:v>
                </c:pt>
                <c:pt idx="28">
                  <c:v>-1.9664602986590694</c:v>
                </c:pt>
                <c:pt idx="29">
                  <c:v>-2.6417987262486338</c:v>
                </c:pt>
                <c:pt idx="30">
                  <c:v>-3.3346832240790403</c:v>
                </c:pt>
                <c:pt idx="31">
                  <c:v>-4.0501894873441682</c:v>
                </c:pt>
                <c:pt idx="32">
                  <c:v>-4.7938954782339129</c:v>
                </c:pt>
                <c:pt idx="33">
                  <c:v>-5.5720285410149497</c:v>
                </c:pt>
                <c:pt idx="34">
                  <c:v>-6.3916433218970825</c:v>
                </c:pt>
                <c:pt idx="35">
                  <c:v>-7.2608408396658159</c:v>
                </c:pt>
                <c:pt idx="36">
                  <c:v>-8.1890423857600876</c:v>
                </c:pt>
                <c:pt idx="37">
                  <c:v>-9.1873365717657745</c:v>
                </c:pt>
                <c:pt idx="38">
                  <c:v>-10.26892429877055</c:v>
                </c:pt>
                <c:pt idx="39">
                  <c:v>-11.44969539877254</c:v>
                </c:pt>
                <c:pt idx="40">
                  <c:v>-12.74898312216666</c:v>
                </c:pt>
                <c:pt idx="41">
                  <c:v>-14.190559651755175</c:v>
                </c:pt>
                <c:pt idx="42">
                  <c:v>-15.803958547669676</c:v>
                </c:pt>
                <c:pt idx="43">
                  <c:v>-17.626238885517356</c:v>
                </c:pt>
                <c:pt idx="44">
                  <c:v>-19.704338488950174</c:v>
                </c:pt>
                <c:pt idx="45">
                  <c:v>-22.098189593909058</c:v>
                </c:pt>
                <c:pt idx="46">
                  <c:v>-24.884757614334045</c:v>
                </c:pt>
                <c:pt idx="47">
                  <c:v>-28.163027768395491</c:v>
                </c:pt>
                <c:pt idx="48">
                  <c:v>-32.05949916360094</c:v>
                </c:pt>
                <c:pt idx="49">
                  <c:v>-36.732494670545591</c:v>
                </c:pt>
                <c:pt idx="50">
                  <c:v>-42.370694482545041</c:v>
                </c:pt>
                <c:pt idx="51">
                  <c:v>-49.175690853062434</c:v>
                </c:pt>
                <c:pt idx="52">
                  <c:v>-57.310933902875412</c:v>
                </c:pt>
                <c:pt idx="53">
                  <c:v>-66.800219439083094</c:v>
                </c:pt>
                <c:pt idx="54">
                  <c:v>-77.394755362506231</c:v>
                </c:pt>
                <c:pt idx="55">
                  <c:v>-88.510806033388292</c:v>
                </c:pt>
                <c:pt idx="56">
                  <c:v>-99.368158351324993</c:v>
                </c:pt>
                <c:pt idx="57">
                  <c:v>-109.28561489998235</c:v>
                </c:pt>
                <c:pt idx="58">
                  <c:v>-117.89424572011272</c:v>
                </c:pt>
                <c:pt idx="59">
                  <c:v>-125.13571198729649</c:v>
                </c:pt>
                <c:pt idx="60">
                  <c:v>-131.13814751076899</c:v>
                </c:pt>
                <c:pt idx="61">
                  <c:v>-136.09773807996478</c:v>
                </c:pt>
                <c:pt idx="62">
                  <c:v>-140.21092549026687</c:v>
                </c:pt>
                <c:pt idx="63">
                  <c:v>-143.64737598757659</c:v>
                </c:pt>
                <c:pt idx="64">
                  <c:v>-146.54439143485055</c:v>
                </c:pt>
                <c:pt idx="65">
                  <c:v>-149.00991720696328</c:v>
                </c:pt>
                <c:pt idx="66">
                  <c:v>-151.12791163601668</c:v>
                </c:pt>
                <c:pt idx="67">
                  <c:v>-152.96360264349065</c:v>
                </c:pt>
                <c:pt idx="68">
                  <c:v>-154.56787181603835</c:v>
                </c:pt>
                <c:pt idx="69">
                  <c:v>-155.98067983163583</c:v>
                </c:pt>
                <c:pt idx="70">
                  <c:v>-157.23366680849151</c:v>
                </c:pt>
                <c:pt idx="71">
                  <c:v>-158.35210356529427</c:v>
                </c:pt>
                <c:pt idx="72">
                  <c:v>-159.35635208958786</c:v>
                </c:pt>
                <c:pt idx="73">
                  <c:v>-160.26296133304683</c:v>
                </c:pt>
                <c:pt idx="74">
                  <c:v>-161.085493711646</c:v>
                </c:pt>
                <c:pt idx="75">
                  <c:v>-161.83515273703557</c:v>
                </c:pt>
                <c:pt idx="76">
                  <c:v>-162.52126326218351</c:v>
                </c:pt>
                <c:pt idx="77">
                  <c:v>-163.15164188223616</c:v>
                </c:pt>
                <c:pt idx="78">
                  <c:v>-163.73288491458098</c:v>
                </c:pt>
                <c:pt idx="79">
                  <c:v>-164.27059407871175</c:v>
                </c:pt>
                <c:pt idx="80">
                  <c:v>-164.76955472443001</c:v>
                </c:pt>
                <c:pt idx="81">
                  <c:v>-165.2338776397238</c:v>
                </c:pt>
                <c:pt idx="82">
                  <c:v>-165.66711269243012</c:v>
                </c:pt>
                <c:pt idx="83">
                  <c:v>-166.07234052713787</c:v>
                </c:pt>
                <c:pt idx="84">
                  <c:v>-166.45224704127338</c:v>
                </c:pt>
                <c:pt idx="85">
                  <c:v>-166.80918425339976</c:v>
                </c:pt>
                <c:pt idx="86">
                  <c:v>-167.14522034681636</c:v>
                </c:pt>
                <c:pt idx="87">
                  <c:v>-167.46218104711917</c:v>
                </c:pt>
                <c:pt idx="88">
                  <c:v>-167.76168401929939</c:v>
                </c:pt>
                <c:pt idx="89">
                  <c:v>-168.04516760907802</c:v>
                </c:pt>
                <c:pt idx="90">
                  <c:v>-168.31391497605216</c:v>
                </c:pt>
                <c:pt idx="91">
                  <c:v>-168.56907445203851</c:v>
                </c:pt>
                <c:pt idx="92">
                  <c:v>-168.81167679142371</c:v>
                </c:pt>
                <c:pt idx="93">
                  <c:v>-169.04264984998912</c:v>
                </c:pt>
                <c:pt idx="94">
                  <c:v>-169.26283112610409</c:v>
                </c:pt>
                <c:pt idx="95">
                  <c:v>-169.47297851699801</c:v>
                </c:pt>
                <c:pt idx="96">
                  <c:v>-169.67377957822802</c:v>
                </c:pt>
                <c:pt idx="97">
                  <c:v>-169.86585952279054</c:v>
                </c:pt>
                <c:pt idx="98">
                  <c:v>-170.04978815479632</c:v>
                </c:pt>
                <c:pt idx="99">
                  <c:v>-170.226085899081</c:v>
                </c:pt>
                <c:pt idx="100">
                  <c:v>-170.39522906090599</c:v>
                </c:pt>
                <c:pt idx="101">
                  <c:v>-170.55765442771641</c:v>
                </c:pt>
                <c:pt idx="102">
                  <c:v>-170.71376330676432</c:v>
                </c:pt>
                <c:pt idx="103">
                  <c:v>-170.86392507747817</c:v>
                </c:pt>
                <c:pt idx="104">
                  <c:v>-171.00848032514338</c:v>
                </c:pt>
                <c:pt idx="105">
                  <c:v>-171.14774361225432</c:v>
                </c:pt>
                <c:pt idx="106">
                  <c:v>-171.2820059354174</c:v>
                </c:pt>
                <c:pt idx="107">
                  <c:v>-171.41153690860526</c:v>
                </c:pt>
                <c:pt idx="108">
                  <c:v>-171.53658670763738</c:v>
                </c:pt>
                <c:pt idx="109">
                  <c:v>-171.65738780578494</c:v>
                </c:pt>
                <c:pt idx="110">
                  <c:v>-171.77415652620249</c:v>
                </c:pt>
                <c:pt idx="111">
                  <c:v>-171.88709443334406</c:v>
                </c:pt>
                <c:pt idx="112">
                  <c:v>-171.99638958251424</c:v>
                </c:pt>
                <c:pt idx="113">
                  <c:v>-172.1022176441503</c:v>
                </c:pt>
                <c:pt idx="114">
                  <c:v>-172.20474291725111</c:v>
                </c:pt>
                <c:pt idx="115">
                  <c:v>-172.30411924450516</c:v>
                </c:pt>
                <c:pt idx="116">
                  <c:v>-172.4004908400737</c:v>
                </c:pt>
                <c:pt idx="117">
                  <c:v>-172.4939930396126</c:v>
                </c:pt>
                <c:pt idx="118">
                  <c:v>-172.5847529809331</c:v>
                </c:pt>
                <c:pt idx="119">
                  <c:v>-172.67289022268193</c:v>
                </c:pt>
                <c:pt idx="120">
                  <c:v>-172.75851730753681</c:v>
                </c:pt>
                <c:pt idx="121">
                  <c:v>-172.84174027564734</c:v>
                </c:pt>
                <c:pt idx="122">
                  <c:v>-172.9226591333848</c:v>
                </c:pt>
                <c:pt idx="123">
                  <c:v>-173.001368281883</c:v>
                </c:pt>
                <c:pt idx="124">
                  <c:v>-173.07795690934779</c:v>
                </c:pt>
                <c:pt idx="125">
                  <c:v>-173.15250935066632</c:v>
                </c:pt>
                <c:pt idx="126">
                  <c:v>-173.2251054174622</c:v>
                </c:pt>
                <c:pt idx="127">
                  <c:v>-173.2958207013985</c:v>
                </c:pt>
                <c:pt idx="128">
                  <c:v>-173.36472685323281</c:v>
                </c:pt>
                <c:pt idx="129">
                  <c:v>-173.43189183986274</c:v>
                </c:pt>
                <c:pt idx="130">
                  <c:v>-173.49738018136742</c:v>
                </c:pt>
                <c:pt idx="131">
                  <c:v>-173.56125316984429</c:v>
                </c:pt>
                <c:pt idx="132">
                  <c:v>-173.62356907165696</c:v>
                </c:pt>
                <c:pt idx="133">
                  <c:v>-173.68438331454917</c:v>
                </c:pt>
                <c:pt idx="134">
                  <c:v>-173.74374866093342</c:v>
                </c:pt>
                <c:pt idx="135">
                  <c:v>-173.80171536853794</c:v>
                </c:pt>
                <c:pt idx="136">
                  <c:v>-173.85833133947787</c:v>
                </c:pt>
                <c:pt idx="137">
                  <c:v>-173.91364225871718</c:v>
                </c:pt>
                <c:pt idx="138">
                  <c:v>-173.96769172279559</c:v>
                </c:pt>
                <c:pt idx="139">
                  <c:v>-174.02052135961313</c:v>
                </c:pt>
                <c:pt idx="140">
                  <c:v>-174.07217093999222</c:v>
                </c:pt>
                <c:pt idx="141">
                  <c:v>-174.12267848167153</c:v>
                </c:pt>
                <c:pt idx="142">
                  <c:v>-174.17208034632654</c:v>
                </c:pt>
                <c:pt idx="143">
                  <c:v>-174.22041133015944</c:v>
                </c:pt>
                <c:pt idx="144">
                  <c:v>-174.26770474855201</c:v>
                </c:pt>
                <c:pt idx="145">
                  <c:v>-174.31399251523379</c:v>
                </c:pt>
                <c:pt idx="146">
                  <c:v>-174.35930521637707</c:v>
                </c:pt>
                <c:pt idx="147">
                  <c:v>-174.40367217999631</c:v>
                </c:pt>
                <c:pt idx="148">
                  <c:v>-174.4471215409979</c:v>
                </c:pt>
                <c:pt idx="149">
                  <c:v>-174.48968030219575</c:v>
                </c:pt>
                <c:pt idx="150">
                  <c:v>-174.53137439158451</c:v>
                </c:pt>
                <c:pt idx="151">
                  <c:v>-174.57222871613581</c:v>
                </c:pt>
                <c:pt idx="152">
                  <c:v>-174.612267212364</c:v>
                </c:pt>
                <c:pt idx="153">
                  <c:v>-174.65151289388584</c:v>
                </c:pt>
                <c:pt idx="154">
                  <c:v>-174.68998789618234</c:v>
                </c:pt>
                <c:pt idx="155">
                  <c:v>-174.72771351875389</c:v>
                </c:pt>
                <c:pt idx="156">
                  <c:v>-174.76471026484543</c:v>
                </c:pt>
                <c:pt idx="157">
                  <c:v>-174.80099787890444</c:v>
                </c:pt>
                <c:pt idx="158">
                  <c:v>-174.83659538192168</c:v>
                </c:pt>
                <c:pt idx="159">
                  <c:v>-174.87152110479545</c:v>
                </c:pt>
                <c:pt idx="160">
                  <c:v>-174.90579271984578</c:v>
                </c:pt>
                <c:pt idx="161">
                  <c:v>-174.93942727059994</c:v>
                </c:pt>
                <c:pt idx="162">
                  <c:v>-174.97244119995869</c:v>
                </c:pt>
                <c:pt idx="163">
                  <c:v>-175.00485037684558</c:v>
                </c:pt>
                <c:pt idx="164">
                  <c:v>-175.03667012143478</c:v>
                </c:pt>
                <c:pt idx="165">
                  <c:v>-175.06791522904606</c:v>
                </c:pt>
                <c:pt idx="166">
                  <c:v>-175.09859999278794</c:v>
                </c:pt>
                <c:pt idx="167">
                  <c:v>-175.12873822502652</c:v>
                </c:pt>
                <c:pt idx="168">
                  <c:v>-175.15834327774974</c:v>
                </c:pt>
                <c:pt idx="169">
                  <c:v>-175.18742806189488</c:v>
                </c:pt>
                <c:pt idx="170">
                  <c:v>-175.21600506569902</c:v>
                </c:pt>
                <c:pt idx="171">
                  <c:v>-175.24408637213125</c:v>
                </c:pt>
                <c:pt idx="172">
                  <c:v>-175.27168367545971</c:v>
                </c:pt>
                <c:pt idx="173">
                  <c:v>-175.29880829700375</c:v>
                </c:pt>
                <c:pt idx="174">
                  <c:v>-175.32547120011762</c:v>
                </c:pt>
                <c:pt idx="175">
                  <c:v>-175.3516830044496</c:v>
                </c:pt>
                <c:pt idx="176">
                  <c:v>-175.37745399951751</c:v>
                </c:pt>
                <c:pt idx="177">
                  <c:v>-175.40279415763862</c:v>
                </c:pt>
                <c:pt idx="178">
                  <c:v>-175.42771314624994</c:v>
                </c:pt>
                <c:pt idx="179">
                  <c:v>-175.4522203396522</c:v>
                </c:pt>
                <c:pt idx="180">
                  <c:v>-175.47632483020919</c:v>
                </c:pt>
                <c:pt idx="181">
                  <c:v>-175.5000354390319</c:v>
                </c:pt>
                <c:pt idx="182">
                  <c:v>-175.52336072617518</c:v>
                </c:pt>
                <c:pt idx="183">
                  <c:v>-175.54630900037222</c:v>
                </c:pt>
                <c:pt idx="184">
                  <c:v>-175.56888832833246</c:v>
                </c:pt>
                <c:pt idx="185">
                  <c:v>-175.59110654362485</c:v>
                </c:pt>
                <c:pt idx="186">
                  <c:v>-175.61297125516842</c:v>
                </c:pt>
                <c:pt idx="187">
                  <c:v>-175.63448985535021</c:v>
                </c:pt>
                <c:pt idx="188">
                  <c:v>-175.65566952779008</c:v>
                </c:pt>
                <c:pt idx="189">
                  <c:v>-175.67651725476969</c:v>
                </c:pt>
                <c:pt idx="190">
                  <c:v>-175.69703982434345</c:v>
                </c:pt>
                <c:pt idx="191">
                  <c:v>-175.71724383714613</c:v>
                </c:pt>
                <c:pt idx="192">
                  <c:v>-175.73713571291381</c:v>
                </c:pt>
                <c:pt idx="193">
                  <c:v>-175.75672169673089</c:v>
                </c:pt>
                <c:pt idx="194">
                  <c:v>-175.77600786501708</c:v>
                </c:pt>
                <c:pt idx="195">
                  <c:v>-175.79500013126741</c:v>
                </c:pt>
                <c:pt idx="196">
                  <c:v>-175.8137042515568</c:v>
                </c:pt>
                <c:pt idx="197">
                  <c:v>-175.83212582981992</c:v>
                </c:pt>
                <c:pt idx="198">
                  <c:v>-175.85027032291845</c:v>
                </c:pt>
                <c:pt idx="199">
                  <c:v>-175.8681430455043</c:v>
                </c:pt>
                <c:pt idx="200">
                  <c:v>-175.88574917468924</c:v>
                </c:pt>
                <c:pt idx="201">
                  <c:v>-175.90309375452969</c:v>
                </c:pt>
                <c:pt idx="202">
                  <c:v>-175.92018170033529</c:v>
                </c:pt>
                <c:pt idx="203">
                  <c:v>-175.93701780280918</c:v>
                </c:pt>
                <c:pt idx="204">
                  <c:v>-175.95360673202785</c:v>
                </c:pt>
                <c:pt idx="205">
                  <c:v>-175.96995304126764</c:v>
                </c:pt>
                <c:pt idx="206">
                  <c:v>-175.98606117068536</c:v>
                </c:pt>
                <c:pt idx="207">
                  <c:v>-176.00193545085816</c:v>
                </c:pt>
                <c:pt idx="208">
                  <c:v>-176.01758010619108</c:v>
                </c:pt>
                <c:pt idx="209">
                  <c:v>-176.0329992581957</c:v>
                </c:pt>
                <c:pt idx="210">
                  <c:v>-176.04819692864766</c:v>
                </c:pt>
                <c:pt idx="211">
                  <c:v>-176.06317704262662</c:v>
                </c:pt>
                <c:pt idx="212">
                  <c:v>-176.07794343144494</c:v>
                </c:pt>
                <c:pt idx="213">
                  <c:v>-176.09249983546948</c:v>
                </c:pt>
                <c:pt idx="214">
                  <c:v>-176.10684990684064</c:v>
                </c:pt>
                <c:pt idx="215">
                  <c:v>-176.12099721209358</c:v>
                </c:pt>
                <c:pt idx="216">
                  <c:v>-176.13494523468589</c:v>
                </c:pt>
                <c:pt idx="217">
                  <c:v>-176.1486973774345</c:v>
                </c:pt>
                <c:pt idx="218">
                  <c:v>-176.1622569648672</c:v>
                </c:pt>
                <c:pt idx="219">
                  <c:v>-176.17562724549109</c:v>
                </c:pt>
                <c:pt idx="220">
                  <c:v>-176.18881139398152</c:v>
                </c:pt>
                <c:pt idx="221">
                  <c:v>-176.20181251329586</c:v>
                </c:pt>
                <c:pt idx="222">
                  <c:v>-176.21463363671342</c:v>
                </c:pt>
                <c:pt idx="223">
                  <c:v>-176.22727772980571</c:v>
                </c:pt>
                <c:pt idx="224">
                  <c:v>-176.23974769234007</c:v>
                </c:pt>
                <c:pt idx="225">
                  <c:v>-176.25204636011776</c:v>
                </c:pt>
                <c:pt idx="226">
                  <c:v>-176.36619335297112</c:v>
                </c:pt>
                <c:pt idx="227">
                  <c:v>-176.46591677785631</c:v>
                </c:pt>
                <c:pt idx="228">
                  <c:v>-176.55322766287938</c:v>
                </c:pt>
                <c:pt idx="229">
                  <c:v>-176.6297757592973</c:v>
                </c:pt>
                <c:pt idx="230">
                  <c:v>-176.69692788854323</c:v>
                </c:pt>
                <c:pt idx="231">
                  <c:v>-176.7558266077337</c:v>
                </c:pt>
                <c:pt idx="232">
                  <c:v>-176.80743476140012</c:v>
                </c:pt>
                <c:pt idx="233">
                  <c:v>-176.85256974935552</c:v>
                </c:pt>
                <c:pt idx="234">
                  <c:v>-176.89193019212178</c:v>
                </c:pt>
                <c:pt idx="235">
                  <c:v>-176.92611690161834</c:v>
                </c:pt>
                <c:pt idx="236">
                  <c:v>-176.95564953436315</c:v>
                </c:pt>
                <c:pt idx="237">
                  <c:v>-176.98097993490873</c:v>
                </c:pt>
                <c:pt idx="238">
                  <c:v>-177.00250291600844</c:v>
                </c:pt>
                <c:pt idx="239">
                  <c:v>-177.02056503482638</c:v>
                </c:pt>
                <c:pt idx="240">
                  <c:v>-177.03547178869576</c:v>
                </c:pt>
                <c:pt idx="241">
                  <c:v>-177.04749355425031</c:v>
                </c:pt>
                <c:pt idx="242">
                  <c:v>-177.05687051979768</c:v>
                </c:pt>
                <c:pt idx="243">
                  <c:v>-177.06381680538249</c:v>
                </c:pt>
                <c:pt idx="244">
                  <c:v>-177.06852392306652</c:v>
                </c:pt>
                <c:pt idx="245">
                  <c:v>-177.07116369796202</c:v>
                </c:pt>
                <c:pt idx="246">
                  <c:v>-177.07189074594419</c:v>
                </c:pt>
                <c:pt idx="247">
                  <c:v>-177.07084458488518</c:v>
                </c:pt>
                <c:pt idx="248">
                  <c:v>-177.06815144134939</c:v>
                </c:pt>
                <c:pt idx="249">
                  <c:v>-177.06392580297077</c:v>
                </c:pt>
                <c:pt idx="250">
                  <c:v>-177.05827175745694</c:v>
                </c:pt>
                <c:pt idx="251">
                  <c:v>-177.05128415177856</c:v>
                </c:pt>
                <c:pt idx="252">
                  <c:v>-177.0430495991852</c:v>
                </c:pt>
                <c:pt idx="253">
                  <c:v>-177.03364735692534</c:v>
                </c:pt>
                <c:pt idx="254">
                  <c:v>-177.02315009368738</c:v>
                </c:pt>
                <c:pt idx="255">
                  <c:v>-177.01162456264095</c:v>
                </c:pt>
                <c:pt idx="256">
                  <c:v>-176.99913219338995</c:v>
                </c:pt>
                <c:pt idx="257">
                  <c:v>-176.98572961404096</c:v>
                </c:pt>
                <c:pt idx="258">
                  <c:v>-176.97146911285077</c:v>
                </c:pt>
                <c:pt idx="259">
                  <c:v>-176.95639904747784</c:v>
                </c:pt>
                <c:pt idx="260">
                  <c:v>-176.94056420866281</c:v>
                </c:pt>
                <c:pt idx="261">
                  <c:v>-176.92400614416471</c:v>
                </c:pt>
                <c:pt idx="262">
                  <c:v>-176.90676344794059</c:v>
                </c:pt>
                <c:pt idx="263">
                  <c:v>-176.88887201885271</c:v>
                </c:pt>
                <c:pt idx="264">
                  <c:v>-176.87036529259282</c:v>
                </c:pt>
                <c:pt idx="265">
                  <c:v>-176.85127445000992</c:v>
                </c:pt>
                <c:pt idx="266">
                  <c:v>-176.83162860460209</c:v>
                </c:pt>
                <c:pt idx="267">
                  <c:v>-176.81145497156743</c:v>
                </c:pt>
                <c:pt idx="268">
                  <c:v>-176.79077902050133</c:v>
                </c:pt>
                <c:pt idx="269">
                  <c:v>-176.76962461355888</c:v>
                </c:pt>
                <c:pt idx="270">
                  <c:v>-176.7480141306749</c:v>
                </c:pt>
                <c:pt idx="271">
                  <c:v>-176.72596858323635</c:v>
                </c:pt>
                <c:pt idx="272">
                  <c:v>-176.70350771743327</c:v>
                </c:pt>
                <c:pt idx="273">
                  <c:v>-176.68065010836682</c:v>
                </c:pt>
                <c:pt idx="274">
                  <c:v>-176.65741324586634</c:v>
                </c:pt>
                <c:pt idx="275">
                  <c:v>-176.63381361285664</c:v>
                </c:pt>
                <c:pt idx="276">
                  <c:v>-176.6098667570204</c:v>
                </c:pt>
                <c:pt idx="277">
                  <c:v>-176.58558735641662</c:v>
                </c:pt>
                <c:pt idx="278">
                  <c:v>-176.56098927964229</c:v>
                </c:pt>
                <c:pt idx="279">
                  <c:v>-176.53608564106034</c:v>
                </c:pt>
                <c:pt idx="280">
                  <c:v>-176.51088885156034</c:v>
                </c:pt>
                <c:pt idx="281">
                  <c:v>-176.48541066526792</c:v>
                </c:pt>
                <c:pt idx="282">
                  <c:v>-176.45966222257658</c:v>
                </c:pt>
                <c:pt idx="283">
                  <c:v>-176.43365408983504</c:v>
                </c:pt>
                <c:pt idx="284">
                  <c:v>-176.40739629599005</c:v>
                </c:pt>
                <c:pt idx="285">
                  <c:v>-176.38089836645418</c:v>
                </c:pt>
                <c:pt idx="286">
                  <c:v>-176.35416935444135</c:v>
                </c:pt>
                <c:pt idx="287">
                  <c:v>-176.32721786998741</c:v>
                </c:pt>
                <c:pt idx="288">
                  <c:v>-176.30005210685442</c:v>
                </c:pt>
                <c:pt idx="289">
                  <c:v>-176.27267986749598</c:v>
                </c:pt>
                <c:pt idx="290">
                  <c:v>-176.2451085862451</c:v>
                </c:pt>
                <c:pt idx="291">
                  <c:v>-176.21734535087023</c:v>
                </c:pt>
                <c:pt idx="292">
                  <c:v>-176.18939692263311</c:v>
                </c:pt>
                <c:pt idx="293">
                  <c:v>-176.16126975496738</c:v>
                </c:pt>
                <c:pt idx="294">
                  <c:v>-176.13297001088819</c:v>
                </c:pt>
                <c:pt idx="295">
                  <c:v>-176.10450357923241</c:v>
                </c:pt>
                <c:pt idx="296">
                  <c:v>-176.07587608981964</c:v>
                </c:pt>
                <c:pt idx="297">
                  <c:v>-176.0470929276176</c:v>
                </c:pt>
                <c:pt idx="298">
                  <c:v>-176.01815924598631</c:v>
                </c:pt>
                <c:pt idx="299">
                  <c:v>-175.98907997907179</c:v>
                </c:pt>
                <c:pt idx="300">
                  <c:v>-175.95985985341093</c:v>
                </c:pt>
                <c:pt idx="301">
                  <c:v>-175.93050339880631</c:v>
                </c:pt>
                <c:pt idx="302">
                  <c:v>-175.90101495852392</c:v>
                </c:pt>
                <c:pt idx="303">
                  <c:v>-175.87139869886263</c:v>
                </c:pt>
                <c:pt idx="304">
                  <c:v>-175.84165861813977</c:v>
                </c:pt>
                <c:pt idx="305">
                  <c:v>-175.81179855513392</c:v>
                </c:pt>
                <c:pt idx="306">
                  <c:v>-175.78182219702387</c:v>
                </c:pt>
                <c:pt idx="307">
                  <c:v>-175.75173308685714</c:v>
                </c:pt>
                <c:pt idx="308">
                  <c:v>-175.72153463058098</c:v>
                </c:pt>
                <c:pt idx="309">
                  <c:v>-175.69123010366548</c:v>
                </c:pt>
                <c:pt idx="310">
                  <c:v>-175.66082265734624</c:v>
                </c:pt>
                <c:pt idx="311">
                  <c:v>-175.6303153245112</c:v>
                </c:pt>
                <c:pt idx="312">
                  <c:v>-175.59971102525623</c:v>
                </c:pt>
                <c:pt idx="313">
                  <c:v>-175.56901257212976</c:v>
                </c:pt>
                <c:pt idx="314">
                  <c:v>-175.53822267508778</c:v>
                </c:pt>
                <c:pt idx="315">
                  <c:v>-175.50734394617675</c:v>
                </c:pt>
                <c:pt idx="316">
                  <c:v>-175.47637890396228</c:v>
                </c:pt>
                <c:pt idx="317">
                  <c:v>-175.44532997771935</c:v>
                </c:pt>
                <c:pt idx="318">
                  <c:v>-175.414199511399</c:v>
                </c:pt>
                <c:pt idx="319">
                  <c:v>-175.38298976738494</c:v>
                </c:pt>
                <c:pt idx="320">
                  <c:v>-175.35170293005388</c:v>
                </c:pt>
                <c:pt idx="321">
                  <c:v>-175.32034110914987</c:v>
                </c:pt>
                <c:pt idx="322">
                  <c:v>-175.28890634298608</c:v>
                </c:pt>
                <c:pt idx="323">
                  <c:v>-175.25740060148172</c:v>
                </c:pt>
                <c:pt idx="324">
                  <c:v>-175.2258257890461</c:v>
                </c:pt>
                <c:pt idx="325">
                  <c:v>-175.1941837473174</c:v>
                </c:pt>
                <c:pt idx="326">
                  <c:v>-175.16247625776526</c:v>
                </c:pt>
                <c:pt idx="327">
                  <c:v>-175.1307050441647</c:v>
                </c:pt>
                <c:pt idx="328">
                  <c:v>-175.098871774949</c:v>
                </c:pt>
                <c:pt idx="329">
                  <c:v>-175.06697806544804</c:v>
                </c:pt>
                <c:pt idx="330">
                  <c:v>-175.03502548001902</c:v>
                </c:pt>
                <c:pt idx="331">
                  <c:v>-175.00301553407527</c:v>
                </c:pt>
                <c:pt idx="332">
                  <c:v>-174.97094969601838</c:v>
                </c:pt>
                <c:pt idx="333">
                  <c:v>-174.93882938908035</c:v>
                </c:pt>
                <c:pt idx="334">
                  <c:v>-174.90665599307883</c:v>
                </c:pt>
                <c:pt idx="335">
                  <c:v>-174.8744308460914</c:v>
                </c:pt>
                <c:pt idx="336">
                  <c:v>-174.84215524605298</c:v>
                </c:pt>
                <c:pt idx="337">
                  <c:v>-174.80983045228024</c:v>
                </c:pt>
                <c:pt idx="338">
                  <c:v>-174.77745768692711</c:v>
                </c:pt>
                <c:pt idx="339">
                  <c:v>-174.74503813637446</c:v>
                </c:pt>
                <c:pt idx="340">
                  <c:v>-174.71257295255865</c:v>
                </c:pt>
                <c:pt idx="341">
                  <c:v>-174.68006325424025</c:v>
                </c:pt>
                <c:pt idx="342">
                  <c:v>-174.64751012821776</c:v>
                </c:pt>
                <c:pt idx="343">
                  <c:v>-174.61491463048819</c:v>
                </c:pt>
                <c:pt idx="344">
                  <c:v>-174.58227778735707</c:v>
                </c:pt>
                <c:pt idx="345">
                  <c:v>-174.54960059650131</c:v>
                </c:pt>
                <c:pt idx="346">
                  <c:v>-174.51688402798598</c:v>
                </c:pt>
                <c:pt idx="347">
                  <c:v>-174.48412902523876</c:v>
                </c:pt>
                <c:pt idx="348">
                  <c:v>-174.45133650598248</c:v>
                </c:pt>
                <c:pt idx="349">
                  <c:v>-174.41850736312981</c:v>
                </c:pt>
                <c:pt idx="350">
                  <c:v>-174.38564246563959</c:v>
                </c:pt>
                <c:pt idx="351">
                  <c:v>-174.3527426593389</c:v>
                </c:pt>
                <c:pt idx="352">
                  <c:v>-174.31980876771075</c:v>
                </c:pt>
                <c:pt idx="353">
                  <c:v>-174.28684159265009</c:v>
                </c:pt>
                <c:pt idx="354">
                  <c:v>-174.25384191518938</c:v>
                </c:pt>
                <c:pt idx="355">
                  <c:v>-174.2208104961947</c:v>
                </c:pt>
                <c:pt idx="356">
                  <c:v>-174.1877480770344</c:v>
                </c:pt>
                <c:pt idx="357">
                  <c:v>-174.15465538022119</c:v>
                </c:pt>
                <c:pt idx="358">
                  <c:v>-174.12153311002896</c:v>
                </c:pt>
                <c:pt idx="359">
                  <c:v>-174.08838195308553</c:v>
                </c:pt>
                <c:pt idx="360">
                  <c:v>-174.05520257894241</c:v>
                </c:pt>
                <c:pt idx="361">
                  <c:v>-174.02199564062255</c:v>
                </c:pt>
                <c:pt idx="362">
                  <c:v>-173.98876177514714</c:v>
                </c:pt>
                <c:pt idx="363">
                  <c:v>-173.95550160404224</c:v>
                </c:pt>
                <c:pt idx="364">
                  <c:v>-173.92221573382642</c:v>
                </c:pt>
                <c:pt idx="365">
                  <c:v>-173.88890475647989</c:v>
                </c:pt>
                <c:pt idx="366">
                  <c:v>-173.85556924989621</c:v>
                </c:pt>
                <c:pt idx="367">
                  <c:v>-173.82220977831722</c:v>
                </c:pt>
                <c:pt idx="368">
                  <c:v>-173.78882689275198</c:v>
                </c:pt>
                <c:pt idx="369">
                  <c:v>-173.7554211313799</c:v>
                </c:pt>
                <c:pt idx="370">
                  <c:v>-173.7219930199401</c:v>
                </c:pt>
                <c:pt idx="371">
                  <c:v>-173.68854307210552</c:v>
                </c:pt>
                <c:pt idx="372">
                  <c:v>-173.65507178984453</c:v>
                </c:pt>
                <c:pt idx="373">
                  <c:v>-173.62157966376901</c:v>
                </c:pt>
                <c:pt idx="374">
                  <c:v>-173.58806717347034</c:v>
                </c:pt>
                <c:pt idx="375">
                  <c:v>-173.55453478784307</c:v>
                </c:pt>
                <c:pt idx="376">
                  <c:v>-173.52098296539816</c:v>
                </c:pt>
                <c:pt idx="377">
                  <c:v>-173.48741215456386</c:v>
                </c:pt>
                <c:pt idx="378">
                  <c:v>-173.45382279397745</c:v>
                </c:pt>
                <c:pt idx="379">
                  <c:v>-173.42021531276612</c:v>
                </c:pt>
                <c:pt idx="380">
                  <c:v>-173.38659013081849</c:v>
                </c:pt>
                <c:pt idx="381">
                  <c:v>-173.35294765904675</c:v>
                </c:pt>
                <c:pt idx="382">
                  <c:v>-173.31928829963979</c:v>
                </c:pt>
                <c:pt idx="383">
                  <c:v>-173.28561244630825</c:v>
                </c:pt>
                <c:pt idx="384">
                  <c:v>-173.25192048452061</c:v>
                </c:pt>
                <c:pt idx="385">
                  <c:v>-173.21821279173216</c:v>
                </c:pt>
                <c:pt idx="386">
                  <c:v>-173.18448973760556</c:v>
                </c:pt>
                <c:pt idx="387">
                  <c:v>-173.15075168422493</c:v>
                </c:pt>
                <c:pt idx="388">
                  <c:v>-173.11699898630229</c:v>
                </c:pt>
                <c:pt idx="389">
                  <c:v>-173.08323199137743</c:v>
                </c:pt>
                <c:pt idx="390">
                  <c:v>-173.04945104001155</c:v>
                </c:pt>
                <c:pt idx="391">
                  <c:v>-173.01565646597416</c:v>
                </c:pt>
                <c:pt idx="392">
                  <c:v>-172.98184859642438</c:v>
                </c:pt>
                <c:pt idx="393">
                  <c:v>-172.94802775208626</c:v>
                </c:pt>
                <c:pt idx="394">
                  <c:v>-172.91419424741849</c:v>
                </c:pt>
                <c:pt idx="395">
                  <c:v>-172.88034839077875</c:v>
                </c:pt>
                <c:pt idx="396">
                  <c:v>-172.84649048458314</c:v>
                </c:pt>
                <c:pt idx="397">
                  <c:v>-172.81262082546021</c:v>
                </c:pt>
                <c:pt idx="398">
                  <c:v>-172.77873970440038</c:v>
                </c:pt>
                <c:pt idx="399">
                  <c:v>-172.74484740690079</c:v>
                </c:pt>
                <c:pt idx="400">
                  <c:v>-172.71094421310571</c:v>
                </c:pt>
                <c:pt idx="401">
                  <c:v>-172.67703039794236</c:v>
                </c:pt>
                <c:pt idx="402">
                  <c:v>-172.64310623125297</c:v>
                </c:pt>
                <c:pt idx="403">
                  <c:v>-172.60917197792261</c:v>
                </c:pt>
                <c:pt idx="404">
                  <c:v>-172.57522789800294</c:v>
                </c:pt>
                <c:pt idx="405">
                  <c:v>-172.54127424683287</c:v>
                </c:pt>
                <c:pt idx="406">
                  <c:v>-172.5073112751549</c:v>
                </c:pt>
                <c:pt idx="407">
                  <c:v>-172.47333922922857</c:v>
                </c:pt>
                <c:pt idx="408">
                  <c:v>-172.4393583509401</c:v>
                </c:pt>
                <c:pt idx="409">
                  <c:v>-172.40536887790921</c:v>
                </c:pt>
                <c:pt idx="410">
                  <c:v>-172.37137104359221</c:v>
                </c:pt>
                <c:pt idx="411">
                  <c:v>-172.33736507738303</c:v>
                </c:pt>
                <c:pt idx="412">
                  <c:v>-172.30335120471022</c:v>
                </c:pt>
                <c:pt idx="413">
                  <c:v>-172.269329647132</c:v>
                </c:pt>
                <c:pt idx="414">
                  <c:v>-172.23530062242813</c:v>
                </c:pt>
                <c:pt idx="415">
                  <c:v>-172.20126434468921</c:v>
                </c:pt>
                <c:pt idx="416">
                  <c:v>-172.16722102440372</c:v>
                </c:pt>
                <c:pt idx="417">
                  <c:v>-172.13317086854198</c:v>
                </c:pt>
                <c:pt idx="418">
                  <c:v>-172.09911408063857</c:v>
                </c:pt>
                <c:pt idx="419">
                  <c:v>-172.06505086087165</c:v>
                </c:pt>
                <c:pt idx="420">
                  <c:v>-172.03098140614043</c:v>
                </c:pt>
                <c:pt idx="421">
                  <c:v>-171.99690591014075</c:v>
                </c:pt>
                <c:pt idx="422">
                  <c:v>-171.96282456343781</c:v>
                </c:pt>
                <c:pt idx="423">
                  <c:v>-171.9287375535377</c:v>
                </c:pt>
                <c:pt idx="424">
                  <c:v>-171.89464506495651</c:v>
                </c:pt>
                <c:pt idx="425">
                  <c:v>-171.86054727928757</c:v>
                </c:pt>
                <c:pt idx="426">
                  <c:v>-171.82644437526702</c:v>
                </c:pt>
                <c:pt idx="427">
                  <c:v>-171.79233652883747</c:v>
                </c:pt>
                <c:pt idx="428">
                  <c:v>-171.75822391321012</c:v>
                </c:pt>
                <c:pt idx="429">
                  <c:v>-171.72410669892497</c:v>
                </c:pt>
                <c:pt idx="430">
                  <c:v>-171.68998505390962</c:v>
                </c:pt>
                <c:pt idx="431">
                  <c:v>-171.65585914353625</c:v>
                </c:pt>
                <c:pt idx="432">
                  <c:v>-171.62172913067755</c:v>
                </c:pt>
                <c:pt idx="433">
                  <c:v>-171.5875951757607</c:v>
                </c:pt>
                <c:pt idx="434">
                  <c:v>-171.55345743682</c:v>
                </c:pt>
                <c:pt idx="435">
                  <c:v>-171.51931606954867</c:v>
                </c:pt>
                <c:pt idx="436">
                  <c:v>-171.48517122734836</c:v>
                </c:pt>
                <c:pt idx="437">
                  <c:v>-171.45102306137827</c:v>
                </c:pt>
                <c:pt idx="438">
                  <c:v>-171.41687172060244</c:v>
                </c:pt>
                <c:pt idx="439">
                  <c:v>-171.38271735183608</c:v>
                </c:pt>
                <c:pt idx="440">
                  <c:v>-171.34856009979057</c:v>
                </c:pt>
                <c:pt idx="441">
                  <c:v>-171.31440010711745</c:v>
                </c:pt>
                <c:pt idx="442">
                  <c:v>-171.28023751445116</c:v>
                </c:pt>
                <c:pt idx="443">
                  <c:v>-171.24607246045082</c:v>
                </c:pt>
                <c:pt idx="444">
                  <c:v>-171.21190508184091</c:v>
                </c:pt>
                <c:pt idx="445">
                  <c:v>-171.1777355134509</c:v>
                </c:pt>
                <c:pt idx="446">
                  <c:v>-171.14356388825377</c:v>
                </c:pt>
                <c:pt idx="447">
                  <c:v>-171.10939033740405</c:v>
                </c:pt>
                <c:pt idx="448">
                  <c:v>-171.07521499027422</c:v>
                </c:pt>
                <c:pt idx="449">
                  <c:v>-171.04103797449091</c:v>
                </c:pt>
                <c:pt idx="450">
                  <c:v>-171.00685941596942</c:v>
                </c:pt>
                <c:pt idx="451">
                  <c:v>-170.9726794389484</c:v>
                </c:pt>
                <c:pt idx="452">
                  <c:v>-170.93849816602278</c:v>
                </c:pt>
                <c:pt idx="453">
                  <c:v>-170.90431571817626</c:v>
                </c:pt>
                <c:pt idx="454">
                  <c:v>-170.8701322148132</c:v>
                </c:pt>
                <c:pt idx="455">
                  <c:v>-170.83594777378931</c:v>
                </c:pt>
                <c:pt idx="456">
                  <c:v>-170.80176251144206</c:v>
                </c:pt>
                <c:pt idx="457">
                  <c:v>-170.76757654262011</c:v>
                </c:pt>
                <c:pt idx="458">
                  <c:v>-170.73338998071196</c:v>
                </c:pt>
                <c:pt idx="459">
                  <c:v>-170.69920293767402</c:v>
                </c:pt>
                <c:pt idx="460">
                  <c:v>-170.6650155240583</c:v>
                </c:pt>
                <c:pt idx="461">
                  <c:v>-170.63082784903895</c:v>
                </c:pt>
                <c:pt idx="462">
                  <c:v>-170.59664002043834</c:v>
                </c:pt>
                <c:pt idx="463">
                  <c:v>-170.562452144753</c:v>
                </c:pt>
                <c:pt idx="464">
                  <c:v>-170.52826432717808</c:v>
                </c:pt>
                <c:pt idx="465">
                  <c:v>-170.494076671632</c:v>
                </c:pt>
                <c:pt idx="466">
                  <c:v>-170.45988928078017</c:v>
                </c:pt>
                <c:pt idx="467">
                  <c:v>-170.4257022560584</c:v>
                </c:pt>
                <c:pt idx="468">
                  <c:v>-170.3915156976953</c:v>
                </c:pt>
                <c:pt idx="469">
                  <c:v>-170.35732970473489</c:v>
                </c:pt>
                <c:pt idx="470">
                  <c:v>-170.32314437505795</c:v>
                </c:pt>
                <c:pt idx="471">
                  <c:v>-170.28895980540344</c:v>
                </c:pt>
                <c:pt idx="472">
                  <c:v>-170.2547760913892</c:v>
                </c:pt>
                <c:pt idx="473">
                  <c:v>-170.22059332753216</c:v>
                </c:pt>
                <c:pt idx="474">
                  <c:v>-170.18641160726827</c:v>
                </c:pt>
                <c:pt idx="475">
                  <c:v>-170.15223102297156</c:v>
                </c:pt>
                <c:pt idx="476">
                  <c:v>-170.11805166597355</c:v>
                </c:pt>
                <c:pt idx="477">
                  <c:v>-170.08387362658138</c:v>
                </c:pt>
                <c:pt idx="478">
                  <c:v>-170.04969699409614</c:v>
                </c:pt>
                <c:pt idx="479">
                  <c:v>-170.01552185683045</c:v>
                </c:pt>
                <c:pt idx="480">
                  <c:v>-169.98134830212595</c:v>
                </c:pt>
                <c:pt idx="481">
                  <c:v>-169.94717641636993</c:v>
                </c:pt>
                <c:pt idx="482">
                  <c:v>-169.91300628501233</c:v>
                </c:pt>
                <c:pt idx="483">
                  <c:v>-169.87883799258157</c:v>
                </c:pt>
                <c:pt idx="484">
                  <c:v>-169.8446716227007</c:v>
                </c:pt>
                <c:pt idx="485">
                  <c:v>-169.8105072581028</c:v>
                </c:pt>
                <c:pt idx="486">
                  <c:v>-169.7763449806462</c:v>
                </c:pt>
                <c:pt idx="487">
                  <c:v>-169.74218487132924</c:v>
                </c:pt>
                <c:pt idx="488">
                  <c:v>-169.70802701030502</c:v>
                </c:pt>
                <c:pt idx="489">
                  <c:v>-169.67387147689544</c:v>
                </c:pt>
                <c:pt idx="490">
                  <c:v>-169.63971834960535</c:v>
                </c:pt>
                <c:pt idx="491">
                  <c:v>-169.60556770613596</c:v>
                </c:pt>
                <c:pt idx="492">
                  <c:v>-169.57141962339841</c:v>
                </c:pt>
                <c:pt idx="493">
                  <c:v>-169.53727417752677</c:v>
                </c:pt>
                <c:pt idx="494">
                  <c:v>-169.50313144389071</c:v>
                </c:pt>
                <c:pt idx="495">
                  <c:v>-169.46899149710836</c:v>
                </c:pt>
                <c:pt idx="496">
                  <c:v>-169.43485441105818</c:v>
                </c:pt>
                <c:pt idx="497">
                  <c:v>-169.40072025889137</c:v>
                </c:pt>
                <c:pt idx="498">
                  <c:v>-169.3665891130434</c:v>
                </c:pt>
                <c:pt idx="499">
                  <c:v>-169.33246104524571</c:v>
                </c:pt>
                <c:pt idx="500">
                  <c:v>-169.29833612653678</c:v>
                </c:pt>
                <c:pt idx="501">
                  <c:v>-169.26421442727354</c:v>
                </c:pt>
                <c:pt idx="502">
                  <c:v>-169.23009601714182</c:v>
                </c:pt>
                <c:pt idx="503">
                  <c:v>-169.19598096516739</c:v>
                </c:pt>
                <c:pt idx="504">
                  <c:v>-169.16186933972591</c:v>
                </c:pt>
                <c:pt idx="505">
                  <c:v>-169.12776120855372</c:v>
                </c:pt>
                <c:pt idx="506">
                  <c:v>-169.09365663875718</c:v>
                </c:pt>
                <c:pt idx="507">
                  <c:v>-169.05955569682288</c:v>
                </c:pt>
                <c:pt idx="508">
                  <c:v>-169.02545844862726</c:v>
                </c:pt>
                <c:pt idx="509">
                  <c:v>-168.99136495944586</c:v>
                </c:pt>
                <c:pt idx="510">
                  <c:v>-168.95727529396245</c:v>
                </c:pt>
                <c:pt idx="511">
                  <c:v>-168.9231895162784</c:v>
                </c:pt>
                <c:pt idx="512">
                  <c:v>-168.8891076899213</c:v>
                </c:pt>
                <c:pt idx="513">
                  <c:v>-168.85502987785367</c:v>
                </c:pt>
                <c:pt idx="514">
                  <c:v>-168.82095614248152</c:v>
                </c:pt>
                <c:pt idx="515">
                  <c:v>-168.78688654566281</c:v>
                </c:pt>
                <c:pt idx="516">
                  <c:v>-168.75282114871544</c:v>
                </c:pt>
                <c:pt idx="517">
                  <c:v>-168.71876001242543</c:v>
                </c:pt>
                <c:pt idx="518">
                  <c:v>-168.68470319705466</c:v>
                </c:pt>
                <c:pt idx="519">
                  <c:v>-168.6506507623489</c:v>
                </c:pt>
                <c:pt idx="520">
                  <c:v>-168.61660276754492</c:v>
                </c:pt>
                <c:pt idx="521">
                  <c:v>-168.58255927137839</c:v>
                </c:pt>
                <c:pt idx="522">
                  <c:v>-168.54852033209085</c:v>
                </c:pt>
                <c:pt idx="523">
                  <c:v>-168.51448600743697</c:v>
                </c:pt>
                <c:pt idx="524">
                  <c:v>-168.48045635469165</c:v>
                </c:pt>
                <c:pt idx="525">
                  <c:v>-168.44643143065682</c:v>
                </c:pt>
                <c:pt idx="526">
                  <c:v>-168.41241129166812</c:v>
                </c:pt>
                <c:pt idx="527">
                  <c:v>-168.37839599360177</c:v>
                </c:pt>
                <c:pt idx="528">
                  <c:v>-168.34438559188072</c:v>
                </c:pt>
                <c:pt idx="529">
                  <c:v>-168.3103801414814</c:v>
                </c:pt>
                <c:pt idx="530">
                  <c:v>-168.27637969693976</c:v>
                </c:pt>
                <c:pt idx="531">
                  <c:v>-168.24238431235753</c:v>
                </c:pt>
                <c:pt idx="532">
                  <c:v>-168.20839404140798</c:v>
                </c:pt>
                <c:pt idx="533">
                  <c:v>-168.17440893734238</c:v>
                </c:pt>
                <c:pt idx="534">
                  <c:v>-168.1404290529953</c:v>
                </c:pt>
                <c:pt idx="535">
                  <c:v>-168.10645444079057</c:v>
                </c:pt>
                <c:pt idx="536">
                  <c:v>-168.07248515274682</c:v>
                </c:pt>
                <c:pt idx="537">
                  <c:v>-168.03852124048302</c:v>
                </c:pt>
                <c:pt idx="538">
                  <c:v>-168.00456275522379</c:v>
                </c:pt>
                <c:pt idx="539">
                  <c:v>-167.97060974780484</c:v>
                </c:pt>
                <c:pt idx="540">
                  <c:v>-167.93666226867808</c:v>
                </c:pt>
                <c:pt idx="541">
                  <c:v>-167.90272036791663</c:v>
                </c:pt>
                <c:pt idx="542">
                  <c:v>-167.86878409522024</c:v>
                </c:pt>
                <c:pt idx="543">
                  <c:v>-167.83485349991969</c:v>
                </c:pt>
                <c:pt idx="544">
                  <c:v>-167.80092863098207</c:v>
                </c:pt>
                <c:pt idx="545">
                  <c:v>-167.76700953701524</c:v>
                </c:pt>
                <c:pt idx="546">
                  <c:v>-167.7330962662727</c:v>
                </c:pt>
                <c:pt idx="547">
                  <c:v>-167.69918886665806</c:v>
                </c:pt>
                <c:pt idx="548">
                  <c:v>-167.66528738572967</c:v>
                </c:pt>
                <c:pt idx="549">
                  <c:v>-167.63139187070487</c:v>
                </c:pt>
                <c:pt idx="550">
                  <c:v>-167.59750236846457</c:v>
                </c:pt>
                <c:pt idx="551">
                  <c:v>-167.56361892555734</c:v>
                </c:pt>
                <c:pt idx="552">
                  <c:v>-167.52974158820362</c:v>
                </c:pt>
                <c:pt idx="553">
                  <c:v>-167.49587040229991</c:v>
                </c:pt>
                <c:pt idx="554">
                  <c:v>-167.46200541342304</c:v>
                </c:pt>
                <c:pt idx="555">
                  <c:v>-167.4281466668337</c:v>
                </c:pt>
                <c:pt idx="556">
                  <c:v>-167.39429420748058</c:v>
                </c:pt>
                <c:pt idx="557">
                  <c:v>-167.3604480800044</c:v>
                </c:pt>
                <c:pt idx="558">
                  <c:v>-167.32660832874151</c:v>
                </c:pt>
                <c:pt idx="559">
                  <c:v>-167.29277499772749</c:v>
                </c:pt>
                <c:pt idx="560">
                  <c:v>-167.25894813070101</c:v>
                </c:pt>
                <c:pt idx="561">
                  <c:v>-167.22512777110745</c:v>
                </c:pt>
                <c:pt idx="562">
                  <c:v>-167.19131396210224</c:v>
                </c:pt>
                <c:pt idx="563">
                  <c:v>-167.15750674655445</c:v>
                </c:pt>
                <c:pt idx="564">
                  <c:v>-167.12370616705022</c:v>
                </c:pt>
                <c:pt idx="565">
                  <c:v>-167.08991226589609</c:v>
                </c:pt>
                <c:pt idx="566">
                  <c:v>-167.05612508512218</c:v>
                </c:pt>
                <c:pt idx="567">
                  <c:v>-167.02234466648579</c:v>
                </c:pt>
                <c:pt idx="568">
                  <c:v>-166.98857105147411</c:v>
                </c:pt>
                <c:pt idx="569">
                  <c:v>-166.95480428130779</c:v>
                </c:pt>
                <c:pt idx="570">
                  <c:v>-166.92104439694361</c:v>
                </c:pt>
                <c:pt idx="571">
                  <c:v>-166.88729143907801</c:v>
                </c:pt>
                <c:pt idx="572">
                  <c:v>-166.85354544814965</c:v>
                </c:pt>
                <c:pt idx="573">
                  <c:v>-166.81980646434249</c:v>
                </c:pt>
                <c:pt idx="574">
                  <c:v>-166.7860745275888</c:v>
                </c:pt>
                <c:pt idx="575">
                  <c:v>-166.75234967757171</c:v>
                </c:pt>
                <c:pt idx="576">
                  <c:v>-166.71863195372833</c:v>
                </c:pt>
                <c:pt idx="577">
                  <c:v>-166.68492139525239</c:v>
                </c:pt>
                <c:pt idx="578">
                  <c:v>-166.65121804109674</c:v>
                </c:pt>
                <c:pt idx="579">
                  <c:v>-166.61752192997625</c:v>
                </c:pt>
                <c:pt idx="580">
                  <c:v>-166.58383310037038</c:v>
                </c:pt>
                <c:pt idx="581">
                  <c:v>-166.5501515905257</c:v>
                </c:pt>
                <c:pt idx="582">
                  <c:v>-166.51647743845848</c:v>
                </c:pt>
                <c:pt idx="583">
                  <c:v>-166.48281068195701</c:v>
                </c:pt>
                <c:pt idx="584">
                  <c:v>-166.44915135858437</c:v>
                </c:pt>
                <c:pt idx="585">
                  <c:v>-166.4154995056806</c:v>
                </c:pt>
                <c:pt idx="586">
                  <c:v>-166.38185516036506</c:v>
                </c:pt>
                <c:pt idx="587">
                  <c:v>-166.34821835953903</c:v>
                </c:pt>
                <c:pt idx="588">
                  <c:v>-166.31458913988757</c:v>
                </c:pt>
                <c:pt idx="589">
                  <c:v>-166.28096753788233</c:v>
                </c:pt>
                <c:pt idx="590">
                  <c:v>-166.24735358978324</c:v>
                </c:pt>
                <c:pt idx="591">
                  <c:v>-166.21374733164106</c:v>
                </c:pt>
                <c:pt idx="592">
                  <c:v>-166.18014879929947</c:v>
                </c:pt>
                <c:pt idx="593">
                  <c:v>-166.1465580283971</c:v>
                </c:pt>
                <c:pt idx="594">
                  <c:v>-166.11297505436966</c:v>
                </c:pt>
                <c:pt idx="595">
                  <c:v>-166.07939991245215</c:v>
                </c:pt>
                <c:pt idx="596">
                  <c:v>-166.04583263768052</c:v>
                </c:pt>
                <c:pt idx="597">
                  <c:v>-166.01227326489411</c:v>
                </c:pt>
                <c:pt idx="598">
                  <c:v>-165.97872182873738</c:v>
                </c:pt>
                <c:pt idx="599">
                  <c:v>-165.94517836366174</c:v>
                </c:pt>
                <c:pt idx="600">
                  <c:v>-165.91164290392769</c:v>
                </c:pt>
                <c:pt idx="601">
                  <c:v>-165.87811548360665</c:v>
                </c:pt>
                <c:pt idx="602">
                  <c:v>-165.84459613658265</c:v>
                </c:pt>
                <c:pt idx="603">
                  <c:v>-165.81108489655426</c:v>
                </c:pt>
                <c:pt idx="604">
                  <c:v>-165.77758179703642</c:v>
                </c:pt>
                <c:pt idx="605">
                  <c:v>-165.74408687136221</c:v>
                </c:pt>
                <c:pt idx="606">
                  <c:v>-164.08045052397048</c:v>
                </c:pt>
                <c:pt idx="607">
                  <c:v>-162.44091922755874</c:v>
                </c:pt>
                <c:pt idx="608">
                  <c:v>-160.82840602058434</c:v>
                </c:pt>
                <c:pt idx="609">
                  <c:v>-159.24526510056825</c:v>
                </c:pt>
                <c:pt idx="610">
                  <c:v>-157.69340759726629</c:v>
                </c:pt>
                <c:pt idx="611">
                  <c:v>-156.17437225642718</c:v>
                </c:pt>
                <c:pt idx="612">
                  <c:v>-154.68937347214603</c:v>
                </c:pt>
                <c:pt idx="613">
                  <c:v>-153.23933754186362</c:v>
                </c:pt>
                <c:pt idx="614">
                  <c:v>-151.82493258939385</c:v>
                </c:pt>
                <c:pt idx="615">
                  <c:v>-150.44659491242115</c:v>
                </c:pt>
                <c:pt idx="616">
                  <c:v>-149.10455312824888</c:v>
                </c:pt>
                <c:pt idx="617">
                  <c:v>-147.79885076659619</c:v>
                </c:pt>
                <c:pt idx="618">
                  <c:v>-147.28672296088541</c:v>
                </c:pt>
                <c:pt idx="619">
                  <c:v>-146.78037743800556</c:v>
                </c:pt>
                <c:pt idx="620">
                  <c:v>-146.27979632907787</c:v>
                </c:pt>
                <c:pt idx="621">
                  <c:v>-145.78495848103719</c:v>
                </c:pt>
                <c:pt idx="622">
                  <c:v>-145.29583964377542</c:v>
                </c:pt>
                <c:pt idx="623">
                  <c:v>-144.81241265209994</c:v>
                </c:pt>
                <c:pt idx="624">
                  <c:v>-144.33464760243436</c:v>
                </c:pt>
                <c:pt idx="625">
                  <c:v>-143.86251202419356</c:v>
                </c:pt>
                <c:pt idx="626">
                  <c:v>-143.39597104577922</c:v>
                </c:pt>
                <c:pt idx="627">
                  <c:v>-142.93498755515279</c:v>
                </c:pt>
                <c:pt idx="628">
                  <c:v>-142.47952235495893</c:v>
                </c:pt>
                <c:pt idx="629">
                  <c:v>-142.02953431218521</c:v>
                </c:pt>
                <c:pt idx="630">
                  <c:v>-141.58498050236</c:v>
                </c:pt>
                <c:pt idx="631">
                  <c:v>-141.1458163483052</c:v>
                </c:pt>
                <c:pt idx="632">
                  <c:v>-140.71199575347387</c:v>
                </c:pt>
                <c:pt idx="633">
                  <c:v>-140.28347122991715</c:v>
                </c:pt>
                <c:pt idx="634">
                  <c:v>-139.8601940209376</c:v>
                </c:pt>
                <c:pt idx="635">
                  <c:v>-139.44211421849738</c:v>
                </c:pt>
                <c:pt idx="636">
                  <c:v>-139.0291808754618</c:v>
                </c:pt>
                <c:pt idx="637">
                  <c:v>-138.62134211276742</c:v>
                </c:pt>
                <c:pt idx="638">
                  <c:v>-138.21854522161408</c:v>
                </c:pt>
                <c:pt idx="639">
                  <c:v>-137.82073676078659</c:v>
                </c:pt>
                <c:pt idx="640">
                  <c:v>-137.42786264922083</c:v>
                </c:pt>
                <c:pt idx="641">
                  <c:v>-137.03986825393278</c:v>
                </c:pt>
                <c:pt idx="642">
                  <c:v>-136.65669847343523</c:v>
                </c:pt>
                <c:pt idx="643">
                  <c:v>-136.2782978167711</c:v>
                </c:pt>
                <c:pt idx="644">
                  <c:v>-135.90461047829487</c:v>
                </c:pt>
                <c:pt idx="645">
                  <c:v>-135.53558040833644</c:v>
                </c:pt>
                <c:pt idx="646">
                  <c:v>-135.17115137988378</c:v>
                </c:pt>
                <c:pt idx="647">
                  <c:v>-134.81126705142117</c:v>
                </c:pt>
                <c:pt idx="648">
                  <c:v>-134.45587102606089</c:v>
                </c:pt>
                <c:pt idx="649">
                  <c:v>-134.1049069071056</c:v>
                </c:pt>
                <c:pt idx="650">
                  <c:v>-133.75831835017846</c:v>
                </c:pt>
                <c:pt idx="651">
                  <c:v>-133.41604911205624</c:v>
                </c:pt>
                <c:pt idx="652">
                  <c:v>-133.07804309634028</c:v>
                </c:pt>
                <c:pt idx="653">
                  <c:v>-132.74424439609689</c:v>
                </c:pt>
                <c:pt idx="654">
                  <c:v>-132.41459733359778</c:v>
                </c:pt>
                <c:pt idx="655">
                  <c:v>-132.08904649728788</c:v>
                </c:pt>
                <c:pt idx="656">
                  <c:v>-131.76753677610532</c:v>
                </c:pt>
                <c:pt idx="657">
                  <c:v>-131.45001339127612</c:v>
                </c:pt>
                <c:pt idx="658">
                  <c:v>-131.13642192570123</c:v>
                </c:pt>
                <c:pt idx="659">
                  <c:v>-130.82670835105293</c:v>
                </c:pt>
                <c:pt idx="660">
                  <c:v>-130.52081905269168</c:v>
                </c:pt>
                <c:pt idx="661">
                  <c:v>-130.21870085251277</c:v>
                </c:pt>
                <c:pt idx="662">
                  <c:v>-129.9203010298281</c:v>
                </c:pt>
                <c:pt idx="663">
                  <c:v>-129.62556734038421</c:v>
                </c:pt>
                <c:pt idx="664">
                  <c:v>-129.33444803361587</c:v>
                </c:pt>
                <c:pt idx="665">
                  <c:v>-129.04689186822873</c:v>
                </c:pt>
                <c:pt idx="666">
                  <c:v>-128.76284812620278</c:v>
                </c:pt>
                <c:pt idx="667">
                  <c:v>-128.48226662530396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50.31017899177855</c:v>
                </c:pt>
                <c:pt idx="1">
                  <c:v>49.895821563282645</c:v>
                </c:pt>
                <c:pt idx="2">
                  <c:v>49.282558605248774</c:v>
                </c:pt>
                <c:pt idx="3">
                  <c:v>48.547688180817175</c:v>
                </c:pt>
                <c:pt idx="4">
                  <c:v>47.755350127207322</c:v>
                </c:pt>
                <c:pt idx="5">
                  <c:v>46.949709774619947</c:v>
                </c:pt>
                <c:pt idx="6">
                  <c:v>46.1575341135797</c:v>
                </c:pt>
                <c:pt idx="7">
                  <c:v>45.393358171733873</c:v>
                </c:pt>
                <c:pt idx="8">
                  <c:v>44.664026206012288</c:v>
                </c:pt>
                <c:pt idx="9">
                  <c:v>43.971867403819054</c:v>
                </c:pt>
                <c:pt idx="10">
                  <c:v>38.75244797619316</c:v>
                </c:pt>
                <c:pt idx="11">
                  <c:v>35.396729647890474</c:v>
                </c:pt>
                <c:pt idx="12">
                  <c:v>32.9576719677898</c:v>
                </c:pt>
                <c:pt idx="13">
                  <c:v>31.047442844009325</c:v>
                </c:pt>
                <c:pt idx="14">
                  <c:v>29.479141420501207</c:v>
                </c:pt>
                <c:pt idx="15">
                  <c:v>28.149527219415063</c:v>
                </c:pt>
                <c:pt idx="16">
                  <c:v>26.995806672863615</c:v>
                </c:pt>
                <c:pt idx="17">
                  <c:v>25.977014958357007</c:v>
                </c:pt>
                <c:pt idx="18">
                  <c:v>25.064974083959811</c:v>
                </c:pt>
                <c:pt idx="19">
                  <c:v>19.056436824770508</c:v>
                </c:pt>
                <c:pt idx="20">
                  <c:v>15.540763335372505</c:v>
                </c:pt>
                <c:pt idx="21">
                  <c:v>13.048763104339088</c:v>
                </c:pt>
                <c:pt idx="22">
                  <c:v>11.118762398907354</c:v>
                </c:pt>
                <c:pt idx="23">
                  <c:v>9.5449556214381648</c:v>
                </c:pt>
                <c:pt idx="24">
                  <c:v>8.217518016303746</c:v>
                </c:pt>
                <c:pt idx="25">
                  <c:v>7.0708778441139151</c:v>
                </c:pt>
                <c:pt idx="26">
                  <c:v>6.0627312216366089</c:v>
                </c:pt>
                <c:pt idx="27">
                  <c:v>5.1641871824036398</c:v>
                </c:pt>
                <c:pt idx="28">
                  <c:v>1.7505816579101865</c:v>
                </c:pt>
                <c:pt idx="29">
                  <c:v>-0.59932777808356807</c:v>
                </c:pt>
                <c:pt idx="30">
                  <c:v>-2.3503675220422302</c:v>
                </c:pt>
                <c:pt idx="31">
                  <c:v>-3.7113532269496159</c:v>
                </c:pt>
                <c:pt idx="32">
                  <c:v>-4.7952961453924834</c:v>
                </c:pt>
                <c:pt idx="33">
                  <c:v>-5.6710839582274533</c:v>
                </c:pt>
                <c:pt idx="34">
                  <c:v>-6.3843691827465188</c:v>
                </c:pt>
                <c:pt idx="35">
                  <c:v>-6.9673316563535561</c:v>
                </c:pt>
                <c:pt idx="36">
                  <c:v>-7.4437375969257413</c:v>
                </c:pt>
                <c:pt idx="37">
                  <c:v>-7.8317762303362324</c:v>
                </c:pt>
                <c:pt idx="38">
                  <c:v>-8.1457547131671841</c:v>
                </c:pt>
                <c:pt idx="39">
                  <c:v>-8.3971665803602118</c:v>
                </c:pt>
                <c:pt idx="40">
                  <c:v>-8.5953972261295615</c:v>
                </c:pt>
                <c:pt idx="41">
                  <c:v>-8.7482090216020669</c:v>
                </c:pt>
                <c:pt idx="42">
                  <c:v>-8.8620869642915032</c:v>
                </c:pt>
                <c:pt idx="43">
                  <c:v>-8.9424926593989138</c:v>
                </c:pt>
                <c:pt idx="44">
                  <c:v>-8.9940559309892461</c:v>
                </c:pt>
                <c:pt idx="45">
                  <c:v>-9.0207226387549468</c:v>
                </c:pt>
                <c:pt idx="46">
                  <c:v>-9.0258708583023708</c:v>
                </c:pt>
                <c:pt idx="47">
                  <c:v>-9.0124036247610064</c:v>
                </c:pt>
                <c:pt idx="48">
                  <c:v>-8.9828239278236381</c:v>
                </c:pt>
                <c:pt idx="49">
                  <c:v>-8.9392960081838417</c:v>
                </c:pt>
                <c:pt idx="50">
                  <c:v>-8.8836959083040874</c:v>
                </c:pt>
                <c:pt idx="51">
                  <c:v>-8.8176534769576556</c:v>
                </c:pt>
                <c:pt idx="52">
                  <c:v>-8.7425874969375137</c:v>
                </c:pt>
                <c:pt idx="53">
                  <c:v>-8.6597352240744172</c:v>
                </c:pt>
                <c:pt idx="54">
                  <c:v>-8.5701773458459343</c:v>
                </c:pt>
                <c:pt idx="55">
                  <c:v>-8.4748591586155015</c:v>
                </c:pt>
                <c:pt idx="56">
                  <c:v>-8.3746086035134955</c:v>
                </c:pt>
                <c:pt idx="57">
                  <c:v>-8.2701516783445665</c:v>
                </c:pt>
                <c:pt idx="58">
                  <c:v>-8.1621256471336405</c:v>
                </c:pt>
                <c:pt idx="59">
                  <c:v>-8.0510903932834026</c:v>
                </c:pt>
                <c:pt idx="60">
                  <c:v>-7.937538201988926</c:v>
                </c:pt>
                <c:pt idx="61">
                  <c:v>-7.8219022090235111</c:v>
                </c:pt>
                <c:pt idx="62">
                  <c:v>-7.7045637136704137</c:v>
                </c:pt>
                <c:pt idx="63">
                  <c:v>-7.5858585214723284</c:v>
                </c:pt>
                <c:pt idx="64">
                  <c:v>-7.4660824561159504</c:v>
                </c:pt>
                <c:pt idx="65">
                  <c:v>-7.3454961580186362</c:v>
                </c:pt>
                <c:pt idx="66">
                  <c:v>-7.2243292691472991</c:v>
                </c:pt>
                <c:pt idx="67">
                  <c:v>-7.1027840885782165</c:v>
                </c:pt>
                <c:pt idx="68">
                  <c:v>-6.9810387707467871</c:v>
                </c:pt>
                <c:pt idx="69">
                  <c:v>-6.8592501277983287</c:v>
                </c:pt>
                <c:pt idx="70">
                  <c:v>-6.7375560885797885</c:v>
                </c:pt>
                <c:pt idx="71">
                  <c:v>-6.6160778593220639</c:v>
                </c:pt>
                <c:pt idx="72">
                  <c:v>-6.4949218247210752</c:v>
                </c:pt>
                <c:pt idx="73">
                  <c:v>-6.3741812227424326</c:v>
                </c:pt>
                <c:pt idx="74">
                  <c:v>-6.2539376218936784</c:v>
                </c:pt>
                <c:pt idx="75">
                  <c:v>-6.1342622258019226</c:v>
                </c:pt>
                <c:pt idx="76">
                  <c:v>-6.0152170265954314</c:v>
                </c:pt>
                <c:pt idx="77">
                  <c:v>-5.8968558257288546</c:v>
                </c:pt>
                <c:pt idx="78">
                  <c:v>-5.7792251384380826</c:v>
                </c:pt>
                <c:pt idx="79">
                  <c:v>-5.6623649959020463</c:v>
                </c:pt>
                <c:pt idx="80">
                  <c:v>-5.5463096573725821</c:v>
                </c:pt>
                <c:pt idx="81">
                  <c:v>-5.4310882429671921</c:v>
                </c:pt>
                <c:pt idx="82">
                  <c:v>-5.3167252964661245</c:v>
                </c:pt>
                <c:pt idx="83">
                  <c:v>-5.2032412862841966</c:v>
                </c:pt>
                <c:pt idx="84">
                  <c:v>-5.0906530517729731</c:v>
                </c:pt>
                <c:pt idx="85">
                  <c:v>-4.9789742011281239</c:v>
                </c:pt>
                <c:pt idx="86">
                  <c:v>-4.8682154664113009</c:v>
                </c:pt>
                <c:pt idx="87">
                  <c:v>-4.7583850205296212</c:v>
                </c:pt>
                <c:pt idx="88">
                  <c:v>-4.6494887604354567</c:v>
                </c:pt>
                <c:pt idx="89">
                  <c:v>-4.5415305603021912</c:v>
                </c:pt>
                <c:pt idx="90">
                  <c:v>-4.4345124979893757</c:v>
                </c:pt>
                <c:pt idx="91">
                  <c:v>-4.3284350577230235</c:v>
                </c:pt>
                <c:pt idx="92">
                  <c:v>-4.2232973115779391</c:v>
                </c:pt>
                <c:pt idx="93">
                  <c:v>-4.1190970820510877</c:v>
                </c:pt>
                <c:pt idx="94">
                  <c:v>-4.0158310877543082</c:v>
                </c:pt>
                <c:pt idx="95">
                  <c:v>-3.9134950740245906</c:v>
                </c:pt>
                <c:pt idx="96">
                  <c:v>-3.8120839300485416</c:v>
                </c:pt>
                <c:pt idx="97">
                  <c:v>-3.7115917939193817</c:v>
                </c:pt>
                <c:pt idx="98">
                  <c:v>-3.6120121468881665</c:v>
                </c:pt>
                <c:pt idx="99">
                  <c:v>-3.5133378979320087</c:v>
                </c:pt>
                <c:pt idx="100">
                  <c:v>-3.4155614596399624</c:v>
                </c:pt>
                <c:pt idx="101">
                  <c:v>-3.3186748163088091</c:v>
                </c:pt>
                <c:pt idx="102">
                  <c:v>-3.2226695850448617</c:v>
                </c:pt>
                <c:pt idx="103">
                  <c:v>-3.127537070583303</c:v>
                </c:pt>
                <c:pt idx="104">
                  <c:v>-3.0332683144606962</c:v>
                </c:pt>
                <c:pt idx="105">
                  <c:v>-2.9398541391097295</c:v>
                </c:pt>
                <c:pt idx="106">
                  <c:v>-2.8472851873853489</c:v>
                </c:pt>
                <c:pt idx="107">
                  <c:v>-2.7555519579788483</c:v>
                </c:pt>
                <c:pt idx="108">
                  <c:v>-2.6646448371289204</c:v>
                </c:pt>
                <c:pt idx="109">
                  <c:v>-2.5745541269970111</c:v>
                </c:pt>
                <c:pt idx="110">
                  <c:v>-2.4852700710365898</c:v>
                </c:pt>
                <c:pt idx="111">
                  <c:v>-2.3967828766525794</c:v>
                </c:pt>
                <c:pt idx="112">
                  <c:v>-2.3090827354172205</c:v>
                </c:pt>
                <c:pt idx="113">
                  <c:v>-2.2221598410821084</c:v>
                </c:pt>
                <c:pt idx="114">
                  <c:v>-2.1360044056018364</c:v>
                </c:pt>
                <c:pt idx="115">
                  <c:v>-2.0506066733637782</c:v>
                </c:pt>
                <c:pt idx="116">
                  <c:v>-1.9659569337988052</c:v>
                </c:pt>
                <c:pt idx="117">
                  <c:v>-1.8820455325309742</c:v>
                </c:pt>
                <c:pt idx="118">
                  <c:v>-1.7988628812084637</c:v>
                </c:pt>
                <c:pt idx="119">
                  <c:v>-1.7163994661443491</c:v>
                </c:pt>
                <c:pt idx="120">
                  <c:v>-1.6346458558832069</c:v>
                </c:pt>
                <c:pt idx="121">
                  <c:v>-1.5535927077984446</c:v>
                </c:pt>
                <c:pt idx="122">
                  <c:v>-1.4732307738150481</c:v>
                </c:pt>
                <c:pt idx="123">
                  <c:v>-1.3935509053435213</c:v>
                </c:pt>
                <c:pt idx="124">
                  <c:v>-1.3145440575023613</c:v>
                </c:pt>
                <c:pt idx="125">
                  <c:v>-1.2362012926992869</c:v>
                </c:pt>
                <c:pt idx="126">
                  <c:v>-1.1585137836346497</c:v>
                </c:pt>
                <c:pt idx="127">
                  <c:v>-1.0814728157844558</c:v>
                </c:pt>
                <c:pt idx="128">
                  <c:v>-1.0050697894150167</c:v>
                </c:pt>
                <c:pt idx="129">
                  <c:v>-0.92929622117644928</c:v>
                </c:pt>
                <c:pt idx="130">
                  <c:v>-0.85414374531758441</c:v>
                </c:pt>
                <c:pt idx="131">
                  <c:v>-0.77960411456109435</c:v>
                </c:pt>
                <c:pt idx="132">
                  <c:v>-0.70566920067385897</c:v>
                </c:pt>
                <c:pt idx="133">
                  <c:v>-0.63233099476438759</c:v>
                </c:pt>
                <c:pt idx="134">
                  <c:v>-0.55958160733608642</c:v>
                </c:pt>
                <c:pt idx="135">
                  <c:v>-0.48741326812253605</c:v>
                </c:pt>
                <c:pt idx="136">
                  <c:v>-0.41581832572847632</c:v>
                </c:pt>
                <c:pt idx="137">
                  <c:v>-0.34478924709789671</c:v>
                </c:pt>
                <c:pt idx="138">
                  <c:v>-0.27431861682887587</c:v>
                </c:pt>
                <c:pt idx="139">
                  <c:v>-0.20439913635260817</c:v>
                </c:pt>
                <c:pt idx="140">
                  <c:v>-0.13502362299279766</c:v>
                </c:pt>
                <c:pt idx="141">
                  <c:v>-6.6185008919850935E-2</c:v>
                </c:pt>
                <c:pt idx="142">
                  <c:v>2.1236599870416671E-3</c:v>
                </c:pt>
                <c:pt idx="143">
                  <c:v>6.9909225357923335E-2</c:v>
                </c:pt>
                <c:pt idx="144">
                  <c:v>0.13717841761948504</c:v>
                </c:pt>
                <c:pt idx="145">
                  <c:v>0.20393785734217162</c:v>
                </c:pt>
                <c:pt idx="146">
                  <c:v>0.27019405663800949</c:v>
                </c:pt>
                <c:pt idx="147">
                  <c:v>0.33595342060131217</c:v>
                </c:pt>
                <c:pt idx="148">
                  <c:v>0.40122224878501561</c:v>
                </c:pt>
                <c:pt idx="149">
                  <c:v>0.46600673670607556</c:v>
                </c:pt>
                <c:pt idx="150">
                  <c:v>0.53031297737416505</c:v>
                </c:pt>
                <c:pt idx="151">
                  <c:v>0.59414696283825741</c:v>
                </c:pt>
                <c:pt idx="152">
                  <c:v>0.65751458574643062</c:v>
                </c:pt>
                <c:pt idx="153">
                  <c:v>0.72042164091454297</c:v>
                </c:pt>
                <c:pt idx="154">
                  <c:v>0.78287382689994933</c:v>
                </c:pt>
                <c:pt idx="155">
                  <c:v>0.84487674757674591</c:v>
                </c:pt>
                <c:pt idx="156">
                  <c:v>0.90643591370962562</c:v>
                </c:pt>
                <c:pt idx="157">
                  <c:v>0.96755674452333595</c:v>
                </c:pt>
                <c:pt idx="158">
                  <c:v>1.0282445692654252</c:v>
                </c:pt>
                <c:pt idx="159">
                  <c:v>1.0885046287601117</c:v>
                </c:pt>
                <c:pt idx="160">
                  <c:v>1.1483420769511801</c:v>
                </c:pt>
                <c:pt idx="161">
                  <c:v>1.2077619824323558</c:v>
                </c:pt>
                <c:pt idx="162">
                  <c:v>1.2667693299634717</c:v>
                </c:pt>
                <c:pt idx="163">
                  <c:v>1.325369021971269</c:v>
                </c:pt>
                <c:pt idx="164">
                  <c:v>1.383565880033502</c:v>
                </c:pt>
                <c:pt idx="165">
                  <c:v>1.4413646463454972</c:v>
                </c:pt>
                <c:pt idx="166">
                  <c:v>1.4987699851681384</c:v>
                </c:pt>
                <c:pt idx="167">
                  <c:v>1.5557864842566809</c:v>
                </c:pt>
                <c:pt idx="168">
                  <c:v>1.6124186562696254</c:v>
                </c:pt>
                <c:pt idx="169">
                  <c:v>1.6686709401572828</c:v>
                </c:pt>
                <c:pt idx="170">
                  <c:v>1.7245477025294396</c:v>
                </c:pt>
                <c:pt idx="171">
                  <c:v>1.7800532390019039</c:v>
                </c:pt>
                <c:pt idx="172">
                  <c:v>1.8351917755215472</c:v>
                </c:pt>
                <c:pt idx="173">
                  <c:v>1.8899674696697686</c:v>
                </c:pt>
                <c:pt idx="174">
                  <c:v>1.9443844119441367</c:v>
                </c:pt>
                <c:pt idx="175">
                  <c:v>1.99844662701815</c:v>
                </c:pt>
                <c:pt idx="176">
                  <c:v>2.0521580749791495</c:v>
                </c:pt>
                <c:pt idx="177">
                  <c:v>2.1055226525442987</c:v>
                </c:pt>
                <c:pt idx="178">
                  <c:v>2.1585441942547603</c:v>
                </c:pt>
                <c:pt idx="179">
                  <c:v>2.2112264736481047</c:v>
                </c:pt>
                <c:pt idx="180">
                  <c:v>2.2635732044091288</c:v>
                </c:pt>
                <c:pt idx="181">
                  <c:v>2.3155880414991872</c:v>
                </c:pt>
                <c:pt idx="182">
                  <c:v>2.3672745822642245</c:v>
                </c:pt>
                <c:pt idx="183">
                  <c:v>2.418636367521759</c:v>
                </c:pt>
                <c:pt idx="184">
                  <c:v>2.4696768826268967</c:v>
                </c:pt>
                <c:pt idx="185">
                  <c:v>2.5203995585178394</c:v>
                </c:pt>
                <c:pt idx="186">
                  <c:v>2.5708077727408734</c:v>
                </c:pt>
                <c:pt idx="187">
                  <c:v>2.62090485045535</c:v>
                </c:pt>
                <c:pt idx="188">
                  <c:v>2.6706940654187123</c:v>
                </c:pt>
                <c:pt idx="189">
                  <c:v>2.7201786409520494</c:v>
                </c:pt>
                <c:pt idx="190">
                  <c:v>2.7693617508863215</c:v>
                </c:pt>
                <c:pt idx="191">
                  <c:v>2.8182465204896423</c:v>
                </c:pt>
                <c:pt idx="192">
                  <c:v>2.8668360273758902</c:v>
                </c:pt>
                <c:pt idx="193">
                  <c:v>2.9151333023949428</c:v>
                </c:pt>
                <c:pt idx="194">
                  <c:v>2.9631413305048948</c:v>
                </c:pt>
                <c:pt idx="195">
                  <c:v>3.0108630516265231</c:v>
                </c:pt>
                <c:pt idx="196">
                  <c:v>3.0583013614803471</c:v>
                </c:pt>
                <c:pt idx="197">
                  <c:v>3.105459112406574</c:v>
                </c:pt>
                <c:pt idx="198">
                  <c:v>3.1523391141682895</c:v>
                </c:pt>
                <c:pt idx="199">
                  <c:v>3.1989441347381224</c:v>
                </c:pt>
                <c:pt idx="200">
                  <c:v>3.2452769010688249</c:v>
                </c:pt>
                <c:pt idx="201">
                  <c:v>3.2913400998479481</c:v>
                </c:pt>
                <c:pt idx="202">
                  <c:v>3.3371363782370151</c:v>
                </c:pt>
                <c:pt idx="203">
                  <c:v>3.3826683445954768</c:v>
                </c:pt>
                <c:pt idx="204">
                  <c:v>3.4279385691897128</c:v>
                </c:pt>
                <c:pt idx="205">
                  <c:v>3.472949584887429</c:v>
                </c:pt>
                <c:pt idx="206">
                  <c:v>3.5177038878377473</c:v>
                </c:pt>
                <c:pt idx="207">
                  <c:v>3.5622039381372672</c:v>
                </c:pt>
                <c:pt idx="208">
                  <c:v>3.6064521604823212</c:v>
                </c:pt>
                <c:pt idx="209">
                  <c:v>3.6504509448078952</c:v>
                </c:pt>
                <c:pt idx="210">
                  <c:v>3.6942026469133111</c:v>
                </c:pt>
                <c:pt idx="211">
                  <c:v>3.737709589074969</c:v>
                </c:pt>
                <c:pt idx="212">
                  <c:v>3.7809740606466042</c:v>
                </c:pt>
                <c:pt idx="213">
                  <c:v>3.8239983186470767</c:v>
                </c:pt>
                <c:pt idx="214">
                  <c:v>3.8667845883361118</c:v>
                </c:pt>
                <c:pt idx="215">
                  <c:v>3.909335063778252</c:v>
                </c:pt>
                <c:pt idx="216">
                  <c:v>3.9516519083951755</c:v>
                </c:pt>
                <c:pt idx="217">
                  <c:v>3.9937372555067685</c:v>
                </c:pt>
                <c:pt idx="218">
                  <c:v>4.0355932088610196</c:v>
                </c:pt>
                <c:pt idx="219">
                  <c:v>4.0772218431532012</c:v>
                </c:pt>
                <c:pt idx="220">
                  <c:v>4.1186252045343767</c:v>
                </c:pt>
                <c:pt idx="221">
                  <c:v>4.1598053111095465</c:v>
                </c:pt>
                <c:pt idx="222">
                  <c:v>4.2007641534256832</c:v>
                </c:pt>
                <c:pt idx="223">
                  <c:v>4.2415036949498424</c:v>
                </c:pt>
                <c:pt idx="224">
                  <c:v>4.2820258725375586</c:v>
                </c:pt>
                <c:pt idx="225">
                  <c:v>4.3223325968917843</c:v>
                </c:pt>
                <c:pt idx="226">
                  <c:v>4.7139524417608571</c:v>
                </c:pt>
                <c:pt idx="227">
                  <c:v>5.0859507632082153</c:v>
                </c:pt>
                <c:pt idx="228">
                  <c:v>5.4398694143035637</c:v>
                </c:pt>
                <c:pt idx="229">
                  <c:v>5.7770685301437039</c:v>
                </c:pt>
                <c:pt idx="230">
                  <c:v>6.0987533624592603</c:v>
                </c:pt>
                <c:pt idx="231">
                  <c:v>6.4059964864168517</c:v>
                </c:pt>
                <c:pt idx="232">
                  <c:v>6.6997562742044012</c:v>
                </c:pt>
                <c:pt idx="233">
                  <c:v>6.9808923433744958</c:v>
                </c:pt>
                <c:pt idx="234">
                  <c:v>7.2501785416819828</c:v>
                </c:pt>
                <c:pt idx="235">
                  <c:v>7.5083139157349423</c:v>
                </c:pt>
                <c:pt idx="236">
                  <c:v>7.7559320211778751</c:v>
                </c:pt>
                <c:pt idx="237">
                  <c:v>7.9936088617888874</c:v>
                </c:pt>
                <c:pt idx="238">
                  <c:v>8.2218696894680221</c:v>
                </c:pt>
                <c:pt idx="239">
                  <c:v>8.4411948532774659</c:v>
                </c:pt>
                <c:pt idx="240">
                  <c:v>8.6520248508904256</c:v>
                </c:pt>
                <c:pt idx="241">
                  <c:v>8.8547647080348089</c:v>
                </c:pt>
                <c:pt idx="242">
                  <c:v>9.0497877892560847</c:v>
                </c:pt>
                <c:pt idx="243">
                  <c:v>9.2374391253953068</c:v>
                </c:pt>
                <c:pt idx="244">
                  <c:v>9.4180383286731875</c:v>
                </c:pt>
                <c:pt idx="245">
                  <c:v>9.5918821544830291</c:v>
                </c:pt>
                <c:pt idx="246">
                  <c:v>9.7592467593721661</c:v>
                </c:pt>
                <c:pt idx="247">
                  <c:v>9.9203896968031735</c:v>
                </c:pt>
                <c:pt idx="248">
                  <c:v>10.075551685791673</c:v>
                </c:pt>
                <c:pt idx="249">
                  <c:v>10.224958182149862</c:v>
                </c:pt>
                <c:pt idx="250">
                  <c:v>10.368820777610894</c:v>
                </c:pt>
                <c:pt idx="251">
                  <c:v>10.507338448399482</c:v>
                </c:pt>
                <c:pt idx="252">
                  <c:v>10.640698671712963</c:v>
                </c:pt>
                <c:pt idx="253">
                  <c:v>10.769078425975628</c:v>
                </c:pt>
                <c:pt idx="254">
                  <c:v>10.892645088539332</c:v>
                </c:pt>
                <c:pt idx="255">
                  <c:v>11.011557242654199</c:v>
                </c:pt>
                <c:pt idx="256">
                  <c:v>11.125965403966342</c:v>
                </c:pt>
                <c:pt idx="257">
                  <c:v>11.236012675468402</c:v>
                </c:pt>
                <c:pt idx="258">
                  <c:v>11.341835338693265</c:v>
                </c:pt>
                <c:pt idx="259">
                  <c:v>11.443563387971317</c:v>
                </c:pt>
                <c:pt idx="260">
                  <c:v>11.541321013739518</c:v>
                </c:pt>
                <c:pt idx="261">
                  <c:v>11.635227040174886</c:v>
                </c:pt>
                <c:pt idx="262">
                  <c:v>11.72539532180844</c:v>
                </c:pt>
                <c:pt idx="263">
                  <c:v>11.811935103241636</c:v>
                </c:pt>
                <c:pt idx="264">
                  <c:v>11.894951345625145</c:v>
                </c:pt>
                <c:pt idx="265">
                  <c:v>11.974545023156972</c:v>
                </c:pt>
                <c:pt idx="266">
                  <c:v>12.050813392506512</c:v>
                </c:pt>
                <c:pt idx="267">
                  <c:v>12.123850237763723</c:v>
                </c:pt>
                <c:pt idx="268">
                  <c:v>12.193746093243989</c:v>
                </c:pt>
                <c:pt idx="269">
                  <c:v>12.260588446242018</c:v>
                </c:pt>
                <c:pt idx="270">
                  <c:v>12.324461921619605</c:v>
                </c:pt>
                <c:pt idx="271">
                  <c:v>12.38544844992717</c:v>
                </c:pt>
                <c:pt idx="272">
                  <c:v>12.443627420595035</c:v>
                </c:pt>
                <c:pt idx="273">
                  <c:v>12.4990758215847</c:v>
                </c:pt>
                <c:pt idx="274">
                  <c:v>12.551868366759875</c:v>
                </c:pt>
                <c:pt idx="275">
                  <c:v>12.602077612120857</c:v>
                </c:pt>
                <c:pt idx="276">
                  <c:v>12.649774061941022</c:v>
                </c:pt>
                <c:pt idx="277">
                  <c:v>12.695026265750212</c:v>
                </c:pt>
                <c:pt idx="278">
                  <c:v>12.737900907024828</c:v>
                </c:pt>
                <c:pt idx="279">
                  <c:v>12.778462884367785</c:v>
                </c:pt>
                <c:pt idx="280">
                  <c:v>12.816775385891521</c:v>
                </c:pt>
                <c:pt idx="281">
                  <c:v>12.852899957454492</c:v>
                </c:pt>
                <c:pt idx="282">
                  <c:v>12.886896565343402</c:v>
                </c:pt>
                <c:pt idx="283">
                  <c:v>12.918823653941303</c:v>
                </c:pt>
                <c:pt idx="284">
                  <c:v>12.948738198873482</c:v>
                </c:pt>
                <c:pt idx="285">
                  <c:v>12.976695756079078</c:v>
                </c:pt>
                <c:pt idx="286">
                  <c:v>13.00275050721628</c:v>
                </c:pt>
                <c:pt idx="287">
                  <c:v>13.026955301771885</c:v>
                </c:pt>
                <c:pt idx="288">
                  <c:v>13.049361696212166</c:v>
                </c:pt>
                <c:pt idx="289">
                  <c:v>13.07001999048097</c:v>
                </c:pt>
                <c:pt idx="290">
                  <c:v>13.088979262122223</c:v>
                </c:pt>
                <c:pt idx="291">
                  <c:v>13.106287398277917</c:v>
                </c:pt>
                <c:pt idx="292">
                  <c:v>13.121991125788465</c:v>
                </c:pt>
                <c:pt idx="293">
                  <c:v>13.136136039600119</c:v>
                </c:pt>
                <c:pt idx="294">
                  <c:v>13.148766629663919</c:v>
                </c:pt>
                <c:pt idx="295">
                  <c:v>13.159926306491872</c:v>
                </c:pt>
                <c:pt idx="296">
                  <c:v>13.169657425519068</c:v>
                </c:pt>
                <c:pt idx="297">
                  <c:v>13.178001310404641</c:v>
                </c:pt>
                <c:pt idx="298">
                  <c:v>13.184998275390354</c:v>
                </c:pt>
                <c:pt idx="299">
                  <c:v>13.190687646822344</c:v>
                </c:pt>
                <c:pt idx="300">
                  <c:v>13.195107783929682</c:v>
                </c:pt>
                <c:pt idx="301">
                  <c:v>13.198296098942661</c:v>
                </c:pt>
                <c:pt idx="302">
                  <c:v>13.200289076623598</c:v>
                </c:pt>
                <c:pt idx="303">
                  <c:v>13.201122293274288</c:v>
                </c:pt>
                <c:pt idx="304">
                  <c:v>13.200830435276004</c:v>
                </c:pt>
                <c:pt idx="305">
                  <c:v>13.199447317210446</c:v>
                </c:pt>
                <c:pt idx="306">
                  <c:v>13.197005899603958</c:v>
                </c:pt>
                <c:pt idx="307">
                  <c:v>13.193538306330803</c:v>
                </c:pt>
                <c:pt idx="308">
                  <c:v>13.189075841706533</c:v>
                </c:pt>
                <c:pt idx="309">
                  <c:v>13.183649007297358</c:v>
                </c:pt>
                <c:pt idx="310">
                  <c:v>13.177287518467576</c:v>
                </c:pt>
                <c:pt idx="311">
                  <c:v>13.170020320683067</c:v>
                </c:pt>
                <c:pt idx="312">
                  <c:v>13.161875605585859</c:v>
                </c:pt>
                <c:pt idx="313">
                  <c:v>13.152880826851746</c:v>
                </c:pt>
                <c:pt idx="314">
                  <c:v>13.143062715840399</c:v>
                </c:pt>
                <c:pt idx="315">
                  <c:v>13.132447297045424</c:v>
                </c:pt>
                <c:pt idx="316">
                  <c:v>13.121059903349657</c:v>
                </c:pt>
                <c:pt idx="317">
                  <c:v>13.108925191089638</c:v>
                </c:pt>
                <c:pt idx="318">
                  <c:v>13.096067154931701</c:v>
                </c:pt>
                <c:pt idx="319">
                  <c:v>13.082509142560969</c:v>
                </c:pt>
                <c:pt idx="320">
                  <c:v>13.068273869183741</c:v>
                </c:pt>
                <c:pt idx="321">
                  <c:v>13.053383431842709</c:v>
                </c:pt>
                <c:pt idx="322">
                  <c:v>13.037859323544229</c:v>
                </c:pt>
                <c:pt idx="323">
                  <c:v>13.021722447195952</c:v>
                </c:pt>
                <c:pt idx="324">
                  <c:v>13.004993129353116</c:v>
                </c:pt>
                <c:pt idx="325">
                  <c:v>12.98769113377136</c:v>
                </c:pt>
                <c:pt idx="326">
                  <c:v>12.969835674763864</c:v>
                </c:pt>
                <c:pt idx="327">
                  <c:v>12.951445430360442</c:v>
                </c:pt>
                <c:pt idx="328">
                  <c:v>12.932538555266316</c:v>
                </c:pt>
                <c:pt idx="329">
                  <c:v>12.913132693618245</c:v>
                </c:pt>
                <c:pt idx="330">
                  <c:v>12.893244991535957</c:v>
                </c:pt>
                <c:pt idx="331">
                  <c:v>12.872892109466685</c:v>
                </c:pt>
                <c:pt idx="332">
                  <c:v>12.852090234321071</c:v>
                </c:pt>
                <c:pt idx="333">
                  <c:v>12.830855091398785</c:v>
                </c:pt>
                <c:pt idx="334">
                  <c:v>12.809201956102338</c:v>
                </c:pt>
                <c:pt idx="335">
                  <c:v>12.787145665437977</c:v>
                </c:pt>
                <c:pt idx="336">
                  <c:v>12.764700629302684</c:v>
                </c:pt>
                <c:pt idx="337">
                  <c:v>12.741880841556592</c:v>
                </c:pt>
                <c:pt idx="338">
                  <c:v>12.718699890880384</c:v>
                </c:pt>
                <c:pt idx="339">
                  <c:v>12.695170971417483</c:v>
                </c:pt>
                <c:pt idx="340">
                  <c:v>12.671306893201166</c:v>
                </c:pt>
                <c:pt idx="341">
                  <c:v>12.64712009236689</c:v>
                </c:pt>
                <c:pt idx="342">
                  <c:v>12.622622641150434</c:v>
                </c:pt>
                <c:pt idx="343">
                  <c:v>12.597826257672697</c:v>
                </c:pt>
                <c:pt idx="344">
                  <c:v>12.572742315512141</c:v>
                </c:pt>
                <c:pt idx="345">
                  <c:v>12.547381853066259</c:v>
                </c:pt>
                <c:pt idx="346">
                  <c:v>12.521755582703465</c:v>
                </c:pt>
                <c:pt idx="347">
                  <c:v>12.49587389970706</c:v>
                </c:pt>
                <c:pt idx="348">
                  <c:v>12.469746891013314</c:v>
                </c:pt>
                <c:pt idx="349">
                  <c:v>12.443384343745427</c:v>
                </c:pt>
                <c:pt idx="350">
                  <c:v>12.416795753545864</c:v>
                </c:pt>
                <c:pt idx="351">
                  <c:v>12.389990332709216</c:v>
                </c:pt>
                <c:pt idx="352">
                  <c:v>12.362977018118123</c:v>
                </c:pt>
                <c:pt idx="353">
                  <c:v>12.335764478984956</c:v>
                </c:pt>
                <c:pt idx="354">
                  <c:v>12.308361124401868</c:v>
                </c:pt>
                <c:pt idx="355">
                  <c:v>12.280775110702136</c:v>
                </c:pt>
                <c:pt idx="356">
                  <c:v>12.253014348635682</c:v>
                </c:pt>
                <c:pt idx="357">
                  <c:v>12.225086510361777</c:v>
                </c:pt>
                <c:pt idx="358">
                  <c:v>12.196999036262014</c:v>
                </c:pt>
                <c:pt idx="359">
                  <c:v>12.168759141576677</c:v>
                </c:pt>
                <c:pt idx="360">
                  <c:v>12.140373822867712</c:v>
                </c:pt>
                <c:pt idx="361">
                  <c:v>12.111849864311505</c:v>
                </c:pt>
                <c:pt idx="362">
                  <c:v>12.083193843824748</c:v>
                </c:pt>
                <c:pt idx="363">
                  <c:v>12.054412139026656</c:v>
                </c:pt>
                <c:pt idx="364">
                  <c:v>12.025510933040922</c:v>
                </c:pt>
                <c:pt idx="365">
                  <c:v>11.996496220140596</c:v>
                </c:pt>
                <c:pt idx="366">
                  <c:v>11.967373811239348</c:v>
                </c:pt>
                <c:pt idx="367">
                  <c:v>11.938149339232337</c:v>
                </c:pt>
                <c:pt idx="368">
                  <c:v>11.90882826419007</c:v>
                </c:pt>
                <c:pt idx="369">
                  <c:v>11.879415878408505</c:v>
                </c:pt>
                <c:pt idx="370">
                  <c:v>11.849917311318698</c:v>
                </c:pt>
                <c:pt idx="371">
                  <c:v>11.820337534259282</c:v>
                </c:pt>
                <c:pt idx="372">
                  <c:v>11.79068136511497</c:v>
                </c:pt>
                <c:pt idx="373">
                  <c:v>11.760953472824337</c:v>
                </c:pt>
                <c:pt idx="374">
                  <c:v>11.731158381759981</c:v>
                </c:pt>
                <c:pt idx="375">
                  <c:v>11.701300475984311</c:v>
                </c:pt>
                <c:pt idx="376">
                  <c:v>11.671384003383942</c:v>
                </c:pt>
                <c:pt idx="377">
                  <c:v>11.64141307968583</c:v>
                </c:pt>
                <c:pt idx="378">
                  <c:v>11.611391692358136</c:v>
                </c:pt>
                <c:pt idx="379">
                  <c:v>11.581323704398772</c:v>
                </c:pt>
                <c:pt idx="380">
                  <c:v>11.551212858014551</c:v>
                </c:pt>
                <c:pt idx="381">
                  <c:v>11.521062778193841</c:v>
                </c:pt>
                <c:pt idx="382">
                  <c:v>11.490876976175491</c:v>
                </c:pt>
                <c:pt idx="383">
                  <c:v>11.460658852816849</c:v>
                </c:pt>
                <c:pt idx="384">
                  <c:v>11.430411701863507</c:v>
                </c:pt>
                <c:pt idx="385">
                  <c:v>11.400138713123543</c:v>
                </c:pt>
                <c:pt idx="386">
                  <c:v>11.369842975548764</c:v>
                </c:pt>
                <c:pt idx="387">
                  <c:v>11.339527480225584</c:v>
                </c:pt>
                <c:pt idx="388">
                  <c:v>11.30919512327797</c:v>
                </c:pt>
                <c:pt idx="389">
                  <c:v>11.278848708684961</c:v>
                </c:pt>
                <c:pt idx="390">
                  <c:v>11.248490951015089</c:v>
                </c:pt>
                <c:pt idx="391">
                  <c:v>11.218124478080096</c:v>
                </c:pt>
                <c:pt idx="392">
                  <c:v>11.187751833510202</c:v>
                </c:pt>
                <c:pt idx="393">
                  <c:v>11.157375479253142</c:v>
                </c:pt>
                <c:pt idx="394">
                  <c:v>11.126997797999174</c:v>
                </c:pt>
                <c:pt idx="395">
                  <c:v>11.096621095534138</c:v>
                </c:pt>
                <c:pt idx="396">
                  <c:v>11.066247603022735</c:v>
                </c:pt>
                <c:pt idx="397">
                  <c:v>11.035879479223871</c:v>
                </c:pt>
                <c:pt idx="398">
                  <c:v>11.005518812640226</c:v>
                </c:pt>
                <c:pt idx="399">
                  <c:v>10.975167623603818</c:v>
                </c:pt>
                <c:pt idx="400">
                  <c:v>10.944827866299544</c:v>
                </c:pt>
                <c:pt idx="401">
                  <c:v>10.914501430728379</c:v>
                </c:pt>
                <c:pt idx="402">
                  <c:v>10.884190144612159</c:v>
                </c:pt>
                <c:pt idx="403">
                  <c:v>10.853895775241536</c:v>
                </c:pt>
                <c:pt idx="404">
                  <c:v>10.823620031268904</c:v>
                </c:pt>
                <c:pt idx="405">
                  <c:v>10.793364564447781</c:v>
                </c:pt>
                <c:pt idx="406">
                  <c:v>10.763130971320384</c:v>
                </c:pt>
                <c:pt idx="407">
                  <c:v>10.732920794854827</c:v>
                </c:pt>
                <c:pt idx="408">
                  <c:v>10.702735526033528</c:v>
                </c:pt>
                <c:pt idx="409">
                  <c:v>10.672576605394163</c:v>
                </c:pt>
                <c:pt idx="410">
                  <c:v>10.642445424524745</c:v>
                </c:pt>
                <c:pt idx="411">
                  <c:v>10.612343327514054</c:v>
                </c:pt>
                <c:pt idx="412">
                  <c:v>10.582271612358845</c:v>
                </c:pt>
                <c:pt idx="413">
                  <c:v>10.552231532329108</c:v>
                </c:pt>
                <c:pt idx="414">
                  <c:v>10.522224297292617</c:v>
                </c:pt>
                <c:pt idx="415">
                  <c:v>10.492251075000041</c:v>
                </c:pt>
                <c:pt idx="416">
                  <c:v>10.462312992331739</c:v>
                </c:pt>
                <c:pt idx="417">
                  <c:v>10.432411136507477</c:v>
                </c:pt>
                <c:pt idx="418">
                  <c:v>10.402546556260134</c:v>
                </c:pt>
                <c:pt idx="419">
                  <c:v>10.372720262974443</c:v>
                </c:pt>
                <c:pt idx="420">
                  <c:v>10.342933231791946</c:v>
                </c:pt>
                <c:pt idx="421">
                  <c:v>10.313186402683044</c:v>
                </c:pt>
                <c:pt idx="422">
                  <c:v>10.283480681487262</c:v>
                </c:pt>
                <c:pt idx="423">
                  <c:v>10.253816940922588</c:v>
                </c:pt>
                <c:pt idx="424">
                  <c:v>10.224196021564895</c:v>
                </c:pt>
                <c:pt idx="425">
                  <c:v>10.194618732798324</c:v>
                </c:pt>
                <c:pt idx="426">
                  <c:v>10.165085853737462</c:v>
                </c:pt>
                <c:pt idx="427">
                  <c:v>10.135598134122311</c:v>
                </c:pt>
                <c:pt idx="428">
                  <c:v>10.106156295186663</c:v>
                </c:pt>
                <c:pt idx="429">
                  <c:v>10.076761030500869</c:v>
                </c:pt>
                <c:pt idx="430">
                  <c:v>10.047413006789725</c:v>
                </c:pt>
                <c:pt idx="431">
                  <c:v>10.018112864726131</c:v>
                </c:pt>
                <c:pt idx="432">
                  <c:v>9.9888612197014197</c:v>
                </c:pt>
                <c:pt idx="433">
                  <c:v>9.9596586625729238</c:v>
                </c:pt>
                <c:pt idx="434">
                  <c:v>9.930505760389579</c:v>
                </c:pt>
                <c:pt idx="435">
                  <c:v>9.9014030570961058</c:v>
                </c:pt>
                <c:pt idx="436">
                  <c:v>9.8723510742165512</c:v>
                </c:pt>
                <c:pt idx="437">
                  <c:v>9.843350311517705</c:v>
                </c:pt>
                <c:pt idx="438">
                  <c:v>9.814401247653068</c:v>
                </c:pt>
                <c:pt idx="439">
                  <c:v>9.7855043407879254</c:v>
                </c:pt>
                <c:pt idx="440">
                  <c:v>9.7566600292061167</c:v>
                </c:pt>
                <c:pt idx="441">
                  <c:v>9.7278687318990098</c:v>
                </c:pt>
                <c:pt idx="442">
                  <c:v>9.6991308491372905</c:v>
                </c:pt>
                <c:pt idx="443">
                  <c:v>9.67044676302603</c:v>
                </c:pt>
                <c:pt idx="444">
                  <c:v>9.6418168380435247</c:v>
                </c:pt>
                <c:pt idx="445">
                  <c:v>9.6132414215644584</c:v>
                </c:pt>
                <c:pt idx="446">
                  <c:v>9.5847208443677729</c:v>
                </c:pt>
                <c:pt idx="447">
                  <c:v>9.5562554211298139</c:v>
                </c:pt>
                <c:pt idx="448">
                  <c:v>9.5278454509030617</c:v>
                </c:pt>
                <c:pt idx="449">
                  <c:v>9.4994912175810136</c:v>
                </c:pt>
                <c:pt idx="450">
                  <c:v>9.4711929903495378</c:v>
                </c:pt>
                <c:pt idx="451">
                  <c:v>9.44295102412514</c:v>
                </c:pt>
                <c:pt idx="452">
                  <c:v>9.4147655599805304</c:v>
                </c:pt>
                <c:pt idx="453">
                  <c:v>9.3866368255578738</c:v>
                </c:pt>
                <c:pt idx="454">
                  <c:v>9.3585650354700984</c:v>
                </c:pt>
                <c:pt idx="455">
                  <c:v>9.3305503916905828</c:v>
                </c:pt>
                <c:pt idx="456">
                  <c:v>9.3025930839316153</c:v>
                </c:pt>
                <c:pt idx="457">
                  <c:v>9.2746932900119337</c:v>
                </c:pt>
                <c:pt idx="458">
                  <c:v>9.2468511762136512</c:v>
                </c:pt>
                <c:pt idx="459">
                  <c:v>9.2190668976289682</c:v>
                </c:pt>
                <c:pt idx="460">
                  <c:v>9.1913405984968239</c:v>
                </c:pt>
                <c:pt idx="461">
                  <c:v>9.163672412529948</c:v>
                </c:pt>
                <c:pt idx="462">
                  <c:v>9.1360624632325056</c:v>
                </c:pt>
                <c:pt idx="463">
                  <c:v>9.1085108642085846</c:v>
                </c:pt>
                <c:pt idx="464">
                  <c:v>9.0810177194619097</c:v>
                </c:pt>
                <c:pt idx="465">
                  <c:v>9.053583123686936</c:v>
                </c:pt>
                <c:pt idx="466">
                  <c:v>9.0262071625516107</c:v>
                </c:pt>
                <c:pt idx="467">
                  <c:v>8.9988899129720892</c:v>
                </c:pt>
                <c:pt idx="468">
                  <c:v>8.9716314433795468</c:v>
                </c:pt>
                <c:pt idx="469">
                  <c:v>8.9444318139794365</c:v>
                </c:pt>
                <c:pt idx="470">
                  <c:v>8.9172910770033145</c:v>
                </c:pt>
                <c:pt idx="471">
                  <c:v>8.8902092769535095</c:v>
                </c:pt>
                <c:pt idx="472">
                  <c:v>8.8631864508408249</c:v>
                </c:pt>
                <c:pt idx="473">
                  <c:v>8.8362226284154772</c:v>
                </c:pt>
                <c:pt idx="474">
                  <c:v>8.8093178323914572</c:v>
                </c:pt>
                <c:pt idx="475">
                  <c:v>8.782472078664556</c:v>
                </c:pt>
                <c:pt idx="476">
                  <c:v>8.7556853765241733</c:v>
                </c:pt>
                <c:pt idx="477">
                  <c:v>8.7289577288591129</c:v>
                </c:pt>
                <c:pt idx="478">
                  <c:v>8.7022891323575742</c:v>
                </c:pt>
                <c:pt idx="479">
                  <c:v>8.675679577701473</c:v>
                </c:pt>
                <c:pt idx="480">
                  <c:v>8.649129049755226</c:v>
                </c:pt>
                <c:pt idx="481">
                  <c:v>8.6226375277492728</c:v>
                </c:pt>
                <c:pt idx="482">
                  <c:v>8.5962049854583107</c:v>
                </c:pt>
                <c:pt idx="483">
                  <c:v>8.5698313913746009</c:v>
                </c:pt>
                <c:pt idx="484">
                  <c:v>8.5435167088763038</c:v>
                </c:pt>
                <c:pt idx="485">
                  <c:v>8.5172608963910825</c:v>
                </c:pt>
                <c:pt idx="486">
                  <c:v>8.4910639075551391</c:v>
                </c:pt>
                <c:pt idx="487">
                  <c:v>8.4649256913677036</c:v>
                </c:pt>
                <c:pt idx="488">
                  <c:v>8.4388461923412095</c:v>
                </c:pt>
                <c:pt idx="489">
                  <c:v>8.412825350647239</c:v>
                </c:pt>
                <c:pt idx="490">
                  <c:v>8.3868631022583546</c:v>
                </c:pt>
                <c:pt idx="491">
                  <c:v>8.360959379085946</c:v>
                </c:pt>
                <c:pt idx="492">
                  <c:v>8.3351141091141816</c:v>
                </c:pt>
                <c:pt idx="493">
                  <c:v>8.3093272165302352</c:v>
                </c:pt>
                <c:pt idx="494">
                  <c:v>8.28359862185083</c:v>
                </c:pt>
                <c:pt idx="495">
                  <c:v>8.2579282420452049</c:v>
                </c:pt>
                <c:pt idx="496">
                  <c:v>8.2323159906546923</c:v>
                </c:pt>
                <c:pt idx="497">
                  <c:v>8.2067617779088682</c:v>
                </c:pt>
                <c:pt idx="498">
                  <c:v>8.1812655108385002</c:v>
                </c:pt>
                <c:pt idx="499">
                  <c:v>8.1558270933852874</c:v>
                </c:pt>
                <c:pt idx="500">
                  <c:v>8.1304464265085592</c:v>
                </c:pt>
                <c:pt idx="501">
                  <c:v>8.105123408288943</c:v>
                </c:pt>
                <c:pt idx="502">
                  <c:v>8.0798579340291425</c:v>
                </c:pt>
                <c:pt idx="503">
                  <c:v>8.0546498963519166</c:v>
                </c:pt>
                <c:pt idx="504">
                  <c:v>8.0294991852952613</c:v>
                </c:pt>
                <c:pt idx="505">
                  <c:v>8.0044056884049688</c:v>
                </c:pt>
                <c:pt idx="506">
                  <c:v>7.9793692908245557</c:v>
                </c:pt>
                <c:pt idx="507">
                  <c:v>7.9543898753827023</c:v>
                </c:pt>
                <c:pt idx="508">
                  <c:v>7.9294673226782209</c:v>
                </c:pt>
                <c:pt idx="509">
                  <c:v>7.9046015111626469</c:v>
                </c:pt>
                <c:pt idx="510">
                  <c:v>7.879792317220514</c:v>
                </c:pt>
                <c:pt idx="511">
                  <c:v>7.8550396152473789</c:v>
                </c:pt>
                <c:pt idx="512">
                  <c:v>7.830343277725663</c:v>
                </c:pt>
                <c:pt idx="513">
                  <c:v>7.8057031752983494</c:v>
                </c:pt>
                <c:pt idx="514">
                  <c:v>7.7811191768406331</c:v>
                </c:pt>
                <c:pt idx="515">
                  <c:v>7.7565911495295321</c:v>
                </c:pt>
                <c:pt idx="516">
                  <c:v>7.7321189589115864</c:v>
                </c:pt>
                <c:pt idx="517">
                  <c:v>7.7077024689686047</c:v>
                </c:pt>
                <c:pt idx="518">
                  <c:v>7.6833415421816023</c:v>
                </c:pt>
                <c:pt idx="519">
                  <c:v>7.6590360395929125</c:v>
                </c:pt>
                <c:pt idx="520">
                  <c:v>7.6347858208665773</c:v>
                </c:pt>
                <c:pt idx="521">
                  <c:v>7.6105907443470198</c:v>
                </c:pt>
                <c:pt idx="522">
                  <c:v>7.586450667116055</c:v>
                </c:pt>
                <c:pt idx="523">
                  <c:v>7.5623654450483278</c:v>
                </c:pt>
                <c:pt idx="524">
                  <c:v>7.5383349328651361</c:v>
                </c:pt>
                <c:pt idx="525">
                  <c:v>7.5143589841867975</c:v>
                </c:pt>
                <c:pt idx="526">
                  <c:v>7.4904374515834675</c:v>
                </c:pt>
                <c:pt idx="527">
                  <c:v>7.4665701866245824</c:v>
                </c:pt>
                <c:pt idx="528">
                  <c:v>7.4427570399268443</c:v>
                </c:pt>
                <c:pt idx="529">
                  <c:v>7.4189978612009124</c:v>
                </c:pt>
                <c:pt idx="530">
                  <c:v>7.3952924992966995</c:v>
                </c:pt>
                <c:pt idx="531">
                  <c:v>7.3716408022474367</c:v>
                </c:pt>
                <c:pt idx="532">
                  <c:v>7.348042617312446</c:v>
                </c:pt>
                <c:pt idx="533">
                  <c:v>7.3244977910187279</c:v>
                </c:pt>
                <c:pt idx="534">
                  <c:v>7.3010061692013428</c:v>
                </c:pt>
                <c:pt idx="535">
                  <c:v>7.2775675970426468</c:v>
                </c:pt>
                <c:pt idx="536">
                  <c:v>7.2541819191103949</c:v>
                </c:pt>
                <c:pt idx="537">
                  <c:v>7.2308489793947714</c:v>
                </c:pt>
                <c:pt idx="538">
                  <c:v>7.2075686213443513</c:v>
                </c:pt>
                <c:pt idx="539">
                  <c:v>7.1843406879010088</c:v>
                </c:pt>
                <c:pt idx="540">
                  <c:v>7.1611650215338667</c:v>
                </c:pt>
                <c:pt idx="541">
                  <c:v>7.1380414642722103</c:v>
                </c:pt>
                <c:pt idx="542">
                  <c:v>7.1149698577374956</c:v>
                </c:pt>
                <c:pt idx="543">
                  <c:v>7.091950043174422</c:v>
                </c:pt>
                <c:pt idx="544">
                  <c:v>7.0689818614810784</c:v>
                </c:pt>
                <c:pt idx="545">
                  <c:v>7.0460651532382537</c:v>
                </c:pt>
                <c:pt idx="546">
                  <c:v>7.023199758737853</c:v>
                </c:pt>
                <c:pt idx="547">
                  <c:v>7.0003855180105177</c:v>
                </c:pt>
                <c:pt idx="548">
                  <c:v>6.9776222708524198</c:v>
                </c:pt>
                <c:pt idx="549">
                  <c:v>6.9549098568512822</c:v>
                </c:pt>
                <c:pt idx="550">
                  <c:v>6.9322481154116087</c:v>
                </c:pt>
                <c:pt idx="551">
                  <c:v>6.9096368857792081</c:v>
                </c:pt>
                <c:pt idx="552">
                  <c:v>6.887076007064965</c:v>
                </c:pt>
                <c:pt idx="553">
                  <c:v>6.8645653182679167</c:v>
                </c:pt>
                <c:pt idx="554">
                  <c:v>6.842104658297643</c:v>
                </c:pt>
                <c:pt idx="555">
                  <c:v>6.819693865995986</c:v>
                </c:pt>
                <c:pt idx="556">
                  <c:v>6.7973327801581291</c:v>
                </c:pt>
                <c:pt idx="557">
                  <c:v>6.7750212395530252</c:v>
                </c:pt>
                <c:pt idx="558">
                  <c:v>6.752759082943224</c:v>
                </c:pt>
                <c:pt idx="559">
                  <c:v>6.7305461491041161</c:v>
                </c:pt>
                <c:pt idx="560">
                  <c:v>6.7083822768425527</c:v>
                </c:pt>
                <c:pt idx="561">
                  <c:v>6.6862673050149297</c:v>
                </c:pt>
                <c:pt idx="562">
                  <c:v>6.6642010725447118</c:v>
                </c:pt>
                <c:pt idx="563">
                  <c:v>6.6421834184394299</c:v>
                </c:pt>
                <c:pt idx="564">
                  <c:v>6.6202141818071114</c:v>
                </c:pt>
                <c:pt idx="565">
                  <c:v>6.5982932018722762</c:v>
                </c:pt>
                <c:pt idx="566">
                  <c:v>6.5764203179913592</c:v>
                </c:pt>
                <c:pt idx="567">
                  <c:v>6.5545953696677142</c:v>
                </c:pt>
                <c:pt idx="568">
                  <c:v>6.5328181965661001</c:v>
                </c:pt>
                <c:pt idx="569">
                  <c:v>6.5110886385267408</c:v>
                </c:pt>
                <c:pt idx="570">
                  <c:v>6.4894065355789241</c:v>
                </c:pt>
                <c:pt idx="571">
                  <c:v>6.4677717279541902</c:v>
                </c:pt>
                <c:pt idx="572">
                  <c:v>6.4461840560990584</c:v>
                </c:pt>
                <c:pt idx="573">
                  <c:v>6.4246433606873845</c:v>
                </c:pt>
                <c:pt idx="574">
                  <c:v>6.4031494826322923</c:v>
                </c:pt>
                <c:pt idx="575">
                  <c:v>6.3817022630977425</c:v>
                </c:pt>
                <c:pt idx="576">
                  <c:v>6.3603015435096841</c:v>
                </c:pt>
                <c:pt idx="577">
                  <c:v>6.3389471655668839</c:v>
                </c:pt>
                <c:pt idx="578">
                  <c:v>6.3176389712513554</c:v>
                </c:pt>
                <c:pt idx="579">
                  <c:v>6.2963768028384735</c:v>
                </c:pt>
                <c:pt idx="580">
                  <c:v>6.2751605029067212</c:v>
                </c:pt>
                <c:pt idx="581">
                  <c:v>6.2539899143471391</c:v>
                </c:pt>
                <c:pt idx="582">
                  <c:v>6.2328648803724054</c:v>
                </c:pt>
                <c:pt idx="583">
                  <c:v>6.2117852445256583</c:v>
                </c:pt>
                <c:pt idx="584">
                  <c:v>6.190750850688965</c:v>
                </c:pt>
                <c:pt idx="585">
                  <c:v>6.1697615430915329</c:v>
                </c:pt>
                <c:pt idx="586">
                  <c:v>6.1488171663175981</c:v>
                </c:pt>
                <c:pt idx="587">
                  <c:v>6.127917565314065</c:v>
                </c:pt>
                <c:pt idx="588">
                  <c:v>6.1070625853978511</c:v>
                </c:pt>
                <c:pt idx="589">
                  <c:v>6.0862520722629565</c:v>
                </c:pt>
                <c:pt idx="590">
                  <c:v>6.0654858719873248</c:v>
                </c:pt>
                <c:pt idx="591">
                  <c:v>6.0447638310393801</c:v>
                </c:pt>
                <c:pt idx="592">
                  <c:v>6.0240857962843748</c:v>
                </c:pt>
                <c:pt idx="593">
                  <c:v>6.003451614990488</c:v>
                </c:pt>
                <c:pt idx="594">
                  <c:v>5.9828611348346517</c:v>
                </c:pt>
                <c:pt idx="595">
                  <c:v>5.9623142039082166</c:v>
                </c:pt>
                <c:pt idx="596">
                  <c:v>5.9418106707223304</c:v>
                </c:pt>
                <c:pt idx="597">
                  <c:v>5.9213503842131772</c:v>
                </c:pt>
                <c:pt idx="598">
                  <c:v>5.9009331937469209</c:v>
                </c:pt>
                <c:pt idx="599">
                  <c:v>5.8805589491245227</c:v>
                </c:pt>
                <c:pt idx="600">
                  <c:v>5.8602275005863067</c:v>
                </c:pt>
                <c:pt idx="601">
                  <c:v>5.8399386988163879</c:v>
                </c:pt>
                <c:pt idx="602">
                  <c:v>5.8196923949468458</c:v>
                </c:pt>
                <c:pt idx="603">
                  <c:v>5.7994884405617855</c:v>
                </c:pt>
                <c:pt idx="604">
                  <c:v>5.779326687701162</c:v>
                </c:pt>
                <c:pt idx="605">
                  <c:v>5.7592069888644781</c:v>
                </c:pt>
                <c:pt idx="606">
                  <c:v>4.8037233143595728</c:v>
                </c:pt>
                <c:pt idx="607">
                  <c:v>3.9364630104232265</c:v>
                </c:pt>
                <c:pt idx="608">
                  <c:v>3.1436590272147584</c:v>
                </c:pt>
                <c:pt idx="609">
                  <c:v>2.4141937043462396</c:v>
                </c:pt>
                <c:pt idx="610">
                  <c:v>1.7390881689538005</c:v>
                </c:pt>
                <c:pt idx="611">
                  <c:v>1.1110458062803574</c:v>
                </c:pt>
                <c:pt idx="612">
                  <c:v>0.52408648720011042</c:v>
                </c:pt>
                <c:pt idx="613">
                  <c:v>-2.6736063524096056E-2</c:v>
                </c:pt>
                <c:pt idx="614">
                  <c:v>-0.54555038541617162</c:v>
                </c:pt>
                <c:pt idx="615">
                  <c:v>-1.0358326091399213</c:v>
                </c:pt>
                <c:pt idx="616">
                  <c:v>-1.5005336100592446</c:v>
                </c:pt>
                <c:pt idx="617">
                  <c:v>-1.9421775525747949</c:v>
                </c:pt>
                <c:pt idx="618">
                  <c:v>-2.1146814208175897</c:v>
                </c:pt>
                <c:pt idx="619">
                  <c:v>-2.2837318983282668</c:v>
                </c:pt>
                <c:pt idx="620">
                  <c:v>-2.4494684270702356</c:v>
                </c:pt>
                <c:pt idx="621">
                  <c:v>-2.6120220489038637</c:v>
                </c:pt>
                <c:pt idx="622">
                  <c:v>-2.7715160760811806</c:v>
                </c:pt>
                <c:pt idx="623">
                  <c:v>-2.9280666955407382</c:v>
                </c:pt>
                <c:pt idx="624">
                  <c:v>-3.0817835147373343</c:v>
                </c:pt>
                <c:pt idx="625">
                  <c:v>-3.2327700557043522</c:v>
                </c:pt>
                <c:pt idx="626">
                  <c:v>-3.3811242031652062</c:v>
                </c:pt>
                <c:pt idx="627">
                  <c:v>-3.5269386117596229</c:v>
                </c:pt>
                <c:pt idx="628">
                  <c:v>-3.6703010768084692</c:v>
                </c:pt>
                <c:pt idx="629">
                  <c:v>-3.8112948724902251</c:v>
                </c:pt>
                <c:pt idx="630">
                  <c:v>-3.9499990608288549</c:v>
                </c:pt>
                <c:pt idx="631">
                  <c:v>-4.0864887744843861</c:v>
                </c:pt>
                <c:pt idx="632">
                  <c:v>-4.2208354759844537</c:v>
                </c:pt>
                <c:pt idx="633">
                  <c:v>-4.3531071957289358</c:v>
                </c:pt>
                <c:pt idx="634">
                  <c:v>-4.483368750833538</c:v>
                </c:pt>
                <c:pt idx="635">
                  <c:v>-4.6116819466465211</c:v>
                </c:pt>
                <c:pt idx="636">
                  <c:v>-4.7381057625700258</c:v>
                </c:pt>
                <c:pt idx="637">
                  <c:v>-4.8626965236403006</c:v>
                </c:pt>
                <c:pt idx="638">
                  <c:v>-4.9855080591655234</c:v>
                </c:pt>
                <c:pt idx="639">
                  <c:v>-5.1065918495831184</c:v>
                </c:pt>
                <c:pt idx="640">
                  <c:v>-5.2259971625780892</c:v>
                </c:pt>
                <c:pt idx="641">
                  <c:v>-5.3437711793973461</c:v>
                </c:pt>
                <c:pt idx="642">
                  <c:v>-5.4599591122010676</c:v>
                </c:pt>
                <c:pt idx="643">
                  <c:v>-5.5746043132086456</c:v>
                </c:pt>
                <c:pt idx="644">
                  <c:v>-5.6877483763227534</c:v>
                </c:pt>
                <c:pt idx="645">
                  <c:v>-5.7994312318492183</c:v>
                </c:pt>
                <c:pt idx="646">
                  <c:v>-5.9096912348717447</c:v>
                </c:pt>
                <c:pt idx="647">
                  <c:v>-6.0185652477880547</c:v>
                </c:pt>
                <c:pt idx="648">
                  <c:v>-6.1260887174673782</c:v>
                </c:pt>
                <c:pt idx="649">
                  <c:v>-6.2322957474470675</c:v>
                </c:pt>
                <c:pt idx="650">
                  <c:v>-6.3372191655488024</c:v>
                </c:pt>
                <c:pt idx="651">
                  <c:v>-6.4408905872608413</c:v>
                </c:pt>
                <c:pt idx="652">
                  <c:v>-6.5433404752025561</c:v>
                </c:pt>
                <c:pt idx="653">
                  <c:v>-6.6445981949601007</c:v>
                </c:pt>
                <c:pt idx="654">
                  <c:v>-6.7446920675573736</c:v>
                </c:pt>
                <c:pt idx="655">
                  <c:v>-6.8436494188041896</c:v>
                </c:pt>
                <c:pt idx="656">
                  <c:v>-6.9414966257434081</c:v>
                </c:pt>
                <c:pt idx="657">
                  <c:v>-7.0382591604005098</c:v>
                </c:pt>
                <c:pt idx="658">
                  <c:v>-7.1339616310225651</c:v>
                </c:pt>
                <c:pt idx="659">
                  <c:v>-7.2286278209785824</c:v>
                </c:pt>
                <c:pt idx="660">
                  <c:v>-7.3222807254794509</c:v>
                </c:pt>
                <c:pt idx="661">
                  <c:v>-7.4149425862634466</c:v>
                </c:pt>
                <c:pt idx="662">
                  <c:v>-7.5066349243817365</c:v>
                </c:pt>
                <c:pt idx="663">
                  <c:v>-7.5973785712082131</c:v>
                </c:pt>
                <c:pt idx="664">
                  <c:v>-7.6871936977884348</c:v>
                </c:pt>
                <c:pt idx="665">
                  <c:v>-7.7760998426338555</c:v>
                </c:pt>
                <c:pt idx="666">
                  <c:v>-7.8641159380597365</c:v>
                </c:pt>
                <c:pt idx="667">
                  <c:v>-7.9512603351577908</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-190.51444851196493</c:v>
                </c:pt>
                <c:pt idx="1">
                  <c:v>-200.36289863651578</c:v>
                </c:pt>
                <c:pt idx="2">
                  <c:v>-209.10204167577564</c:v>
                </c:pt>
                <c:pt idx="3">
                  <c:v>-216.5753894564819</c:v>
                </c:pt>
                <c:pt idx="4">
                  <c:v>-222.83665510292406</c:v>
                </c:pt>
                <c:pt idx="5">
                  <c:v>-228.04067776471527</c:v>
                </c:pt>
                <c:pt idx="6">
                  <c:v>-232.36657106336349</c:v>
                </c:pt>
                <c:pt idx="7">
                  <c:v>-235.97995451619514</c:v>
                </c:pt>
                <c:pt idx="8">
                  <c:v>-239.02016509795754</c:v>
                </c:pt>
                <c:pt idx="9">
                  <c:v>-241.59939220548966</c:v>
                </c:pt>
                <c:pt idx="10">
                  <c:v>-254.71635040212345</c:v>
                </c:pt>
                <c:pt idx="11">
                  <c:v>-259.4963822181673</c:v>
                </c:pt>
                <c:pt idx="12">
                  <c:v>-261.89308348119675</c:v>
                </c:pt>
                <c:pt idx="13">
                  <c:v>-263.30167881024431</c:v>
                </c:pt>
                <c:pt idx="14">
                  <c:v>-264.20875194157492</c:v>
                </c:pt>
                <c:pt idx="15">
                  <c:v>-264.82700669443096</c:v>
                </c:pt>
                <c:pt idx="16">
                  <c:v>-265.26392582322092</c:v>
                </c:pt>
                <c:pt idx="17">
                  <c:v>-265.57960300073341</c:v>
                </c:pt>
                <c:pt idx="18">
                  <c:v>-265.81024399692654</c:v>
                </c:pt>
                <c:pt idx="19">
                  <c:v>-266.24076176510255</c:v>
                </c:pt>
                <c:pt idx="20">
                  <c:v>-265.64620473281497</c:v>
                </c:pt>
                <c:pt idx="21">
                  <c:v>-264.79561300043275</c:v>
                </c:pt>
                <c:pt idx="22">
                  <c:v>-263.8432627457488</c:v>
                </c:pt>
                <c:pt idx="23">
                  <c:v>-262.84076623508702</c:v>
                </c:pt>
                <c:pt idx="24">
                  <c:v>-261.81038566807683</c:v>
                </c:pt>
                <c:pt idx="25">
                  <c:v>-260.76337278010209</c:v>
                </c:pt>
                <c:pt idx="26">
                  <c:v>-259.70608356182504</c:v>
                </c:pt>
                <c:pt idx="27">
                  <c:v>-258.64242434020019</c:v>
                </c:pt>
                <c:pt idx="28">
                  <c:v>-253.29654522768135</c:v>
                </c:pt>
                <c:pt idx="29">
                  <c:v>-247.98735047263111</c:v>
                </c:pt>
                <c:pt idx="30">
                  <c:v>-242.77026736396766</c:v>
                </c:pt>
                <c:pt idx="31">
                  <c:v>-237.6766315246017</c:v>
                </c:pt>
                <c:pt idx="32">
                  <c:v>-232.72806845812948</c:v>
                </c:pt>
                <c:pt idx="33">
                  <c:v>-227.94011265152631</c:v>
                </c:pt>
                <c:pt idx="34">
                  <c:v>-223.32358682700047</c:v>
                </c:pt>
                <c:pt idx="35">
                  <c:v>-218.88539914091925</c:v>
                </c:pt>
                <c:pt idx="36">
                  <c:v>-214.62916865918385</c:v>
                </c:pt>
                <c:pt idx="37">
                  <c:v>-210.5557842981726</c:v>
                </c:pt>
                <c:pt idx="38">
                  <c:v>-206.66391718102841</c:v>
                </c:pt>
                <c:pt idx="39">
                  <c:v>-202.95048387680785</c:v>
                </c:pt>
                <c:pt idx="40">
                  <c:v>-199.41105508270701</c:v>
                </c:pt>
                <c:pt idx="41">
                  <c:v>-196.04020705532884</c:v>
                </c:pt>
                <c:pt idx="42">
                  <c:v>-192.83181666490032</c:v>
                </c:pt>
                <c:pt idx="43">
                  <c:v>-189.77930375915113</c:v>
                </c:pt>
                <c:pt idx="44">
                  <c:v>-186.87582625150424</c:v>
                </c:pt>
                <c:pt idx="45">
                  <c:v>-184.11443412167984</c:v>
                </c:pt>
                <c:pt idx="46">
                  <c:v>-181.48818859573566</c:v>
                </c:pt>
                <c:pt idx="47">
                  <c:v>-178.99025241111713</c:v>
                </c:pt>
                <c:pt idx="48">
                  <c:v>-176.61395647209619</c:v>
                </c:pt>
                <c:pt idx="49">
                  <c:v>-174.35284750390568</c:v>
                </c:pt>
                <c:pt idx="50">
                  <c:v>-172.2007206105593</c:v>
                </c:pt>
                <c:pt idx="51">
                  <c:v>-170.15163998391299</c:v>
                </c:pt>
                <c:pt idx="52">
                  <c:v>-168.1999504256392</c:v>
                </c:pt>
                <c:pt idx="53">
                  <c:v>-166.34028183823744</c:v>
                </c:pt>
                <c:pt idx="54">
                  <c:v>-164.56754841482962</c:v>
                </c:pt>
                <c:pt idx="55">
                  <c:v>-162.87694390385332</c:v>
                </c:pt>
                <c:pt idx="56">
                  <c:v>-161.26393403511747</c:v>
                </c:pt>
                <c:pt idx="57">
                  <c:v>-159.72424695871518</c:v>
                </c:pt>
                <c:pt idx="58">
                  <c:v>-158.25386235913373</c:v>
                </c:pt>
                <c:pt idx="59">
                  <c:v>-156.84899975554993</c:v>
                </c:pt>
                <c:pt idx="60">
                  <c:v>-155.50610637885381</c:v>
                </c:pt>
                <c:pt idx="61">
                  <c:v>-154.22184492052222</c:v>
                </c:pt>
                <c:pt idx="62">
                  <c:v>-152.99308137322373</c:v>
                </c:pt>
                <c:pt idx="63">
                  <c:v>-151.81687312396369</c:v>
                </c:pt>
                <c:pt idx="64">
                  <c:v>-150.6904574144271</c:v>
                </c:pt>
                <c:pt idx="65">
                  <c:v>-149.61124024731518</c:v>
                </c:pt>
                <c:pt idx="66">
                  <c:v>-148.57678578977533</c:v>
                </c:pt>
                <c:pt idx="67">
                  <c:v>-147.58480630380117</c:v>
                </c:pt>
                <c:pt idx="68">
                  <c:v>-146.63315261736233</c:v>
                </c:pt>
                <c:pt idx="69">
                  <c:v>-145.71980513793065</c:v>
                </c:pt>
                <c:pt idx="70">
                  <c:v>-144.84286540113655</c:v>
                </c:pt>
                <c:pt idx="71">
                  <c:v>-144.00054814082304</c:v>
                </c:pt>
                <c:pt idx="72">
                  <c:v>-143.19117386222499</c:v>
                </c:pt>
                <c:pt idx="73">
                  <c:v>-142.41316189694749</c:v>
                </c:pt>
                <c:pt idx="74">
                  <c:v>-141.66502391651181</c:v>
                </c:pt>
                <c:pt idx="75">
                  <c:v>-140.94535788020585</c:v>
                </c:pt>
                <c:pt idx="76">
                  <c:v>-140.25284239260395</c:v>
                </c:pt>
                <c:pt idx="77">
                  <c:v>-139.58623144624295</c:v>
                </c:pt>
                <c:pt idx="78">
                  <c:v>-138.94434952542332</c:v>
                </c:pt>
                <c:pt idx="79">
                  <c:v>-138.32608704784286</c:v>
                </c:pt>
                <c:pt idx="80">
                  <c:v>-137.73039612168799</c:v>
                </c:pt>
                <c:pt idx="81">
                  <c:v>-137.15628659684057</c:v>
                </c:pt>
                <c:pt idx="82">
                  <c:v>-136.60282238995913</c:v>
                </c:pt>
                <c:pt idx="83">
                  <c:v>-136.06911806432703</c:v>
                </c:pt>
                <c:pt idx="84">
                  <c:v>-135.55433564649968</c:v>
                </c:pt>
                <c:pt idx="85">
                  <c:v>-135.05768166290639</c:v>
                </c:pt>
                <c:pt idx="86">
                  <c:v>-134.57840438065898</c:v>
                </c:pt>
                <c:pt idx="87">
                  <c:v>-134.11579123787448</c:v>
                </c:pt>
                <c:pt idx="88">
                  <c:v>-133.66916644982996</c:v>
                </c:pt>
                <c:pt idx="89">
                  <c:v>-133.23788877822656</c:v>
                </c:pt>
                <c:pt idx="90">
                  <c:v>-132.82134945174735</c:v>
                </c:pt>
                <c:pt idx="91">
                  <c:v>-132.41897022694704</c:v>
                </c:pt>
                <c:pt idx="92">
                  <c:v>-132.03020157931138</c:v>
                </c:pt>
                <c:pt idx="93">
                  <c:v>-131.65452101507316</c:v>
                </c:pt>
                <c:pt idx="94">
                  <c:v>-131.29143149506763</c:v>
                </c:pt>
                <c:pt idx="95">
                  <c:v>-130.94045996256199</c:v>
                </c:pt>
                <c:pt idx="96">
                  <c:v>-130.60115596759368</c:v>
                </c:pt>
                <c:pt idx="97">
                  <c:v>-130.27309038091377</c:v>
                </c:pt>
                <c:pt idx="98">
                  <c:v>-129.95585419114894</c:v>
                </c:pt>
                <c:pt idx="99">
                  <c:v>-129.64905737927626</c:v>
                </c:pt>
                <c:pt idx="100">
                  <c:v>-129.3523278649466</c:v>
                </c:pt>
                <c:pt idx="101">
                  <c:v>-129.06531051960536</c:v>
                </c:pt>
                <c:pt idx="102">
                  <c:v>-128.78766624173491</c:v>
                </c:pt>
                <c:pt idx="103">
                  <c:v>-128.51907108989514</c:v>
                </c:pt>
                <c:pt idx="104">
                  <c:v>-128.25921546956005</c:v>
                </c:pt>
                <c:pt idx="105">
                  <c:v>-128.00780337004591</c:v>
                </c:pt>
                <c:pt idx="106">
                  <c:v>-127.7645516481028</c:v>
                </c:pt>
                <c:pt idx="107">
                  <c:v>-127.52918935499264</c:v>
                </c:pt>
                <c:pt idx="108">
                  <c:v>-127.30145710411254</c:v>
                </c:pt>
                <c:pt idx="109">
                  <c:v>-127.0811064764375</c:v>
                </c:pt>
                <c:pt idx="110">
                  <c:v>-126.86789946125485</c:v>
                </c:pt>
                <c:pt idx="111">
                  <c:v>-126.66160792984763</c:v>
                </c:pt>
                <c:pt idx="112">
                  <c:v>-126.46201313995327</c:v>
                </c:pt>
                <c:pt idx="113">
                  <c:v>-126.26890526897978</c:v>
                </c:pt>
                <c:pt idx="114">
                  <c:v>-126.08208297410729</c:v>
                </c:pt>
                <c:pt idx="115">
                  <c:v>-125.90135297753542</c:v>
                </c:pt>
                <c:pt idx="116">
                  <c:v>-125.72652967526062</c:v>
                </c:pt>
                <c:pt idx="117">
                  <c:v>-125.55743476788112</c:v>
                </c:pt>
                <c:pt idx="118">
                  <c:v>-125.39389691203353</c:v>
                </c:pt>
                <c:pt idx="119">
                  <c:v>-125.23575139116065</c:v>
                </c:pt>
                <c:pt idx="120">
                  <c:v>-125.08283980440206</c:v>
                </c:pt>
                <c:pt idx="121">
                  <c:v>-124.93500977248124</c:v>
                </c:pt>
                <c:pt idx="122">
                  <c:v>-124.79211465954015</c:v>
                </c:pt>
                <c:pt idx="123">
                  <c:v>-124.6540133099443</c:v>
                </c:pt>
                <c:pt idx="124">
                  <c:v>-124.52056979914661</c:v>
                </c:pt>
                <c:pt idx="125">
                  <c:v>-124.39165319776058</c:v>
                </c:pt>
                <c:pt idx="126">
                  <c:v>-124.26713734804932</c:v>
                </c:pt>
                <c:pt idx="127">
                  <c:v>-124.14690065209028</c:v>
                </c:pt>
                <c:pt idx="128">
                  <c:v>-124.03082587092422</c:v>
                </c:pt>
                <c:pt idx="129">
                  <c:v>-123.91879993404199</c:v>
                </c:pt>
                <c:pt idx="130">
                  <c:v>-123.81071375860589</c:v>
                </c:pt>
                <c:pt idx="131">
                  <c:v>-123.7064620778401</c:v>
                </c:pt>
                <c:pt idx="132">
                  <c:v>-123.60594327806236</c:v>
                </c:pt>
                <c:pt idx="133">
                  <c:v>-123.50905924386203</c:v>
                </c:pt>
                <c:pt idx="134">
                  <c:v>-123.41571521096179</c:v>
                </c:pt>
                <c:pt idx="135">
                  <c:v>-123.32581962632871</c:v>
                </c:pt>
                <c:pt idx="136">
                  <c:v>-123.23928401512862</c:v>
                </c:pt>
                <c:pt idx="137">
                  <c:v>-123.15602285414256</c:v>
                </c:pt>
                <c:pt idx="138">
                  <c:v>-123.07595345128749</c:v>
                </c:pt>
                <c:pt idx="139">
                  <c:v>-122.99899583090614</c:v>
                </c:pt>
                <c:pt idx="140">
                  <c:v>-122.92507262451093</c:v>
                </c:pt>
                <c:pt idx="141">
                  <c:v>-122.85410896668657</c:v>
                </c:pt>
                <c:pt idx="142">
                  <c:v>-122.78603239587284</c:v>
                </c:pt>
                <c:pt idx="143">
                  <c:v>-122.72077275976716</c:v>
                </c:pt>
                <c:pt idx="144">
                  <c:v>-122.65826212510103</c:v>
                </c:pt>
                <c:pt idx="145">
                  <c:v>-122.59843469155939</c:v>
                </c:pt>
                <c:pt idx="146">
                  <c:v>-122.54122670962573</c:v>
                </c:pt>
                <c:pt idx="147">
                  <c:v>-122.48657640214853</c:v>
                </c:pt>
                <c:pt idx="148">
                  <c:v>-122.43442388943585</c:v>
                </c:pt>
                <c:pt idx="149">
                  <c:v>-122.38471111769724</c:v>
                </c:pt>
                <c:pt idx="150">
                  <c:v>-122.3373817906614</c:v>
                </c:pt>
                <c:pt idx="151">
                  <c:v>-122.29238130420887</c:v>
                </c:pt>
                <c:pt idx="152">
                  <c:v>-122.24965668386709</c:v>
                </c:pt>
                <c:pt idx="153">
                  <c:v>-122.20915652502458</c:v>
                </c:pt>
                <c:pt idx="154">
                  <c:v>-122.1708309357293</c:v>
                </c:pt>
                <c:pt idx="155">
                  <c:v>-122.13463148194228</c:v>
                </c:pt>
                <c:pt idx="156">
                  <c:v>-122.10051113512682</c:v>
                </c:pt>
                <c:pt idx="157">
                  <c:v>-122.06842422205843</c:v>
                </c:pt>
                <c:pt idx="158">
                  <c:v>-122.03832637674797</c:v>
                </c:pt>
                <c:pt idx="159">
                  <c:v>-122.01017449437605</c:v>
                </c:pt>
                <c:pt idx="160">
                  <c:v>-121.98392668714183</c:v>
                </c:pt>
                <c:pt idx="161">
                  <c:v>-121.95954224193562</c:v>
                </c:pt>
                <c:pt idx="162">
                  <c:v>-121.93698157974828</c:v>
                </c:pt>
                <c:pt idx="163">
                  <c:v>-121.91620621673596</c:v>
                </c:pt>
                <c:pt idx="164">
                  <c:v>-121.89717872686282</c:v>
                </c:pt>
                <c:pt idx="165">
                  <c:v>-121.87986270604794</c:v>
                </c:pt>
                <c:pt idx="166">
                  <c:v>-121.86422273774735</c:v>
                </c:pt>
                <c:pt idx="167">
                  <c:v>-121.85022435990476</c:v>
                </c:pt>
                <c:pt idx="168">
                  <c:v>-121.83783403320911</c:v>
                </c:pt>
                <c:pt idx="169">
                  <c:v>-121.82701911059874</c:v>
                </c:pt>
                <c:pt idx="170">
                  <c:v>-121.81774780795689</c:v>
                </c:pt>
                <c:pt idx="171">
                  <c:v>-121.8099891759443</c:v>
                </c:pt>
                <c:pt idx="172">
                  <c:v>-121.80371307291841</c:v>
                </c:pt>
                <c:pt idx="173">
                  <c:v>-121.79889013889151</c:v>
                </c:pt>
                <c:pt idx="174">
                  <c:v>-121.79549177048099</c:v>
                </c:pt>
                <c:pt idx="175">
                  <c:v>-121.79349009680925</c:v>
                </c:pt>
                <c:pt idx="176">
                  <c:v>-121.7928579563112</c:v>
                </c:pt>
                <c:pt idx="177">
                  <c:v>-121.79356887441051</c:v>
                </c:pt>
                <c:pt idx="178">
                  <c:v>-121.79559704202671</c:v>
                </c:pt>
                <c:pt idx="179">
                  <c:v>-121.79891729487784</c:v>
                </c:pt>
                <c:pt idx="180">
                  <c:v>-121.80350509354496</c:v>
                </c:pt>
                <c:pt idx="181">
                  <c:v>-121.80933650426573</c:v>
                </c:pt>
                <c:pt idx="182">
                  <c:v>-121.81638818042691</c:v>
                </c:pt>
                <c:pt idx="183">
                  <c:v>-121.82463734472594</c:v>
                </c:pt>
                <c:pt idx="184">
                  <c:v>-121.83406177197455</c:v>
                </c:pt>
                <c:pt idx="185">
                  <c:v>-121.84463977251679</c:v>
                </c:pt>
                <c:pt idx="186">
                  <c:v>-121.85635017623713</c:v>
                </c:pt>
                <c:pt idx="187">
                  <c:v>-121.8691723171338</c:v>
                </c:pt>
                <c:pt idx="188">
                  <c:v>-121.88308601843472</c:v>
                </c:pt>
                <c:pt idx="189">
                  <c:v>-121.89807157823388</c:v>
                </c:pt>
                <c:pt idx="190">
                  <c:v>-121.91410975562722</c:v>
                </c:pt>
                <c:pt idx="191">
                  <c:v>-121.93118175732812</c:v>
                </c:pt>
                <c:pt idx="192">
                  <c:v>-121.94926922474303</c:v>
                </c:pt>
                <c:pt idx="193">
                  <c:v>-121.96835422148965</c:v>
                </c:pt>
                <c:pt idx="194">
                  <c:v>-121.98841922133929</c:v>
                </c:pt>
                <c:pt idx="195">
                  <c:v>-122.00944709656778</c:v>
                </c:pt>
                <c:pt idx="196">
                  <c:v>-122.03142110669822</c:v>
                </c:pt>
                <c:pt idx="197">
                  <c:v>-122.05432488762067</c:v>
                </c:pt>
                <c:pt idx="198">
                  <c:v>-122.07814244107422</c:v>
                </c:pt>
                <c:pt idx="199">
                  <c:v>-122.10285812447766</c:v>
                </c:pt>
                <c:pt idx="200">
                  <c:v>-122.12845664109491</c:v>
                </c:pt>
                <c:pt idx="201">
                  <c:v>-122.15492303052318</c:v>
                </c:pt>
                <c:pt idx="202">
                  <c:v>-122.18224265949115</c:v>
                </c:pt>
                <c:pt idx="203">
                  <c:v>-122.21040121295573</c:v>
                </c:pt>
                <c:pt idx="204">
                  <c:v>-122.2393846854862</c:v>
                </c:pt>
                <c:pt idx="205">
                  <c:v>-122.2691793729249</c:v>
                </c:pt>
                <c:pt idx="206">
                  <c:v>-122.29977186431427</c:v>
                </c:pt>
                <c:pt idx="207">
                  <c:v>-122.33114903408089</c:v>
                </c:pt>
                <c:pt idx="208">
                  <c:v>-122.363298034466</c:v>
                </c:pt>
                <c:pt idx="209">
                  <c:v>-122.39620628819472</c:v>
                </c:pt>
                <c:pt idx="210">
                  <c:v>-122.4298614813745</c:v>
                </c:pt>
                <c:pt idx="211">
                  <c:v>-122.46425155661488</c:v>
                </c:pt>
                <c:pt idx="212">
                  <c:v>-122.49936470636041</c:v>
                </c:pt>
                <c:pt idx="213">
                  <c:v>-122.53518936642912</c:v>
                </c:pt>
                <c:pt idx="214">
                  <c:v>-122.57171420974957</c:v>
                </c:pt>
                <c:pt idx="215">
                  <c:v>-122.60892814028884</c:v>
                </c:pt>
                <c:pt idx="216">
                  <c:v>-122.6468202871651</c:v>
                </c:pt>
                <c:pt idx="217">
                  <c:v>-122.68537999893846</c:v>
                </c:pt>
                <c:pt idx="218">
                  <c:v>-122.72459683807321</c:v>
                </c:pt>
                <c:pt idx="219">
                  <c:v>-122.76446057556636</c:v>
                </c:pt>
                <c:pt idx="220">
                  <c:v>-122.804961185736</c:v>
                </c:pt>
                <c:pt idx="221">
                  <c:v>-122.84608884116429</c:v>
                </c:pt>
                <c:pt idx="222">
                  <c:v>-122.88783390778988</c:v>
                </c:pt>
                <c:pt idx="223">
                  <c:v>-122.9301869401443</c:v>
                </c:pt>
                <c:pt idx="224">
                  <c:v>-122.97313867672798</c:v>
                </c:pt>
                <c:pt idx="225">
                  <c:v>-123.01668003552049</c:v>
                </c:pt>
                <c:pt idx="226">
                  <c:v>-123.48264476397577</c:v>
                </c:pt>
                <c:pt idx="227">
                  <c:v>-123.99876113475345</c:v>
                </c:pt>
                <c:pt idx="228">
                  <c:v>-124.55832862880902</c:v>
                </c:pt>
                <c:pt idx="229">
                  <c:v>-125.15572891001388</c:v>
                </c:pt>
                <c:pt idx="230">
                  <c:v>-125.78621274060831</c:v>
                </c:pt>
                <c:pt idx="231">
                  <c:v>-126.44573510784494</c:v>
                </c:pt>
                <c:pt idx="232">
                  <c:v>-127.13082633567308</c:v>
                </c:pt>
                <c:pt idx="233">
                  <c:v>-127.83849036793922</c:v>
                </c:pt>
                <c:pt idx="234">
                  <c:v>-128.56612378893823</c:v>
                </c:pt>
                <c:pt idx="235">
                  <c:v>-129.31145082882404</c:v>
                </c:pt>
                <c:pt idx="236">
                  <c:v>-130.07247080508671</c:v>
                </c:pt>
                <c:pt idx="237">
                  <c:v>-130.84741532307856</c:v>
                </c:pt>
                <c:pt idx="238">
                  <c:v>-131.63471319692974</c:v>
                </c:pt>
                <c:pt idx="239">
                  <c:v>-132.43296152445677</c:v>
                </c:pt>
                <c:pt idx="240">
                  <c:v>-133.24090170243502</c:v>
                </c:pt>
                <c:pt idx="241">
                  <c:v>-134.05739943450027</c:v>
                </c:pt>
                <c:pt idx="242">
                  <c:v>-134.88142798607581</c:v>
                </c:pt>
                <c:pt idx="243">
                  <c:v>-135.71205409561378</c:v>
                </c:pt>
                <c:pt idx="244">
                  <c:v>-136.54842607103157</c:v>
                </c:pt>
                <c:pt idx="245">
                  <c:v>-137.38976369322913</c:v>
                </c:pt>
                <c:pt idx="246">
                  <c:v>-138.23534962138834</c:v>
                </c:pt>
                <c:pt idx="247">
                  <c:v>-139.0845220521349</c:v>
                </c:pt>
                <c:pt idx="248">
                  <c:v>-139.93666843013523</c:v>
                </c:pt>
                <c:pt idx="249">
                  <c:v>-140.79122004398053</c:v>
                </c:pt>
                <c:pt idx="250">
                  <c:v>-141.64764737030248</c:v>
                </c:pt>
                <c:pt idx="251">
                  <c:v>-142.50545605252171</c:v>
                </c:pt>
                <c:pt idx="252">
                  <c:v>-143.36418341963801</c:v>
                </c:pt>
                <c:pt idx="253">
                  <c:v>-144.22339546595106</c:v>
                </c:pt>
                <c:pt idx="254">
                  <c:v>-145.08268422526717</c:v>
                </c:pt>
                <c:pt idx="255">
                  <c:v>-145.94166548356168</c:v>
                </c:pt>
                <c:pt idx="256">
                  <c:v>-146.79997678266389</c:v>
                </c:pt>
                <c:pt idx="257">
                  <c:v>-147.65727567466465</c:v>
                </c:pt>
                <c:pt idx="258">
                  <c:v>-148.51323819268674</c:v>
                </c:pt>
                <c:pt idx="259">
                  <c:v>-149.36755750862656</c:v>
                </c:pt>
                <c:pt idx="260">
                  <c:v>-150.21994275264984</c:v>
                </c:pt>
                <c:pt idx="261">
                  <c:v>-151.07011797274146</c:v>
                </c:pt>
                <c:pt idx="262">
                  <c:v>-151.9178212155916</c:v>
                </c:pt>
                <c:pt idx="263">
                  <c:v>-152.76280371262899</c:v>
                </c:pt>
                <c:pt idx="264">
                  <c:v>-153.60482915717628</c:v>
                </c:pt>
                <c:pt idx="265">
                  <c:v>-154.44367306054789</c:v>
                </c:pt>
                <c:pt idx="266">
                  <c:v>-155.27912217650538</c:v>
                </c:pt>
                <c:pt idx="267">
                  <c:v>-156.11097398485208</c:v>
                </c:pt>
                <c:pt idx="268">
                  <c:v>-156.93903622613738</c:v>
                </c:pt>
                <c:pt idx="269">
                  <c:v>-157.76312648047048</c:v>
                </c:pt>
                <c:pt idx="270">
                  <c:v>-158.58307178433932</c:v>
                </c:pt>
                <c:pt idx="271">
                  <c:v>-159.39870828011348</c:v>
                </c:pt>
                <c:pt idx="272">
                  <c:v>-160.20988089359528</c:v>
                </c:pt>
                <c:pt idx="273">
                  <c:v>-161.01644303558373</c:v>
                </c:pt>
                <c:pt idx="274">
                  <c:v>-161.81825632394367</c:v>
                </c:pt>
                <c:pt idx="275">
                  <c:v>-162.61519032313973</c:v>
                </c:pt>
                <c:pt idx="276">
                  <c:v>-163.40712229860137</c:v>
                </c:pt>
                <c:pt idx="277">
                  <c:v>-164.1939369836503</c:v>
                </c:pt>
                <c:pt idx="278">
                  <c:v>-164.97552635703852</c:v>
                </c:pt>
                <c:pt idx="279">
                  <c:v>-165.75178942942838</c:v>
                </c:pt>
                <c:pt idx="280">
                  <c:v>-166.5226320373952</c:v>
                </c:pt>
                <c:pt idx="281">
                  <c:v>-167.28796664375159</c:v>
                </c:pt>
                <c:pt idx="282">
                  <c:v>-168.0477121431868</c:v>
                </c:pt>
                <c:pt idx="283">
                  <c:v>-168.80179367238546</c:v>
                </c:pt>
                <c:pt idx="284">
                  <c:v>-169.55014242393662</c:v>
                </c:pt>
                <c:pt idx="285">
                  <c:v>-170.29269546347896</c:v>
                </c:pt>
                <c:pt idx="286">
                  <c:v>-171.02939554963757</c:v>
                </c:pt>
                <c:pt idx="287">
                  <c:v>-171.76019095641021</c:v>
                </c:pt>
                <c:pt idx="288">
                  <c:v>-172.48503529774521</c:v>
                </c:pt>
                <c:pt idx="289">
                  <c:v>-173.20388735412558</c:v>
                </c:pt>
                <c:pt idx="290">
                  <c:v>-173.91671090103924</c:v>
                </c:pt>
                <c:pt idx="291">
                  <c:v>-174.6234745392658</c:v>
                </c:pt>
                <c:pt idx="292">
                  <c:v>-175.32415152695617</c:v>
                </c:pt>
                <c:pt idx="293">
                  <c:v>-176.01871961351745</c:v>
                </c:pt>
                <c:pt idx="294">
                  <c:v>-176.70716087534532</c:v>
                </c:pt>
                <c:pt idx="295">
                  <c:v>-177.38946155347031</c:v>
                </c:pt>
                <c:pt idx="296">
                  <c:v>-178.06561189320243</c:v>
                </c:pt>
                <c:pt idx="297">
                  <c:v>-178.73560598587139</c:v>
                </c:pt>
                <c:pt idx="298">
                  <c:v>-179.39944161277157</c:v>
                </c:pt>
                <c:pt idx="299">
                  <c:v>-180.05712009142374</c:v>
                </c:pt>
                <c:pt idx="300">
                  <c:v>-180.7086461242705</c:v>
                </c:pt>
                <c:pt idx="301">
                  <c:v>-181.3540276499223</c:v>
                </c:pt>
                <c:pt idx="302">
                  <c:v>-181.99327569706745</c:v>
                </c:pt>
                <c:pt idx="303">
                  <c:v>-182.62640424115733</c:v>
                </c:pt>
                <c:pt idx="304">
                  <c:v>-183.25343006397131</c:v>
                </c:pt>
                <c:pt idx="305">
                  <c:v>-183.87437261615941</c:v>
                </c:pt>
                <c:pt idx="306">
                  <c:v>-184.48925388285306</c:v>
                </c:pt>
                <c:pt idx="307">
                  <c:v>-185.09809825242564</c:v>
                </c:pt>
                <c:pt idx="308">
                  <c:v>-185.7009323884752</c:v>
                </c:pt>
                <c:pt idx="309">
                  <c:v>-186.29778510509277</c:v>
                </c:pt>
                <c:pt idx="310">
                  <c:v>-186.8886872454697</c:v>
                </c:pt>
                <c:pt idx="311">
                  <c:v>-187.47367156388736</c:v>
                </c:pt>
                <c:pt idx="312">
                  <c:v>-188.0527726111234</c:v>
                </c:pt>
                <c:pt idx="313">
                  <c:v>-188.62602662329937</c:v>
                </c:pt>
                <c:pt idx="314">
                  <c:v>-189.19347141418407</c:v>
                </c:pt>
                <c:pt idx="315">
                  <c:v>-189.75514627095967</c:v>
                </c:pt>
                <c:pt idx="316">
                  <c:v>-190.31109185344752</c:v>
                </c:pt>
                <c:pt idx="317">
                  <c:v>-190.86135009678307</c:v>
                </c:pt>
                <c:pt idx="318">
                  <c:v>-191.40596411752185</c:v>
                </c:pt>
                <c:pt idx="319">
                  <c:v>-191.94497812315052</c:v>
                </c:pt>
                <c:pt idx="320">
                  <c:v>-192.47843732497034</c:v>
                </c:pt>
                <c:pt idx="321">
                  <c:v>-193.00638785431485</c:v>
                </c:pt>
                <c:pt idx="322">
                  <c:v>-193.52887668205696</c:v>
                </c:pt>
                <c:pt idx="323">
                  <c:v>-194.04595154135546</c:v>
                </c:pt>
                <c:pt idx="324">
                  <c:v>-194.55766085358709</c:v>
                </c:pt>
                <c:pt idx="325">
                  <c:v>-195.06405365740471</c:v>
                </c:pt>
                <c:pt idx="326">
                  <c:v>-195.56517954085973</c:v>
                </c:pt>
                <c:pt idx="327">
                  <c:v>-196.06108857652222</c:v>
                </c:pt>
                <c:pt idx="328">
                  <c:v>-196.55183125953084</c:v>
                </c:pt>
                <c:pt idx="329">
                  <c:v>-197.0374584485007</c:v>
                </c:pt>
                <c:pt idx="330">
                  <c:v>-197.51802130921638</c:v>
                </c:pt>
                <c:pt idx="331">
                  <c:v>-197.99357126103538</c:v>
                </c:pt>
                <c:pt idx="332">
                  <c:v>-198.46415992592546</c:v>
                </c:pt>
                <c:pt idx="333">
                  <c:v>-198.92983908005911</c:v>
                </c:pt>
                <c:pt idx="334">
                  <c:v>-199.3906606078877</c:v>
                </c:pt>
                <c:pt idx="335">
                  <c:v>-199.84667645861632</c:v>
                </c:pt>
                <c:pt idx="336">
                  <c:v>-200.29793860500234</c:v>
                </c:pt>
                <c:pt idx="337">
                  <c:v>-200.74449900439882</c:v>
                </c:pt>
                <c:pt idx="338">
                  <c:v>-201.18640956196566</c:v>
                </c:pt>
                <c:pt idx="339">
                  <c:v>-201.62372209597123</c:v>
                </c:pt>
                <c:pt idx="340">
                  <c:v>-202.05648830510845</c:v>
                </c:pt>
                <c:pt idx="341">
                  <c:v>-202.48475973774995</c:v>
                </c:pt>
                <c:pt idx="342">
                  <c:v>-202.908587763068</c:v>
                </c:pt>
                <c:pt idx="343">
                  <c:v>-203.32802354394681</c:v>
                </c:pt>
                <c:pt idx="344">
                  <c:v>-203.74311801161474</c:v>
                </c:pt>
                <c:pt idx="345">
                  <c:v>-204.15392184192692</c:v>
                </c:pt>
                <c:pt idx="346">
                  <c:v>-204.56048543322936</c:v>
                </c:pt>
                <c:pt idx="347">
                  <c:v>-204.96285888573752</c:v>
                </c:pt>
                <c:pt idx="348">
                  <c:v>-205.36109198236414</c:v>
                </c:pt>
                <c:pt idx="349">
                  <c:v>-205.75523417093211</c:v>
                </c:pt>
                <c:pt idx="350">
                  <c:v>-206.14533454771095</c:v>
                </c:pt>
                <c:pt idx="351">
                  <c:v>-206.53144184221685</c:v>
                </c:pt>
                <c:pt idx="352">
                  <c:v>-206.91360440321716</c:v>
                </c:pt>
                <c:pt idx="353">
                  <c:v>-207.2918701858834</c:v>
                </c:pt>
                <c:pt idx="354">
                  <c:v>-207.66628674003786</c:v>
                </c:pt>
                <c:pt idx="355">
                  <c:v>-208.03690119944059</c:v>
                </c:pt>
                <c:pt idx="356">
                  <c:v>-208.40376027206625</c:v>
                </c:pt>
                <c:pt idx="357">
                  <c:v>-208.76691023132042</c:v>
                </c:pt>
                <c:pt idx="358">
                  <c:v>-209.12639690814882</c:v>
                </c:pt>
                <c:pt idx="359">
                  <c:v>-209.48226568399303</c:v>
                </c:pt>
                <c:pt idx="360">
                  <c:v>-209.83456148454837</c:v>
                </c:pt>
                <c:pt idx="361">
                  <c:v>-210.1833287742821</c:v>
                </c:pt>
                <c:pt idx="362">
                  <c:v>-210.52861155167059</c:v>
                </c:pt>
                <c:pt idx="363">
                  <c:v>-210.87045334511657</c:v>
                </c:pt>
                <c:pt idx="364">
                  <c:v>-211.20889720950885</c:v>
                </c:pt>
                <c:pt idx="365">
                  <c:v>-211.54398572338835</c:v>
                </c:pt>
                <c:pt idx="366">
                  <c:v>-211.87576098668592</c:v>
                </c:pt>
                <c:pt idx="367">
                  <c:v>-212.20426461899902</c:v>
                </c:pt>
                <c:pt idx="368">
                  <c:v>-212.52953775837571</c:v>
                </c:pt>
                <c:pt idx="369">
                  <c:v>-212.85162106057516</c:v>
                </c:pt>
                <c:pt idx="370">
                  <c:v>-213.17055469877641</c:v>
                </c:pt>
                <c:pt idx="371">
                  <c:v>-213.48637836370781</c:v>
                </c:pt>
                <c:pt idx="372">
                  <c:v>-213.79913126416957</c:v>
                </c:pt>
                <c:pt idx="373">
                  <c:v>-214.10885212792641</c:v>
                </c:pt>
                <c:pt idx="374">
                  <c:v>-214.41557920294429</c:v>
                </c:pt>
                <c:pt idx="375">
                  <c:v>-214.71935025894967</c:v>
                </c:pt>
                <c:pt idx="376">
                  <c:v>-215.020202589289</c:v>
                </c:pt>
                <c:pt idx="377">
                  <c:v>-215.31817301306822</c:v>
                </c:pt>
                <c:pt idx="378">
                  <c:v>-215.6132978775517</c:v>
                </c:pt>
                <c:pt idx="379">
                  <c:v>-215.90561306080346</c:v>
                </c:pt>
                <c:pt idx="380">
                  <c:v>-216.19515397455115</c:v>
                </c:pt>
                <c:pt idx="381">
                  <c:v>-216.48195556725705</c:v>
                </c:pt>
                <c:pt idx="382">
                  <c:v>-216.76605232738012</c:v>
                </c:pt>
                <c:pt idx="383">
                  <c:v>-217.04747828681303</c:v>
                </c:pt>
                <c:pt idx="384">
                  <c:v>-217.32626702448098</c:v>
                </c:pt>
                <c:pt idx="385">
                  <c:v>-217.60245167008742</c:v>
                </c:pt>
                <c:pt idx="386">
                  <c:v>-217.87606490799493</c:v>
                </c:pt>
                <c:pt idx="387">
                  <c:v>-218.14713898122847</c:v>
                </c:pt>
                <c:pt idx="388">
                  <c:v>-218.41570569558911</c:v>
                </c:pt>
                <c:pt idx="389">
                  <c:v>-218.68179642386821</c:v>
                </c:pt>
                <c:pt idx="390">
                  <c:v>-218.94544211015116</c:v>
                </c:pt>
                <c:pt idx="391">
                  <c:v>-219.20667327420091</c:v>
                </c:pt>
                <c:pt idx="392">
                  <c:v>-219.46552001591249</c:v>
                </c:pt>
                <c:pt idx="393">
                  <c:v>-219.72201201982938</c:v>
                </c:pt>
                <c:pt idx="394">
                  <c:v>-219.97617855971427</c:v>
                </c:pt>
                <c:pt idx="395">
                  <c:v>-220.22804850316575</c:v>
                </c:pt>
                <c:pt idx="396">
                  <c:v>-220.47765031627443</c:v>
                </c:pt>
                <c:pt idx="397">
                  <c:v>-220.72501206831106</c:v>
                </c:pt>
                <c:pt idx="398">
                  <c:v>-220.97016143644078</c:v>
                </c:pt>
                <c:pt idx="399">
                  <c:v>-221.21312571045735</c:v>
                </c:pt>
                <c:pt idx="400">
                  <c:v>-221.45393179753194</c:v>
                </c:pt>
                <c:pt idx="401">
                  <c:v>-221.69260622697061</c:v>
                </c:pt>
                <c:pt idx="402">
                  <c:v>-221.92917515497621</c:v>
                </c:pt>
                <c:pt idx="403">
                  <c:v>-222.1636643694103</c:v>
                </c:pt>
                <c:pt idx="404">
                  <c:v>-222.39609929454977</c:v>
                </c:pt>
                <c:pt idx="405">
                  <c:v>-222.62650499583515</c:v>
                </c:pt>
                <c:pt idx="406">
                  <c:v>-222.85490618460656</c:v>
                </c:pt>
                <c:pt idx="407">
                  <c:v>-223.08132722282375</c:v>
                </c:pt>
                <c:pt idx="408">
                  <c:v>-223.30579212776692</c:v>
                </c:pt>
                <c:pt idx="409">
                  <c:v>-223.52832457671585</c:v>
                </c:pt>
                <c:pt idx="410">
                  <c:v>-223.74894791160369</c:v>
                </c:pt>
                <c:pt idx="411">
                  <c:v>-223.96768514364385</c:v>
                </c:pt>
                <c:pt idx="412">
                  <c:v>-224.18455895792667</c:v>
                </c:pt>
                <c:pt idx="413">
                  <c:v>-224.39959171798472</c:v>
                </c:pt>
                <c:pt idx="414">
                  <c:v>-224.61280547032359</c:v>
                </c:pt>
                <c:pt idx="415">
                  <c:v>-224.82422194891726</c:v>
                </c:pt>
                <c:pt idx="416">
                  <c:v>-225.03386257966585</c:v>
                </c:pt>
                <c:pt idx="417">
                  <c:v>-225.24174848481459</c:v>
                </c:pt>
                <c:pt idx="418">
                  <c:v>-225.44790048733222</c:v>
                </c:pt>
                <c:pt idx="419">
                  <c:v>-225.6523391152478</c:v>
                </c:pt>
                <c:pt idx="420">
                  <c:v>-225.85508460594491</c:v>
                </c:pt>
                <c:pt idx="421">
                  <c:v>-226.05615691041194</c:v>
                </c:pt>
                <c:pt idx="422">
                  <c:v>-226.25557569744768</c:v>
                </c:pt>
                <c:pt idx="423">
                  <c:v>-226.45336035782157</c:v>
                </c:pt>
                <c:pt idx="424">
                  <c:v>-226.64953000838753</c:v>
                </c:pt>
                <c:pt idx="425">
                  <c:v>-226.84410349615138</c:v>
                </c:pt>
                <c:pt idx="426">
                  <c:v>-227.03709940229049</c:v>
                </c:pt>
                <c:pt idx="427">
                  <c:v>-227.2285360461259</c:v>
                </c:pt>
                <c:pt idx="428">
                  <c:v>-227.41843148904636</c:v>
                </c:pt>
                <c:pt idx="429">
                  <c:v>-227.60680353838382</c:v>
                </c:pt>
                <c:pt idx="430">
                  <c:v>-227.79366975124015</c:v>
                </c:pt>
                <c:pt idx="431">
                  <c:v>-227.9790474382653</c:v>
                </c:pt>
                <c:pt idx="432">
                  <c:v>-228.16295366738626</c:v>
                </c:pt>
                <c:pt idx="433">
                  <c:v>-228.34540526748714</c:v>
                </c:pt>
                <c:pt idx="434">
                  <c:v>-228.52641883204018</c:v>
                </c:pt>
                <c:pt idx="435">
                  <c:v>-228.70601072268772</c:v>
                </c:pt>
                <c:pt idx="436">
                  <c:v>-228.88419707277563</c:v>
                </c:pt>
                <c:pt idx="437">
                  <c:v>-229.06099379083741</c:v>
                </c:pt>
                <c:pt idx="438">
                  <c:v>-229.23641656403009</c:v>
                </c:pt>
                <c:pt idx="439">
                  <c:v>-229.41048086152176</c:v>
                </c:pt>
                <c:pt idx="440">
                  <c:v>-229.58320193783064</c:v>
                </c:pt>
                <c:pt idx="441">
                  <c:v>-229.7545948361165</c:v>
                </c:pt>
                <c:pt idx="442">
                  <c:v>-229.9246743914243</c:v>
                </c:pt>
                <c:pt idx="443">
                  <c:v>-230.09345523388066</c:v>
                </c:pt>
                <c:pt idx="444">
                  <c:v>-230.26095179184327</c:v>
                </c:pt>
                <c:pt idx="445">
                  <c:v>-230.42717829500376</c:v>
                </c:pt>
                <c:pt idx="446">
                  <c:v>-230.59214877744424</c:v>
                </c:pt>
                <c:pt idx="447">
                  <c:v>-230.7558770806483</c:v>
                </c:pt>
                <c:pt idx="448">
                  <c:v>-230.91837685646612</c:v>
                </c:pt>
                <c:pt idx="449">
                  <c:v>-231.07966157003517</c:v>
                </c:pt>
                <c:pt idx="450">
                  <c:v>-231.23974450265578</c:v>
                </c:pt>
                <c:pt idx="451">
                  <c:v>-231.39863875462331</c:v>
                </c:pt>
                <c:pt idx="452">
                  <c:v>-231.55635724801607</c:v>
                </c:pt>
                <c:pt idx="453">
                  <c:v>-231.71291272944035</c:v>
                </c:pt>
                <c:pt idx="454">
                  <c:v>-231.86831777273306</c:v>
                </c:pt>
                <c:pt idx="455">
                  <c:v>-232.02258478162182</c:v>
                </c:pt>
                <c:pt idx="456">
                  <c:v>-232.1757259923435</c:v>
                </c:pt>
                <c:pt idx="457">
                  <c:v>-232.32775347622177</c:v>
                </c:pt>
                <c:pt idx="458">
                  <c:v>-232.4786791422037</c:v>
                </c:pt>
                <c:pt idx="459">
                  <c:v>-232.62851473935663</c:v>
                </c:pt>
                <c:pt idx="460">
                  <c:v>-232.77727185932494</c:v>
                </c:pt>
                <c:pt idx="461">
                  <c:v>-232.9249619387482</c:v>
                </c:pt>
                <c:pt idx="462">
                  <c:v>-233.0715962616402</c:v>
                </c:pt>
                <c:pt idx="463">
                  <c:v>-233.21718596173048</c:v>
                </c:pt>
                <c:pt idx="464">
                  <c:v>-233.36174202476789</c:v>
                </c:pt>
                <c:pt idx="465">
                  <c:v>-233.50527529078732</c:v>
                </c:pt>
                <c:pt idx="466">
                  <c:v>-233.64779645633985</c:v>
                </c:pt>
                <c:pt idx="467">
                  <c:v>-233.78931607668704</c:v>
                </c:pt>
                <c:pt idx="468">
                  <c:v>-233.92984456795941</c:v>
                </c:pt>
                <c:pt idx="469">
                  <c:v>-234.06939220928041</c:v>
                </c:pt>
                <c:pt idx="470">
                  <c:v>-234.20796914485575</c:v>
                </c:pt>
                <c:pt idx="471">
                  <c:v>-234.34558538602866</c:v>
                </c:pt>
                <c:pt idx="472">
                  <c:v>-234.48225081330185</c:v>
                </c:pt>
                <c:pt idx="473">
                  <c:v>-234.61797517832676</c:v>
                </c:pt>
                <c:pt idx="474">
                  <c:v>-234.75276810585979</c:v>
                </c:pt>
                <c:pt idx="475">
                  <c:v>-234.88663909568743</c:v>
                </c:pt>
                <c:pt idx="476">
                  <c:v>-235.01959752451913</c:v>
                </c:pt>
                <c:pt idx="477">
                  <c:v>-235.15165264784974</c:v>
                </c:pt>
                <c:pt idx="478">
                  <c:v>-235.28281360179156</c:v>
                </c:pt>
                <c:pt idx="479">
                  <c:v>-235.41308940487576</c:v>
                </c:pt>
                <c:pt idx="480">
                  <c:v>-235.54248895982516</c:v>
                </c:pt>
                <c:pt idx="481">
                  <c:v>-235.67102105529727</c:v>
                </c:pt>
                <c:pt idx="482">
                  <c:v>-235.79869436759907</c:v>
                </c:pt>
                <c:pt idx="483">
                  <c:v>-235.92551746237368</c:v>
                </c:pt>
                <c:pt idx="484">
                  <c:v>-236.05149879625927</c:v>
                </c:pt>
                <c:pt idx="485">
                  <c:v>-236.17664671852077</c:v>
                </c:pt>
                <c:pt idx="486">
                  <c:v>-236.30096947265491</c:v>
                </c:pt>
                <c:pt idx="487">
                  <c:v>-236.42447519796869</c:v>
                </c:pt>
                <c:pt idx="488">
                  <c:v>-236.54717193113225</c:v>
                </c:pt>
                <c:pt idx="489">
                  <c:v>-236.6690676077061</c:v>
                </c:pt>
                <c:pt idx="490">
                  <c:v>-236.79017006364316</c:v>
                </c:pt>
                <c:pt idx="491">
                  <c:v>-236.91048703676654</c:v>
                </c:pt>
                <c:pt idx="492">
                  <c:v>-237.03002616822269</c:v>
                </c:pt>
                <c:pt idx="493">
                  <c:v>-237.14879500391095</c:v>
                </c:pt>
                <c:pt idx="494">
                  <c:v>-237.26680099588961</c:v>
                </c:pt>
                <c:pt idx="495">
                  <c:v>-237.38405150375897</c:v>
                </c:pt>
                <c:pt idx="496">
                  <c:v>-237.50055379602173</c:v>
                </c:pt>
                <c:pt idx="497">
                  <c:v>-237.61631505142103</c:v>
                </c:pt>
                <c:pt idx="498">
                  <c:v>-237.73134236025678</c:v>
                </c:pt>
                <c:pt idx="499">
                  <c:v>-237.84564272568028</c:v>
                </c:pt>
                <c:pt idx="500">
                  <c:v>-237.95922306496792</c:v>
                </c:pt>
                <c:pt idx="501">
                  <c:v>-238.07209021077372</c:v>
                </c:pt>
                <c:pt idx="502">
                  <c:v>-238.18425091236185</c:v>
                </c:pt>
                <c:pt idx="503">
                  <c:v>-238.29571183681873</c:v>
                </c:pt>
                <c:pt idx="504">
                  <c:v>-238.40647957024555</c:v>
                </c:pt>
                <c:pt idx="505">
                  <c:v>-238.51656061893138</c:v>
                </c:pt>
                <c:pt idx="506">
                  <c:v>-238.62596141050699</c:v>
                </c:pt>
                <c:pt idx="507">
                  <c:v>-238.73468829508016</c:v>
                </c:pt>
                <c:pt idx="508">
                  <c:v>-238.8427475463526</c:v>
                </c:pt>
                <c:pt idx="509">
                  <c:v>-238.9501453627183</c:v>
                </c:pt>
                <c:pt idx="510">
                  <c:v>-239.05688786834469</c:v>
                </c:pt>
                <c:pt idx="511">
                  <c:v>-239.16298111423592</c:v>
                </c:pt>
                <c:pt idx="512">
                  <c:v>-239.26843107927883</c:v>
                </c:pt>
                <c:pt idx="513">
                  <c:v>-239.37324367127258</c:v>
                </c:pt>
                <c:pt idx="514">
                  <c:v>-239.47742472794079</c:v>
                </c:pt>
                <c:pt idx="515">
                  <c:v>-239.58098001792843</c:v>
                </c:pt>
                <c:pt idx="516">
                  <c:v>-239.68391524178156</c:v>
                </c:pt>
                <c:pt idx="517">
                  <c:v>-239.7862360329122</c:v>
                </c:pt>
                <c:pt idx="518">
                  <c:v>-239.88794795854719</c:v>
                </c:pt>
                <c:pt idx="519">
                  <c:v>-239.98905652066193</c:v>
                </c:pt>
                <c:pt idx="520">
                  <c:v>-240.08956715689928</c:v>
                </c:pt>
                <c:pt idx="521">
                  <c:v>-240.18948524147356</c:v>
                </c:pt>
                <c:pt idx="522">
                  <c:v>-240.28881608606028</c:v>
                </c:pt>
                <c:pt idx="523">
                  <c:v>-240.38756494067158</c:v>
                </c:pt>
                <c:pt idx="524">
                  <c:v>-240.48573699451759</c:v>
                </c:pt>
                <c:pt idx="525">
                  <c:v>-240.58333737685427</c:v>
                </c:pt>
                <c:pt idx="526">
                  <c:v>-240.68037115781777</c:v>
                </c:pt>
                <c:pt idx="527">
                  <c:v>-240.7768433492453</c:v>
                </c:pt>
                <c:pt idx="528">
                  <c:v>-240.87275890548312</c:v>
                </c:pt>
                <c:pt idx="529">
                  <c:v>-240.968122724182</c:v>
                </c:pt>
                <c:pt idx="530">
                  <c:v>-241.06293964707945</c:v>
                </c:pt>
                <c:pt idx="531">
                  <c:v>-241.15721446077038</c:v>
                </c:pt>
                <c:pt idx="532">
                  <c:v>-241.25095189746492</c:v>
                </c:pt>
                <c:pt idx="533">
                  <c:v>-241.34415663573475</c:v>
                </c:pt>
                <c:pt idx="534">
                  <c:v>-241.43683330124745</c:v>
                </c:pt>
                <c:pt idx="535">
                  <c:v>-241.5289864674896</c:v>
                </c:pt>
                <c:pt idx="536">
                  <c:v>-241.62062065647814</c:v>
                </c:pt>
                <c:pt idx="537">
                  <c:v>-241.71174033946085</c:v>
                </c:pt>
                <c:pt idx="538">
                  <c:v>-241.80234993760601</c:v>
                </c:pt>
                <c:pt idx="539">
                  <c:v>-241.89245382268092</c:v>
                </c:pt>
                <c:pt idx="540">
                  <c:v>-241.98205631772024</c:v>
                </c:pt>
                <c:pt idx="541">
                  <c:v>-242.07116169768358</c:v>
                </c:pt>
                <c:pt idx="542">
                  <c:v>-242.15977419010315</c:v>
                </c:pt>
                <c:pt idx="543">
                  <c:v>-242.24789797572129</c:v>
                </c:pt>
                <c:pt idx="544">
                  <c:v>-242.33553718911799</c:v>
                </c:pt>
                <c:pt idx="545">
                  <c:v>-242.42269591932899</c:v>
                </c:pt>
                <c:pt idx="546">
                  <c:v>-242.50937821045395</c:v>
                </c:pt>
                <c:pt idx="547">
                  <c:v>-242.59558806225567</c:v>
                </c:pt>
                <c:pt idx="548">
                  <c:v>-242.68132943074983</c:v>
                </c:pt>
                <c:pt idx="549">
                  <c:v>-242.76660622878563</c:v>
                </c:pt>
                <c:pt idx="550">
                  <c:v>-242.85142232661789</c:v>
                </c:pt>
                <c:pt idx="551">
                  <c:v>-242.9357815524699</c:v>
                </c:pt>
                <c:pt idx="552">
                  <c:v>-243.01968769308803</c:v>
                </c:pt>
                <c:pt idx="553">
                  <c:v>-243.10314449428762</c:v>
                </c:pt>
                <c:pt idx="554">
                  <c:v>-243.18615566149097</c:v>
                </c:pt>
                <c:pt idx="555">
                  <c:v>-243.26872486025664</c:v>
                </c:pt>
                <c:pt idx="556">
                  <c:v>-243.35085571680105</c:v>
                </c:pt>
                <c:pt idx="557">
                  <c:v>-243.432551818512</c:v>
                </c:pt>
                <c:pt idx="558">
                  <c:v>-243.51381671445461</c:v>
                </c:pt>
                <c:pt idx="559">
                  <c:v>-243.59465391586954</c:v>
                </c:pt>
                <c:pt idx="560">
                  <c:v>-243.67506689666351</c:v>
                </c:pt>
                <c:pt idx="561">
                  <c:v>-243.75505909389284</c:v>
                </c:pt>
                <c:pt idx="562">
                  <c:v>-243.83463390823923</c:v>
                </c:pt>
                <c:pt idx="563">
                  <c:v>-243.91379470447896</c:v>
                </c:pt>
                <c:pt idx="564">
                  <c:v>-243.99254481194455</c:v>
                </c:pt>
                <c:pt idx="565">
                  <c:v>-244.0708875249799</c:v>
                </c:pt>
                <c:pt idx="566">
                  <c:v>-244.14882610338839</c:v>
                </c:pt>
                <c:pt idx="567">
                  <c:v>-244.22636377287444</c:v>
                </c:pt>
                <c:pt idx="568">
                  <c:v>-244.30350372547866</c:v>
                </c:pt>
                <c:pt idx="569">
                  <c:v>-244.38024912000606</c:v>
                </c:pt>
                <c:pt idx="570">
                  <c:v>-244.45660308244857</c:v>
                </c:pt>
                <c:pt idx="571">
                  <c:v>-244.53256870640061</c:v>
                </c:pt>
                <c:pt idx="572">
                  <c:v>-244.60814905346922</c:v>
                </c:pt>
                <c:pt idx="573">
                  <c:v>-244.68334715367763</c:v>
                </c:pt>
                <c:pt idx="574">
                  <c:v>-244.75816600586316</c:v>
                </c:pt>
                <c:pt idx="575">
                  <c:v>-244.83260857806923</c:v>
                </c:pt>
                <c:pt idx="576">
                  <c:v>-244.90667780793154</c:v>
                </c:pt>
                <c:pt idx="577">
                  <c:v>-244.98037660305877</c:v>
                </c:pt>
                <c:pt idx="578">
                  <c:v>-245.0537078414076</c:v>
                </c:pt>
                <c:pt idx="579">
                  <c:v>-245.1266743716522</c:v>
                </c:pt>
                <c:pt idx="580">
                  <c:v>-245.19927901354865</c:v>
                </c:pt>
                <c:pt idx="581">
                  <c:v>-245.27152455829361</c:v>
                </c:pt>
                <c:pt idx="582">
                  <c:v>-245.34341376887829</c:v>
                </c:pt>
                <c:pt idx="583">
                  <c:v>-245.41494938043695</c:v>
                </c:pt>
                <c:pt idx="584">
                  <c:v>-245.48613410059045</c:v>
                </c:pt>
                <c:pt idx="585">
                  <c:v>-245.55697060978497</c:v>
                </c:pt>
                <c:pt idx="586">
                  <c:v>-245.62746156162575</c:v>
                </c:pt>
                <c:pt idx="587">
                  <c:v>-245.69760958320592</c:v>
                </c:pt>
                <c:pt idx="588">
                  <c:v>-245.76741727543109</c:v>
                </c:pt>
                <c:pt idx="589">
                  <c:v>-245.83688721333863</c:v>
                </c:pt>
                <c:pt idx="590">
                  <c:v>-245.90602194641292</c:v>
                </c:pt>
                <c:pt idx="591">
                  <c:v>-245.97482399889594</c:v>
                </c:pt>
                <c:pt idx="592">
                  <c:v>-246.04329587009323</c:v>
                </c:pt>
                <c:pt idx="593">
                  <c:v>-246.11144003467604</c:v>
                </c:pt>
                <c:pt idx="594">
                  <c:v>-246.17925894297849</c:v>
                </c:pt>
                <c:pt idx="595">
                  <c:v>-246.24675502129116</c:v>
                </c:pt>
                <c:pt idx="596">
                  <c:v>-246.31393067215021</c:v>
                </c:pt>
                <c:pt idx="597">
                  <c:v>-246.38078827462249</c:v>
                </c:pt>
                <c:pt idx="598">
                  <c:v>-246.44733018458663</c:v>
                </c:pt>
                <c:pt idx="599">
                  <c:v>-246.51355873501024</c:v>
                </c:pt>
                <c:pt idx="600">
                  <c:v>-246.57947623622312</c:v>
                </c:pt>
                <c:pt idx="601">
                  <c:v>-246.64508497618687</c:v>
                </c:pt>
                <c:pt idx="602">
                  <c:v>-246.71038722076034</c:v>
                </c:pt>
                <c:pt idx="603">
                  <c:v>-246.77538521396195</c:v>
                </c:pt>
                <c:pt idx="604">
                  <c:v>-246.84008117822771</c:v>
                </c:pt>
                <c:pt idx="605">
                  <c:v>-246.90447731466625</c:v>
                </c:pt>
                <c:pt idx="606">
                  <c:v>-249.78511654185198</c:v>
                </c:pt>
                <c:pt idx="607">
                  <c:v>-252.13238575144385</c:v>
                </c:pt>
                <c:pt idx="608">
                  <c:v>-254.08941198927579</c:v>
                </c:pt>
                <c:pt idx="609">
                  <c:v>-255.75252052924012</c:v>
                </c:pt>
                <c:pt idx="610">
                  <c:v>-257.1888406990131</c:v>
                </c:pt>
                <c:pt idx="611">
                  <c:v>-258.4465528327118</c:v>
                </c:pt>
                <c:pt idx="612">
                  <c:v>-259.56111636251023</c:v>
                </c:pt>
                <c:pt idx="613">
                  <c:v>-260.559199237413</c:v>
                </c:pt>
                <c:pt idx="614">
                  <c:v>-261.46123858061259</c:v>
                </c:pt>
                <c:pt idx="615">
                  <c:v>-262.28315715944541</c:v>
                </c:pt>
                <c:pt idx="616">
                  <c:v>-263.03754288766862</c:v>
                </c:pt>
                <c:pt idx="617">
                  <c:v>-263.73447734006976</c:v>
                </c:pt>
                <c:pt idx="618">
                  <c:v>-264.02861570866139</c:v>
                </c:pt>
                <c:pt idx="619">
                  <c:v>-264.3141020361528</c:v>
                </c:pt>
                <c:pt idx="620">
                  <c:v>-264.59143094034607</c:v>
                </c:pt>
                <c:pt idx="621">
                  <c:v>-264.86106005727709</c:v>
                </c:pt>
                <c:pt idx="622">
                  <c:v>-265.1234134312997</c:v>
                </c:pt>
                <c:pt idx="623">
                  <c:v>-265.37888453906635</c:v>
                </c:pt>
                <c:pt idx="624">
                  <c:v>-265.62783899270903</c:v>
                </c:pt>
                <c:pt idx="625">
                  <c:v>-265.87061696122851</c:v>
                </c:pt>
                <c:pt idx="626">
                  <c:v>-266.10753534377119</c:v>
                </c:pt>
                <c:pt idx="627">
                  <c:v>-266.3388897239505</c:v>
                </c:pt>
                <c:pt idx="628">
                  <c:v>-266.56495613051936</c:v>
                </c:pt>
                <c:pt idx="629">
                  <c:v>-266.78599262641086</c:v>
                </c:pt>
                <c:pt idx="630">
                  <c:v>-267.002240745351</c:v>
                </c:pt>
                <c:pt idx="631">
                  <c:v>-267.21392679282917</c:v>
                </c:pt>
                <c:pt idx="632">
                  <c:v>-267.42126302613383</c:v>
                </c:pt>
                <c:pt idx="633">
                  <c:v>-267.62444872636564</c:v>
                </c:pt>
                <c:pt idx="634">
                  <c:v>-267.82367117378794</c:v>
                </c:pt>
                <c:pt idx="635">
                  <c:v>-268.01910653653181</c:v>
                </c:pt>
                <c:pt idx="636">
                  <c:v>-268.21092068150148</c:v>
                </c:pt>
                <c:pt idx="637">
                  <c:v>-268.3992699153107</c:v>
                </c:pt>
                <c:pt idx="638">
                  <c:v>-268.58430166219131</c:v>
                </c:pt>
                <c:pt idx="639">
                  <c:v>-268.76615508504142</c:v>
                </c:pt>
                <c:pt idx="640">
                  <c:v>-268.9449616550981</c:v>
                </c:pt>
                <c:pt idx="641">
                  <c:v>-269.120845675125</c:v>
                </c:pt>
                <c:pt idx="642">
                  <c:v>-269.29392476048014</c:v>
                </c:pt>
                <c:pt idx="643">
                  <c:v>-269.46431028196565</c:v>
                </c:pt>
                <c:pt idx="644">
                  <c:v>-269.63210777395625</c:v>
                </c:pt>
                <c:pt idx="645">
                  <c:v>-269.79741731093941</c:v>
                </c:pt>
                <c:pt idx="646">
                  <c:v>-269.96033385528312</c:v>
                </c:pt>
                <c:pt idx="647">
                  <c:v>-270.12094757876366</c:v>
                </c:pt>
                <c:pt idx="648">
                  <c:v>-270.27934416013403</c:v>
                </c:pt>
                <c:pt idx="649">
                  <c:v>-270.43560506079001</c:v>
                </c:pt>
                <c:pt idx="650">
                  <c:v>-270.5898077803908</c:v>
                </c:pt>
                <c:pt idx="651">
                  <c:v>-270.74202609411554</c:v>
                </c:pt>
                <c:pt idx="652">
                  <c:v>-270.89233027307517</c:v>
                </c:pt>
                <c:pt idx="653">
                  <c:v>-271.04078728925867</c:v>
                </c:pt>
                <c:pt idx="654">
                  <c:v>-271.18746100626504</c:v>
                </c:pt>
                <c:pt idx="655">
                  <c:v>-271.33241235695772</c:v>
                </c:pt>
                <c:pt idx="656">
                  <c:v>-271.4756995090757</c:v>
                </c:pt>
                <c:pt idx="657">
                  <c:v>-271.61737801974232</c:v>
                </c:pt>
                <c:pt idx="658">
                  <c:v>-271.7575009797315</c:v>
                </c:pt>
                <c:pt idx="659">
                  <c:v>-271.8961191482739</c:v>
                </c:pt>
                <c:pt idx="660">
                  <c:v>-272.03328107911909</c:v>
                </c:pt>
                <c:pt idx="661">
                  <c:v>-272.16903323850806</c:v>
                </c:pt>
                <c:pt idx="662">
                  <c:v>-272.3034201156558</c:v>
                </c:pt>
                <c:pt idx="663">
                  <c:v>-272.43648432629209</c:v>
                </c:pt>
                <c:pt idx="664">
                  <c:v>-272.56826670976437</c:v>
                </c:pt>
                <c:pt idx="665">
                  <c:v>-272.69880642016517</c:v>
                </c:pt>
                <c:pt idx="666">
                  <c:v>-272.82814101190792</c:v>
                </c:pt>
                <c:pt idx="667">
                  <c:v>-272.95630652014239</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Calculations'!$AR$9:$AR$209</c:f>
              <c:numCache>
                <c:formatCode>0.0</c:formatCode>
                <c:ptCount val="201"/>
                <c:pt idx="0">
                  <c:v>17.702312948288206</c:v>
                </c:pt>
                <c:pt idx="1">
                  <c:v>19.274136725634751</c:v>
                </c:pt>
                <c:pt idx="2">
                  <c:v>20.713554244417946</c:v>
                </c:pt>
                <c:pt idx="3">
                  <c:v>22.02081161044126</c:v>
                </c:pt>
                <c:pt idx="4">
                  <c:v>23.196103980731628</c:v>
                </c:pt>
                <c:pt idx="5">
                  <c:v>24.23957561873992</c:v>
                </c:pt>
                <c:pt idx="6">
                  <c:v>25.151319900328431</c:v>
                </c:pt>
                <c:pt idx="7">
                  <c:v>25.931379270435492</c:v>
                </c:pt>
                <c:pt idx="8">
                  <c:v>26.579745150217583</c:v>
                </c:pt>
                <c:pt idx="9">
                  <c:v>27.096357794378775</c:v>
                </c:pt>
                <c:pt idx="10">
                  <c:v>27.481106098305951</c:v>
                </c:pt>
                <c:pt idx="11">
                  <c:v>27.733827354535439</c:v>
                </c:pt>
                <c:pt idx="12">
                  <c:v>27.854306957982097</c:v>
                </c:pt>
                <c:pt idx="13">
                  <c:v>27.842278059265634</c:v>
                </c:pt>
                <c:pt idx="14">
                  <c:v>27.697421165370489</c:v>
                </c:pt>
                <c:pt idx="15">
                  <c:v>28.209920627246589</c:v>
                </c:pt>
                <c:pt idx="16">
                  <c:v>29.072713347897288</c:v>
                </c:pt>
                <c:pt idx="17">
                  <c:v>29.955578430133745</c:v>
                </c:pt>
                <c:pt idx="18">
                  <c:v>30.858760820702972</c:v>
                </c:pt>
                <c:pt idx="19">
                  <c:v>31.782514641791913</c:v>
                </c:pt>
                <c:pt idx="20">
                  <c:v>32.727103415407967</c:v>
                </c:pt>
                <c:pt idx="21">
                  <c:v>33.692800298753539</c:v>
                </c:pt>
                <c:pt idx="22">
                  <c:v>34.67988833102163</c:v>
                </c:pt>
                <c:pt idx="23">
                  <c:v>35.688660692065497</c:v>
                </c:pt>
                <c:pt idx="24">
                  <c:v>36.71942097342248</c:v>
                </c:pt>
                <c:pt idx="25">
                  <c:v>37.772483462200547</c:v>
                </c:pt>
                <c:pt idx="26">
                  <c:v>38.848173438366608</c:v>
                </c:pt>
                <c:pt idx="27">
                  <c:v>39.946827486007223</c:v>
                </c:pt>
                <c:pt idx="28">
                  <c:v>41.068793819166551</c:v>
                </c:pt>
                <c:pt idx="29">
                  <c:v>42.214432622901796</c:v>
                </c:pt>
                <c:pt idx="30">
                  <c:v>43.384116410234299</c:v>
                </c:pt>
                <c:pt idx="31">
                  <c:v>44.578230395715103</c:v>
                </c:pt>
                <c:pt idx="32">
                  <c:v>45.797172886365651</c:v>
                </c:pt>
                <c:pt idx="33">
                  <c:v>47.04135569080006</c:v>
                </c:pt>
                <c:pt idx="34">
                  <c:v>48.311204547383312</c:v>
                </c:pt>
                <c:pt idx="35">
                  <c:v>49.607159572330715</c:v>
                </c:pt>
                <c:pt idx="36">
                  <c:v>50.929675728708148</c:v>
                </c:pt>
                <c:pt idx="37">
                  <c:v>52.279223317350677</c:v>
                </c:pt>
                <c:pt idx="38">
                  <c:v>53.656288490778408</c:v>
                </c:pt>
                <c:pt idx="39">
                  <c:v>55.061373791253736</c:v>
                </c:pt>
                <c:pt idx="40">
                  <c:v>56.494998714194772</c:v>
                </c:pt>
                <c:pt idx="41">
                  <c:v>57.957700298233156</c:v>
                </c:pt>
                <c:pt idx="42">
                  <c:v>59.450033743284699</c:v>
                </c:pt>
                <c:pt idx="43">
                  <c:v>60.972573058085949</c:v>
                </c:pt>
                <c:pt idx="44">
                  <c:v>62.525911738740156</c:v>
                </c:pt>
                <c:pt idx="45">
                  <c:v>64.110663479913697</c:v>
                </c:pt>
                <c:pt idx="46">
                  <c:v>65.727462920426674</c:v>
                </c:pt>
                <c:pt idx="47">
                  <c:v>67.376966425093315</c:v>
                </c:pt>
                <c:pt idx="48">
                  <c:v>69.059852904785913</c:v>
                </c:pt>
                <c:pt idx="49">
                  <c:v>70.776824676823566</c:v>
                </c:pt>
                <c:pt idx="50">
                  <c:v>72.528608367923155</c:v>
                </c:pt>
                <c:pt idx="51">
                  <c:v>74.315955862096843</c:v>
                </c:pt>
                <c:pt idx="52">
                  <c:v>76.139645296036534</c:v>
                </c:pt>
                <c:pt idx="53">
                  <c:v>78.000482104695493</c:v>
                </c:pt>
                <c:pt idx="54">
                  <c:v>79.899300119957189</c:v>
                </c:pt>
                <c:pt idx="55">
                  <c:v>81.836962725477548</c:v>
                </c:pt>
                <c:pt idx="56">
                  <c:v>83.814364070995893</c:v>
                </c:pt>
                <c:pt idx="57">
                  <c:v>85.832430349634976</c:v>
                </c:pt>
                <c:pt idx="58">
                  <c:v>87.892121141954576</c:v>
                </c:pt>
                <c:pt idx="59">
                  <c:v>89.994430830784395</c:v>
                </c:pt>
                <c:pt idx="60">
                  <c:v>92.140390091145065</c:v>
                </c:pt>
                <c:pt idx="61">
                  <c:v>94.331067459870681</c:v>
                </c:pt>
                <c:pt idx="62">
                  <c:v>96.567570989876216</c:v>
                </c:pt>
                <c:pt idx="63">
                  <c:v>98.851049994368481</c:v>
                </c:pt>
                <c:pt idx="64">
                  <c:v>101.18269688668542</c:v>
                </c:pt>
                <c:pt idx="65">
                  <c:v>103.56374912186371</c:v>
                </c:pt>
                <c:pt idx="66">
                  <c:v>105.99549124648789</c:v>
                </c:pt>
                <c:pt idx="67">
                  <c:v>108.47925706386111</c:v>
                </c:pt>
                <c:pt idx="68">
                  <c:v>111.01643192207068</c:v>
                </c:pt>
                <c:pt idx="69">
                  <c:v>113.60845513309462</c:v>
                </c:pt>
                <c:pt idx="70">
                  <c:v>116.25682253172347</c:v>
                </c:pt>
                <c:pt idx="71">
                  <c:v>118.96308918374942</c:v>
                </c:pt>
                <c:pt idx="72">
                  <c:v>121.72887225361646</c:v>
                </c:pt>
                <c:pt idx="73">
                  <c:v>124.55585404252874</c:v>
                </c:pt>
                <c:pt idx="74">
                  <c:v>127.44578520889304</c:v>
                </c:pt>
                <c:pt idx="75">
                  <c:v>130.40048818392893</c:v>
                </c:pt>
                <c:pt idx="76">
                  <c:v>133.42186079632287</c:v>
                </c:pt>
                <c:pt idx="77">
                  <c:v>136.51188012094676</c:v>
                </c:pt>
                <c:pt idx="78">
                  <c:v>139.67260656790569</c:v>
                </c:pt>
                <c:pt idx="79">
                  <c:v>142.90618822954897</c:v>
                </c:pt>
                <c:pt idx="80">
                  <c:v>146.21486550457294</c:v>
                </c:pt>
                <c:pt idx="81">
                  <c:v>149.6009760199828</c:v>
                </c:pt>
                <c:pt idx="82">
                  <c:v>153.06695987348414</c:v>
                </c:pt>
                <c:pt idx="83">
                  <c:v>156.61536522085018</c:v>
                </c:pt>
                <c:pt idx="84">
                  <c:v>160.24885423498495</c:v>
                </c:pt>
                <c:pt idx="85">
                  <c:v>163.97020946579892</c:v>
                </c:pt>
                <c:pt idx="86">
                  <c:v>167.78234063264765</c:v>
                </c:pt>
                <c:pt idx="87">
                  <c:v>171.68829188399675</c:v>
                </c:pt>
                <c:pt idx="88">
                  <c:v>175.69124956218704</c:v>
                </c:pt>
                <c:pt idx="89">
                  <c:v>179.79455051472587</c:v>
                </c:pt>
                <c:pt idx="90">
                  <c:v>184.00169099746239</c:v>
                </c:pt>
                <c:pt idx="91">
                  <c:v>188.31633621935768</c:v>
                </c:pt>
                <c:pt idx="92">
                  <c:v>192.74233058339465</c:v>
                </c:pt>
                <c:pt idx="93">
                  <c:v>197.28370868353565</c:v>
                </c:pt>
                <c:pt idx="94">
                  <c:v>201.94470712360692</c:v>
                </c:pt>
                <c:pt idx="95">
                  <c:v>206.72977723062772</c:v>
                </c:pt>
                <c:pt idx="96">
                  <c:v>211.64359874251733</c:v>
                </c:pt>
                <c:pt idx="97">
                  <c:v>216.69109455837585</c:v>
                </c:pt>
                <c:pt idx="98">
                  <c:v>221.87744664878392</c:v>
                </c:pt>
                <c:pt idx="99">
                  <c:v>227.20811323391837</c:v>
                </c:pt>
                <c:pt idx="100">
                  <c:v>232.68884734887604</c:v>
                </c:pt>
                <c:pt idx="101">
                  <c:v>238.32571692863772</c:v>
                </c:pt>
                <c:pt idx="102">
                  <c:v>244.12512655974069</c:v>
                </c:pt>
                <c:pt idx="103">
                  <c:v>250.09384106223391</c:v>
                </c:pt>
                <c:pt idx="104">
                  <c:v>256.23901108409416</c:v>
                </c:pt>
                <c:pt idx="105">
                  <c:v>262.56820091130868</c:v>
                </c:pt>
                <c:pt idx="106">
                  <c:v>269.08941872062144</c:v>
                </c:pt>
                <c:pt idx="107">
                  <c:v>275.81114952891562</c:v>
                </c:pt>
                <c:pt idx="108">
                  <c:v>282.7423911238422</c:v>
                </c:pt>
                <c:pt idx="109">
                  <c:v>289.89269329515895</c:v>
                </c:pt>
                <c:pt idx="110">
                  <c:v>297.27220072597709</c:v>
                </c:pt>
                <c:pt idx="111">
                  <c:v>304.89169994849584</c:v>
                </c:pt>
                <c:pt idx="112">
                  <c:v>312.76267082073701</c:v>
                </c:pt>
                <c:pt idx="113">
                  <c:v>320.89734304035295</c:v>
                </c:pt>
                <c:pt idx="114">
                  <c:v>329.3087582800124</c:v>
                </c:pt>
                <c:pt idx="115">
                  <c:v>338.01083860771166</c:v>
                </c:pt>
                <c:pt idx="116">
                  <c:v>347.01846194633021</c:v>
                </c:pt>
                <c:pt idx="117">
                  <c:v>356.34754543204195</c:v>
                </c:pt>
                <c:pt idx="118">
                  <c:v>366.0151376532786</c:v>
                </c:pt>
                <c:pt idx="119">
                  <c:v>376.0395208939151</c:v>
                </c:pt>
                <c:pt idx="120">
                  <c:v>386.44032466981969</c:v>
                </c:pt>
                <c:pt idx="121">
                  <c:v>397.23865204133477</c:v>
                </c:pt>
                <c:pt idx="122">
                  <c:v>408.45722041092358</c:v>
                </c:pt>
                <c:pt idx="123">
                  <c:v>420.12051878166994</c:v>
                </c:pt>
                <c:pt idx="124">
                  <c:v>432.25498376638404</c:v>
                </c:pt>
                <c:pt idx="125">
                  <c:v>444.88919700848766</c:v>
                </c:pt>
                <c:pt idx="126">
                  <c:v>458.05410711640275</c:v>
                </c:pt>
                <c:pt idx="127">
                  <c:v>471.7832797375417</c:v>
                </c:pt>
                <c:pt idx="128">
                  <c:v>486.11318002423991</c:v>
                </c:pt>
                <c:pt idx="129">
                  <c:v>501.08349249456364</c:v>
                </c:pt>
                <c:pt idx="130">
                  <c:v>516.73748419394758</c:v>
                </c:pt>
                <c:pt idx="131">
                  <c:v>533.12241815423681</c:v>
                </c:pt>
                <c:pt idx="132">
                  <c:v>550.29002546922618</c:v>
                </c:pt>
                <c:pt idx="133">
                  <c:v>568.29704591641644</c:v>
                </c:pt>
                <c:pt idx="134">
                  <c:v>587.20584902474968</c:v>
                </c:pt>
                <c:pt idx="135">
                  <c:v>607.08514990910828</c:v>
                </c:pt>
                <c:pt idx="136">
                  <c:v>628.01083718190057</c:v>
                </c:pt>
                <c:pt idx="137">
                  <c:v>650.06693396255673</c:v>
                </c:pt>
                <c:pt idx="138">
                  <c:v>673.34671763564165</c:v>
                </c:pt>
                <c:pt idx="139">
                  <c:v>697.95402981782217</c:v>
                </c:pt>
                <c:pt idx="140">
                  <c:v>724.00481532694937</c:v>
                </c:pt>
                <c:pt idx="141">
                  <c:v>751.62893825998412</c:v>
                </c:pt>
                <c:pt idx="142">
                  <c:v>780.97233519343058</c:v>
                </c:pt>
                <c:pt idx="143">
                  <c:v>812.19958084804932</c:v>
                </c:pt>
                <c:pt idx="144">
                  <c:v>845.49696143745427</c:v>
                </c:pt>
                <c:pt idx="145">
                  <c:v>881.076176899149</c:v>
                </c:pt>
                <c:pt idx="146">
                  <c:v>919.17882744104611</c:v>
                </c:pt>
                <c:pt idx="147">
                  <c:v>960.08188534791032</c:v>
                </c:pt>
                <c:pt idx="148">
                  <c:v>1004.1044140648528</c:v>
                </c:pt>
                <c:pt idx="149">
                  <c:v>1051.6158793542165</c:v>
                </c:pt>
                <c:pt idx="150">
                  <c:v>1103.0465107326268</c:v>
                </c:pt>
                <c:pt idx="151">
                  <c:v>1158.9003285706658</c:v>
                </c:pt>
                <c:pt idx="152">
                  <c:v>1219.7716727849111</c:v>
                </c:pt>
                <c:pt idx="153">
                  <c:v>1286.3663826920283</c:v>
                </c:pt>
                <c:pt idx="154">
                  <c:v>1359.5292301362285</c:v>
                </c:pt>
                <c:pt idx="155">
                  <c:v>1440.2798713321727</c:v>
                </c:pt>
                <c:pt idx="156">
                  <c:v>1529.8605720325131</c:v>
                </c:pt>
                <c:pt idx="157">
                  <c:v>1629.8004637378192</c:v>
                </c:pt>
                <c:pt idx="158">
                  <c:v>1742.0034205928316</c:v>
                </c:pt>
                <c:pt idx="159">
                  <c:v>1868.8703482893523</c:v>
                </c:pt>
                <c:pt idx="160">
                  <c:v>2013.4727041172325</c:v>
                </c:pt>
                <c:pt idx="161">
                  <c:v>2179.8041673610519</c:v>
                </c:pt>
                <c:pt idx="162">
                  <c:v>2373.1548563760093</c:v>
                </c:pt>
                <c:pt idx="163">
                  <c:v>2600.683858584654</c:v>
                </c:pt>
                <c:pt idx="164">
                  <c:v>2872.3245616744116</c:v>
                </c:pt>
                <c:pt idx="165">
                  <c:v>3202.2726898686656</c:v>
                </c:pt>
                <c:pt idx="166">
                  <c:v>3611.5471830612842</c:v>
                </c:pt>
                <c:pt idx="167">
                  <c:v>4132.6495786849919</c:v>
                </c:pt>
                <c:pt idx="168">
                  <c:v>4818.6454453932211</c:v>
                </c:pt>
                <c:pt idx="169">
                  <c:v>5762.4841515197995</c:v>
                </c:pt>
                <c:pt idx="170">
                  <c:v>7143.1391165733849</c:v>
                </c:pt>
                <c:pt idx="171">
                  <c:v>9355.0834052779301</c:v>
                </c:pt>
                <c:pt idx="172">
                  <c:v>13472.324984915538</c:v>
                </c:pt>
                <c:pt idx="173">
                  <c:v>23818.473457971813</c:v>
                </c:pt>
                <c:pt idx="174">
                  <c:v>98423.570342993917</c:v>
                </c:pt>
                <c:pt idx="175">
                  <c:v>-47051.565305413489</c:v>
                </c:pt>
                <c:pt idx="176">
                  <c:v>-19133.878157574225</c:v>
                </c:pt>
                <c:pt idx="177">
                  <c:v>-12066.073615990797</c:v>
                </c:pt>
                <c:pt idx="178">
                  <c:v>-8841.6383243198161</c:v>
                </c:pt>
                <c:pt idx="179">
                  <c:v>-6995.8108229135159</c:v>
                </c:pt>
                <c:pt idx="180">
                  <c:v>-5800.1940649133676</c:v>
                </c:pt>
                <c:pt idx="181">
                  <c:v>-4962.6887075094928</c:v>
                </c:pt>
                <c:pt idx="182">
                  <c:v>-4343.3704708696296</c:v>
                </c:pt>
                <c:pt idx="183">
                  <c:v>-3866.8113072507117</c:v>
                </c:pt>
                <c:pt idx="184">
                  <c:v>-3488.7582849713467</c:v>
                </c:pt>
                <c:pt idx="185">
                  <c:v>-3181.5357382966449</c:v>
                </c:pt>
                <c:pt idx="186">
                  <c:v>-2926.9476087761273</c:v>
                </c:pt>
                <c:pt idx="187">
                  <c:v>-2712.5388347343155</c:v>
                </c:pt>
                <c:pt idx="188">
                  <c:v>-2529.496724136101</c:v>
                </c:pt>
                <c:pt idx="189">
                  <c:v>-2371.4101948907587</c:v>
                </c:pt>
                <c:pt idx="190">
                  <c:v>-2233.5038567641113</c:v>
                </c:pt>
                <c:pt idx="191">
                  <c:v>-2112.1476367308856</c:v>
                </c:pt>
                <c:pt idx="192">
                  <c:v>-2004.5328400599456</c:v>
                </c:pt>
                <c:pt idx="193">
                  <c:v>-1908.4522715435317</c:v>
                </c:pt>
                <c:pt idx="194">
                  <c:v>-1822.1473998118458</c:v>
                </c:pt>
                <c:pt idx="195">
                  <c:v>-1744.1998690176724</c:v>
                </c:pt>
                <c:pt idx="196">
                  <c:v>-1673.4530377576143</c:v>
                </c:pt>
                <c:pt idx="197">
                  <c:v>-1608.9542767397429</c:v>
                </c:pt>
                <c:pt idx="198">
                  <c:v>-1549.9118882208556</c:v>
                </c:pt>
                <c:pt idx="199">
                  <c:v>-1495.6624996948681</c:v>
                </c:pt>
                <c:pt idx="200">
                  <c:v>-1445.6460764771209</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Calculations'!$AS$9:$AS$209</c:f>
              <c:numCache>
                <c:formatCode>0.0</c:formatCode>
                <c:ptCount val="201"/>
                <c:pt idx="0">
                  <c:v>1.2340512401755639</c:v>
                </c:pt>
                <c:pt idx="1">
                  <c:v>1.3163499248770165</c:v>
                </c:pt>
                <c:pt idx="2">
                  <c:v>1.400911909298725</c:v>
                </c:pt>
                <c:pt idx="3">
                  <c:v>1.4877387828311952</c:v>
                </c:pt>
                <c:pt idx="4">
                  <c:v>1.5768322559676089</c:v>
                </c:pt>
                <c:pt idx="5">
                  <c:v>1.6681941604001047</c:v>
                </c:pt>
                <c:pt idx="6">
                  <c:v>1.7618264491322886</c:v>
                </c:pt>
                <c:pt idx="7">
                  <c:v>1.8577311966079955</c:v>
                </c:pt>
                <c:pt idx="8">
                  <c:v>1.9559105988562955</c:v>
                </c:pt>
                <c:pt idx="9">
                  <c:v>2.0563669736527839</c:v>
                </c:pt>
                <c:pt idx="10">
                  <c:v>2.1591027606971633</c:v>
                </c:pt>
                <c:pt idx="11">
                  <c:v>2.2641205218071647</c:v>
                </c:pt>
                <c:pt idx="12">
                  <c:v>2.3714229411288157</c:v>
                </c:pt>
                <c:pt idx="13">
                  <c:v>2.4810128253631119</c:v>
                </c:pt>
                <c:pt idx="14">
                  <c:v>2.5928931040091197</c:v>
                </c:pt>
                <c:pt idx="15">
                  <c:v>2.7629887465943708</c:v>
                </c:pt>
                <c:pt idx="16">
                  <c:v>2.9604507787287142</c:v>
                </c:pt>
                <c:pt idx="17">
                  <c:v>3.1602372467527449</c:v>
                </c:pt>
                <c:pt idx="18">
                  <c:v>3.3623537631975386</c:v>
                </c:pt>
                <c:pt idx="19">
                  <c:v>3.5668060666122745</c:v>
                </c:pt>
                <c:pt idx="20">
                  <c:v>3.7736000221035777</c:v>
                </c:pt>
                <c:pt idx="21">
                  <c:v>3.9827416218920271</c:v>
                </c:pt>
                <c:pt idx="22">
                  <c:v>4.1942369858859045</c:v>
                </c:pt>
                <c:pt idx="23">
                  <c:v>4.4080923622723258</c:v>
                </c:pt>
                <c:pt idx="24">
                  <c:v>4.6243141281258557</c:v>
                </c:pt>
                <c:pt idx="25">
                  <c:v>4.8429087900347518</c:v>
                </c:pt>
                <c:pt idx="26">
                  <c:v>5.0638829847449358</c:v>
                </c:pt>
                <c:pt idx="27">
                  <c:v>5.2872434798218606</c:v>
                </c:pt>
                <c:pt idx="28">
                  <c:v>5.5129971743303665</c:v>
                </c:pt>
                <c:pt idx="29">
                  <c:v>5.7411510995327264</c:v>
                </c:pt>
                <c:pt idx="30">
                  <c:v>5.971712419604966</c:v>
                </c:pt>
                <c:pt idx="31">
                  <c:v>6.204688432371654</c:v>
                </c:pt>
                <c:pt idx="32">
                  <c:v>6.4400865700592993</c:v>
                </c:pt>
                <c:pt idx="33">
                  <c:v>6.67791440006852</c:v>
                </c:pt>
                <c:pt idx="34">
                  <c:v>6.9181796257651564</c:v>
                </c:pt>
                <c:pt idx="35">
                  <c:v>7.1608900872904799</c:v>
                </c:pt>
                <c:pt idx="36">
                  <c:v>7.4060537623907159</c:v>
                </c:pt>
                <c:pt idx="37">
                  <c:v>7.6536787672659914</c:v>
                </c:pt>
                <c:pt idx="38">
                  <c:v>7.9037733574389799</c:v>
                </c:pt>
                <c:pt idx="39">
                  <c:v>8.1563459286433542</c:v>
                </c:pt>
                <c:pt idx="40">
                  <c:v>8.4114050177323172</c:v>
                </c:pt>
                <c:pt idx="41">
                  <c:v>8.6689593036073394</c:v>
                </c:pt>
                <c:pt idx="42">
                  <c:v>8.9290176081673831</c:v>
                </c:pt>
                <c:pt idx="43">
                  <c:v>9.1915888972787627</c:v>
                </c:pt>
                <c:pt idx="44">
                  <c:v>9.4566822817659073</c:v>
                </c:pt>
                <c:pt idx="45">
                  <c:v>9.7243070184232359</c:v>
                </c:pt>
                <c:pt idx="46">
                  <c:v>9.9944725110483503</c:v>
                </c:pt>
                <c:pt idx="47">
                  <c:v>10.26718831149682</c:v>
                </c:pt>
                <c:pt idx="48">
                  <c:v>10.542464120758787</c:v>
                </c:pt>
                <c:pt idx="49">
                  <c:v>10.820309790057632</c:v>
                </c:pt>
                <c:pt idx="50">
                  <c:v>11.100735321970955</c:v>
                </c:pt>
                <c:pt idx="51">
                  <c:v>11.383750871574145</c:v>
                </c:pt>
                <c:pt idx="52">
                  <c:v>11.669366747606794</c:v>
                </c:pt>
                <c:pt idx="53">
                  <c:v>11.957593413662249</c:v>
                </c:pt>
                <c:pt idx="54">
                  <c:v>12.24844148940053</c:v>
                </c:pt>
                <c:pt idx="55">
                  <c:v>12.541921751784971</c:v>
                </c:pt>
                <c:pt idx="56">
                  <c:v>12.838045136342844</c:v>
                </c:pt>
                <c:pt idx="57">
                  <c:v>13.136822738450235</c:v>
                </c:pt>
                <c:pt idx="58">
                  <c:v>13.438265814641539</c:v>
                </c:pt>
                <c:pt idx="59">
                  <c:v>13.742385783943851</c:v>
                </c:pt>
                <c:pt idx="60">
                  <c:v>14.049194229236569</c:v>
                </c:pt>
                <c:pt idx="61">
                  <c:v>14.358702898636604</c:v>
                </c:pt>
                <c:pt idx="62">
                  <c:v>14.670923706909411</c:v>
                </c:pt>
                <c:pt idx="63">
                  <c:v>14.985868736906315</c:v>
                </c:pt>
                <c:pt idx="64">
                  <c:v>15.303550241028409</c:v>
                </c:pt>
                <c:pt idx="65">
                  <c:v>15.623980642717406</c:v>
                </c:pt>
                <c:pt idx="66">
                  <c:v>15.94717253797379</c:v>
                </c:pt>
                <c:pt idx="67">
                  <c:v>16.273138696902699</c:v>
                </c:pt>
                <c:pt idx="68">
                  <c:v>16.601892065287863</c:v>
                </c:pt>
                <c:pt idx="69">
                  <c:v>16.933445766194037</c:v>
                </c:pt>
                <c:pt idx="70">
                  <c:v>17.2678131015983</c:v>
                </c:pt>
                <c:pt idx="71">
                  <c:v>17.605007554050637</c:v>
                </c:pt>
                <c:pt idx="72">
                  <c:v>17.945042788364244</c:v>
                </c:pt>
                <c:pt idx="73">
                  <c:v>18.287932653335986</c:v>
                </c:pt>
                <c:pt idx="74">
                  <c:v>18.633691183497408</c:v>
                </c:pt>
                <c:pt idx="75">
                  <c:v>18.982332600896793</c:v>
                </c:pt>
                <c:pt idx="76">
                  <c:v>19.333871316912678</c:v>
                </c:pt>
                <c:pt idx="77">
                  <c:v>19.688321934099406</c:v>
                </c:pt>
                <c:pt idx="78">
                  <c:v>20.045699248064999</c:v>
                </c:pt>
                <c:pt idx="79">
                  <c:v>20.406018249382065</c:v>
                </c:pt>
                <c:pt idx="80">
                  <c:v>20.769294125532063</c:v>
                </c:pt>
                <c:pt idx="81">
                  <c:v>21.135542262883526</c:v>
                </c:pt>
                <c:pt idx="82">
                  <c:v>21.50477824870476</c:v>
                </c:pt>
                <c:pt idx="83">
                  <c:v>21.877017873211521</c:v>
                </c:pt>
                <c:pt idx="84">
                  <c:v>22.25227713165021</c:v>
                </c:pt>
                <c:pt idx="85">
                  <c:v>22.630572226417215</c:v>
                </c:pt>
                <c:pt idx="86">
                  <c:v>23.011919569214886</c:v>
                </c:pt>
                <c:pt idx="87">
                  <c:v>23.396335783244766</c:v>
                </c:pt>
                <c:pt idx="88">
                  <c:v>23.783837705438636</c:v>
                </c:pt>
                <c:pt idx="89">
                  <c:v>24.174442388728082</c:v>
                </c:pt>
                <c:pt idx="90">
                  <c:v>24.568167104353044</c:v>
                </c:pt>
                <c:pt idx="91">
                  <c:v>24.965029344210102</c:v>
                </c:pt>
                <c:pt idx="92">
                  <c:v>25.365046823241194</c:v>
                </c:pt>
                <c:pt idx="93">
                  <c:v>25.768237481863146</c:v>
                </c:pt>
                <c:pt idx="94">
                  <c:v>26.174619488439127</c:v>
                </c:pt>
                <c:pt idx="95">
                  <c:v>26.584211241792314</c:v>
                </c:pt>
                <c:pt idx="96">
                  <c:v>26.997031373762724</c:v>
                </c:pt>
                <c:pt idx="97">
                  <c:v>27.413098751807787</c:v>
                </c:pt>
                <c:pt idx="98">
                  <c:v>27.832432481647558</c:v>
                </c:pt>
                <c:pt idx="99">
                  <c:v>28.255051909955114</c:v>
                </c:pt>
                <c:pt idx="100">
                  <c:v>28.680976627093067</c:v>
                </c:pt>
                <c:pt idx="101">
                  <c:v>29.110226469896965</c:v>
                </c:pt>
                <c:pt idx="102">
                  <c:v>29.542821524506255</c:v>
                </c:pt>
                <c:pt idx="103">
                  <c:v>29.978782129243786</c:v>
                </c:pt>
                <c:pt idx="104">
                  <c:v>30.418128877544635</c:v>
                </c:pt>
                <c:pt idx="105">
                  <c:v>30.860882620935005</c:v>
                </c:pt>
                <c:pt idx="106">
                  <c:v>31.307064472062294</c:v>
                </c:pt>
                <c:pt idx="107">
                  <c:v>31.756695807776968</c:v>
                </c:pt>
                <c:pt idx="108">
                  <c:v>32.209798272267449</c:v>
                </c:pt>
                <c:pt idx="109">
                  <c:v>32.666393780248576</c:v>
                </c:pt>
                <c:pt idx="110">
                  <c:v>33.126504520205032</c:v>
                </c:pt>
                <c:pt idx="111">
                  <c:v>33.590152957690343</c:v>
                </c:pt>
                <c:pt idx="112">
                  <c:v>34.057361838682588</c:v>
                </c:pt>
                <c:pt idx="113">
                  <c:v>34.52815419299796</c:v>
                </c:pt>
                <c:pt idx="114">
                  <c:v>35.00255333776299</c:v>
                </c:pt>
                <c:pt idx="115">
                  <c:v>35.480582880946642</c:v>
                </c:pt>
                <c:pt idx="116">
                  <c:v>35.962266724953352</c:v>
                </c:pt>
                <c:pt idx="117">
                  <c:v>36.447629070278175</c:v>
                </c:pt>
                <c:pt idx="118">
                  <c:v>36.936694419224963</c:v>
                </c:pt>
                <c:pt idx="119">
                  <c:v>37.42948757968896</c:v>
                </c:pt>
                <c:pt idx="120">
                  <c:v>37.926033669005065</c:v>
                </c:pt>
                <c:pt idx="121">
                  <c:v>38.42635811786262</c:v>
                </c:pt>
                <c:pt idx="122">
                  <c:v>38.930486674288325</c:v>
                </c:pt>
                <c:pt idx="123">
                  <c:v>39.438445407698438</c:v>
                </c:pt>
                <c:pt idx="124">
                  <c:v>39.950260713021457</c:v>
                </c:pt>
                <c:pt idx="125">
                  <c:v>40.465959314892757</c:v>
                </c:pt>
                <c:pt idx="126">
                  <c:v>40.985568271922489</c:v>
                </c:pt>
                <c:pt idx="127">
                  <c:v>41.50911498103811</c:v>
                </c:pt>
                <c:pt idx="128">
                  <c:v>42.036627181902901</c:v>
                </c:pt>
                <c:pt idx="129">
                  <c:v>42.56813296141226</c:v>
                </c:pt>
                <c:pt idx="130">
                  <c:v>43.103660758268624</c:v>
                </c:pt>
                <c:pt idx="131">
                  <c:v>43.643239367637364</c:v>
                </c:pt>
                <c:pt idx="132">
                  <c:v>44.186897945884375</c:v>
                </c:pt>
                <c:pt idx="133">
                  <c:v>44.73466601539765</c:v>
                </c:pt>
                <c:pt idx="134">
                  <c:v>45.286573469493902</c:v>
                </c:pt>
                <c:pt idx="135">
                  <c:v>45.842650577412513</c:v>
                </c:pt>
                <c:pt idx="136">
                  <c:v>46.402927989397824</c:v>
                </c:pt>
                <c:pt idx="137">
                  <c:v>46.967436741871971</c:v>
                </c:pt>
                <c:pt idx="138">
                  <c:v>47.536208262700193</c:v>
                </c:pt>
                <c:pt idx="139">
                  <c:v>48.109274376549735</c:v>
                </c:pt>
                <c:pt idx="140">
                  <c:v>48.686667310345022</c:v>
                </c:pt>
                <c:pt idx="141">
                  <c:v>49.268419698820544</c:v>
                </c:pt>
                <c:pt idx="142">
                  <c:v>49.854564590173553</c:v>
                </c:pt>
                <c:pt idx="143">
                  <c:v>50.445135451818487</c:v>
                </c:pt>
                <c:pt idx="144">
                  <c:v>51.040166176245364</c:v>
                </c:pt>
                <c:pt idx="145">
                  <c:v>51.639691086984115</c:v>
                </c:pt>
                <c:pt idx="146">
                  <c:v>52.243744944676855</c:v>
                </c:pt>
                <c:pt idx="147">
                  <c:v>52.852362953260723</c:v>
                </c:pt>
                <c:pt idx="148">
                  <c:v>53.465580766263045</c:v>
                </c:pt>
                <c:pt idx="149">
                  <c:v>54.083434493211584</c:v>
                </c:pt>
                <c:pt idx="150">
                  <c:v>54.705960706161832</c:v>
                </c:pt>
                <c:pt idx="151">
                  <c:v>55.333196446344175</c:v>
                </c:pt>
                <c:pt idx="152">
                  <c:v>55.965179230932961</c:v>
                </c:pt>
                <c:pt idx="153">
                  <c:v>56.601947059940429</c:v>
                </c:pt>
                <c:pt idx="154">
                  <c:v>57.243538423237936</c:v>
                </c:pt>
                <c:pt idx="155">
                  <c:v>57.889992307706954</c:v>
                </c:pt>
                <c:pt idx="156">
                  <c:v>58.54134820452289</c:v>
                </c:pt>
                <c:pt idx="157">
                  <c:v>59.197646116574525</c:v>
                </c:pt>
                <c:pt idx="158">
                  <c:v>59.85892656602136</c:v>
                </c:pt>
                <c:pt idx="159">
                  <c:v>60.525230601992739</c:v>
                </c:pt>
                <c:pt idx="160">
                  <c:v>61.196599808430989</c:v>
                </c:pt>
                <c:pt idx="161">
                  <c:v>61.873076312081949</c:v>
                </c:pt>
                <c:pt idx="162">
                  <c:v>62.554702790636092</c:v>
                </c:pt>
                <c:pt idx="163">
                  <c:v>63.241522481023516</c:v>
                </c:pt>
                <c:pt idx="164">
                  <c:v>63.933579187865789</c:v>
                </c:pt>
                <c:pt idx="165">
                  <c:v>64.630917292088569</c:v>
                </c:pt>
                <c:pt idx="166">
                  <c:v>65.333581759697879</c:v>
                </c:pt>
                <c:pt idx="167">
                  <c:v>66.041618150724474</c:v>
                </c:pt>
                <c:pt idx="168">
                  <c:v>66.755072628338723</c:v>
                </c:pt>
                <c:pt idx="169">
                  <c:v>67.473991968141192</c:v>
                </c:pt>
                <c:pt idx="170">
                  <c:v>68.198423567631664</c:v>
                </c:pt>
                <c:pt idx="171">
                  <c:v>68.928415455860929</c:v>
                </c:pt>
                <c:pt idx="172">
                  <c:v>69.66401630326979</c:v>
                </c:pt>
                <c:pt idx="173">
                  <c:v>70.405275431718735</c:v>
                </c:pt>
                <c:pt idx="174">
                  <c:v>71.152242824713014</c:v>
                </c:pt>
                <c:pt idx="175">
                  <c:v>71.904969137827422</c:v>
                </c:pt>
                <c:pt idx="176">
                  <c:v>72.663505709335155</c:v>
                </c:pt>
                <c:pt idx="177">
                  <c:v>73.427904571045602</c:v>
                </c:pt>
                <c:pt idx="178">
                  <c:v>74.19821845935526</c:v>
                </c:pt>
                <c:pt idx="179">
                  <c:v>74.974500826517428</c:v>
                </c:pt>
                <c:pt idx="180">
                  <c:v>75.756805852134889</c:v>
                </c:pt>
                <c:pt idx="181">
                  <c:v>76.54518845488127</c:v>
                </c:pt>
                <c:pt idx="182">
                  <c:v>77.339704304455651</c:v>
                </c:pt>
                <c:pt idx="183">
                  <c:v>78.140409833776829</c:v>
                </c:pt>
                <c:pt idx="184">
                  <c:v>78.947362251421595</c:v>
                </c:pt>
                <c:pt idx="185">
                  <c:v>79.760619554313678</c:v>
                </c:pt>
                <c:pt idx="186">
                  <c:v>80.580240540668413</c:v>
                </c:pt>
                <c:pt idx="187">
                  <c:v>81.406284823199741</c:v>
                </c:pt>
                <c:pt idx="188">
                  <c:v>82.238812842595337</c:v>
                </c:pt>
                <c:pt idx="189">
                  <c:v>83.077885881265999</c:v>
                </c:pt>
                <c:pt idx="190">
                  <c:v>83.923566077376591</c:v>
                </c:pt>
                <c:pt idx="191">
                  <c:v>84.775916439163836</c:v>
                </c:pt>
                <c:pt idx="192">
                  <c:v>85.63500085954945</c:v>
                </c:pt>
                <c:pt idx="193">
                  <c:v>86.500884131053994</c:v>
                </c:pt>
                <c:pt idx="194">
                  <c:v>87.373631961019839</c:v>
                </c:pt>
                <c:pt idx="195">
                  <c:v>88.253310987150556</c:v>
                </c:pt>
                <c:pt idx="196">
                  <c:v>89.139988793373163</c:v>
                </c:pt>
                <c:pt idx="197">
                  <c:v>90.03373392603315</c:v>
                </c:pt>
                <c:pt idx="198">
                  <c:v>90.934615910427851</c:v>
                </c:pt>
                <c:pt idx="199">
                  <c:v>91.84270526768897</c:v>
                </c:pt>
                <c:pt idx="200">
                  <c:v>92.75807353202056</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Calculations'!$AC$9:$AC$209</c:f>
              <c:numCache>
                <c:formatCode>0.0000</c:formatCode>
                <c:ptCount val="201"/>
                <c:pt idx="0">
                  <c:v>0.32186023542342196</c:v>
                </c:pt>
                <c:pt idx="1">
                  <c:v>0.35043884955699545</c:v>
                </c:pt>
                <c:pt idx="2">
                  <c:v>0.3766100771712354</c:v>
                </c:pt>
                <c:pt idx="3">
                  <c:v>0.4003783929171138</c:v>
                </c:pt>
                <c:pt idx="4">
                  <c:v>0.42174734510421141</c:v>
                </c:pt>
                <c:pt idx="5">
                  <c:v>0.44071955670436219</c:v>
                </c:pt>
                <c:pt idx="6">
                  <c:v>0.45729672546051692</c:v>
                </c:pt>
                <c:pt idx="7">
                  <c:v>0.47147962309882713</c:v>
                </c:pt>
                <c:pt idx="8">
                  <c:v>0.4832680936403197</c:v>
                </c:pt>
                <c:pt idx="9">
                  <c:v>0.49266105080688682</c:v>
                </c:pt>
                <c:pt idx="10">
                  <c:v>0.49965647451465361</c:v>
                </c:pt>
                <c:pt idx="11">
                  <c:v>0.50425140644609889</c:v>
                </c:pt>
                <c:pt idx="12">
                  <c:v>0.50644194469058357</c:v>
                </c:pt>
                <c:pt idx="13">
                  <c:v>0.50622323744119335</c:v>
                </c:pt>
                <c:pt idx="14">
                  <c:v>0.50358947573400892</c:v>
                </c:pt>
                <c:pt idx="15">
                  <c:v>0.51290764776811981</c:v>
                </c:pt>
                <c:pt idx="16">
                  <c:v>0.52859478814358707</c:v>
                </c:pt>
                <c:pt idx="17">
                  <c:v>0.54464688054788624</c:v>
                </c:pt>
                <c:pt idx="18">
                  <c:v>0.56106837855823588</c:v>
                </c:pt>
                <c:pt idx="19">
                  <c:v>0.57786390257803477</c:v>
                </c:pt>
                <c:pt idx="20">
                  <c:v>0.5950382439165085</c:v>
                </c:pt>
                <c:pt idx="21">
                  <c:v>0.6125963690682461</c:v>
                </c:pt>
                <c:pt idx="22">
                  <c:v>0.63054342420039322</c:v>
                </c:pt>
                <c:pt idx="23">
                  <c:v>0.64888473985573625</c:v>
                </c:pt>
                <c:pt idx="24">
                  <c:v>0.66762583588040869</c:v>
                </c:pt>
                <c:pt idx="25">
                  <c:v>0.68677242658546456</c:v>
                </c:pt>
                <c:pt idx="26">
                  <c:v>0.70633042615212016</c:v>
                </c:pt>
                <c:pt idx="27">
                  <c:v>0.72630595429104039</c:v>
                </c:pt>
                <c:pt idx="28">
                  <c:v>0.74670534216666451</c:v>
                </c:pt>
                <c:pt idx="29">
                  <c:v>0.76753513859821443</c:v>
                </c:pt>
                <c:pt idx="30">
                  <c:v>0.78880211654971455</c:v>
                </c:pt>
                <c:pt idx="31">
                  <c:v>0.81051327992209277</c:v>
                </c:pt>
                <c:pt idx="32">
                  <c:v>0.83267587066119364</c:v>
                </c:pt>
                <c:pt idx="33">
                  <c:v>0.8552973761963647</c:v>
                </c:pt>
                <c:pt idx="34">
                  <c:v>0.87838553722515111</c:v>
                </c:pt>
                <c:pt idx="35">
                  <c:v>0.90194835586055844</c:v>
                </c:pt>
                <c:pt idx="36">
                  <c:v>0.92599410415832994</c:v>
                </c:pt>
                <c:pt idx="37">
                  <c:v>0.95053133304273962</c:v>
                </c:pt>
                <c:pt idx="38">
                  <c:v>0.97556888165051647</c:v>
                </c:pt>
                <c:pt idx="39">
                  <c:v>1.0011158871137043</c:v>
                </c:pt>
                <c:pt idx="40">
                  <c:v>1.0271817948035413</c:v>
                </c:pt>
                <c:pt idx="41">
                  <c:v>1.0537763690587847</c:v>
                </c:pt>
                <c:pt idx="42">
                  <c:v>1.0809097044233582</c:v>
                </c:pt>
                <c:pt idx="43">
                  <c:v>1.1085922374197446</c:v>
                </c:pt>
                <c:pt idx="44">
                  <c:v>1.1368347588861847</c:v>
                </c:pt>
                <c:pt idx="45">
                  <c:v>1.1656484269075218</c:v>
                </c:pt>
                <c:pt idx="46">
                  <c:v>1.1950447803713942</c:v>
                </c:pt>
                <c:pt idx="47">
                  <c:v>1.2250357531835148</c:v>
                </c:pt>
                <c:pt idx="48">
                  <c:v>1.2556336891779256</c:v>
                </c:pt>
                <c:pt idx="49">
                  <c:v>1.2868513577604284</c:v>
                </c:pt>
                <c:pt idx="50">
                  <c:v>1.3187019703258755</c:v>
                </c:pt>
                <c:pt idx="51">
                  <c:v>1.3511991974926698</c:v>
                </c:pt>
                <c:pt idx="52">
                  <c:v>1.3843571872006644</c:v>
                </c:pt>
                <c:pt idx="53">
                  <c:v>1.4181905837217363</c:v>
                </c:pt>
                <c:pt idx="54">
                  <c:v>1.4527145476355852</c:v>
                </c:pt>
                <c:pt idx="55">
                  <c:v>1.4879447768268645</c:v>
                </c:pt>
                <c:pt idx="56">
                  <c:v>1.5238975285635616</c:v>
                </c:pt>
                <c:pt idx="57">
                  <c:v>1.5605896427206358</c:v>
                </c:pt>
                <c:pt idx="58">
                  <c:v>1.598038566217356</c:v>
                </c:pt>
                <c:pt idx="59">
                  <c:v>1.6362623787415345</c:v>
                </c:pt>
                <c:pt idx="60">
                  <c:v>1.6752798198390011</c:v>
                </c:pt>
                <c:pt idx="61">
                  <c:v>1.7151103174521942</c:v>
                </c:pt>
                <c:pt idx="62">
                  <c:v>1.7557740179977495</c:v>
                </c:pt>
                <c:pt idx="63">
                  <c:v>1.7972918180794268</c:v>
                </c:pt>
                <c:pt idx="64">
                  <c:v>1.839685397939735</c:v>
                </c:pt>
                <c:pt idx="65">
                  <c:v>1.8829772567611585</c:v>
                </c:pt>
                <c:pt idx="66">
                  <c:v>1.9271907499361434</c:v>
                </c:pt>
                <c:pt idx="67">
                  <c:v>1.9723501284338385</c:v>
                </c:pt>
                <c:pt idx="68">
                  <c:v>2.0184805804012851</c:v>
                </c:pt>
                <c:pt idx="69">
                  <c:v>2.0656082751471749</c:v>
                </c:pt>
                <c:pt idx="70">
                  <c:v>2.1137604096676994</c:v>
                </c:pt>
                <c:pt idx="71">
                  <c:v>2.162965257886353</c:v>
                </c:pt>
                <c:pt idx="72">
                  <c:v>2.2132522227930265</c:v>
                </c:pt>
                <c:pt idx="73">
                  <c:v>2.2646518916823406</c:v>
                </c:pt>
                <c:pt idx="74">
                  <c:v>2.3171960947071462</c:v>
                </c:pt>
                <c:pt idx="75">
                  <c:v>2.3709179669805258</c:v>
                </c:pt>
                <c:pt idx="76">
                  <c:v>2.4258520144785978</c:v>
                </c:pt>
                <c:pt idx="77">
                  <c:v>2.4820341840172135</c:v>
                </c:pt>
                <c:pt idx="78">
                  <c:v>2.5395019375982852</c:v>
                </c:pt>
                <c:pt idx="79">
                  <c:v>2.5982943314463451</c:v>
                </c:pt>
                <c:pt idx="80">
                  <c:v>2.6584521000831445</c:v>
                </c:pt>
                <c:pt idx="81">
                  <c:v>2.7200177458178691</c:v>
                </c:pt>
                <c:pt idx="82">
                  <c:v>2.783035634063348</c:v>
                </c:pt>
                <c:pt idx="83">
                  <c:v>2.8475520949245485</c:v>
                </c:pt>
                <c:pt idx="84">
                  <c:v>2.9136155315451808</c:v>
                </c:pt>
                <c:pt idx="85">
                  <c:v>2.9812765357417987</c:v>
                </c:pt>
                <c:pt idx="86">
                  <c:v>3.0505880115026844</c:v>
                </c:pt>
                <c:pt idx="87">
                  <c:v>3.1216053069817593</c:v>
                </c:pt>
                <c:pt idx="88">
                  <c:v>3.1943863556761278</c:v>
                </c:pt>
                <c:pt idx="89">
                  <c:v>3.2689918275404706</c:v>
                </c:pt>
                <c:pt idx="90">
                  <c:v>3.3454852908629524</c:v>
                </c:pt>
                <c:pt idx="91">
                  <c:v>3.4239333858065035</c:v>
                </c:pt>
                <c:pt idx="92">
                  <c:v>3.5044060106071755</c:v>
                </c:pt>
                <c:pt idx="93">
                  <c:v>3.5869765215188298</c:v>
                </c:pt>
                <c:pt idx="94">
                  <c:v>3.6717219477019438</c:v>
                </c:pt>
                <c:pt idx="95">
                  <c:v>3.7587232223750493</c:v>
                </c:pt>
                <c:pt idx="96">
                  <c:v>3.8480654316821332</c:v>
                </c:pt>
                <c:pt idx="97">
                  <c:v>3.9398380828795609</c:v>
                </c:pt>
                <c:pt idx="98">
                  <c:v>4.0341353936142532</c:v>
                </c:pt>
                <c:pt idx="99">
                  <c:v>4.131056604253061</c:v>
                </c:pt>
                <c:pt idx="100">
                  <c:v>4.2307063154341096</c:v>
                </c:pt>
                <c:pt idx="101">
                  <c:v>4.3331948532479583</c:v>
                </c:pt>
                <c:pt idx="102">
                  <c:v>4.438638664722558</c:v>
                </c:pt>
                <c:pt idx="103">
                  <c:v>4.5471607465860711</c:v>
                </c:pt>
                <c:pt idx="104">
                  <c:v>4.6588911106198934</c:v>
                </c:pt>
                <c:pt idx="105">
                  <c:v>4.7739672892965217</c:v>
                </c:pt>
                <c:pt idx="106">
                  <c:v>4.8925348858294804</c:v>
                </c:pt>
                <c:pt idx="107">
                  <c:v>5.014748173253011</c:v>
                </c:pt>
                <c:pt idx="108">
                  <c:v>5.1407707477062221</c:v>
                </c:pt>
                <c:pt idx="109">
                  <c:v>5.2707762417301627</c:v>
                </c:pt>
                <c:pt idx="110">
                  <c:v>5.4049491041086739</c:v>
                </c:pt>
                <c:pt idx="111">
                  <c:v>5.5434854536090157</c:v>
                </c:pt>
                <c:pt idx="112">
                  <c:v>5.6865940149224912</c:v>
                </c:pt>
                <c:pt idx="113">
                  <c:v>5.8344971461882356</c:v>
                </c:pt>
                <c:pt idx="114">
                  <c:v>5.9874319687274982</c:v>
                </c:pt>
                <c:pt idx="115">
                  <c:v>6.1456516110493027</c:v>
                </c:pt>
                <c:pt idx="116">
                  <c:v>6.3094265808423673</c:v>
                </c:pt>
                <c:pt idx="117">
                  <c:v>6.4790462805825806</c:v>
                </c:pt>
                <c:pt idx="118">
                  <c:v>6.654820684605065</c:v>
                </c:pt>
                <c:pt idx="119">
                  <c:v>6.837082198071184</c:v>
                </c:pt>
                <c:pt idx="120">
                  <c:v>7.0261877212694488</c:v>
                </c:pt>
                <c:pt idx="121">
                  <c:v>7.2225209462060871</c:v>
                </c:pt>
                <c:pt idx="122">
                  <c:v>7.4264949165622474</c:v>
                </c:pt>
                <c:pt idx="123">
                  <c:v>7.6385548869394535</c:v>
                </c:pt>
                <c:pt idx="124">
                  <c:v>7.8591815230251649</c:v>
                </c:pt>
                <c:pt idx="125">
                  <c:v>8.088894491063412</c:v>
                </c:pt>
                <c:pt idx="126">
                  <c:v>8.3282564930255045</c:v>
                </c:pt>
                <c:pt idx="127">
                  <c:v>8.5778778134098488</c:v>
                </c:pt>
                <c:pt idx="128">
                  <c:v>8.8384214549861806</c:v>
                </c:pt>
                <c:pt idx="129">
                  <c:v>9.1106089544466116</c:v>
                </c:pt>
                <c:pt idx="130">
                  <c:v>9.3952269853445021</c:v>
                </c:pt>
                <c:pt idx="131">
                  <c:v>9.6931348755315785</c:v>
                </c:pt>
                <c:pt idx="132">
                  <c:v>10.005273190349566</c:v>
                </c:pt>
                <c:pt idx="133">
                  <c:v>10.332673562116662</c:v>
                </c:pt>
                <c:pt idx="134">
                  <c:v>10.676469982268177</c:v>
                </c:pt>
                <c:pt idx="135">
                  <c:v>11.037911816529242</c:v>
                </c:pt>
                <c:pt idx="136">
                  <c:v>11.418378857852737</c:v>
                </c:pt>
                <c:pt idx="137">
                  <c:v>11.819398799319213</c:v>
                </c:pt>
                <c:pt idx="138">
                  <c:v>12.242667593375302</c:v>
                </c:pt>
                <c:pt idx="139">
                  <c:v>12.690073269414949</c:v>
                </c:pt>
                <c:pt idx="140">
                  <c:v>13.163723915035442</c:v>
                </c:pt>
                <c:pt idx="141">
                  <c:v>13.665980695636074</c:v>
                </c:pt>
                <c:pt idx="142">
                  <c:v>14.199497003516919</c:v>
                </c:pt>
                <c:pt idx="143">
                  <c:v>14.767265106328169</c:v>
                </c:pt>
                <c:pt idx="144">
                  <c:v>15.372672026135533</c:v>
                </c:pt>
                <c:pt idx="145">
                  <c:v>16.019566852711801</c:v>
                </c:pt>
                <c:pt idx="146">
                  <c:v>16.712342317109929</c:v>
                </c:pt>
                <c:pt idx="147">
                  <c:v>17.456034279052915</c:v>
                </c:pt>
                <c:pt idx="148">
                  <c:v>18.256443892088232</c:v>
                </c:pt>
                <c:pt idx="149">
                  <c:v>19.12028871553121</c:v>
                </c:pt>
                <c:pt idx="150">
                  <c:v>20.055391104229578</c:v>
                </c:pt>
                <c:pt idx="151">
                  <c:v>21.070915064921195</c:v>
                </c:pt>
                <c:pt idx="152">
                  <c:v>22.177666777907476</c:v>
                </c:pt>
                <c:pt idx="153">
                  <c:v>23.388479685309605</c:v>
                </c:pt>
                <c:pt idx="154">
                  <c:v>24.718713275204156</c:v>
                </c:pt>
                <c:pt idx="155">
                  <c:v>26.18690675149405</c:v>
                </c:pt>
                <c:pt idx="156">
                  <c:v>27.815646764227512</c:v>
                </c:pt>
                <c:pt idx="157">
                  <c:v>29.632735704323984</c:v>
                </c:pt>
                <c:pt idx="158">
                  <c:v>31.672789465324211</c:v>
                </c:pt>
                <c:pt idx="159">
                  <c:v>33.979460877988224</c:v>
                </c:pt>
                <c:pt idx="160">
                  <c:v>36.608594620313319</c:v>
                </c:pt>
                <c:pt idx="161">
                  <c:v>39.632803042928217</c:v>
                </c:pt>
                <c:pt idx="162">
                  <c:v>43.148270115927446</c:v>
                </c:pt>
                <c:pt idx="163">
                  <c:v>47.285161065175529</c:v>
                </c:pt>
                <c:pt idx="164">
                  <c:v>52.22408293953476</c:v>
                </c:pt>
                <c:pt idx="165">
                  <c:v>58.223139815793921</c:v>
                </c:pt>
                <c:pt idx="166">
                  <c:v>65.664494237477896</c:v>
                </c:pt>
                <c:pt idx="167">
                  <c:v>75.139083248818039</c:v>
                </c:pt>
                <c:pt idx="168">
                  <c:v>87.611735370785837</c:v>
                </c:pt>
                <c:pt idx="169">
                  <c:v>104.77243911854181</c:v>
                </c:pt>
                <c:pt idx="170">
                  <c:v>129.87525666497064</c:v>
                </c:pt>
                <c:pt idx="171">
                  <c:v>170.09242555050781</c:v>
                </c:pt>
                <c:pt idx="172">
                  <c:v>244.95136336210069</c:v>
                </c:pt>
                <c:pt idx="173">
                  <c:v>433.06315378130569</c:v>
                </c:pt>
                <c:pt idx="174">
                  <c:v>1789.5194607817075</c:v>
                </c:pt>
                <c:pt idx="175">
                  <c:v>-855.48300555297249</c:v>
                </c:pt>
                <c:pt idx="176">
                  <c:v>-347.88869377407684</c:v>
                </c:pt>
                <c:pt idx="177">
                  <c:v>-219.38315665437813</c:v>
                </c:pt>
                <c:pt idx="178">
                  <c:v>-160.75706044217847</c:v>
                </c:pt>
                <c:pt idx="179">
                  <c:v>-127.19656041660937</c:v>
                </c:pt>
                <c:pt idx="180">
                  <c:v>-105.45807390751577</c:v>
                </c:pt>
                <c:pt idx="181">
                  <c:v>-90.230703772899872</c:v>
                </c:pt>
                <c:pt idx="182">
                  <c:v>-78.970372197629629</c:v>
                </c:pt>
                <c:pt idx="183">
                  <c:v>-70.305660131831118</c:v>
                </c:pt>
                <c:pt idx="184">
                  <c:v>-63.431968817660852</c:v>
                </c:pt>
                <c:pt idx="185">
                  <c:v>-57.846104332666272</c:v>
                </c:pt>
                <c:pt idx="186">
                  <c:v>-53.217229250475043</c:v>
                </c:pt>
                <c:pt idx="187">
                  <c:v>-49.318887904260279</c:v>
                </c:pt>
                <c:pt idx="188">
                  <c:v>-45.990849529747287</c:v>
                </c:pt>
                <c:pt idx="189">
                  <c:v>-43.116548998013791</c:v>
                </c:pt>
                <c:pt idx="190">
                  <c:v>-40.609161032074752</c:v>
                </c:pt>
                <c:pt idx="191">
                  <c:v>-38.402684304197919</c:v>
                </c:pt>
                <c:pt idx="192">
                  <c:v>-36.446051637453557</c:v>
                </c:pt>
                <c:pt idx="193">
                  <c:v>-34.699132209882393</c:v>
                </c:pt>
                <c:pt idx="194">
                  <c:v>-33.129952723851744</c:v>
                </c:pt>
                <c:pt idx="195">
                  <c:v>-31.712724891230408</c:v>
                </c:pt>
                <c:pt idx="196">
                  <c:v>-30.426418868320258</c:v>
                </c:pt>
                <c:pt idx="197">
                  <c:v>-29.253714122540782</c:v>
                </c:pt>
                <c:pt idx="198">
                  <c:v>-28.180216149470102</c:v>
                </c:pt>
                <c:pt idx="199">
                  <c:v>-27.193863630815784</c:v>
                </c:pt>
                <c:pt idx="200">
                  <c:v>-26.284474117765836</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Calculations'!$AG$9:$AG$209</c:f>
              <c:numCache>
                <c:formatCode>0.0000</c:formatCode>
                <c:ptCount val="201"/>
                <c:pt idx="0">
                  <c:v>3.0851281004389094E-2</c:v>
                </c:pt>
                <c:pt idx="1">
                  <c:v>3.2908748121925416E-2</c:v>
                </c:pt>
                <c:pt idx="2">
                  <c:v>3.5022797732468122E-2</c:v>
                </c:pt>
                <c:pt idx="3">
                  <c:v>3.7193469570779882E-2</c:v>
                </c:pt>
                <c:pt idx="4">
                  <c:v>3.9420806399190225E-2</c:v>
                </c:pt>
                <c:pt idx="5">
                  <c:v>4.1704854010002616E-2</c:v>
                </c:pt>
                <c:pt idx="6">
                  <c:v>4.4045661228307213E-2</c:v>
                </c:pt>
                <c:pt idx="7">
                  <c:v>4.6443279915199885E-2</c:v>
                </c:pt>
                <c:pt idx="8">
                  <c:v>4.8897764971407388E-2</c:v>
                </c:pt>
                <c:pt idx="9">
                  <c:v>5.14091743413196E-2</c:v>
                </c:pt>
                <c:pt idx="10">
                  <c:v>5.3977569017429082E-2</c:v>
                </c:pt>
                <c:pt idx="11">
                  <c:v>5.6603013045179118E-2</c:v>
                </c:pt>
                <c:pt idx="12">
                  <c:v>5.9285573528220392E-2</c:v>
                </c:pt>
                <c:pt idx="13">
                  <c:v>6.2025320634077799E-2</c:v>
                </c:pt>
                <c:pt idx="14">
                  <c:v>6.4822327600227991E-2</c:v>
                </c:pt>
                <c:pt idx="15">
                  <c:v>6.9074718664859272E-2</c:v>
                </c:pt>
                <c:pt idx="16">
                  <c:v>7.4011269468217858E-2</c:v>
                </c:pt>
                <c:pt idx="17">
                  <c:v>7.9005931168818627E-2</c:v>
                </c:pt>
                <c:pt idx="18">
                  <c:v>8.4058844079938466E-2</c:v>
                </c:pt>
                <c:pt idx="19">
                  <c:v>8.9170151665306868E-2</c:v>
                </c:pt>
                <c:pt idx="20">
                  <c:v>9.434000055258944E-2</c:v>
                </c:pt>
                <c:pt idx="21">
                  <c:v>9.9568540547300674E-2</c:v>
                </c:pt>
                <c:pt idx="22">
                  <c:v>0.10485592464714762</c:v>
                </c:pt>
                <c:pt idx="23">
                  <c:v>0.11020230905680815</c:v>
                </c:pt>
                <c:pt idx="24">
                  <c:v>0.11560785320314639</c:v>
                </c:pt>
                <c:pt idx="25">
                  <c:v>0.12107271975086879</c:v>
                </c:pt>
                <c:pt idx="26">
                  <c:v>0.12659707461862341</c:v>
                </c:pt>
                <c:pt idx="27">
                  <c:v>0.13218108699554651</c:v>
                </c:pt>
                <c:pt idx="28">
                  <c:v>0.13782492935825916</c:v>
                </c:pt>
                <c:pt idx="29">
                  <c:v>0.14352877748831816</c:v>
                </c:pt>
                <c:pt idx="30">
                  <c:v>0.14929281049012416</c:v>
                </c:pt>
                <c:pt idx="31">
                  <c:v>0.15511721080929136</c:v>
                </c:pt>
                <c:pt idx="32">
                  <c:v>0.16100216425148248</c:v>
                </c:pt>
                <c:pt idx="33">
                  <c:v>0.16694786000171299</c:v>
                </c:pt>
                <c:pt idx="34">
                  <c:v>0.17295449064412891</c:v>
                </c:pt>
                <c:pt idx="35">
                  <c:v>0.179022252182262</c:v>
                </c:pt>
                <c:pt idx="36">
                  <c:v>0.18515134405976791</c:v>
                </c:pt>
                <c:pt idx="37">
                  <c:v>0.19134196918164978</c:v>
                </c:pt>
                <c:pt idx="38">
                  <c:v>0.1975943339359745</c:v>
                </c:pt>
                <c:pt idx="39">
                  <c:v>0.20390864821608387</c:v>
                </c:pt>
                <c:pt idx="40">
                  <c:v>0.21028512544330794</c:v>
                </c:pt>
                <c:pt idx="41">
                  <c:v>0.21672398259018349</c:v>
                </c:pt>
                <c:pt idx="42">
                  <c:v>0.22322544020418458</c:v>
                </c:pt>
                <c:pt idx="43">
                  <c:v>0.22978972243196905</c:v>
                </c:pt>
                <c:pt idx="44">
                  <c:v>0.23641705704414767</c:v>
                </c:pt>
                <c:pt idx="45">
                  <c:v>0.2431076754605809</c:v>
                </c:pt>
                <c:pt idx="46">
                  <c:v>0.24986181277620875</c:v>
                </c:pt>
                <c:pt idx="47">
                  <c:v>0.2566797077874205</c:v>
                </c:pt>
                <c:pt idx="48">
                  <c:v>0.26356160301896969</c:v>
                </c:pt>
                <c:pt idx="49">
                  <c:v>0.27050774475144079</c:v>
                </c:pt>
                <c:pt idx="50">
                  <c:v>0.2775183830492739</c:v>
                </c:pt>
                <c:pt idx="51">
                  <c:v>0.28459377178935363</c:v>
                </c:pt>
                <c:pt idx="52">
                  <c:v>0.29173416869016988</c:v>
                </c:pt>
                <c:pt idx="53">
                  <c:v>0.29893983534155621</c:v>
                </c:pt>
                <c:pt idx="54">
                  <c:v>0.30621103723501325</c:v>
                </c:pt>
                <c:pt idx="55">
                  <c:v>0.31354804379462425</c:v>
                </c:pt>
                <c:pt idx="56">
                  <c:v>0.3209511284085711</c:v>
                </c:pt>
                <c:pt idx="57">
                  <c:v>0.32842056846125589</c:v>
                </c:pt>
                <c:pt idx="58">
                  <c:v>0.33595664536603848</c:v>
                </c:pt>
                <c:pt idx="59">
                  <c:v>0.34355964459859628</c:v>
                </c:pt>
                <c:pt idx="60">
                  <c:v>0.35122985573091425</c:v>
                </c:pt>
                <c:pt idx="61">
                  <c:v>0.3589675724659151</c:v>
                </c:pt>
                <c:pt idx="62">
                  <c:v>0.36677309267273528</c:v>
                </c:pt>
                <c:pt idx="63">
                  <c:v>0.3746467184226579</c:v>
                </c:pt>
                <c:pt idx="64">
                  <c:v>0.38258875602571024</c:v>
                </c:pt>
                <c:pt idx="65">
                  <c:v>0.39059951606793514</c:v>
                </c:pt>
                <c:pt idx="66">
                  <c:v>0.39867931344934476</c:v>
                </c:pt>
                <c:pt idx="67">
                  <c:v>0.40682846742256745</c:v>
                </c:pt>
                <c:pt idx="68">
                  <c:v>0.41504730163219661</c:v>
                </c:pt>
                <c:pt idx="69">
                  <c:v>0.42333614415485094</c:v>
                </c:pt>
                <c:pt idx="70">
                  <c:v>0.43169532753995749</c:v>
                </c:pt>
                <c:pt idx="71">
                  <c:v>0.44012518885126589</c:v>
                </c:pt>
                <c:pt idx="72">
                  <c:v>0.44862606970910607</c:v>
                </c:pt>
                <c:pt idx="73">
                  <c:v>0.45719831633339963</c:v>
                </c:pt>
                <c:pt idx="74">
                  <c:v>0.46584227958743524</c:v>
                </c:pt>
                <c:pt idx="75">
                  <c:v>0.47455831502241985</c:v>
                </c:pt>
                <c:pt idx="76">
                  <c:v>0.48334678292281696</c:v>
                </c:pt>
                <c:pt idx="77">
                  <c:v>0.49220804835248511</c:v>
                </c:pt>
                <c:pt idx="78">
                  <c:v>0.50114248120162497</c:v>
                </c:pt>
                <c:pt idx="79">
                  <c:v>0.51015045623455157</c:v>
                </c:pt>
                <c:pt idx="80">
                  <c:v>0.51923235313830163</c:v>
                </c:pt>
                <c:pt idx="81">
                  <c:v>0.52838855657208816</c:v>
                </c:pt>
                <c:pt idx="82">
                  <c:v>0.53761945621761897</c:v>
                </c:pt>
                <c:pt idx="83">
                  <c:v>0.54692544683028799</c:v>
                </c:pt>
                <c:pt idx="84">
                  <c:v>0.55630692829125528</c:v>
                </c:pt>
                <c:pt idx="85">
                  <c:v>0.56576430566043034</c:v>
                </c:pt>
                <c:pt idx="86">
                  <c:v>0.57529798923037212</c:v>
                </c:pt>
                <c:pt idx="87">
                  <c:v>0.5849083945811191</c:v>
                </c:pt>
                <c:pt idx="88">
                  <c:v>0.59459594263596593</c:v>
                </c:pt>
                <c:pt idx="89">
                  <c:v>0.60436105971820209</c:v>
                </c:pt>
                <c:pt idx="90">
                  <c:v>0.61420417760882606</c:v>
                </c:pt>
                <c:pt idx="91">
                  <c:v>0.62412573360525259</c:v>
                </c:pt>
                <c:pt idx="92">
                  <c:v>0.63412617058102982</c:v>
                </c:pt>
                <c:pt idx="93">
                  <c:v>0.64420593704657869</c:v>
                </c:pt>
                <c:pt idx="94">
                  <c:v>0.6543654872109782</c:v>
                </c:pt>
                <c:pt idx="95">
                  <c:v>0.66460528104480787</c:v>
                </c:pt>
                <c:pt idx="96">
                  <c:v>0.67492578434406814</c:v>
                </c:pt>
                <c:pt idx="97">
                  <c:v>0.68532746879519468</c:v>
                </c:pt>
                <c:pt idx="98">
                  <c:v>0.695810812041189</c:v>
                </c:pt>
                <c:pt idx="99">
                  <c:v>0.70637629774887789</c:v>
                </c:pt>
                <c:pt idx="100">
                  <c:v>0.71702441567732667</c:v>
                </c:pt>
                <c:pt idx="101">
                  <c:v>0.72775566174742412</c:v>
                </c:pt>
                <c:pt idx="102">
                  <c:v>0.73857053811265638</c:v>
                </c:pt>
                <c:pt idx="103">
                  <c:v>0.74946955323109465</c:v>
                </c:pt>
                <c:pt idx="104">
                  <c:v>0.76045322193861586</c:v>
                </c:pt>
                <c:pt idx="105">
                  <c:v>0.7715220655233751</c:v>
                </c:pt>
                <c:pt idx="106">
                  <c:v>0.78267661180155734</c:v>
                </c:pt>
                <c:pt idx="107">
                  <c:v>0.79391739519442417</c:v>
                </c:pt>
                <c:pt idx="108">
                  <c:v>0.80524495680668617</c:v>
                </c:pt>
                <c:pt idx="109">
                  <c:v>0.81665984450621443</c:v>
                </c:pt>
                <c:pt idx="110">
                  <c:v>0.82816261300512584</c:v>
                </c:pt>
                <c:pt idx="111">
                  <c:v>0.8397538239422585</c:v>
                </c:pt>
                <c:pt idx="112">
                  <c:v>0.85143404596706473</c:v>
                </c:pt>
                <c:pt idx="113">
                  <c:v>0.86320385482494899</c:v>
                </c:pt>
                <c:pt idx="114">
                  <c:v>0.87506383344407468</c:v>
                </c:pt>
                <c:pt idx="115">
                  <c:v>0.88701457202366596</c:v>
                </c:pt>
                <c:pt idx="116">
                  <c:v>0.89905666812383389</c:v>
                </c:pt>
                <c:pt idx="117">
                  <c:v>0.91119072675695445</c:v>
                </c:pt>
                <c:pt idx="118">
                  <c:v>0.92341736048062406</c:v>
                </c:pt>
                <c:pt idx="119">
                  <c:v>0.93573718949222395</c:v>
                </c:pt>
                <c:pt idx="120">
                  <c:v>0.94815084172512665</c:v>
                </c:pt>
                <c:pt idx="121">
                  <c:v>0.96065895294656545</c:v>
                </c:pt>
                <c:pt idx="122">
                  <c:v>0.97326216685720812</c:v>
                </c:pt>
                <c:pt idx="123">
                  <c:v>0.98596113519246087</c:v>
                </c:pt>
                <c:pt idx="124">
                  <c:v>0.99875651782553643</c:v>
                </c:pt>
                <c:pt idx="125">
                  <c:v>1.011648982872319</c:v>
                </c:pt>
                <c:pt idx="126">
                  <c:v>1.0246392067980623</c:v>
                </c:pt>
                <c:pt idx="127">
                  <c:v>1.0377278745259528</c:v>
                </c:pt>
                <c:pt idx="128">
                  <c:v>1.0509156795475725</c:v>
                </c:pt>
                <c:pt idx="129">
                  <c:v>1.0642033240353066</c:v>
                </c:pt>
                <c:pt idx="130">
                  <c:v>1.0775915189567156</c:v>
                </c:pt>
                <c:pt idx="131">
                  <c:v>1.0910809841909341</c:v>
                </c:pt>
                <c:pt idx="132">
                  <c:v>1.1046724486471093</c:v>
                </c:pt>
                <c:pt idx="133">
                  <c:v>1.1183666503849412</c:v>
                </c:pt>
                <c:pt idx="134">
                  <c:v>1.1321643367373475</c:v>
                </c:pt>
                <c:pt idx="135">
                  <c:v>1.1460662644353128</c:v>
                </c:pt>
                <c:pt idx="136">
                  <c:v>1.1600731997349456</c:v>
                </c:pt>
                <c:pt idx="137">
                  <c:v>1.1741859185467993</c:v>
                </c:pt>
                <c:pt idx="138">
                  <c:v>1.1884052065675048</c:v>
                </c:pt>
                <c:pt idx="139">
                  <c:v>1.2027318594137433</c:v>
                </c:pt>
                <c:pt idx="140">
                  <c:v>1.2171666827586256</c:v>
                </c:pt>
                <c:pt idx="141">
                  <c:v>1.2317104924705136</c:v>
                </c:pt>
                <c:pt idx="142">
                  <c:v>1.2463641147543387</c:v>
                </c:pt>
                <c:pt idx="143">
                  <c:v>1.2611283862954621</c:v>
                </c:pt>
                <c:pt idx="144">
                  <c:v>1.276004154406134</c:v>
                </c:pt>
                <c:pt idx="145">
                  <c:v>1.290992277174603</c:v>
                </c:pt>
                <c:pt idx="146">
                  <c:v>1.3060936236169214</c:v>
                </c:pt>
                <c:pt idx="147">
                  <c:v>1.3213090738315181</c:v>
                </c:pt>
                <c:pt idx="148">
                  <c:v>1.3366395191565761</c:v>
                </c:pt>
                <c:pt idx="149">
                  <c:v>1.3520858623302896</c:v>
                </c:pt>
                <c:pt idx="150">
                  <c:v>1.3676490176540459</c:v>
                </c:pt>
                <c:pt idx="151">
                  <c:v>1.3833299111586044</c:v>
                </c:pt>
                <c:pt idx="152">
                  <c:v>1.3991294807733241</c:v>
                </c:pt>
                <c:pt idx="153">
                  <c:v>1.4150486764985106</c:v>
                </c:pt>
                <c:pt idx="154">
                  <c:v>1.4310884605809484</c:v>
                </c:pt>
                <c:pt idx="155">
                  <c:v>1.4472498076926739</c:v>
                </c:pt>
                <c:pt idx="156">
                  <c:v>1.4635337051130723</c:v>
                </c:pt>
                <c:pt idx="157">
                  <c:v>1.4799411529143631</c:v>
                </c:pt>
                <c:pt idx="158">
                  <c:v>1.496473164150534</c:v>
                </c:pt>
                <c:pt idx="159">
                  <c:v>1.5131307650498185</c:v>
                </c:pt>
                <c:pt idx="160">
                  <c:v>1.5299149952107747</c:v>
                </c:pt>
                <c:pt idx="161">
                  <c:v>1.5468269078020487</c:v>
                </c:pt>
                <c:pt idx="162">
                  <c:v>1.5638675697659024</c:v>
                </c:pt>
                <c:pt idx="163">
                  <c:v>1.5810380620255879</c:v>
                </c:pt>
                <c:pt idx="164">
                  <c:v>1.5983394796966448</c:v>
                </c:pt>
                <c:pt idx="165">
                  <c:v>1.6157729323022143</c:v>
                </c:pt>
                <c:pt idx="166">
                  <c:v>1.633339543992447</c:v>
                </c:pt>
                <c:pt idx="167">
                  <c:v>1.6510404537681118</c:v>
                </c:pt>
                <c:pt idx="168">
                  <c:v>1.6688768157084679</c:v>
                </c:pt>
                <c:pt idx="169">
                  <c:v>1.6868497992035298</c:v>
                </c:pt>
                <c:pt idx="170">
                  <c:v>1.7049605891907915</c:v>
                </c:pt>
                <c:pt idx="171">
                  <c:v>1.7232103863965231</c:v>
                </c:pt>
                <c:pt idx="172">
                  <c:v>1.7416004075817448</c:v>
                </c:pt>
                <c:pt idx="173">
                  <c:v>1.7601318857929684</c:v>
                </c:pt>
                <c:pt idx="174">
                  <c:v>1.7788060706178255</c:v>
                </c:pt>
                <c:pt idx="175">
                  <c:v>1.7976242284456856</c:v>
                </c:pt>
                <c:pt idx="176">
                  <c:v>1.8165876427333789</c:v>
                </c:pt>
                <c:pt idx="177">
                  <c:v>1.8356976142761401</c:v>
                </c:pt>
                <c:pt idx="178">
                  <c:v>1.8549554614838815</c:v>
                </c:pt>
                <c:pt idx="179">
                  <c:v>1.8743625206629357</c:v>
                </c:pt>
                <c:pt idx="180">
                  <c:v>1.8939201463033724</c:v>
                </c:pt>
                <c:pt idx="181">
                  <c:v>1.9136297113720317</c:v>
                </c:pt>
                <c:pt idx="182">
                  <c:v>1.9334926076113912</c:v>
                </c:pt>
                <c:pt idx="183">
                  <c:v>1.9535102458444209</c:v>
                </c:pt>
                <c:pt idx="184">
                  <c:v>1.97368405628554</c:v>
                </c:pt>
                <c:pt idx="185">
                  <c:v>1.9940154888578419</c:v>
                </c:pt>
                <c:pt idx="186">
                  <c:v>2.0145060135167103</c:v>
                </c:pt>
                <c:pt idx="187">
                  <c:v>2.0351571205799934</c:v>
                </c:pt>
                <c:pt idx="188">
                  <c:v>2.0559703210648834</c:v>
                </c:pt>
                <c:pt idx="189">
                  <c:v>2.0769471470316501</c:v>
                </c:pt>
                <c:pt idx="190">
                  <c:v>2.0980891519344147</c:v>
                </c:pt>
                <c:pt idx="191">
                  <c:v>2.1193979109790959</c:v>
                </c:pt>
                <c:pt idx="192">
                  <c:v>2.1408750214887364</c:v>
                </c:pt>
                <c:pt idx="193">
                  <c:v>2.1625221032763497</c:v>
                </c:pt>
                <c:pt idx="194">
                  <c:v>2.1843407990254962</c:v>
                </c:pt>
                <c:pt idx="195">
                  <c:v>2.206332774678764</c:v>
                </c:pt>
                <c:pt idx="196">
                  <c:v>2.2284997198343293</c:v>
                </c:pt>
                <c:pt idx="197">
                  <c:v>2.2508433481508288</c:v>
                </c:pt>
                <c:pt idx="198">
                  <c:v>2.2733653977606965</c:v>
                </c:pt>
                <c:pt idx="199">
                  <c:v>2.2960676316922242</c:v>
                </c:pt>
                <c:pt idx="200">
                  <c:v>2.3189518383005141</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Calculations'!$Q$9:$Q$209</c:f>
              <c:numCache>
                <c:formatCode>0.0000</c:formatCode>
                <c:ptCount val="201"/>
                <c:pt idx="0">
                  <c:v>0.20229634014410811</c:v>
                </c:pt>
                <c:pt idx="1">
                  <c:v>0.20233063383133024</c:v>
                </c:pt>
                <c:pt idx="2">
                  <c:v>0.20243245374619426</c:v>
                </c:pt>
                <c:pt idx="3">
                  <c:v>0.20260180318840548</c:v>
                </c:pt>
                <c:pt idx="4">
                  <c:v>0.2028386876462703</c:v>
                </c:pt>
                <c:pt idx="5">
                  <c:v>0.20314311479714064</c:v>
                </c:pt>
                <c:pt idx="6">
                  <c:v>0.20351509450803623</c:v>
                </c:pt>
                <c:pt idx="7">
                  <c:v>0.20395463883644407</c:v>
                </c:pt>
                <c:pt idx="8">
                  <c:v>0.20446176203129571</c:v>
                </c:pt>
                <c:pt idx="9">
                  <c:v>0.20503648053412221</c:v>
                </c:pt>
                <c:pt idx="10">
                  <c:v>0.20567881298038704</c:v>
                </c:pt>
                <c:pt idx="11">
                  <c:v>0.2063887802009971</c:v>
                </c:pt>
                <c:pt idx="12">
                  <c:v>0.20716640522399227</c:v>
                </c:pt>
                <c:pt idx="13">
                  <c:v>0.20801171327641346</c:v>
                </c:pt>
                <c:pt idx="14">
                  <c:v>0.20892473178634943</c:v>
                </c:pt>
                <c:pt idx="15">
                  <c:v>0.20990549038516329</c:v>
                </c:pt>
                <c:pt idx="16">
                  <c:v>0.21095402090989793</c:v>
                </c:pt>
                <c:pt idx="17">
                  <c:v>0.21207035740586203</c:v>
                </c:pt>
                <c:pt idx="18">
                  <c:v>0.21325453612939585</c:v>
                </c:pt>
                <c:pt idx="19">
                  <c:v>0.21450659555081808</c:v>
                </c:pt>
                <c:pt idx="20">
                  <c:v>0.21582657635755376</c:v>
                </c:pt>
                <c:pt idx="21">
                  <c:v>0.21721452145744383</c:v>
                </c:pt>
                <c:pt idx="22">
                  <c:v>0.21867047598223699</c:v>
                </c:pt>
                <c:pt idx="23">
                  <c:v>0.22019448729126409</c:v>
                </c:pt>
                <c:pt idx="24">
                  <c:v>0.22178660497529579</c:v>
                </c:pt>
                <c:pt idx="25">
                  <c:v>0.22344688086058423</c:v>
                </c:pt>
                <c:pt idx="26">
                  <c:v>0.22517536901308896</c:v>
                </c:pt>
                <c:pt idx="27">
                  <c:v>0.22697212574288808</c:v>
                </c:pt>
                <c:pt idx="28">
                  <c:v>0.22883720960877504</c:v>
                </c:pt>
                <c:pt idx="29">
                  <c:v>0.23077068142304222</c:v>
                </c:pt>
                <c:pt idx="30">
                  <c:v>0.2327726042564513</c:v>
                </c:pt>
                <c:pt idx="31">
                  <c:v>0.23484304344339182</c:v>
                </c:pt>
                <c:pt idx="32">
                  <c:v>0.23698206658722862</c:v>
                </c:pt>
                <c:pt idx="33">
                  <c:v>0.23918974356583864</c:v>
                </c:pt>
                <c:pt idx="34">
                  <c:v>0.24146614653733817</c:v>
                </c:pt>
                <c:pt idx="35">
                  <c:v>0.24381134994600157</c:v>
                </c:pt>
                <c:pt idx="36">
                  <c:v>0.24622543052837204</c:v>
                </c:pt>
                <c:pt idx="37">
                  <c:v>0.2487084673195657</c:v>
                </c:pt>
                <c:pt idx="38">
                  <c:v>0.25126054165976952</c:v>
                </c:pt>
                <c:pt idx="39">
                  <c:v>0.25388173720093488</c:v>
                </c:pt>
                <c:pt idx="40">
                  <c:v>0.25657213991366662</c:v>
                </c:pt>
                <c:pt idx="41">
                  <c:v>0.25933183809430987</c:v>
                </c:pt>
                <c:pt idx="42">
                  <c:v>0.26216092237223526</c:v>
                </c:pt>
                <c:pt idx="43">
                  <c:v>0.26505948571732268</c:v>
                </c:pt>
                <c:pt idx="44">
                  <c:v>0.26802762344764697</c:v>
                </c:pt>
                <c:pt idx="45">
                  <c:v>0.27106543323736448</c:v>
                </c:pt>
                <c:pt idx="46">
                  <c:v>0.27417301512480274</c:v>
                </c:pt>
                <c:pt idx="47">
                  <c:v>0.27735047152075504</c:v>
                </c:pt>
                <c:pt idx="48">
                  <c:v>0.28059790721697975</c:v>
                </c:pt>
                <c:pt idx="49">
                  <c:v>0.28391542939490721</c:v>
                </c:pt>
                <c:pt idx="50">
                  <c:v>0.28730314763455467</c:v>
                </c:pt>
                <c:pt idx="51">
                  <c:v>0.29076117392365053</c:v>
                </c:pt>
                <c:pt idx="52">
                  <c:v>0.2942896226669704</c:v>
                </c:pt>
                <c:pt idx="53">
                  <c:v>0.29788861069588513</c:v>
                </c:pt>
                <c:pt idx="54">
                  <c:v>0.30155825727812335</c:v>
                </c:pt>
                <c:pt idx="55">
                  <c:v>0.30529868412774863</c:v>
                </c:pt>
                <c:pt idx="56">
                  <c:v>0.30911001541535554</c:v>
                </c:pt>
                <c:pt idx="57">
                  <c:v>0.31299237777848277</c:v>
                </c:pt>
                <c:pt idx="58">
                  <c:v>0.31694590033224768</c:v>
                </c:pt>
                <c:pt idx="59">
                  <c:v>0.32097071468020255</c:v>
                </c:pt>
                <c:pt idx="60">
                  <c:v>0.32506695492541487</c:v>
                </c:pt>
                <c:pt idx="61">
                  <c:v>0.32923475768177302</c:v>
                </c:pt>
                <c:pt idx="62">
                  <c:v>0.33347426208551956</c:v>
                </c:pt>
                <c:pt idx="63">
                  <c:v>0.33778560980701355</c:v>
                </c:pt>
                <c:pt idx="64">
                  <c:v>0.34216894506272444</c:v>
                </c:pt>
                <c:pt idx="65">
                  <c:v>0.34662441462745819</c:v>
                </c:pt>
                <c:pt idx="66">
                  <c:v>0.35115216784681902</c:v>
                </c:pt>
                <c:pt idx="67">
                  <c:v>0.3557523566499079</c:v>
                </c:pt>
                <c:pt idx="68">
                  <c:v>0.36042513556226025</c:v>
                </c:pt>
                <c:pt idx="69">
                  <c:v>0.36517066171902479</c:v>
                </c:pt>
                <c:pt idx="70">
                  <c:v>0.36998909487838511</c:v>
                </c:pt>
                <c:pt idx="71">
                  <c:v>0.37488059743522756</c:v>
                </c:pt>
                <c:pt idx="72">
                  <c:v>0.37984533443505586</c:v>
                </c:pt>
                <c:pt idx="73">
                  <c:v>0.38488347358815655</c:v>
                </c:pt>
                <c:pt idx="74">
                  <c:v>0.38999518528401544</c:v>
                </c:pt>
                <c:pt idx="75">
                  <c:v>0.39518064260599006</c:v>
                </c:pt>
                <c:pt idx="76">
                  <c:v>0.40044002134623813</c:v>
                </c:pt>
                <c:pt idx="77">
                  <c:v>0.4057735000209054</c:v>
                </c:pt>
                <c:pt idx="78">
                  <c:v>0.41118125988557608</c:v>
                </c:pt>
                <c:pt idx="79">
                  <c:v>0.41666348495098698</c:v>
                </c:pt>
                <c:pt idx="80">
                  <c:v>0.42222036199900903</c:v>
                </c:pt>
                <c:pt idx="81">
                  <c:v>0.4278520805988989</c:v>
                </c:pt>
                <c:pt idx="82">
                  <c:v>0.43355883312382187</c:v>
                </c:pt>
                <c:pt idx="83">
                  <c:v>0.43934081476765152</c:v>
                </c:pt>
                <c:pt idx="84">
                  <c:v>0.44519822356204486</c:v>
                </c:pt>
                <c:pt idx="85">
                  <c:v>0.45113126039380114</c:v>
                </c:pt>
                <c:pt idx="86">
                  <c:v>0.45714012902250195</c:v>
                </c:pt>
                <c:pt idx="87">
                  <c:v>0.46322503609843946</c:v>
                </c:pt>
                <c:pt idx="88">
                  <c:v>0.46938619118083308</c:v>
                </c:pt>
                <c:pt idx="89">
                  <c:v>0.4756238067563402</c:v>
                </c:pt>
                <c:pt idx="90">
                  <c:v>0.48193809825786144</c:v>
                </c:pt>
                <c:pt idx="91">
                  <c:v>0.48832928408364551</c:v>
                </c:pt>
                <c:pt idx="92">
                  <c:v>0.49479758561669696</c:v>
                </c:pt>
                <c:pt idx="93">
                  <c:v>0.50134322724448754</c:v>
                </c:pt>
                <c:pt idx="94">
                  <c:v>0.50796643637897931</c:v>
                </c:pt>
                <c:pt idx="95">
                  <c:v>0.51466744347695748</c:v>
                </c:pt>
                <c:pt idx="96">
                  <c:v>0.52144648206068012</c:v>
                </c:pt>
                <c:pt idx="97">
                  <c:v>0.52830378873884787</c:v>
                </c:pt>
                <c:pt idx="98">
                  <c:v>0.53523960322789577</c:v>
                </c:pt>
                <c:pt idx="99">
                  <c:v>0.54225416837361151</c:v>
                </c:pt>
                <c:pt idx="100">
                  <c:v>0.54934773017308569</c:v>
                </c:pt>
                <c:pt idx="101">
                  <c:v>0.55652053779699373</c:v>
                </c:pt>
                <c:pt idx="102">
                  <c:v>0.56377284361221891</c:v>
                </c:pt>
                <c:pt idx="103">
                  <c:v>0.57110490320481433</c:v>
                </c:pt>
                <c:pt idx="104">
                  <c:v>0.57851697540331404</c:v>
                </c:pt>
                <c:pt idx="105">
                  <c:v>0.58600932230239178</c:v>
                </c:pt>
                <c:pt idx="106">
                  <c:v>0.59358220928687588</c:v>
                </c:pt>
                <c:pt idx="107">
                  <c:v>0.60123590505612079</c:v>
                </c:pt>
                <c:pt idx="108">
                  <c:v>0.60897068164874413</c:v>
                </c:pt>
                <c:pt idx="109">
                  <c:v>0.61678681446772854</c:v>
                </c:pt>
                <c:pt idx="110">
                  <c:v>0.62468458230589663</c:v>
                </c:pt>
                <c:pt idx="111">
                  <c:v>0.63266426737176262</c:v>
                </c:pt>
                <c:pt idx="112">
                  <c:v>0.64072615531576205</c:v>
                </c:pt>
                <c:pt idx="113">
                  <c:v>0.64887053525687288</c:v>
                </c:pt>
                <c:pt idx="114">
                  <c:v>0.65709769980962041</c:v>
                </c:pt>
                <c:pt idx="115">
                  <c:v>0.66540794511148271</c:v>
                </c:pt>
                <c:pt idx="116">
                  <c:v>0.67380157085069214</c:v>
                </c:pt>
                <c:pt idx="117">
                  <c:v>0.68227888029444672</c:v>
                </c:pt>
                <c:pt idx="118">
                  <c:v>0.69084018031752881</c:v>
                </c:pt>
                <c:pt idx="119">
                  <c:v>0.6994857814313401</c:v>
                </c:pt>
                <c:pt idx="120">
                  <c:v>0.7082159978133582</c:v>
                </c:pt>
                <c:pt idx="121">
                  <c:v>0.71703114733702011</c:v>
                </c:pt>
                <c:pt idx="122">
                  <c:v>0.72593155160203704</c:v>
                </c:pt>
                <c:pt idx="123">
                  <c:v>0.73491753596514653</c:v>
                </c:pt>
                <c:pt idx="124">
                  <c:v>0.74398942957130898</c:v>
                </c:pt>
                <c:pt idx="125">
                  <c:v>0.75314756538535321</c:v>
                </c:pt>
                <c:pt idx="126">
                  <c:v>0.76239228022407635</c:v>
                </c:pt>
                <c:pt idx="127">
                  <c:v>0.77172391478880575</c:v>
                </c:pt>
                <c:pt idx="128">
                  <c:v>0.78114281369842686</c:v>
                </c:pt>
                <c:pt idx="129">
                  <c:v>0.79064932552288725</c:v>
                </c:pt>
                <c:pt idx="130">
                  <c:v>0.800243802817177</c:v>
                </c:pt>
                <c:pt idx="131">
                  <c:v>0.80992660215579915</c:v>
                </c:pt>
                <c:pt idx="132">
                  <c:v>0.81969808416773016</c:v>
                </c:pt>
                <c:pt idx="133">
                  <c:v>0.8295586135718811</c:v>
                </c:pt>
                <c:pt idx="134">
                  <c:v>0.83950855921306444</c:v>
                </c:pt>
                <c:pt idx="135">
                  <c:v>0.84954829409847865</c:v>
                </c:pt>
                <c:pt idx="136">
                  <c:v>0.85967819543470525</c:v>
                </c:pt>
                <c:pt idx="137">
                  <c:v>0.86989864466523947</c:v>
                </c:pt>
                <c:pt idx="138">
                  <c:v>0.88021002750855715</c:v>
                </c:pt>
                <c:pt idx="139">
                  <c:v>0.89061273399671625</c:v>
                </c:pt>
                <c:pt idx="140">
                  <c:v>0.90110715851451784</c:v>
                </c:pt>
                <c:pt idx="141">
                  <c:v>0.91169369983921689</c:v>
                </c:pt>
                <c:pt idx="142">
                  <c:v>0.92237276118080502</c:v>
                </c:pt>
                <c:pt idx="143">
                  <c:v>0.93314475022286159</c:v>
                </c:pt>
                <c:pt idx="144">
                  <c:v>0.94401007916398916</c:v>
                </c:pt>
                <c:pt idx="145">
                  <c:v>0.95496916475983973</c:v>
                </c:pt>
                <c:pt idx="146">
                  <c:v>0.96602242836573571</c:v>
                </c:pt>
                <c:pt idx="147">
                  <c:v>0.97717029597990335</c:v>
                </c:pt>
                <c:pt idx="148">
                  <c:v>0.98841319828731478</c:v>
                </c:pt>
                <c:pt idx="149">
                  <c:v>0.9997515707041631</c:v>
                </c:pt>
                <c:pt idx="150">
                  <c:v>1.0111858534229632</c:v>
                </c:pt>
                <c:pt idx="151">
                  <c:v>1.0227164914583009</c:v>
                </c:pt>
                <c:pt idx="152">
                  <c:v>1.0343439346932324</c:v>
                </c:pt>
                <c:pt idx="153">
                  <c:v>1.0460686379263429</c:v>
                </c:pt>
                <c:pt idx="154">
                  <c:v>1.0578910609194827</c:v>
                </c:pt>
                <c:pt idx="155">
                  <c:v>1.0698116684461811</c:v>
                </c:pt>
                <c:pt idx="156">
                  <c:v>1.0818309303407492</c:v>
                </c:pt>
                <c:pt idx="157">
                  <c:v>1.0939493215480915</c:v>
                </c:pt>
                <c:pt idx="158">
                  <c:v>1.1061673221742223</c:v>
                </c:pt>
                <c:pt idx="159">
                  <c:v>1.118485417537511</c:v>
                </c:pt>
                <c:pt idx="160">
                  <c:v>1.1309040982206564</c:v>
                </c:pt>
                <c:pt idx="161">
                  <c:v>1.1434238601234101</c:v>
                </c:pt>
                <c:pt idx="162">
                  <c:v>1.1560452045160516</c:v>
                </c:pt>
                <c:pt idx="163">
                  <c:v>1.1687686380936353</c:v>
                </c:pt>
                <c:pt idx="164">
                  <c:v>1.1815946730310114</c:v>
                </c:pt>
                <c:pt idx="165">
                  <c:v>1.1945238270386436</c:v>
                </c:pt>
                <c:pt idx="166">
                  <c:v>1.2075566234192239</c:v>
                </c:pt>
                <c:pt idx="167">
                  <c:v>1.2206935911251104</c:v>
                </c:pt>
                <c:pt idx="168">
                  <c:v>1.2339352648165833</c:v>
                </c:pt>
                <c:pt idx="169">
                  <c:v>1.2472821849209494</c:v>
                </c:pt>
                <c:pt idx="170">
                  <c:v>1.2607348976924986</c:v>
                </c:pt>
                <c:pt idx="171">
                  <c:v>1.274293955273323</c:v>
                </c:pt>
                <c:pt idx="172">
                  <c:v>1.2879599157550254</c:v>
                </c:pt>
                <c:pt idx="173">
                  <c:v>1.3017333432413094</c:v>
                </c:pt>
                <c:pt idx="174">
                  <c:v>1.3156148079114924</c:v>
                </c:pt>
                <c:pt idx="175">
                  <c:v>1.329604886084927</c:v>
                </c:pt>
                <c:pt idx="176">
                  <c:v>1.3437041602863706</c:v>
                </c:pt>
                <c:pt idx="177">
                  <c:v>1.3579132193123005</c:v>
                </c:pt>
                <c:pt idx="178">
                  <c:v>1.3722326582981967</c:v>
                </c:pt>
                <c:pt idx="179">
                  <c:v>1.3866630787868095</c:v>
                </c:pt>
                <c:pt idx="180">
                  <c:v>1.4012050887974234</c:v>
                </c:pt>
                <c:pt idx="181">
                  <c:v>1.4158593028961357</c:v>
                </c:pt>
                <c:pt idx="182">
                  <c:v>1.430626342267163</c:v>
                </c:pt>
                <c:pt idx="183">
                  <c:v>1.4455068347851978</c:v>
                </c:pt>
                <c:pt idx="184">
                  <c:v>1.4605014150888274</c:v>
                </c:pt>
                <c:pt idx="185">
                  <c:v>1.4756107246550325</c:v>
                </c:pt>
                <c:pt idx="186">
                  <c:v>1.4908354118747869</c:v>
                </c:pt>
                <c:pt idx="187">
                  <c:v>1.5061761321297717</c:v>
                </c:pt>
                <c:pt idx="188">
                  <c:v>1.5216335478702241</c:v>
                </c:pt>
                <c:pt idx="189">
                  <c:v>1.5372083286939384</c:v>
                </c:pt>
                <c:pt idx="190">
                  <c:v>1.5529011514264444</c:v>
                </c:pt>
                <c:pt idx="191">
                  <c:v>1.5687127002023691</c:v>
                </c:pt>
                <c:pt idx="192">
                  <c:v>1.5846436665480155</c:v>
                </c:pt>
                <c:pt idx="193">
                  <c:v>1.6006947494651711</c:v>
                </c:pt>
                <c:pt idx="194">
                  <c:v>1.6168666555161666</c:v>
                </c:pt>
                <c:pt idx="195">
                  <c:v>1.6331600989102093</c:v>
                </c:pt>
                <c:pt idx="196">
                  <c:v>1.6495758015910063</c:v>
                </c:pt>
                <c:pt idx="197">
                  <c:v>1.6661144933257108</c:v>
                </c:pt>
                <c:pt idx="198">
                  <c:v>1.6827769117951938</c:v>
                </c:pt>
                <c:pt idx="199">
                  <c:v>1.6995638026856905</c:v>
                </c:pt>
                <c:pt idx="200">
                  <c:v>1.7164759197818154</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7.4999999999999997E-2</c:v>
                </c:pt>
                <c:pt idx="2">
                  <c:v>0.15</c:v>
                </c:pt>
                <c:pt idx="3">
                  <c:v>0.22499999999999998</c:v>
                </c:pt>
                <c:pt idx="4">
                  <c:v>0.3</c:v>
                </c:pt>
                <c:pt idx="5">
                  <c:v>0.375</c:v>
                </c:pt>
                <c:pt idx="6">
                  <c:v>0.44999999999999996</c:v>
                </c:pt>
                <c:pt idx="7">
                  <c:v>0.52500000000000002</c:v>
                </c:pt>
                <c:pt idx="8">
                  <c:v>0.6</c:v>
                </c:pt>
                <c:pt idx="9">
                  <c:v>0.67499999999999993</c:v>
                </c:pt>
                <c:pt idx="10">
                  <c:v>0.75</c:v>
                </c:pt>
                <c:pt idx="11">
                  <c:v>0.82499999999999996</c:v>
                </c:pt>
                <c:pt idx="12">
                  <c:v>0.89999999999999991</c:v>
                </c:pt>
                <c:pt idx="13">
                  <c:v>0.97500000000000009</c:v>
                </c:pt>
                <c:pt idx="14">
                  <c:v>1.05</c:v>
                </c:pt>
                <c:pt idx="15">
                  <c:v>1.125</c:v>
                </c:pt>
                <c:pt idx="16">
                  <c:v>1.2</c:v>
                </c:pt>
                <c:pt idx="17">
                  <c:v>1.2750000000000001</c:v>
                </c:pt>
                <c:pt idx="18">
                  <c:v>1.3499999999999999</c:v>
                </c:pt>
                <c:pt idx="19">
                  <c:v>1.425</c:v>
                </c:pt>
                <c:pt idx="20">
                  <c:v>1.5</c:v>
                </c:pt>
                <c:pt idx="21">
                  <c:v>1.575</c:v>
                </c:pt>
                <c:pt idx="22">
                  <c:v>1.65</c:v>
                </c:pt>
                <c:pt idx="23">
                  <c:v>1.7250000000000001</c:v>
                </c:pt>
                <c:pt idx="24">
                  <c:v>1.7999999999999998</c:v>
                </c:pt>
                <c:pt idx="25">
                  <c:v>1.875</c:v>
                </c:pt>
                <c:pt idx="26">
                  <c:v>1.9500000000000002</c:v>
                </c:pt>
                <c:pt idx="27">
                  <c:v>2.0250000000000004</c:v>
                </c:pt>
                <c:pt idx="28">
                  <c:v>2.1</c:v>
                </c:pt>
                <c:pt idx="29">
                  <c:v>2.1749999999999998</c:v>
                </c:pt>
                <c:pt idx="30">
                  <c:v>2.25</c:v>
                </c:pt>
                <c:pt idx="31">
                  <c:v>2.3250000000000002</c:v>
                </c:pt>
                <c:pt idx="32">
                  <c:v>2.4</c:v>
                </c:pt>
                <c:pt idx="33">
                  <c:v>2.4750000000000001</c:v>
                </c:pt>
                <c:pt idx="34">
                  <c:v>2.5500000000000003</c:v>
                </c:pt>
                <c:pt idx="35">
                  <c:v>2.625</c:v>
                </c:pt>
                <c:pt idx="36">
                  <c:v>2.6999999999999997</c:v>
                </c:pt>
                <c:pt idx="37">
                  <c:v>2.7749999999999999</c:v>
                </c:pt>
                <c:pt idx="38">
                  <c:v>2.85</c:v>
                </c:pt>
                <c:pt idx="39">
                  <c:v>2.9250000000000003</c:v>
                </c:pt>
                <c:pt idx="40">
                  <c:v>3</c:v>
                </c:pt>
                <c:pt idx="41">
                  <c:v>3.0749999999999997</c:v>
                </c:pt>
                <c:pt idx="42">
                  <c:v>3.15</c:v>
                </c:pt>
                <c:pt idx="43">
                  <c:v>3.2250000000000001</c:v>
                </c:pt>
                <c:pt idx="44">
                  <c:v>3.3</c:v>
                </c:pt>
                <c:pt idx="45">
                  <c:v>3.375</c:v>
                </c:pt>
                <c:pt idx="46">
                  <c:v>3.45</c:v>
                </c:pt>
                <c:pt idx="47">
                  <c:v>3.5249999999999999</c:v>
                </c:pt>
                <c:pt idx="48">
                  <c:v>3.5999999999999996</c:v>
                </c:pt>
                <c:pt idx="49">
                  <c:v>3.6749999999999998</c:v>
                </c:pt>
                <c:pt idx="50">
                  <c:v>3.75</c:v>
                </c:pt>
                <c:pt idx="51">
                  <c:v>3.8250000000000002</c:v>
                </c:pt>
                <c:pt idx="52">
                  <c:v>3.9000000000000004</c:v>
                </c:pt>
                <c:pt idx="53">
                  <c:v>3.9750000000000001</c:v>
                </c:pt>
                <c:pt idx="54">
                  <c:v>4.0500000000000007</c:v>
                </c:pt>
                <c:pt idx="55">
                  <c:v>4.125</c:v>
                </c:pt>
                <c:pt idx="56">
                  <c:v>4.2</c:v>
                </c:pt>
                <c:pt idx="57">
                  <c:v>4.2749999999999995</c:v>
                </c:pt>
                <c:pt idx="58">
                  <c:v>4.3499999999999996</c:v>
                </c:pt>
                <c:pt idx="59">
                  <c:v>4.4249999999999998</c:v>
                </c:pt>
                <c:pt idx="60">
                  <c:v>4.5</c:v>
                </c:pt>
                <c:pt idx="61">
                  <c:v>4.5750000000000002</c:v>
                </c:pt>
                <c:pt idx="62">
                  <c:v>4.6500000000000004</c:v>
                </c:pt>
                <c:pt idx="63">
                  <c:v>4.7249999999999996</c:v>
                </c:pt>
                <c:pt idx="64">
                  <c:v>4.8</c:v>
                </c:pt>
                <c:pt idx="65">
                  <c:v>4.875</c:v>
                </c:pt>
                <c:pt idx="66">
                  <c:v>4.95</c:v>
                </c:pt>
                <c:pt idx="67">
                  <c:v>5.0250000000000004</c:v>
                </c:pt>
                <c:pt idx="68">
                  <c:v>5.1000000000000005</c:v>
                </c:pt>
                <c:pt idx="69">
                  <c:v>5.1749999999999998</c:v>
                </c:pt>
                <c:pt idx="70">
                  <c:v>5.25</c:v>
                </c:pt>
                <c:pt idx="71">
                  <c:v>5.3249999999999993</c:v>
                </c:pt>
                <c:pt idx="72">
                  <c:v>5.3999999999999995</c:v>
                </c:pt>
                <c:pt idx="73">
                  <c:v>5.4749999999999996</c:v>
                </c:pt>
                <c:pt idx="74">
                  <c:v>5.55</c:v>
                </c:pt>
                <c:pt idx="75">
                  <c:v>5.625</c:v>
                </c:pt>
                <c:pt idx="76">
                  <c:v>5.7</c:v>
                </c:pt>
                <c:pt idx="77">
                  <c:v>5.7750000000000004</c:v>
                </c:pt>
                <c:pt idx="78">
                  <c:v>5.8500000000000005</c:v>
                </c:pt>
                <c:pt idx="79">
                  <c:v>5.9250000000000007</c:v>
                </c:pt>
                <c:pt idx="80">
                  <c:v>6</c:v>
                </c:pt>
                <c:pt idx="81">
                  <c:v>6.0750000000000002</c:v>
                </c:pt>
                <c:pt idx="82">
                  <c:v>6.1499999999999995</c:v>
                </c:pt>
                <c:pt idx="83">
                  <c:v>6.2249999999999996</c:v>
                </c:pt>
                <c:pt idx="84">
                  <c:v>6.3</c:v>
                </c:pt>
                <c:pt idx="85">
                  <c:v>6.375</c:v>
                </c:pt>
                <c:pt idx="86">
                  <c:v>6.45</c:v>
                </c:pt>
                <c:pt idx="87">
                  <c:v>6.5250000000000004</c:v>
                </c:pt>
                <c:pt idx="88">
                  <c:v>6.6</c:v>
                </c:pt>
                <c:pt idx="89">
                  <c:v>6.6749999999999998</c:v>
                </c:pt>
                <c:pt idx="90">
                  <c:v>6.75</c:v>
                </c:pt>
                <c:pt idx="91">
                  <c:v>6.8250000000000002</c:v>
                </c:pt>
                <c:pt idx="92">
                  <c:v>6.9</c:v>
                </c:pt>
                <c:pt idx="93">
                  <c:v>6.9750000000000005</c:v>
                </c:pt>
                <c:pt idx="94">
                  <c:v>7.05</c:v>
                </c:pt>
                <c:pt idx="95">
                  <c:v>7.125</c:v>
                </c:pt>
                <c:pt idx="96">
                  <c:v>7.1999999999999993</c:v>
                </c:pt>
                <c:pt idx="97">
                  <c:v>7.2749999999999995</c:v>
                </c:pt>
                <c:pt idx="98">
                  <c:v>7.35</c:v>
                </c:pt>
                <c:pt idx="99">
                  <c:v>7.4249999999999998</c:v>
                </c:pt>
                <c:pt idx="100">
                  <c:v>7.5</c:v>
                </c:pt>
                <c:pt idx="101">
                  <c:v>7.5750000000000002</c:v>
                </c:pt>
                <c:pt idx="102">
                  <c:v>7.65</c:v>
                </c:pt>
                <c:pt idx="103">
                  <c:v>7.7250000000000005</c:v>
                </c:pt>
                <c:pt idx="104">
                  <c:v>7.8000000000000007</c:v>
                </c:pt>
                <c:pt idx="105">
                  <c:v>7.875</c:v>
                </c:pt>
                <c:pt idx="106">
                  <c:v>7.95</c:v>
                </c:pt>
                <c:pt idx="107">
                  <c:v>8.0250000000000004</c:v>
                </c:pt>
                <c:pt idx="108">
                  <c:v>8.1000000000000014</c:v>
                </c:pt>
                <c:pt idx="109">
                  <c:v>8.1750000000000007</c:v>
                </c:pt>
                <c:pt idx="110">
                  <c:v>8.25</c:v>
                </c:pt>
                <c:pt idx="111">
                  <c:v>8.3250000000000011</c:v>
                </c:pt>
                <c:pt idx="112">
                  <c:v>8.4</c:v>
                </c:pt>
                <c:pt idx="113">
                  <c:v>8.4749999999999996</c:v>
                </c:pt>
                <c:pt idx="114">
                  <c:v>8.5499999999999989</c:v>
                </c:pt>
                <c:pt idx="115">
                  <c:v>8.625</c:v>
                </c:pt>
                <c:pt idx="116">
                  <c:v>8.6999999999999993</c:v>
                </c:pt>
                <c:pt idx="117">
                  <c:v>8.7749999999999986</c:v>
                </c:pt>
                <c:pt idx="118">
                  <c:v>8.85</c:v>
                </c:pt>
                <c:pt idx="119">
                  <c:v>8.9249999999999989</c:v>
                </c:pt>
                <c:pt idx="120">
                  <c:v>9</c:v>
                </c:pt>
                <c:pt idx="121">
                  <c:v>9.0749999999999993</c:v>
                </c:pt>
                <c:pt idx="122">
                  <c:v>9.15</c:v>
                </c:pt>
                <c:pt idx="123">
                  <c:v>9.2249999999999996</c:v>
                </c:pt>
                <c:pt idx="124">
                  <c:v>9.3000000000000007</c:v>
                </c:pt>
                <c:pt idx="125">
                  <c:v>9.375</c:v>
                </c:pt>
                <c:pt idx="126">
                  <c:v>9.4499999999999993</c:v>
                </c:pt>
                <c:pt idx="127">
                  <c:v>9.5250000000000004</c:v>
                </c:pt>
                <c:pt idx="128">
                  <c:v>9.6</c:v>
                </c:pt>
                <c:pt idx="129">
                  <c:v>9.6750000000000007</c:v>
                </c:pt>
                <c:pt idx="130">
                  <c:v>9.75</c:v>
                </c:pt>
                <c:pt idx="131">
                  <c:v>9.8250000000000011</c:v>
                </c:pt>
                <c:pt idx="132">
                  <c:v>9.9</c:v>
                </c:pt>
                <c:pt idx="133">
                  <c:v>9.9750000000000014</c:v>
                </c:pt>
                <c:pt idx="134">
                  <c:v>10.050000000000001</c:v>
                </c:pt>
                <c:pt idx="135">
                  <c:v>10.125</c:v>
                </c:pt>
                <c:pt idx="136">
                  <c:v>10.200000000000001</c:v>
                </c:pt>
                <c:pt idx="137">
                  <c:v>10.275</c:v>
                </c:pt>
                <c:pt idx="138">
                  <c:v>10.35</c:v>
                </c:pt>
                <c:pt idx="139">
                  <c:v>10.424999999999999</c:v>
                </c:pt>
                <c:pt idx="140">
                  <c:v>10.5</c:v>
                </c:pt>
                <c:pt idx="141">
                  <c:v>10.574999999999999</c:v>
                </c:pt>
                <c:pt idx="142">
                  <c:v>10.649999999999999</c:v>
                </c:pt>
                <c:pt idx="143">
                  <c:v>10.725</c:v>
                </c:pt>
                <c:pt idx="144">
                  <c:v>10.799999999999999</c:v>
                </c:pt>
                <c:pt idx="145">
                  <c:v>10.875</c:v>
                </c:pt>
                <c:pt idx="146">
                  <c:v>10.95</c:v>
                </c:pt>
                <c:pt idx="147">
                  <c:v>11.025</c:v>
                </c:pt>
                <c:pt idx="148">
                  <c:v>11.1</c:v>
                </c:pt>
                <c:pt idx="149">
                  <c:v>11.175000000000001</c:v>
                </c:pt>
                <c:pt idx="150">
                  <c:v>11.25</c:v>
                </c:pt>
                <c:pt idx="151">
                  <c:v>11.324999999999999</c:v>
                </c:pt>
                <c:pt idx="152">
                  <c:v>11.4</c:v>
                </c:pt>
                <c:pt idx="153">
                  <c:v>11.475</c:v>
                </c:pt>
                <c:pt idx="154">
                  <c:v>11.55</c:v>
                </c:pt>
                <c:pt idx="155">
                  <c:v>11.625</c:v>
                </c:pt>
                <c:pt idx="156">
                  <c:v>11.700000000000001</c:v>
                </c:pt>
                <c:pt idx="157">
                  <c:v>11.775</c:v>
                </c:pt>
                <c:pt idx="158">
                  <c:v>11.850000000000001</c:v>
                </c:pt>
                <c:pt idx="159">
                  <c:v>11.925000000000001</c:v>
                </c:pt>
                <c:pt idx="160">
                  <c:v>12</c:v>
                </c:pt>
                <c:pt idx="161">
                  <c:v>12.075000000000001</c:v>
                </c:pt>
                <c:pt idx="162">
                  <c:v>12.15</c:v>
                </c:pt>
                <c:pt idx="163">
                  <c:v>12.225</c:v>
                </c:pt>
                <c:pt idx="164">
                  <c:v>12.299999999999999</c:v>
                </c:pt>
                <c:pt idx="165">
                  <c:v>12.375</c:v>
                </c:pt>
                <c:pt idx="166">
                  <c:v>12.45</c:v>
                </c:pt>
                <c:pt idx="167">
                  <c:v>12.524999999999999</c:v>
                </c:pt>
                <c:pt idx="168">
                  <c:v>12.6</c:v>
                </c:pt>
                <c:pt idx="169">
                  <c:v>12.674999999999999</c:v>
                </c:pt>
                <c:pt idx="170">
                  <c:v>12.75</c:v>
                </c:pt>
                <c:pt idx="171">
                  <c:v>12.824999999999999</c:v>
                </c:pt>
                <c:pt idx="172">
                  <c:v>12.9</c:v>
                </c:pt>
                <c:pt idx="173">
                  <c:v>12.975</c:v>
                </c:pt>
                <c:pt idx="174">
                  <c:v>13.05</c:v>
                </c:pt>
                <c:pt idx="175">
                  <c:v>13.125</c:v>
                </c:pt>
                <c:pt idx="176">
                  <c:v>13.2</c:v>
                </c:pt>
                <c:pt idx="177">
                  <c:v>13.275</c:v>
                </c:pt>
                <c:pt idx="178">
                  <c:v>13.35</c:v>
                </c:pt>
                <c:pt idx="179">
                  <c:v>13.425000000000001</c:v>
                </c:pt>
                <c:pt idx="180">
                  <c:v>13.5</c:v>
                </c:pt>
                <c:pt idx="181">
                  <c:v>13.575000000000001</c:v>
                </c:pt>
                <c:pt idx="182">
                  <c:v>13.65</c:v>
                </c:pt>
                <c:pt idx="183">
                  <c:v>13.725000000000001</c:v>
                </c:pt>
                <c:pt idx="184">
                  <c:v>13.8</c:v>
                </c:pt>
                <c:pt idx="185">
                  <c:v>13.875</c:v>
                </c:pt>
                <c:pt idx="186">
                  <c:v>13.950000000000001</c:v>
                </c:pt>
                <c:pt idx="187">
                  <c:v>14.025</c:v>
                </c:pt>
                <c:pt idx="188">
                  <c:v>14.1</c:v>
                </c:pt>
                <c:pt idx="189">
                  <c:v>14.174999999999999</c:v>
                </c:pt>
                <c:pt idx="190">
                  <c:v>14.25</c:v>
                </c:pt>
                <c:pt idx="191">
                  <c:v>14.324999999999999</c:v>
                </c:pt>
                <c:pt idx="192">
                  <c:v>14.399999999999999</c:v>
                </c:pt>
                <c:pt idx="193">
                  <c:v>14.475</c:v>
                </c:pt>
                <c:pt idx="194">
                  <c:v>14.549999999999999</c:v>
                </c:pt>
                <c:pt idx="195">
                  <c:v>14.625</c:v>
                </c:pt>
                <c:pt idx="196">
                  <c:v>14.7</c:v>
                </c:pt>
                <c:pt idx="197">
                  <c:v>14.775</c:v>
                </c:pt>
                <c:pt idx="198">
                  <c:v>14.85</c:v>
                </c:pt>
                <c:pt idx="199">
                  <c:v>14.925000000000001</c:v>
                </c:pt>
                <c:pt idx="200">
                  <c:v>15</c:v>
                </c:pt>
              </c:numCache>
            </c:numRef>
          </c:xVal>
          <c:yVal>
            <c:numRef>
              <c:f>'Power Calculations'!$AQ$9:$AQ$209</c:f>
              <c:numCache>
                <c:formatCode>0.00%</c:formatCode>
                <c:ptCount val="201"/>
                <c:pt idx="0">
                  <c:v>0</c:v>
                </c:pt>
                <c:pt idx="1">
                  <c:v>0.35972988713467496</c:v>
                </c:pt>
                <c:pt idx="2">
                  <c:v>0.52693489309434005</c:v>
                </c:pt>
                <c:pt idx="3">
                  <c:v>0.62370744728618233</c:v>
                </c:pt>
                <c:pt idx="4">
                  <c:v>0.68691913714743202</c:v>
                </c:pt>
                <c:pt idx="5">
                  <c:v>0.7315289165029597</c:v>
                </c:pt>
                <c:pt idx="6">
                  <c:v>0.76475570879565435</c:v>
                </c:pt>
                <c:pt idx="7">
                  <c:v>0.79051109398888841</c:v>
                </c:pt>
                <c:pt idx="8">
                  <c:v>0.8110987585448548</c:v>
                </c:pt>
                <c:pt idx="9">
                  <c:v>0.82796370314557699</c:v>
                </c:pt>
                <c:pt idx="10">
                  <c:v>0.84205824462801981</c:v>
                </c:pt>
                <c:pt idx="11">
                  <c:v>0.85403551971233549</c:v>
                </c:pt>
                <c:pt idx="12">
                  <c:v>0.86435843166950033</c:v>
                </c:pt>
                <c:pt idx="13">
                  <c:v>0.87336422146729786</c:v>
                </c:pt>
                <c:pt idx="14">
                  <c:v>0.88130441013328475</c:v>
                </c:pt>
                <c:pt idx="15">
                  <c:v>0.88790965063832894</c:v>
                </c:pt>
                <c:pt idx="16">
                  <c:v>0.89357320925657613</c:v>
                </c:pt>
                <c:pt idx="17">
                  <c:v>0.89861755433036161</c:v>
                </c:pt>
                <c:pt idx="18">
                  <c:v>0.90313671030464471</c:v>
                </c:pt>
                <c:pt idx="19">
                  <c:v>0.90720655610761347</c:v>
                </c:pt>
                <c:pt idx="20">
                  <c:v>0.91088899994302241</c:v>
                </c:pt>
                <c:pt idx="21">
                  <c:v>0.91423505214971301</c:v>
                </c:pt>
                <c:pt idx="22">
                  <c:v>0.91728712115817579</c:v>
                </c:pt>
                <c:pt idx="23">
                  <c:v>0.92008075243629683</c:v>
                </c:pt>
                <c:pt idx="24">
                  <c:v>0.92264596195195581</c:v>
                </c:pt>
                <c:pt idx="25">
                  <c:v>0.92500827033250566</c:v>
                </c:pt>
                <c:pt idx="26">
                  <c:v>0.92718951327053734</c:v>
                </c:pt>
                <c:pt idx="27">
                  <c:v>0.92920848268953238</c:v>
                </c:pt>
                <c:pt idx="28">
                  <c:v>0.93108143851487157</c:v>
                </c:pt>
                <c:pt idx="29">
                  <c:v>0.93282252052319892</c:v>
                </c:pt>
                <c:pt idx="30">
                  <c:v>0.93444408231259257</c:v>
                </c:pt>
                <c:pt idx="31">
                  <c:v>0.93595696404856177</c:v>
                </c:pt>
                <c:pt idx="32">
                  <c:v>0.93737071669088745</c:v>
                </c:pt>
                <c:pt idx="33">
                  <c:v>0.93869378747987653</c:v>
                </c:pt>
                <c:pt idx="34">
                  <c:v>0.93993367427126118</c:v>
                </c:pt>
                <c:pt idx="35">
                  <c:v>0.94109705465606142</c:v>
                </c:pt>
                <c:pt idx="36">
                  <c:v>0.94218989454308</c:v>
                </c:pt>
                <c:pt idx="37">
                  <c:v>0.94321753991552115</c:v>
                </c:pt>
                <c:pt idx="38">
                  <c:v>0.94418479472589534</c:v>
                </c:pt>
                <c:pt idx="39">
                  <c:v>0.94509598731118127</c:v>
                </c:pt>
                <c:pt idx="40">
                  <c:v>0.94595502725357361</c:v>
                </c:pt>
                <c:pt idx="41">
                  <c:v>0.94676545425167757</c:v>
                </c:pt>
                <c:pt idx="42">
                  <c:v>0.94753048028073694</c:v>
                </c:pt>
                <c:pt idx="43">
                  <c:v>0.9482530260917913</c:v>
                </c:pt>
                <c:pt idx="44">
                  <c:v>0.94893575291598065</c:v>
                </c:pt>
                <c:pt idx="45">
                  <c:v>0.94958109009191261</c:v>
                </c:pt>
                <c:pt idx="46">
                  <c:v>0.95019125921365988</c:v>
                </c:pt>
                <c:pt idx="47">
                  <c:v>0.95076829529883744</c:v>
                </c:pt>
                <c:pt idx="48">
                  <c:v>0.95131406539584484</c:v>
                </c:pt>
                <c:pt idx="49">
                  <c:v>0.95183028498325273</c:v>
                </c:pt>
                <c:pt idx="50">
                  <c:v>0.952318532459698</c:v>
                </c:pt>
                <c:pt idx="51">
                  <c:v>0.95278026197737054</c:v>
                </c:pt>
                <c:pt idx="52">
                  <c:v>0.95321681483445742</c:v>
                </c:pt>
                <c:pt idx="53">
                  <c:v>0.95362942961041564</c:v>
                </c:pt>
                <c:pt idx="54">
                  <c:v>0.95401925120151221</c:v>
                </c:pt>
                <c:pt idx="55">
                  <c:v>0.95438733889184579</c:v>
                </c:pt>
                <c:pt idx="56">
                  <c:v>0.95473467357629249</c:v>
                </c:pt>
                <c:pt idx="57">
                  <c:v>0.95506216423592394</c:v>
                </c:pt>
                <c:pt idx="58">
                  <c:v>0.95537065375294605</c:v>
                </c:pt>
                <c:pt idx="59">
                  <c:v>0.95566092414070036</c:v>
                </c:pt>
                <c:pt idx="60">
                  <c:v>0.95593370125443966</c:v>
                </c:pt>
                <c:pt idx="61">
                  <c:v>0.95618965904017239</c:v>
                </c:pt>
                <c:pt idx="62">
                  <c:v>0.95642942337162595</c:v>
                </c:pt>
                <c:pt idx="63">
                  <c:v>0.9566535755191532</c:v>
                </c:pt>
                <c:pt idx="64">
                  <c:v>0.95686265528901704</c:v>
                </c:pt>
                <c:pt idx="65">
                  <c:v>0.95705716386682893</c:v>
                </c:pt>
                <c:pt idx="66">
                  <c:v>0.95723756639486857</c:v>
                </c:pt>
                <c:pt idx="67">
                  <c:v>0.95740429430949381</c:v>
                </c:pt>
                <c:pt idx="68">
                  <c:v>0.95755774746177236</c:v>
                </c:pt>
                <c:pt idx="69">
                  <c:v>0.95769829604178536</c:v>
                </c:pt>
                <c:pt idx="70">
                  <c:v>0.95782628232469691</c:v>
                </c:pt>
                <c:pt idx="71">
                  <c:v>0.95794202225460823</c:v>
                </c:pt>
                <c:pt idx="72">
                  <c:v>0.95804580688039997</c:v>
                </c:pt>
                <c:pt idx="73">
                  <c:v>0.95813790365614326</c:v>
                </c:pt>
                <c:pt idx="74">
                  <c:v>0.95821855761724417</c:v>
                </c:pt>
                <c:pt idx="75">
                  <c:v>0.95828799244220286</c:v>
                </c:pt>
                <c:pt idx="76">
                  <c:v>0.95834641140875021</c:v>
                </c:pt>
                <c:pt idx="77">
                  <c:v>0.9583939982520997</c:v>
                </c:pt>
                <c:pt idx="78">
                  <c:v>0.95843091793215374</c:v>
                </c:pt>
                <c:pt idx="79">
                  <c:v>0.95845731731567385</c:v>
                </c:pt>
                <c:pt idx="80">
                  <c:v>0.95847332577868793</c:v>
                </c:pt>
                <c:pt idx="81">
                  <c:v>0.95847905573372427</c:v>
                </c:pt>
                <c:pt idx="82">
                  <c:v>0.9584746030858512</c:v>
                </c:pt>
                <c:pt idx="83">
                  <c:v>0.95846004762091763</c:v>
                </c:pt>
                <c:pt idx="84">
                  <c:v>0.95843545332887314</c:v>
                </c:pt>
                <c:pt idx="85">
                  <c:v>0.95840086866453755</c:v>
                </c:pt>
                <c:pt idx="86">
                  <c:v>0.95835632674773086</c:v>
                </c:pt>
                <c:pt idx="87">
                  <c:v>0.95830184550422448</c:v>
                </c:pt>
                <c:pt idx="88">
                  <c:v>0.95823742774854681</c:v>
                </c:pt>
                <c:pt idx="89">
                  <c:v>0.9581630612092622</c:v>
                </c:pt>
                <c:pt idx="90">
                  <c:v>0.95807871849692738</c:v>
                </c:pt>
                <c:pt idx="91">
                  <c:v>0.95798435701452889</c:v>
                </c:pt>
                <c:pt idx="92">
                  <c:v>0.95787991880979362</c:v>
                </c:pt>
                <c:pt idx="93">
                  <c:v>0.95776533036834732</c:v>
                </c:pt>
                <c:pt idx="94">
                  <c:v>0.95764050234627074</c:v>
                </c:pt>
                <c:pt idx="95">
                  <c:v>0.95750532924016163</c:v>
                </c:pt>
                <c:pt idx="96">
                  <c:v>0.95735968899233759</c:v>
                </c:pt>
                <c:pt idx="97">
                  <c:v>0.95720344252833278</c:v>
                </c:pt>
                <c:pt idx="98">
                  <c:v>0.95703643322330423</c:v>
                </c:pt>
                <c:pt idx="99">
                  <c:v>0.95685848629340464</c:v>
                </c:pt>
                <c:pt idx="100">
                  <c:v>0.95666940810756118</c:v>
                </c:pt>
                <c:pt idx="101">
                  <c:v>0.95646898541442782</c:v>
                </c:pt>
                <c:pt idx="102">
                  <c:v>0.95625698447854846</c:v>
                </c:pt>
                <c:pt idx="103">
                  <c:v>0.95603315011895074</c:v>
                </c:pt>
                <c:pt idx="104">
                  <c:v>0.95579720464249984</c:v>
                </c:pt>
                <c:pt idx="105">
                  <c:v>0.95554884666333295</c:v>
                </c:pt>
                <c:pt idx="106">
                  <c:v>0.95528774979858622</c:v>
                </c:pt>
                <c:pt idx="107">
                  <c:v>0.95501356122937342</c:v>
                </c:pt>
                <c:pt idx="108">
                  <c:v>0.95472590011456482</c:v>
                </c:pt>
                <c:pt idx="109">
                  <c:v>0.95442435584333551</c:v>
                </c:pt>
                <c:pt idx="110">
                  <c:v>0.95410848611065324</c:v>
                </c:pt>
                <c:pt idx="111">
                  <c:v>0.95377781479784829</c:v>
                </c:pt>
                <c:pt idx="112">
                  <c:v>0.95343182963808903</c:v>
                </c:pt>
                <c:pt idx="113">
                  <c:v>0.95306997964396067</c:v>
                </c:pt>
                <c:pt idx="114">
                  <c:v>0.95269167227132789</c:v>
                </c:pt>
                <c:pt idx="115">
                  <c:v>0.95229627029021846</c:v>
                </c:pt>
                <c:pt idx="116">
                  <c:v>0.95188308832950752</c:v>
                </c:pt>
                <c:pt idx="117">
                  <c:v>0.95145138905762472</c:v>
                </c:pt>
                <c:pt idx="118">
                  <c:v>0.95100037895624967</c:v>
                </c:pt>
                <c:pt idx="119">
                  <c:v>0.95052920363788862</c:v>
                </c:pt>
                <c:pt idx="120">
                  <c:v>0.95003694265116367</c:v>
                </c:pt>
                <c:pt idx="121">
                  <c:v>0.94952260370945973</c:v>
                </c:pt>
                <c:pt idx="122">
                  <c:v>0.94898511626900983</c:v>
                </c:pt>
                <c:pt idx="123">
                  <c:v>0.94842332437132981</c:v>
                </c:pt>
                <c:pt idx="124">
                  <c:v>0.94783597865181612</c:v>
                </c:pt>
                <c:pt idx="125">
                  <c:v>0.94722172740091892</c:v>
                </c:pt>
                <c:pt idx="126">
                  <c:v>0.94657910654613808</c:v>
                </c:pt>
                <c:pt idx="127">
                  <c:v>0.94590652840160794</c:v>
                </c:pt>
                <c:pt idx="128">
                  <c:v>0.94520226900652504</c:v>
                </c:pt>
                <c:pt idx="129">
                  <c:v>0.94446445384331212</c:v>
                </c:pt>
                <c:pt idx="130">
                  <c:v>0.9436910416901122</c:v>
                </c:pt>
                <c:pt idx="131">
                  <c:v>0.94287980631867829</c:v>
                </c:pt>
                <c:pt idx="132">
                  <c:v>0.94202831569632306</c:v>
                </c:pt>
                <c:pt idx="133">
                  <c:v>0.94113390828725141</c:v>
                </c:pt>
                <c:pt idx="134">
                  <c:v>0.94019366597173648</c:v>
                </c:pt>
                <c:pt idx="135">
                  <c:v>0.93920438300791331</c:v>
                </c:pt>
                <c:pt idx="136">
                  <c:v>0.9381625303462765</c:v>
                </c:pt>
                <c:pt idx="137">
                  <c:v>0.93706421446589416</c:v>
                </c:pt>
                <c:pt idx="138">
                  <c:v>0.93590512972699158</c:v>
                </c:pt>
                <c:pt idx="139">
                  <c:v>0.93468050301793115</c:v>
                </c:pt>
                <c:pt idx="140">
                  <c:v>0.93338502920402666</c:v>
                </c:pt>
                <c:pt idx="141">
                  <c:v>0.93201279554573724</c:v>
                </c:pt>
                <c:pt idx="142">
                  <c:v>0.93055719282424521</c:v>
                </c:pt>
                <c:pt idx="143">
                  <c:v>0.92901081036622246</c:v>
                </c:pt>
                <c:pt idx="144">
                  <c:v>0.92736531146037859</c:v>
                </c:pt>
                <c:pt idx="145">
                  <c:v>0.92561128475704735</c:v>
                </c:pt>
                <c:pt idx="146">
                  <c:v>0.92373806607149367</c:v>
                </c:pt>
                <c:pt idx="147">
                  <c:v>0.92173352347941473</c:v>
                </c:pt>
                <c:pt idx="148">
                  <c:v>0.91958379657068745</c:v>
                </c:pt>
                <c:pt idx="149">
                  <c:v>0.91727297803412289</c:v>
                </c:pt>
                <c:pt idx="150">
                  <c:v>0.91478272212506029</c:v>
                </c:pt>
                <c:pt idx="151">
                  <c:v>0.91209175964999445</c:v>
                </c:pt>
                <c:pt idx="152">
                  <c:v>0.90917529235066064</c:v>
                </c:pt>
                <c:pt idx="153">
                  <c:v>0.90600423019123011</c:v>
                </c:pt>
                <c:pt idx="154">
                  <c:v>0.90254422185942196</c:v>
                </c:pt>
                <c:pt idx="155">
                  <c:v>0.89875440998048861</c:v>
                </c:pt>
                <c:pt idx="156">
                  <c:v>0.89458581532094483</c:v>
                </c:pt>
                <c:pt idx="157">
                  <c:v>0.88997921423045823</c:v>
                </c:pt>
                <c:pt idx="158">
                  <c:v>0.88486231367230195</c:v>
                </c:pt>
                <c:pt idx="159">
                  <c:v>0.8791459368265524</c:v>
                </c:pt>
                <c:pt idx="160">
                  <c:v>0.87271878990797902</c:v>
                </c:pt>
                <c:pt idx="161">
                  <c:v>0.86544015383255557</c:v>
                </c:pt>
                <c:pt idx="162">
                  <c:v>0.85712947277793639</c:v>
                </c:pt>
                <c:pt idx="163">
                  <c:v>0.84755118540802887</c:v>
                </c:pt>
                <c:pt idx="164">
                  <c:v>0.83639205362348845</c:v>
                </c:pt>
                <c:pt idx="165">
                  <c:v>0.82322627073706378</c:v>
                </c:pt>
                <c:pt idx="166">
                  <c:v>0.80745990530848621</c:v>
                </c:pt>
                <c:pt idx="167">
                  <c:v>0.78823883900752456</c:v>
                </c:pt>
                <c:pt idx="168">
                  <c:v>0.76428877052358746</c:v>
                </c:pt>
                <c:pt idx="169">
                  <c:v>0.73362059981139593</c:v>
                </c:pt>
                <c:pt idx="170">
                  <c:v>0.6929474928955196</c:v>
                </c:pt>
                <c:pt idx="171">
                  <c:v>0.63642028771845793</c:v>
                </c:pt>
                <c:pt idx="172">
                  <c:v>0.55252617439071783</c:v>
                </c:pt>
                <c:pt idx="173">
                  <c:v>0.41504430554103566</c:v>
                </c:pt>
                <c:pt idx="174">
                  <c:v>0.14853654335871233</c:v>
                </c:pt>
                <c:pt idx="175">
                  <c:v>-0.58923021344175441</c:v>
                </c:pt>
                <c:pt idx="176">
                  <c:v>-12.588118114929202</c:v>
                </c:pt>
                <c:pt idx="177">
                  <c:v>3.0292623508821572</c:v>
                </c:pt>
                <c:pt idx="178">
                  <c:v>1.9343660963467095</c:v>
                </c:pt>
                <c:pt idx="179">
                  <c:v>1.602730938847466</c:v>
                </c:pt>
                <c:pt idx="180">
                  <c:v>1.4425238009728543</c:v>
                </c:pt>
                <c:pt idx="181">
                  <c:v>1.348119445656961</c:v>
                </c:pt>
                <c:pt idx="182">
                  <c:v>1.2858815596973099</c:v>
                </c:pt>
                <c:pt idx="183">
                  <c:v>1.241761226577637</c:v>
                </c:pt>
                <c:pt idx="184">
                  <c:v>1.2088509570186956</c:v>
                </c:pt>
                <c:pt idx="185">
                  <c:v>1.1833586149945921</c:v>
                </c:pt>
                <c:pt idx="186">
                  <c:v>1.1630290600914541</c:v>
                </c:pt>
                <c:pt idx="187">
                  <c:v>1.1464370908424684</c:v>
                </c:pt>
                <c:pt idx="188">
                  <c:v>1.1326378191893696</c:v>
                </c:pt>
                <c:pt idx="189">
                  <c:v>1.1209800535558654</c:v>
                </c:pt>
                <c:pt idx="190">
                  <c:v>1.1110004162095226</c:v>
                </c:pt>
                <c:pt idx="191">
                  <c:v>1.1023601869030886</c:v>
                </c:pt>
                <c:pt idx="192">
                  <c:v>1.0948060257043322</c:v>
                </c:pt>
                <c:pt idx="193">
                  <c:v>1.0881446660335357</c:v>
                </c:pt>
                <c:pt idx="194">
                  <c:v>1.0822261052124478</c:v>
                </c:pt>
                <c:pt idx="195">
                  <c:v>1.076932140122915</c:v>
                </c:pt>
                <c:pt idx="196">
                  <c:v>1.0721683648496401</c:v>
                </c:pt>
                <c:pt idx="197">
                  <c:v>1.0678584690668456</c:v>
                </c:pt>
                <c:pt idx="198">
                  <c:v>1.0639401007278211</c:v>
                </c:pt>
                <c:pt idx="199">
                  <c:v>1.060361814237359</c:v>
                </c:pt>
                <c:pt idx="200">
                  <c:v>1.0570807857699112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50"/>
</file>

<file path=xl/ctrlProps/ctrlProp5.xml><?xml version="1.0" encoding="utf-8"?>
<formControlPr xmlns="http://schemas.microsoft.com/office/spreadsheetml/2009/9/main" objectType="Spin" dx="16" fmlaLink="$E$67" max="100" min="1" page="10" val="9"/>
</file>

<file path=xl/ctrlProps/ctrlProp6.xml><?xml version="1.0" encoding="utf-8"?>
<formControlPr xmlns="http://schemas.microsoft.com/office/spreadsheetml/2009/9/main" objectType="Spin" dx="16" fmlaLink="$E$68" max="100" min="1" page="10" val="13"/>
</file>

<file path=xl/ctrlProps/ctrlProp7.xml><?xml version="1.0" encoding="utf-8"?>
<formControlPr xmlns="http://schemas.microsoft.com/office/spreadsheetml/2009/9/main" objectType="Spin" dx="16" fmlaLink="$E$69" inc="10" max="1000" min="100" page="10" val="1000"/>
</file>

<file path=xl/ctrlProps/ctrlProp8.xml><?xml version="1.0" encoding="utf-8"?>
<formControlPr xmlns="http://schemas.microsoft.com/office/spreadsheetml/2009/9/main" objectType="Spin" dx="16" fmlaLink="$E$70" inc="10" max="1000" min="100" page="10" val="50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4"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74</xdr:row>
          <xdr:rowOff>9525</xdr:rowOff>
        </xdr:from>
        <xdr:to>
          <xdr:col>3</xdr:col>
          <xdr:colOff>9525</xdr:colOff>
          <xdr:row>77</xdr:row>
          <xdr:rowOff>19050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900" b="1" i="0" u="none" strike="noStrike" baseline="0">
                  <a:solidFill>
                    <a:srgbClr val="000000"/>
                  </a:solidFill>
                  <a:latin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390525</xdr:colOff>
          <xdr:row>74</xdr:row>
          <xdr:rowOff>9525</xdr:rowOff>
        </xdr:from>
        <xdr:to>
          <xdr:col>3</xdr:col>
          <xdr:colOff>9525</xdr:colOff>
          <xdr:row>77</xdr:row>
          <xdr:rowOff>19050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900" b="1" i="0" u="none" strike="noStrike" baseline="0">
                  <a:solidFill>
                    <a:srgbClr val="000000"/>
                  </a:solidFill>
                  <a:latin typeface="Arial"/>
                </a:rPr>
                <a:t>FIX</a:t>
              </a:r>
            </a:p>
            <a:p>
              <a:pPr algn="ctr" rtl="0">
                <a:defRPr sz="1000"/>
              </a:pPr>
              <a:r>
                <a:rPr lang="th-TH" sz="900" b="1" i="0" u="none" strike="noStrike" baseline="0">
                  <a:solidFill>
                    <a:srgbClr val="000000"/>
                  </a:solidFill>
                  <a:latin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1695450</xdr:colOff>
          <xdr:row>0</xdr:row>
          <xdr:rowOff>447675</xdr:rowOff>
        </xdr:from>
        <xdr:to>
          <xdr:col>16</xdr:col>
          <xdr:colOff>2076450</xdr:colOff>
          <xdr:row>1</xdr:row>
          <xdr:rowOff>28575</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2545342</xdr:colOff>
          <xdr:row>33</xdr:row>
          <xdr:rowOff>46285</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93"/>
                </a:ext>
              </a:extLst>
            </xdr:cNvPicPr>
          </xdr:nvPicPr>
          <xdr:blipFill>
            <a:blip xmlns:r="http://schemas.openxmlformats.org/officeDocument/2006/relationships" r:embed="rId1"/>
            <a:stretch>
              <a:fillRect/>
            </a:stretch>
          </xdr:blipFill>
          <xdr:spPr>
            <a:xfrm>
              <a:off x="4145157" y="1377690"/>
              <a:ext cx="9094689" cy="5241673"/>
            </a:xfrm>
            <a:prstGeom prst="rect">
              <a:avLst/>
            </a:prstGeom>
          </xdr:spPr>
        </xdr:pic>
        <xdr:clientData/>
      </xdr:twoCellAnchor>
    </mc:Choice>
    <mc:Fallback/>
  </mc:AlternateContent>
  <xdr:twoCellAnchor editAs="absolute">
    <xdr:from>
      <xdr:col>6</xdr:col>
      <xdr:colOff>228601</xdr:colOff>
      <xdr:row>42</xdr:row>
      <xdr:rowOff>29120</xdr:rowOff>
    </xdr:from>
    <xdr:to>
      <xdr:col>16</xdr:col>
      <xdr:colOff>2217468</xdr:colOff>
      <xdr:row>69</xdr:row>
      <xdr:rowOff>20955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556558</xdr:colOff>
      <xdr:row>61</xdr:row>
      <xdr:rowOff>168096</xdr:rowOff>
    </xdr:from>
    <xdr:to>
      <xdr:col>10</xdr:col>
      <xdr:colOff>395010</xdr:colOff>
      <xdr:row>63</xdr:row>
      <xdr:rowOff>7107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922818" y="11940996"/>
          <a:ext cx="2132072" cy="21239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61 kHz</a:t>
          </a:fld>
          <a:endParaRPr lang="en-US" sz="1050" b="1" i="0" u="none" strike="noStrike" baseline="0">
            <a:solidFill>
              <a:srgbClr val="FF0000"/>
            </a:solidFill>
            <a:latin typeface="Arial"/>
            <a:cs typeface="Arial"/>
          </a:endParaRPr>
        </a:p>
      </xdr:txBody>
    </xdr:sp>
    <xdr:clientData/>
  </xdr:twoCellAnchor>
  <xdr:twoCellAnchor>
    <xdr:from>
      <xdr:col>7</xdr:col>
      <xdr:colOff>552320</xdr:colOff>
      <xdr:row>63</xdr:row>
      <xdr:rowOff>130042</xdr:rowOff>
    </xdr:from>
    <xdr:to>
      <xdr:col>9</xdr:col>
      <xdr:colOff>472440</xdr:colOff>
      <xdr:row>64</xdr:row>
      <xdr:rowOff>187504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918580" y="12276322"/>
          <a:ext cx="1360300" cy="25558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63°</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596595</xdr:colOff>
      <xdr:row>13</xdr:row>
      <xdr:rowOff>151039</xdr:rowOff>
    </xdr:from>
    <xdr:to>
      <xdr:col>7</xdr:col>
      <xdr:colOff>243939</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47980" y="2982162"/>
          <a:ext cx="274528" cy="22860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7</xdr:col>
      <xdr:colOff>4833</xdr:colOff>
      <xdr:row>11</xdr:row>
      <xdr:rowOff>3919</xdr:rowOff>
    </xdr:from>
    <xdr:to>
      <xdr:col>7</xdr:col>
      <xdr:colOff>283187</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83402" y="2459904"/>
          <a:ext cx="278354" cy="2463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1918678</xdr:colOff>
      <xdr:row>20</xdr:row>
      <xdr:rowOff>55039</xdr:rowOff>
    </xdr:from>
    <xdr:to>
      <xdr:col>16</xdr:col>
      <xdr:colOff>2340467</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613182" y="4169839"/>
          <a:ext cx="421789" cy="23203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500911</xdr:colOff>
      <xdr:row>29</xdr:row>
      <xdr:rowOff>74937</xdr:rowOff>
    </xdr:from>
    <xdr:to>
      <xdr:col>14</xdr:col>
      <xdr:colOff>363846</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287357" y="5977506"/>
          <a:ext cx="490120" cy="26769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996587</xdr:colOff>
      <xdr:row>14</xdr:row>
      <xdr:rowOff>242483</xdr:rowOff>
    </xdr:from>
    <xdr:to>
      <xdr:col>16</xdr:col>
      <xdr:colOff>1341658</xdr:colOff>
      <xdr:row>16</xdr:row>
      <xdr:rowOff>96723</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691091" y="3204344"/>
          <a:ext cx="345071" cy="27830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16</xdr:col>
      <xdr:colOff>866398</xdr:colOff>
      <xdr:row>20</xdr:row>
      <xdr:rowOff>87726</xdr:rowOff>
    </xdr:from>
    <xdr:to>
      <xdr:col>16</xdr:col>
      <xdr:colOff>1192164</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560902" y="4202526"/>
          <a:ext cx="325766" cy="23123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359741</xdr:colOff>
      <xdr:row>26</xdr:row>
      <xdr:rowOff>21177</xdr:rowOff>
    </xdr:from>
    <xdr:to>
      <xdr:col>16</xdr:col>
      <xdr:colOff>41176</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400556" y="5396208"/>
          <a:ext cx="373097" cy="22823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450896</xdr:colOff>
      <xdr:row>13</xdr:row>
      <xdr:rowOff>86966</xdr:rowOff>
    </xdr:from>
    <xdr:to>
      <xdr:col>9</xdr:col>
      <xdr:colOff>775670</xdr:colOff>
      <xdr:row>14</xdr:row>
      <xdr:rowOff>191636</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71404" y="2918089"/>
          <a:ext cx="324774" cy="28051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291234</xdr:colOff>
      <xdr:row>19</xdr:row>
      <xdr:rowOff>37243</xdr:rowOff>
    </xdr:from>
    <xdr:to>
      <xdr:col>7</xdr:col>
      <xdr:colOff>686223</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69803" y="4017228"/>
          <a:ext cx="394989" cy="234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62964</xdr:colOff>
      <xdr:row>17</xdr:row>
      <xdr:rowOff>144748</xdr:rowOff>
    </xdr:from>
    <xdr:to>
      <xdr:col>8</xdr:col>
      <xdr:colOff>331120</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56287" y="3755456"/>
          <a:ext cx="268156" cy="21849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76163</xdr:colOff>
      <xdr:row>13</xdr:row>
      <xdr:rowOff>129764</xdr:rowOff>
    </xdr:from>
    <xdr:to>
      <xdr:col>8</xdr:col>
      <xdr:colOff>415626</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69486" y="2960887"/>
          <a:ext cx="339463" cy="24605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353305</xdr:colOff>
      <xdr:row>27</xdr:row>
      <xdr:rowOff>76189</xdr:rowOff>
    </xdr:from>
    <xdr:to>
      <xdr:col>16</xdr:col>
      <xdr:colOff>79973</xdr:colOff>
      <xdr:row>28</xdr:row>
      <xdr:rowOff>165468</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394120" y="5627066"/>
          <a:ext cx="418330" cy="265125"/>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3.9nF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528573</xdr:colOff>
      <xdr:row>17</xdr:row>
      <xdr:rowOff>145320</xdr:rowOff>
    </xdr:from>
    <xdr:to>
      <xdr:col>9</xdr:col>
      <xdr:colOff>373520</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721896" y="3756028"/>
          <a:ext cx="472132" cy="225619"/>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68pF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751046</xdr:colOff>
      <xdr:row>14</xdr:row>
      <xdr:rowOff>168174</xdr:rowOff>
    </xdr:from>
    <xdr:to>
      <xdr:col>8</xdr:col>
      <xdr:colOff>475416</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129615" y="3175143"/>
          <a:ext cx="539124" cy="23296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4.87kΩ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608891</xdr:colOff>
      <xdr:row>20</xdr:row>
      <xdr:rowOff>92775</xdr:rowOff>
    </xdr:from>
    <xdr:to>
      <xdr:col>7</xdr:col>
      <xdr:colOff>592711</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60276" y="4266190"/>
          <a:ext cx="611004" cy="243286"/>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0.768kΩ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490702</xdr:colOff>
      <xdr:row>12</xdr:row>
      <xdr:rowOff>37083</xdr:rowOff>
    </xdr:from>
    <xdr:to>
      <xdr:col>7</xdr:col>
      <xdr:colOff>277268</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242087" y="2668914"/>
          <a:ext cx="413750" cy="274578"/>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36.5Ω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450615</xdr:colOff>
      <xdr:row>14</xdr:row>
      <xdr:rowOff>178913</xdr:rowOff>
    </xdr:from>
    <xdr:to>
      <xdr:col>7</xdr:col>
      <xdr:colOff>319549</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202000" y="3185882"/>
          <a:ext cx="496118" cy="194179"/>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560pF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1834680</xdr:colOff>
      <xdr:row>21</xdr:row>
      <xdr:rowOff>108054</xdr:rowOff>
    </xdr:from>
    <xdr:to>
      <xdr:col>16</xdr:col>
      <xdr:colOff>2524681</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529184" y="4415011"/>
          <a:ext cx="690001" cy="23993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2 x 10µF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493518</xdr:colOff>
      <xdr:row>30</xdr:row>
      <xdr:rowOff>59671</xdr:rowOff>
    </xdr:from>
    <xdr:to>
      <xdr:col>14</xdr:col>
      <xdr:colOff>454588</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279964" y="6190840"/>
          <a:ext cx="588255" cy="222017"/>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845Ω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958420</xdr:colOff>
      <xdr:row>17</xdr:row>
      <xdr:rowOff>139630</xdr:rowOff>
    </xdr:from>
    <xdr:to>
      <xdr:col>16</xdr:col>
      <xdr:colOff>1420200</xdr:colOff>
      <xdr:row>19</xdr:row>
      <xdr:rowOff>49126</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652924" y="3697839"/>
          <a:ext cx="461780" cy="273930"/>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5.6µH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820892</xdr:colOff>
      <xdr:row>21</xdr:row>
      <xdr:rowOff>101486</xdr:rowOff>
    </xdr:from>
    <xdr:to>
      <xdr:col>16</xdr:col>
      <xdr:colOff>1458918</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515396" y="4408443"/>
          <a:ext cx="638026" cy="23117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5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403006</xdr:colOff>
      <xdr:row>14</xdr:row>
      <xdr:rowOff>183310</xdr:rowOff>
    </xdr:from>
    <xdr:to>
      <xdr:col>9</xdr:col>
      <xdr:colOff>756630</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223514" y="3190279"/>
          <a:ext cx="353624" cy="239890"/>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782099</xdr:colOff>
      <xdr:row>9</xdr:row>
      <xdr:rowOff>124531</xdr:rowOff>
    </xdr:from>
    <xdr:to>
      <xdr:col>16</xdr:col>
      <xdr:colOff>1150439</xdr:colOff>
      <xdr:row>11</xdr:row>
      <xdr:rowOff>19472</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476603" y="2198496"/>
          <a:ext cx="368340" cy="239498"/>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48V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2153596</xdr:colOff>
      <xdr:row>18</xdr:row>
      <xdr:rowOff>89339</xdr:rowOff>
    </xdr:from>
    <xdr:to>
      <xdr:col>16</xdr:col>
      <xdr:colOff>2438400</xdr:colOff>
      <xdr:row>19</xdr:row>
      <xdr:rowOff>141401</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848100" y="3819826"/>
          <a:ext cx="284804" cy="244218"/>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24V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2093962</xdr:colOff>
      <xdr:row>19</xdr:row>
      <xdr:rowOff>116485</xdr:rowOff>
    </xdr:from>
    <xdr:to>
      <xdr:col>16</xdr:col>
      <xdr:colOff>2564296</xdr:colOff>
      <xdr:row>20</xdr:row>
      <xdr:rowOff>172500</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788466" y="4039128"/>
          <a:ext cx="470334" cy="248172"/>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15A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609638</xdr:colOff>
      <xdr:row>10</xdr:row>
      <xdr:rowOff>38586</xdr:rowOff>
    </xdr:from>
    <xdr:to>
      <xdr:col>10</xdr:col>
      <xdr:colOff>139318</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430146" y="2318724"/>
          <a:ext cx="385464" cy="26111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474919</xdr:colOff>
      <xdr:row>11</xdr:row>
      <xdr:rowOff>83690</xdr:rowOff>
    </xdr:from>
    <xdr:to>
      <xdr:col>10</xdr:col>
      <xdr:colOff>156634</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95427" y="2539675"/>
          <a:ext cx="537499" cy="243306"/>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10kΩ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290845</xdr:colOff>
      <xdr:row>18</xdr:row>
      <xdr:rowOff>62727</xdr:rowOff>
    </xdr:from>
    <xdr:to>
      <xdr:col>16</xdr:col>
      <xdr:colOff>609880</xdr:colOff>
      <xdr:row>19</xdr:row>
      <xdr:rowOff>176994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1023322" y="3849281"/>
          <a:ext cx="319035" cy="30769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239500</xdr:colOff>
      <xdr:row>13</xdr:row>
      <xdr:rowOff>17014</xdr:rowOff>
    </xdr:from>
    <xdr:to>
      <xdr:col>16</xdr:col>
      <xdr:colOff>562345</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934004" y="2806597"/>
          <a:ext cx="322845" cy="2681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11</xdr:col>
      <xdr:colOff>38412</xdr:colOff>
      <xdr:row>6</xdr:row>
      <xdr:rowOff>39262</xdr:rowOff>
    </xdr:from>
    <xdr:to>
      <xdr:col>11</xdr:col>
      <xdr:colOff>607274</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313855" y="1596392"/>
          <a:ext cx="568862" cy="216689"/>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8.25kΩ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210793</xdr:colOff>
      <xdr:row>5</xdr:row>
      <xdr:rowOff>8247</xdr:rowOff>
    </xdr:from>
    <xdr:to>
      <xdr:col>11</xdr:col>
      <xdr:colOff>631862</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486236" y="1393099"/>
          <a:ext cx="421069" cy="2026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787842</xdr:colOff>
      <xdr:row>6</xdr:row>
      <xdr:rowOff>29009</xdr:rowOff>
    </xdr:from>
    <xdr:to>
      <xdr:col>12</xdr:col>
      <xdr:colOff>521557</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8063285" y="1586139"/>
          <a:ext cx="588481" cy="208977"/>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66917</xdr:colOff>
      <xdr:row>4</xdr:row>
      <xdr:rowOff>242103</xdr:rowOff>
    </xdr:from>
    <xdr:to>
      <xdr:col>12</xdr:col>
      <xdr:colOff>501223</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197126" y="1375164"/>
          <a:ext cx="434306" cy="21084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932560</xdr:colOff>
      <xdr:row>18</xdr:row>
      <xdr:rowOff>171948</xdr:rowOff>
    </xdr:from>
    <xdr:to>
      <xdr:col>16</xdr:col>
      <xdr:colOff>1454388</xdr:colOff>
      <xdr:row>20</xdr:row>
      <xdr:rowOff>67046</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627064" y="3902435"/>
          <a:ext cx="521828" cy="2794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6mΩ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12</xdr:col>
      <xdr:colOff>52938</xdr:colOff>
      <xdr:row>28</xdr:row>
      <xdr:rowOff>53618</xdr:rowOff>
    </xdr:from>
    <xdr:to>
      <xdr:col>12</xdr:col>
      <xdr:colOff>560576</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183147" y="5705670"/>
          <a:ext cx="507638" cy="22945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12</xdr:col>
      <xdr:colOff>70286</xdr:colOff>
      <xdr:row>29</xdr:row>
      <xdr:rowOff>62180</xdr:rowOff>
    </xdr:from>
    <xdr:to>
      <xdr:col>13</xdr:col>
      <xdr:colOff>78514</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200495" y="5886510"/>
          <a:ext cx="631080" cy="24822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161925</xdr:rowOff>
        </xdr:from>
        <xdr:to>
          <xdr:col>5</xdr:col>
          <xdr:colOff>180975</xdr:colOff>
          <xdr:row>61</xdr:row>
          <xdr:rowOff>9525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180975</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180975</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180975</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180975</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288536</xdr:colOff>
      <xdr:row>0</xdr:row>
      <xdr:rowOff>590091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9525</xdr:colOff>
          <xdr:row>23</xdr:row>
          <xdr:rowOff>0</xdr:rowOff>
        </xdr:from>
        <xdr:to>
          <xdr:col>1</xdr:col>
          <xdr:colOff>523875</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298909</xdr:colOff>
      <xdr:row>23</xdr:row>
      <xdr:rowOff>61229</xdr:rowOff>
    </xdr:from>
    <xdr:to>
      <xdr:col>16</xdr:col>
      <xdr:colOff>872596</xdr:colOff>
      <xdr:row>24</xdr:row>
      <xdr:rowOff>177965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993413" y="4792255"/>
          <a:ext cx="573687" cy="308893"/>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363679</xdr:colOff>
      <xdr:row>22</xdr:row>
      <xdr:rowOff>94847</xdr:rowOff>
    </xdr:from>
    <xdr:to>
      <xdr:col>16</xdr:col>
      <xdr:colOff>937366</xdr:colOff>
      <xdr:row>23</xdr:row>
      <xdr:rowOff>70014</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58183" y="4574082"/>
          <a:ext cx="573687" cy="226958"/>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83</xdr:row>
      <xdr:rowOff>175260</xdr:rowOff>
    </xdr:from>
    <xdr:to>
      <xdr:col>16</xdr:col>
      <xdr:colOff>1212518</xdr:colOff>
      <xdr:row>84</xdr:row>
      <xdr:rowOff>177165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496675" y="16253460"/>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105.7%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165735</xdr:rowOff>
    </xdr:from>
    <xdr:to>
      <xdr:col>13</xdr:col>
      <xdr:colOff>79043</xdr:colOff>
      <xdr:row>84</xdr:row>
      <xdr:rowOff>167640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404860" y="16243935"/>
          <a:ext cx="43718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95.7%</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313720</xdr:colOff>
      <xdr:row>30</xdr:row>
      <xdr:rowOff>13788</xdr:rowOff>
    </xdr:from>
    <xdr:to>
      <xdr:col>13</xdr:col>
      <xdr:colOff>170962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443929" y="6070031"/>
          <a:ext cx="480094" cy="265988"/>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305913</xdr:colOff>
      <xdr:row>31</xdr:row>
      <xdr:rowOff>50238</xdr:rowOff>
    </xdr:from>
    <xdr:to>
      <xdr:col>13</xdr:col>
      <xdr:colOff>261683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436122" y="6278760"/>
          <a:ext cx="578622" cy="218448"/>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4.7pF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776226</xdr:colOff>
      <xdr:row>11</xdr:row>
      <xdr:rowOff>8003</xdr:rowOff>
    </xdr:from>
    <xdr:to>
      <xdr:col>16</xdr:col>
      <xdr:colOff>1924606</xdr:colOff>
      <xdr:row>12</xdr:row>
      <xdr:rowOff>69775</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470730" y="2426525"/>
          <a:ext cx="1148380" cy="23405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36V to 85V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57918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967741</xdr:colOff>
      <xdr:row>0</xdr:row>
      <xdr:rowOff>627487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171450</xdr:rowOff>
        </xdr:from>
        <xdr:to>
          <xdr:col>6</xdr:col>
          <xdr:colOff>0</xdr:colOff>
          <xdr:row>4</xdr:row>
          <xdr:rowOff>238125</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676602</xdr:colOff>
      <xdr:row>17</xdr:row>
      <xdr:rowOff>112251</xdr:rowOff>
    </xdr:from>
    <xdr:to>
      <xdr:col>13</xdr:col>
      <xdr:colOff>228600</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751378" y="3679199"/>
          <a:ext cx="990601" cy="35444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200" b="1" i="0" u="none" strike="noStrike" baseline="0">
              <a:solidFill>
                <a:srgbClr val="FF0000"/>
              </a:solidFill>
              <a:latin typeface="Arial"/>
              <a:cs typeface="Arial"/>
            </a:rPr>
            <a:pPr algn="ctr" rtl="0">
              <a:defRPr sz="1000"/>
            </a:pPr>
            <a:t>LM5146</a:t>
          </a:fld>
          <a:endParaRPr lang="en-US" sz="18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106</xdr:row>
          <xdr:rowOff>0</xdr:rowOff>
        </xdr:from>
        <xdr:to>
          <xdr:col>2</xdr:col>
          <xdr:colOff>200025</xdr:colOff>
          <xdr:row>107</xdr:row>
          <xdr:rowOff>38100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63°</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200025</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200025</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200025</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200025</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200025</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200025</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200025</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200025</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200025</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200025</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200025</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200025</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200025</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200025</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200025</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200025</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200025</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200025</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200025</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200025</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200025</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200025</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200025</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48</xdr:row>
          <xdr:rowOff>9525</xdr:rowOff>
        </xdr:from>
        <xdr:to>
          <xdr:col>6</xdr:col>
          <xdr:colOff>638175</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49</xdr:row>
          <xdr:rowOff>0</xdr:rowOff>
        </xdr:from>
        <xdr:to>
          <xdr:col>6</xdr:col>
          <xdr:colOff>638175</xdr:colOff>
          <xdr:row>49</xdr:row>
          <xdr:rowOff>200025</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188260</xdr:colOff>
          <xdr:row>1</xdr:row>
          <xdr:rowOff>2526</xdr:rowOff>
        </xdr:from>
        <xdr:to>
          <xdr:col>8</xdr:col>
          <xdr:colOff>837417</xdr:colOff>
          <xdr:row>32</xdr:row>
          <xdr:rowOff>64158</xdr:rowOff>
        </xdr:to>
        <xdr:pic>
          <xdr:nvPicPr>
            <xdr:cNvPr id="78" name="Picture 77">
              <a:extLst>
                <a:ext uri="{FF2B5EF4-FFF2-40B4-BE49-F238E27FC236}">
                  <a16:creationId xmlns:a16="http://schemas.microsoft.com/office/drawing/2014/main" id="{00000000-0008-0000-0100-00004E000000}"/>
                </a:ext>
              </a:extLst>
            </xdr:cNvPr>
            <xdr:cNvPicPr>
              <a:picLocks noChangeAspect="1"/>
              <a:extLst>
                <a:ext uri="{84589F7E-364E-4C9E-8A38-B11213B215E9}">
                  <a14:cameraTool cellRange="PICTURE10" spid="_x0000_s674711"/>
                </a:ext>
              </a:extLst>
            </xdr:cNvPicPr>
          </xdr:nvPicPr>
          <xdr:blipFill>
            <a:blip xmlns:r="http://schemas.openxmlformats.org/officeDocument/2006/relationships" r:embed="rId1"/>
            <a:stretch>
              <a:fillRect/>
            </a:stretch>
          </xdr:blipFill>
          <xdr:spPr>
            <a:xfrm>
              <a:off x="188260" y="172855"/>
              <a:ext cx="9111839" cy="5341844"/>
            </a:xfrm>
            <a:prstGeom prst="rect">
              <a:avLst/>
            </a:prstGeom>
          </xdr:spPr>
        </xdr:pic>
        <xdr:clientData/>
      </xdr:twoCellAnchor>
    </mc:Choice>
    <mc:Fallback/>
  </mc:AlternateContent>
  <xdr:twoCellAnchor>
    <xdr:from>
      <xdr:col>0</xdr:col>
      <xdr:colOff>376811</xdr:colOff>
      <xdr:row>10</xdr:row>
      <xdr:rowOff>79265</xdr:rowOff>
    </xdr:from>
    <xdr:to>
      <xdr:col>1</xdr:col>
      <xdr:colOff>60013</xdr:colOff>
      <xdr:row>11</xdr:row>
      <xdr:rowOff>140986</xdr:rowOff>
    </xdr:to>
    <xdr:sp macro="" textlink="">
      <xdr:nvSpPr>
        <xdr:cNvPr id="79" name="Text Box 224">
          <a:extLst>
            <a:ext uri="{FF2B5EF4-FFF2-40B4-BE49-F238E27FC236}">
              <a16:creationId xmlns:a16="http://schemas.microsoft.com/office/drawing/2014/main" id="{00000000-0008-0000-0100-00004F000000}"/>
            </a:ext>
          </a:extLst>
        </xdr:cNvPr>
        <xdr:cNvSpPr txBox="1">
          <a:spLocks noChangeArrowheads="1"/>
        </xdr:cNvSpPr>
      </xdr:nvSpPr>
      <xdr:spPr bwMode="auto">
        <a:xfrm>
          <a:off x="376811" y="1782559"/>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575880</xdr:colOff>
      <xdr:row>7</xdr:row>
      <xdr:rowOff>102794</xdr:rowOff>
    </xdr:from>
    <xdr:to>
      <xdr:col>1</xdr:col>
      <xdr:colOff>944395</xdr:colOff>
      <xdr:row>8</xdr:row>
      <xdr:rowOff>142124</xdr:rowOff>
    </xdr:to>
    <xdr:sp macro="" textlink="">
      <xdr:nvSpPr>
        <xdr:cNvPr id="80" name="Text Box 225">
          <a:extLst>
            <a:ext uri="{FF2B5EF4-FFF2-40B4-BE49-F238E27FC236}">
              <a16:creationId xmlns:a16="http://schemas.microsoft.com/office/drawing/2014/main" id="{00000000-0008-0000-0100-000050000000}"/>
            </a:ext>
          </a:extLst>
        </xdr:cNvPr>
        <xdr:cNvSpPr txBox="1">
          <a:spLocks noChangeArrowheads="1"/>
        </xdr:cNvSpPr>
      </xdr:nvSpPr>
      <xdr:spPr bwMode="auto">
        <a:xfrm>
          <a:off x="1167551" y="1295100"/>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412578</xdr:colOff>
      <xdr:row>7</xdr:row>
      <xdr:rowOff>66616</xdr:rowOff>
    </xdr:from>
    <xdr:to>
      <xdr:col>1</xdr:col>
      <xdr:colOff>99261</xdr:colOff>
      <xdr:row>8</xdr:row>
      <xdr:rowOff>146060</xdr:rowOff>
    </xdr:to>
    <xdr:sp macro="" textlink="">
      <xdr:nvSpPr>
        <xdr:cNvPr id="81" name="Text Box 227">
          <a:extLst>
            <a:ext uri="{FF2B5EF4-FFF2-40B4-BE49-F238E27FC236}">
              <a16:creationId xmlns:a16="http://schemas.microsoft.com/office/drawing/2014/main" id="{00000000-0008-0000-0100-000051000000}"/>
            </a:ext>
          </a:extLst>
        </xdr:cNvPr>
        <xdr:cNvSpPr txBox="1">
          <a:spLocks noChangeArrowheads="1"/>
        </xdr:cNvSpPr>
      </xdr:nvSpPr>
      <xdr:spPr bwMode="auto">
        <a:xfrm>
          <a:off x="412578" y="1258922"/>
          <a:ext cx="278354"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210753</xdr:colOff>
      <xdr:row>17</xdr:row>
      <xdr:rowOff>135665</xdr:rowOff>
    </xdr:from>
    <xdr:to>
      <xdr:col>8</xdr:col>
      <xdr:colOff>632542</xdr:colOff>
      <xdr:row>19</xdr:row>
      <xdr:rowOff>23142</xdr:rowOff>
    </xdr:to>
    <xdr:sp macro="" textlink="">
      <xdr:nvSpPr>
        <xdr:cNvPr id="82" name="Text Box 228">
          <a:extLst>
            <a:ext uri="{FF2B5EF4-FFF2-40B4-BE49-F238E27FC236}">
              <a16:creationId xmlns:a16="http://schemas.microsoft.com/office/drawing/2014/main" id="{00000000-0008-0000-0100-000052000000}"/>
            </a:ext>
          </a:extLst>
        </xdr:cNvPr>
        <xdr:cNvSpPr txBox="1">
          <a:spLocks noChangeArrowheads="1"/>
        </xdr:cNvSpPr>
      </xdr:nvSpPr>
      <xdr:spPr bwMode="auto">
        <a:xfrm>
          <a:off x="8673435" y="3031265"/>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5</xdr:col>
      <xdr:colOff>21151</xdr:colOff>
      <xdr:row>28</xdr:row>
      <xdr:rowOff>3163</xdr:rowOff>
    </xdr:from>
    <xdr:to>
      <xdr:col>5</xdr:col>
      <xdr:colOff>511615</xdr:colOff>
      <xdr:row>29</xdr:row>
      <xdr:rowOff>105010</xdr:rowOff>
    </xdr:to>
    <xdr:sp macro="" textlink="">
      <xdr:nvSpPr>
        <xdr:cNvPr id="83" name="Text Box 231">
          <a:extLst>
            <a:ext uri="{FF2B5EF4-FFF2-40B4-BE49-F238E27FC236}">
              <a16:creationId xmlns:a16="http://schemas.microsoft.com/office/drawing/2014/main" id="{00000000-0008-0000-0100-000053000000}"/>
            </a:ext>
          </a:extLst>
        </xdr:cNvPr>
        <xdr:cNvSpPr txBox="1">
          <a:spLocks noChangeArrowheads="1"/>
        </xdr:cNvSpPr>
      </xdr:nvSpPr>
      <xdr:spPr bwMode="auto">
        <a:xfrm>
          <a:off x="5310327" y="4772387"/>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391320</xdr:colOff>
      <xdr:row>12</xdr:row>
      <xdr:rowOff>9344</xdr:rowOff>
    </xdr:from>
    <xdr:to>
      <xdr:col>7</xdr:col>
      <xdr:colOff>736391</xdr:colOff>
      <xdr:row>13</xdr:row>
      <xdr:rowOff>123561</xdr:rowOff>
    </xdr:to>
    <xdr:sp macro="" textlink="">
      <xdr:nvSpPr>
        <xdr:cNvPr id="84" name="Text Box 235">
          <a:extLst>
            <a:ext uri="{FF2B5EF4-FFF2-40B4-BE49-F238E27FC236}">
              <a16:creationId xmlns:a16="http://schemas.microsoft.com/office/drawing/2014/main" id="{00000000-0008-0000-0100-000054000000}"/>
            </a:ext>
          </a:extLst>
        </xdr:cNvPr>
        <xdr:cNvSpPr txBox="1">
          <a:spLocks noChangeArrowheads="1"/>
        </xdr:cNvSpPr>
      </xdr:nvSpPr>
      <xdr:spPr bwMode="auto">
        <a:xfrm>
          <a:off x="7751344" y="2053297"/>
          <a:ext cx="345071" cy="28454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a:t>
          </a:r>
        </a:p>
      </xdr:txBody>
    </xdr:sp>
    <xdr:clientData/>
  </xdr:twoCellAnchor>
  <xdr:twoCellAnchor>
    <xdr:from>
      <xdr:col>7</xdr:col>
      <xdr:colOff>261131</xdr:colOff>
      <xdr:row>17</xdr:row>
      <xdr:rowOff>168352</xdr:rowOff>
    </xdr:from>
    <xdr:to>
      <xdr:col>7</xdr:col>
      <xdr:colOff>586897</xdr:colOff>
      <xdr:row>19</xdr:row>
      <xdr:rowOff>55029</xdr:rowOff>
    </xdr:to>
    <xdr:sp macro="" textlink="">
      <xdr:nvSpPr>
        <xdr:cNvPr id="85" name="Text Box 244">
          <a:extLst>
            <a:ext uri="{FF2B5EF4-FFF2-40B4-BE49-F238E27FC236}">
              <a16:creationId xmlns:a16="http://schemas.microsoft.com/office/drawing/2014/main" id="{00000000-0008-0000-0100-000055000000}"/>
            </a:ext>
          </a:extLst>
        </xdr:cNvPr>
        <xdr:cNvSpPr txBox="1">
          <a:spLocks noChangeArrowheads="1"/>
        </xdr:cNvSpPr>
      </xdr:nvSpPr>
      <xdr:spPr bwMode="auto">
        <a:xfrm>
          <a:off x="7621155" y="3063952"/>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1135040</xdr:colOff>
      <xdr:row>24</xdr:row>
      <xdr:rowOff>92838</xdr:rowOff>
    </xdr:from>
    <xdr:to>
      <xdr:col>6</xdr:col>
      <xdr:colOff>99298</xdr:colOff>
      <xdr:row>25</xdr:row>
      <xdr:rowOff>154190</xdr:rowOff>
    </xdr:to>
    <xdr:sp macro="" textlink="">
      <xdr:nvSpPr>
        <xdr:cNvPr id="86" name="Text Box 249">
          <a:extLst>
            <a:ext uri="{FF2B5EF4-FFF2-40B4-BE49-F238E27FC236}">
              <a16:creationId xmlns:a16="http://schemas.microsoft.com/office/drawing/2014/main" id="{00000000-0008-0000-0100-000056000000}"/>
            </a:ext>
          </a:extLst>
        </xdr:cNvPr>
        <xdr:cNvSpPr txBox="1">
          <a:spLocks noChangeArrowheads="1"/>
        </xdr:cNvSpPr>
      </xdr:nvSpPr>
      <xdr:spPr bwMode="auto">
        <a:xfrm>
          <a:off x="6424216" y="4180744"/>
          <a:ext cx="371717" cy="23168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688312</xdr:colOff>
      <xdr:row>10</xdr:row>
      <xdr:rowOff>15192</xdr:rowOff>
    </xdr:from>
    <xdr:to>
      <xdr:col>2</xdr:col>
      <xdr:colOff>1013086</xdr:colOff>
      <xdr:row>11</xdr:row>
      <xdr:rowOff>128826</xdr:rowOff>
    </xdr:to>
    <xdr:sp macro="" textlink="">
      <xdr:nvSpPr>
        <xdr:cNvPr id="87" name="Text Box 251">
          <a:extLst>
            <a:ext uri="{FF2B5EF4-FFF2-40B4-BE49-F238E27FC236}">
              <a16:creationId xmlns:a16="http://schemas.microsoft.com/office/drawing/2014/main" id="{00000000-0008-0000-0100-000057000000}"/>
            </a:ext>
          </a:extLst>
        </xdr:cNvPr>
        <xdr:cNvSpPr txBox="1">
          <a:spLocks noChangeArrowheads="1"/>
        </xdr:cNvSpPr>
      </xdr:nvSpPr>
      <xdr:spPr bwMode="auto">
        <a:xfrm>
          <a:off x="2301959" y="1718486"/>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259715</xdr:colOff>
      <xdr:row>24</xdr:row>
      <xdr:rowOff>117966</xdr:rowOff>
    </xdr:from>
    <xdr:to>
      <xdr:col>2</xdr:col>
      <xdr:colOff>639595</xdr:colOff>
      <xdr:row>24</xdr:row>
      <xdr:rowOff>117966</xdr:rowOff>
    </xdr:to>
    <xdr:sp macro="" textlink="">
      <xdr:nvSpPr>
        <xdr:cNvPr id="88" name="Text Box 252">
          <a:extLst>
            <a:ext uri="{FF2B5EF4-FFF2-40B4-BE49-F238E27FC236}">
              <a16:creationId xmlns:a16="http://schemas.microsoft.com/office/drawing/2014/main" id="{00000000-0008-0000-0100-000058000000}"/>
            </a:ext>
          </a:extLst>
        </xdr:cNvPr>
        <xdr:cNvSpPr txBox="1">
          <a:spLocks noChangeArrowheads="1"/>
        </xdr:cNvSpPr>
      </xdr:nvSpPr>
      <xdr:spPr bwMode="auto">
        <a:xfrm>
          <a:off x="1873362" y="4205872"/>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107308</xdr:colOff>
      <xdr:row>16</xdr:row>
      <xdr:rowOff>99939</xdr:rowOff>
    </xdr:from>
    <xdr:to>
      <xdr:col>1</xdr:col>
      <xdr:colOff>502297</xdr:colOff>
      <xdr:row>17</xdr:row>
      <xdr:rowOff>158578</xdr:rowOff>
    </xdr:to>
    <xdr:sp macro="" textlink="">
      <xdr:nvSpPr>
        <xdr:cNvPr id="89" name="Text Box 255">
          <a:extLst>
            <a:ext uri="{FF2B5EF4-FFF2-40B4-BE49-F238E27FC236}">
              <a16:creationId xmlns:a16="http://schemas.microsoft.com/office/drawing/2014/main" id="{00000000-0008-0000-0100-000059000000}"/>
            </a:ext>
          </a:extLst>
        </xdr:cNvPr>
        <xdr:cNvSpPr txBox="1">
          <a:spLocks noChangeArrowheads="1"/>
        </xdr:cNvSpPr>
      </xdr:nvSpPr>
      <xdr:spPr bwMode="auto">
        <a:xfrm>
          <a:off x="698979" y="2825210"/>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694827</xdr:colOff>
      <xdr:row>15</xdr:row>
      <xdr:rowOff>10221</xdr:rowOff>
    </xdr:from>
    <xdr:to>
      <xdr:col>1</xdr:col>
      <xdr:colOff>962983</xdr:colOff>
      <xdr:row>16</xdr:row>
      <xdr:rowOff>61831</xdr:rowOff>
    </xdr:to>
    <xdr:sp macro="" textlink="">
      <xdr:nvSpPr>
        <xdr:cNvPr id="90" name="Text Box 256">
          <a:extLst>
            <a:ext uri="{FF2B5EF4-FFF2-40B4-BE49-F238E27FC236}">
              <a16:creationId xmlns:a16="http://schemas.microsoft.com/office/drawing/2014/main" id="{00000000-0008-0000-0100-00005A000000}"/>
            </a:ext>
          </a:extLst>
        </xdr:cNvPr>
        <xdr:cNvSpPr txBox="1">
          <a:spLocks noChangeArrowheads="1"/>
        </xdr:cNvSpPr>
      </xdr:nvSpPr>
      <xdr:spPr bwMode="auto">
        <a:xfrm>
          <a:off x="1286498" y="2565162"/>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129684</xdr:colOff>
      <xdr:row>10</xdr:row>
      <xdr:rowOff>76931</xdr:rowOff>
    </xdr:from>
    <xdr:to>
      <xdr:col>2</xdr:col>
      <xdr:colOff>444733</xdr:colOff>
      <xdr:row>11</xdr:row>
      <xdr:rowOff>149972</xdr:rowOff>
    </xdr:to>
    <xdr:sp macro="" textlink="">
      <xdr:nvSpPr>
        <xdr:cNvPr id="91" name="Text Box 257">
          <a:extLst>
            <a:ext uri="{FF2B5EF4-FFF2-40B4-BE49-F238E27FC236}">
              <a16:creationId xmlns:a16="http://schemas.microsoft.com/office/drawing/2014/main" id="{00000000-0008-0000-0100-00005B000000}"/>
            </a:ext>
          </a:extLst>
        </xdr:cNvPr>
        <xdr:cNvSpPr txBox="1">
          <a:spLocks noChangeArrowheads="1"/>
        </xdr:cNvSpPr>
      </xdr:nvSpPr>
      <xdr:spPr bwMode="auto">
        <a:xfrm>
          <a:off x="1743331" y="1780225"/>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708026</xdr:colOff>
      <xdr:row>10</xdr:row>
      <xdr:rowOff>57990</xdr:rowOff>
    </xdr:from>
    <xdr:to>
      <xdr:col>2</xdr:col>
      <xdr:colOff>25513</xdr:colOff>
      <xdr:row>11</xdr:row>
      <xdr:rowOff>137167</xdr:rowOff>
    </xdr:to>
    <xdr:sp macro="" textlink="">
      <xdr:nvSpPr>
        <xdr:cNvPr id="92" name="Text Box 258">
          <a:extLst>
            <a:ext uri="{FF2B5EF4-FFF2-40B4-BE49-F238E27FC236}">
              <a16:creationId xmlns:a16="http://schemas.microsoft.com/office/drawing/2014/main" id="{00000000-0008-0000-0100-00005C000000}"/>
            </a:ext>
          </a:extLst>
        </xdr:cNvPr>
        <xdr:cNvSpPr txBox="1">
          <a:spLocks noChangeArrowheads="1"/>
        </xdr:cNvSpPr>
      </xdr:nvSpPr>
      <xdr:spPr bwMode="auto">
        <a:xfrm>
          <a:off x="1299697" y="1761284"/>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1128604</xdr:colOff>
      <xdr:row>25</xdr:row>
      <xdr:rowOff>156815</xdr:rowOff>
    </xdr:from>
    <xdr:to>
      <xdr:col>6</xdr:col>
      <xdr:colOff>138095</xdr:colOff>
      <xdr:row>27</xdr:row>
      <xdr:rowOff>84729</xdr:rowOff>
    </xdr:to>
    <xdr:sp macro="" textlink="">
      <xdr:nvSpPr>
        <xdr:cNvPr id="93" name="Text Box 260">
          <a:extLst>
            <a:ext uri="{FF2B5EF4-FFF2-40B4-BE49-F238E27FC236}">
              <a16:creationId xmlns:a16="http://schemas.microsoft.com/office/drawing/2014/main" id="{00000000-0008-0000-0100-00005D000000}"/>
            </a:ext>
          </a:extLst>
        </xdr:cNvPr>
        <xdr:cNvSpPr txBox="1">
          <a:spLocks noChangeArrowheads="1"/>
        </xdr:cNvSpPr>
      </xdr:nvSpPr>
      <xdr:spPr bwMode="auto">
        <a:xfrm>
          <a:off x="6417780" y="4415050"/>
          <a:ext cx="416950" cy="26857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998007</xdr:colOff>
      <xdr:row>11</xdr:row>
      <xdr:rowOff>86242</xdr:rowOff>
    </xdr:from>
    <xdr:to>
      <xdr:col>2</xdr:col>
      <xdr:colOff>491860</xdr:colOff>
      <xdr:row>12</xdr:row>
      <xdr:rowOff>158628</xdr:rowOff>
    </xdr:to>
    <xdr:sp macro="" textlink="'Variable Management'!B254">
      <xdr:nvSpPr>
        <xdr:cNvPr id="94" name="Text Box 261">
          <a:extLst>
            <a:ext uri="{FF2B5EF4-FFF2-40B4-BE49-F238E27FC236}">
              <a16:creationId xmlns:a16="http://schemas.microsoft.com/office/drawing/2014/main" id="{00000000-0008-0000-0100-00005E000000}"/>
            </a:ext>
          </a:extLst>
        </xdr:cNvPr>
        <xdr:cNvSpPr txBox="1">
          <a:spLocks noChangeArrowheads="1" noTextEdit="1"/>
        </xdr:cNvSpPr>
      </xdr:nvSpPr>
      <xdr:spPr bwMode="auto">
        <a:xfrm>
          <a:off x="1589678" y="1959866"/>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3.9nF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138460</xdr:colOff>
      <xdr:row>15</xdr:row>
      <xdr:rowOff>10793</xdr:rowOff>
    </xdr:from>
    <xdr:to>
      <xdr:col>2</xdr:col>
      <xdr:colOff>610936</xdr:colOff>
      <xdr:row>16</xdr:row>
      <xdr:rowOff>64358</xdr:rowOff>
    </xdr:to>
    <xdr:sp macro="" textlink="'Variable Management'!B255">
      <xdr:nvSpPr>
        <xdr:cNvPr id="95" name="Text Box 262">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1752107" y="2565734"/>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68pF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567120</xdr:colOff>
      <xdr:row>11</xdr:row>
      <xdr:rowOff>105364</xdr:rowOff>
    </xdr:from>
    <xdr:to>
      <xdr:col>2</xdr:col>
      <xdr:colOff>85303</xdr:colOff>
      <xdr:row>12</xdr:row>
      <xdr:rowOff>166961</xdr:rowOff>
    </xdr:to>
    <xdr:sp macro="" textlink="'Variable Management'!B253">
      <xdr:nvSpPr>
        <xdr:cNvPr id="96" name="Text Box 263">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1158791" y="1978988"/>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4.87kΩ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389107</xdr:colOff>
      <xdr:row>18</xdr:row>
      <xdr:rowOff>3072</xdr:rowOff>
    </xdr:from>
    <xdr:to>
      <xdr:col>1</xdr:col>
      <xdr:colOff>408785</xdr:colOff>
      <xdr:row>19</xdr:row>
      <xdr:rowOff>70856</xdr:rowOff>
    </xdr:to>
    <xdr:sp macro="" textlink="'Variable Management'!B259">
      <xdr:nvSpPr>
        <xdr:cNvPr id="97" name="Text Box 264">
          <a:extLst>
            <a:ext uri="{FF2B5EF4-FFF2-40B4-BE49-F238E27FC236}">
              <a16:creationId xmlns:a16="http://schemas.microsoft.com/office/drawing/2014/main" id="{00000000-0008-0000-0100-000061000000}"/>
            </a:ext>
          </a:extLst>
        </xdr:cNvPr>
        <xdr:cNvSpPr txBox="1">
          <a:spLocks noChangeArrowheads="1" noTextEdit="1"/>
        </xdr:cNvSpPr>
      </xdr:nvSpPr>
      <xdr:spPr bwMode="auto">
        <a:xfrm>
          <a:off x="389107" y="3069001"/>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0.768kΩ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270918</xdr:colOff>
      <xdr:row>8</xdr:row>
      <xdr:rowOff>108745</xdr:rowOff>
    </xdr:from>
    <xdr:to>
      <xdr:col>1</xdr:col>
      <xdr:colOff>93342</xdr:colOff>
      <xdr:row>10</xdr:row>
      <xdr:rowOff>40595</xdr:rowOff>
    </xdr:to>
    <xdr:sp macro="" textlink="'Variable Management'!B256">
      <xdr:nvSpPr>
        <xdr:cNvPr id="98" name="Text Box 265">
          <a:extLst>
            <a:ext uri="{FF2B5EF4-FFF2-40B4-BE49-F238E27FC236}">
              <a16:creationId xmlns:a16="http://schemas.microsoft.com/office/drawing/2014/main" id="{00000000-0008-0000-0100-000062000000}"/>
            </a:ext>
          </a:extLst>
        </xdr:cNvPr>
        <xdr:cNvSpPr txBox="1">
          <a:spLocks noChangeArrowheads="1" noTextEdit="1"/>
        </xdr:cNvSpPr>
      </xdr:nvSpPr>
      <xdr:spPr bwMode="auto">
        <a:xfrm>
          <a:off x="270918" y="1471380"/>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36.5Ω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230831</xdr:colOff>
      <xdr:row>11</xdr:row>
      <xdr:rowOff>116103</xdr:rowOff>
    </xdr:from>
    <xdr:to>
      <xdr:col>1</xdr:col>
      <xdr:colOff>135623</xdr:colOff>
      <xdr:row>12</xdr:row>
      <xdr:rowOff>138919</xdr:rowOff>
    </xdr:to>
    <xdr:sp macro="" textlink="'Variable Management'!B257">
      <xdr:nvSpPr>
        <xdr:cNvPr id="99" name="Text Box 266">
          <a:extLst>
            <a:ext uri="{FF2B5EF4-FFF2-40B4-BE49-F238E27FC236}">
              <a16:creationId xmlns:a16="http://schemas.microsoft.com/office/drawing/2014/main" id="{00000000-0008-0000-0100-000063000000}"/>
            </a:ext>
          </a:extLst>
        </xdr:cNvPr>
        <xdr:cNvSpPr txBox="1">
          <a:spLocks noChangeArrowheads="1" noTextEdit="1"/>
        </xdr:cNvSpPr>
      </xdr:nvSpPr>
      <xdr:spPr bwMode="auto">
        <a:xfrm>
          <a:off x="230831" y="1989727"/>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560pF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126755</xdr:colOff>
      <xdr:row>19</xdr:row>
      <xdr:rowOff>36280</xdr:rowOff>
    </xdr:from>
    <xdr:to>
      <xdr:col>8</xdr:col>
      <xdr:colOff>816756</xdr:colOff>
      <xdr:row>20</xdr:row>
      <xdr:rowOff>112898</xdr:rowOff>
    </xdr:to>
    <xdr:sp macro="" textlink="'Variable Management'!E243">
      <xdr:nvSpPr>
        <xdr:cNvPr id="100" name="Text Box 267">
          <a:extLst>
            <a:ext uri="{FF2B5EF4-FFF2-40B4-BE49-F238E27FC236}">
              <a16:creationId xmlns:a16="http://schemas.microsoft.com/office/drawing/2014/main" id="{00000000-0008-0000-0100-000064000000}"/>
            </a:ext>
          </a:extLst>
        </xdr:cNvPr>
        <xdr:cNvSpPr txBox="1">
          <a:spLocks noChangeArrowheads="1" noTextEdit="1"/>
        </xdr:cNvSpPr>
      </xdr:nvSpPr>
      <xdr:spPr bwMode="auto">
        <a:xfrm>
          <a:off x="8589437" y="3272539"/>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2 x 10µF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589975</xdr:colOff>
      <xdr:row>8</xdr:row>
      <xdr:rowOff>102276</xdr:rowOff>
    </xdr:from>
    <xdr:to>
      <xdr:col>2</xdr:col>
      <xdr:colOff>122040</xdr:colOff>
      <xdr:row>10</xdr:row>
      <xdr:rowOff>71162</xdr:rowOff>
    </xdr:to>
    <xdr:sp macro="" textlink="'Variable Management'!B258">
      <xdr:nvSpPr>
        <xdr:cNvPr id="101" name="Text Box 268">
          <a:extLst>
            <a:ext uri="{FF2B5EF4-FFF2-40B4-BE49-F238E27FC236}">
              <a16:creationId xmlns:a16="http://schemas.microsoft.com/office/drawing/2014/main" id="{00000000-0008-0000-0100-000065000000}"/>
            </a:ext>
          </a:extLst>
        </xdr:cNvPr>
        <xdr:cNvSpPr txBox="1">
          <a:spLocks noChangeArrowheads="1" noTextEdit="1"/>
        </xdr:cNvSpPr>
      </xdr:nvSpPr>
      <xdr:spPr bwMode="auto">
        <a:xfrm>
          <a:off x="1181646" y="1464911"/>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5</xdr:col>
      <xdr:colOff>13758</xdr:colOff>
      <xdr:row>29</xdr:row>
      <xdr:rowOff>50650</xdr:rowOff>
    </xdr:from>
    <xdr:to>
      <xdr:col>5</xdr:col>
      <xdr:colOff>602357</xdr:colOff>
      <xdr:row>30</xdr:row>
      <xdr:rowOff>105786</xdr:rowOff>
    </xdr:to>
    <xdr:sp macro="" textlink="'Variable Management'!B268">
      <xdr:nvSpPr>
        <xdr:cNvPr id="102" name="Text Box 270">
          <a:extLst>
            <a:ext uri="{FF2B5EF4-FFF2-40B4-BE49-F238E27FC236}">
              <a16:creationId xmlns:a16="http://schemas.microsoft.com/office/drawing/2014/main" id="{00000000-0008-0000-0100-000066000000}"/>
            </a:ext>
          </a:extLst>
        </xdr:cNvPr>
        <xdr:cNvSpPr txBox="1">
          <a:spLocks noChangeArrowheads="1" noTextEdit="1"/>
        </xdr:cNvSpPr>
      </xdr:nvSpPr>
      <xdr:spPr bwMode="auto">
        <a:xfrm>
          <a:off x="5302934" y="4990203"/>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845Ω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353153</xdr:colOff>
      <xdr:row>15</xdr:row>
      <xdr:rowOff>5103</xdr:rowOff>
    </xdr:from>
    <xdr:to>
      <xdr:col>7</xdr:col>
      <xdr:colOff>814933</xdr:colOff>
      <xdr:row>16</xdr:row>
      <xdr:rowOff>111822</xdr:rowOff>
    </xdr:to>
    <xdr:sp macro="" textlink="'Variable Management'!B238">
      <xdr:nvSpPr>
        <xdr:cNvPr id="103" name="Text Box 275">
          <a:extLst>
            <a:ext uri="{FF2B5EF4-FFF2-40B4-BE49-F238E27FC236}">
              <a16:creationId xmlns:a16="http://schemas.microsoft.com/office/drawing/2014/main" id="{00000000-0008-0000-0100-000067000000}"/>
            </a:ext>
          </a:extLst>
        </xdr:cNvPr>
        <xdr:cNvSpPr txBox="1">
          <a:spLocks noChangeArrowheads="1" noTextEdit="1"/>
        </xdr:cNvSpPr>
      </xdr:nvSpPr>
      <xdr:spPr bwMode="auto">
        <a:xfrm>
          <a:off x="7713177" y="2560044"/>
          <a:ext cx="461780" cy="27704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5.6µH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215625</xdr:colOff>
      <xdr:row>19</xdr:row>
      <xdr:rowOff>29712</xdr:rowOff>
    </xdr:from>
    <xdr:to>
      <xdr:col>7</xdr:col>
      <xdr:colOff>853651</xdr:colOff>
      <xdr:row>20</xdr:row>
      <xdr:rowOff>97576</xdr:rowOff>
    </xdr:to>
    <xdr:sp macro="" textlink="'Variable Management'!E250">
      <xdr:nvSpPr>
        <xdr:cNvPr id="104" name="Text Box 276">
          <a:extLst>
            <a:ext uri="{FF2B5EF4-FFF2-40B4-BE49-F238E27FC236}">
              <a16:creationId xmlns:a16="http://schemas.microsoft.com/office/drawing/2014/main" id="{00000000-0008-0000-0100-000068000000}"/>
            </a:ext>
          </a:extLst>
        </xdr:cNvPr>
        <xdr:cNvSpPr txBox="1">
          <a:spLocks noChangeArrowheads="1" noTextEdit="1"/>
        </xdr:cNvSpPr>
      </xdr:nvSpPr>
      <xdr:spPr bwMode="auto">
        <a:xfrm>
          <a:off x="7575649" y="3265971"/>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5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900129</xdr:colOff>
      <xdr:row>7</xdr:row>
      <xdr:rowOff>20001</xdr:rowOff>
    </xdr:from>
    <xdr:to>
      <xdr:col>5</xdr:col>
      <xdr:colOff>1283534</xdr:colOff>
      <xdr:row>8</xdr:row>
      <xdr:rowOff>88717</xdr:rowOff>
    </xdr:to>
    <xdr:sp macro="" textlink="">
      <xdr:nvSpPr>
        <xdr:cNvPr id="105" name="Text Box 279">
          <a:extLst>
            <a:ext uri="{FF2B5EF4-FFF2-40B4-BE49-F238E27FC236}">
              <a16:creationId xmlns:a16="http://schemas.microsoft.com/office/drawing/2014/main" id="{00000000-0008-0000-0100-000069000000}"/>
            </a:ext>
          </a:extLst>
        </xdr:cNvPr>
        <xdr:cNvSpPr txBox="1">
          <a:spLocks noChangeArrowheads="1"/>
        </xdr:cNvSpPr>
      </xdr:nvSpPr>
      <xdr:spPr bwMode="auto">
        <a:xfrm>
          <a:off x="6189305" y="1212307"/>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640422</xdr:colOff>
      <xdr:row>11</xdr:row>
      <xdr:rowOff>120500</xdr:rowOff>
    </xdr:from>
    <xdr:to>
      <xdr:col>2</xdr:col>
      <xdr:colOff>994046</xdr:colOff>
      <xdr:row>13</xdr:row>
      <xdr:rowOff>18698</xdr:rowOff>
    </xdr:to>
    <xdr:sp macro="" textlink="'Variable Management'!B276">
      <xdr:nvSpPr>
        <xdr:cNvPr id="106" name="Text Box 281">
          <a:extLst>
            <a:ext uri="{FF2B5EF4-FFF2-40B4-BE49-F238E27FC236}">
              <a16:creationId xmlns:a16="http://schemas.microsoft.com/office/drawing/2014/main" id="{00000000-0008-0000-0100-00006A000000}"/>
            </a:ext>
          </a:extLst>
        </xdr:cNvPr>
        <xdr:cNvSpPr txBox="1">
          <a:spLocks noChangeArrowheads="1" noTextEdit="1"/>
        </xdr:cNvSpPr>
      </xdr:nvSpPr>
      <xdr:spPr bwMode="auto">
        <a:xfrm>
          <a:off x="2254069" y="1994124"/>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47nF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176832</xdr:colOff>
      <xdr:row>5</xdr:row>
      <xdr:rowOff>169298</xdr:rowOff>
    </xdr:from>
    <xdr:to>
      <xdr:col>7</xdr:col>
      <xdr:colOff>545172</xdr:colOff>
      <xdr:row>7</xdr:row>
      <xdr:rowOff>82169</xdr:rowOff>
    </xdr:to>
    <xdr:sp macro="" textlink="'Variable Management'!B280">
      <xdr:nvSpPr>
        <xdr:cNvPr id="107" name="Text Box 283">
          <a:extLst>
            <a:ext uri="{FF2B5EF4-FFF2-40B4-BE49-F238E27FC236}">
              <a16:creationId xmlns:a16="http://schemas.microsoft.com/office/drawing/2014/main" id="{00000000-0008-0000-0100-00006B000000}"/>
            </a:ext>
          </a:extLst>
        </xdr:cNvPr>
        <xdr:cNvSpPr txBox="1">
          <a:spLocks noChangeArrowheads="1" noTextEdit="1"/>
        </xdr:cNvSpPr>
      </xdr:nvSpPr>
      <xdr:spPr bwMode="auto">
        <a:xfrm>
          <a:off x="7536856" y="1020945"/>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48V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445671</xdr:colOff>
      <xdr:row>15</xdr:row>
      <xdr:rowOff>134106</xdr:rowOff>
    </xdr:from>
    <xdr:to>
      <xdr:col>8</xdr:col>
      <xdr:colOff>730475</xdr:colOff>
      <xdr:row>17</xdr:row>
      <xdr:rowOff>33768</xdr:rowOff>
    </xdr:to>
    <xdr:sp macro="" textlink="'Variable Management'!B241">
      <xdr:nvSpPr>
        <xdr:cNvPr id="108" name="Text Box 285">
          <a:extLst>
            <a:ext uri="{FF2B5EF4-FFF2-40B4-BE49-F238E27FC236}">
              <a16:creationId xmlns:a16="http://schemas.microsoft.com/office/drawing/2014/main" id="{00000000-0008-0000-0100-00006C000000}"/>
            </a:ext>
          </a:extLst>
        </xdr:cNvPr>
        <xdr:cNvSpPr txBox="1">
          <a:spLocks noChangeArrowheads="1" noTextEdit="1"/>
        </xdr:cNvSpPr>
      </xdr:nvSpPr>
      <xdr:spPr bwMode="auto">
        <a:xfrm>
          <a:off x="8908353" y="2689047"/>
          <a:ext cx="284804"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24V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386037</xdr:colOff>
      <xdr:row>17</xdr:row>
      <xdr:rowOff>8852</xdr:rowOff>
    </xdr:from>
    <xdr:to>
      <xdr:col>8</xdr:col>
      <xdr:colOff>856371</xdr:colOff>
      <xdr:row>18</xdr:row>
      <xdr:rowOff>82797</xdr:rowOff>
    </xdr:to>
    <xdr:sp macro="" textlink="'Variable Management'!B279">
      <xdr:nvSpPr>
        <xdr:cNvPr id="109" name="Text Box 286">
          <a:extLst>
            <a:ext uri="{FF2B5EF4-FFF2-40B4-BE49-F238E27FC236}">
              <a16:creationId xmlns:a16="http://schemas.microsoft.com/office/drawing/2014/main" id="{00000000-0008-0000-0100-00006D000000}"/>
            </a:ext>
          </a:extLst>
        </xdr:cNvPr>
        <xdr:cNvSpPr txBox="1">
          <a:spLocks noChangeArrowheads="1" noTextEdit="1"/>
        </xdr:cNvSpPr>
      </xdr:nvSpPr>
      <xdr:spPr bwMode="auto">
        <a:xfrm>
          <a:off x="8848719" y="2904452"/>
          <a:ext cx="47033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15A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231140</xdr:colOff>
      <xdr:row>24</xdr:row>
      <xdr:rowOff>117966</xdr:rowOff>
    </xdr:from>
    <xdr:to>
      <xdr:col>3</xdr:col>
      <xdr:colOff>450215</xdr:colOff>
      <xdr:row>24</xdr:row>
      <xdr:rowOff>117966</xdr:rowOff>
    </xdr:to>
    <xdr:sp macro="" textlink="'Variable Management'!B292">
      <xdr:nvSpPr>
        <xdr:cNvPr id="110" name="Text Box 299">
          <a:extLst>
            <a:ext uri="{FF2B5EF4-FFF2-40B4-BE49-F238E27FC236}">
              <a16:creationId xmlns:a16="http://schemas.microsoft.com/office/drawing/2014/main" id="{00000000-0008-0000-0100-00006E000000}"/>
            </a:ext>
          </a:extLst>
        </xdr:cNvPr>
        <xdr:cNvSpPr txBox="1">
          <a:spLocks noChangeArrowheads="1" noTextEdit="1"/>
        </xdr:cNvSpPr>
      </xdr:nvSpPr>
      <xdr:spPr bwMode="auto">
        <a:xfrm>
          <a:off x="2947446" y="4205872"/>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847054</xdr:colOff>
      <xdr:row>6</xdr:row>
      <xdr:rowOff>92318</xdr:rowOff>
    </xdr:from>
    <xdr:to>
      <xdr:col>3</xdr:col>
      <xdr:colOff>125722</xdr:colOff>
      <xdr:row>8</xdr:row>
      <xdr:rowOff>16225</xdr:rowOff>
    </xdr:to>
    <xdr:sp macro="" textlink="">
      <xdr:nvSpPr>
        <xdr:cNvPr id="111" name="Text Box 251">
          <a:extLst>
            <a:ext uri="{FF2B5EF4-FFF2-40B4-BE49-F238E27FC236}">
              <a16:creationId xmlns:a16="http://schemas.microsoft.com/office/drawing/2014/main" id="{00000000-0008-0000-0100-00006F000000}"/>
            </a:ext>
          </a:extLst>
        </xdr:cNvPr>
        <xdr:cNvSpPr txBox="1">
          <a:spLocks noChangeArrowheads="1"/>
        </xdr:cNvSpPr>
      </xdr:nvSpPr>
      <xdr:spPr bwMode="auto">
        <a:xfrm>
          <a:off x="2460701" y="1114294"/>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712335</xdr:colOff>
      <xdr:row>7</xdr:row>
      <xdr:rowOff>146387</xdr:rowOff>
    </xdr:from>
    <xdr:to>
      <xdr:col>3</xdr:col>
      <xdr:colOff>143038</xdr:colOff>
      <xdr:row>9</xdr:row>
      <xdr:rowOff>52482</xdr:rowOff>
    </xdr:to>
    <xdr:sp macro="" textlink="'Variable Management'!B275">
      <xdr:nvSpPr>
        <xdr:cNvPr id="112" name="Text Box 281">
          <a:extLst>
            <a:ext uri="{FF2B5EF4-FFF2-40B4-BE49-F238E27FC236}">
              <a16:creationId xmlns:a16="http://schemas.microsoft.com/office/drawing/2014/main" id="{00000000-0008-0000-0100-000070000000}"/>
            </a:ext>
          </a:extLst>
        </xdr:cNvPr>
        <xdr:cNvSpPr txBox="1">
          <a:spLocks noChangeArrowheads="1" noTextEdit="1"/>
        </xdr:cNvSpPr>
      </xdr:nvSpPr>
      <xdr:spPr bwMode="auto">
        <a:xfrm>
          <a:off x="2325982" y="1338693"/>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10kΩ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874930</xdr:colOff>
      <xdr:row>6</xdr:row>
      <xdr:rowOff>885</xdr:rowOff>
    </xdr:from>
    <xdr:to>
      <xdr:col>5</xdr:col>
      <xdr:colOff>1278873</xdr:colOff>
      <xdr:row>7</xdr:row>
      <xdr:rowOff>59477</xdr:rowOff>
    </xdr:to>
    <xdr:sp macro="" textlink="">
      <xdr:nvSpPr>
        <xdr:cNvPr id="113" name="Text Box 247">
          <a:extLst>
            <a:ext uri="{FF2B5EF4-FFF2-40B4-BE49-F238E27FC236}">
              <a16:creationId xmlns:a16="http://schemas.microsoft.com/office/drawing/2014/main" id="{00000000-0008-0000-0100-000071000000}"/>
            </a:ext>
          </a:extLst>
        </xdr:cNvPr>
        <xdr:cNvSpPr txBox="1">
          <a:spLocks noChangeArrowheads="1"/>
        </xdr:cNvSpPr>
      </xdr:nvSpPr>
      <xdr:spPr bwMode="auto">
        <a:xfrm>
          <a:off x="6164106" y="1022861"/>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348967</xdr:colOff>
      <xdr:row>15</xdr:row>
      <xdr:rowOff>107494</xdr:rowOff>
    </xdr:from>
    <xdr:to>
      <xdr:col>7</xdr:col>
      <xdr:colOff>4613</xdr:colOff>
      <xdr:row>17</xdr:row>
      <xdr:rowOff>69361</xdr:rowOff>
    </xdr:to>
    <xdr:sp macro="" textlink="">
      <xdr:nvSpPr>
        <xdr:cNvPr id="114" name="Text Box 244">
          <a:extLst>
            <a:ext uri="{FF2B5EF4-FFF2-40B4-BE49-F238E27FC236}">
              <a16:creationId xmlns:a16="http://schemas.microsoft.com/office/drawing/2014/main" id="{00000000-0008-0000-0100-000072000000}"/>
            </a:ext>
          </a:extLst>
        </xdr:cNvPr>
        <xdr:cNvSpPr txBox="1">
          <a:spLocks noChangeArrowheads="1"/>
        </xdr:cNvSpPr>
      </xdr:nvSpPr>
      <xdr:spPr bwMode="auto">
        <a:xfrm>
          <a:off x="7045602" y="2662435"/>
          <a:ext cx="319035" cy="30252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297622</xdr:colOff>
      <xdr:row>9</xdr:row>
      <xdr:rowOff>115569</xdr:rowOff>
    </xdr:from>
    <xdr:to>
      <xdr:col>6</xdr:col>
      <xdr:colOff>620467</xdr:colOff>
      <xdr:row>11</xdr:row>
      <xdr:rowOff>50049</xdr:rowOff>
    </xdr:to>
    <xdr:sp macro="" textlink="">
      <xdr:nvSpPr>
        <xdr:cNvPr id="115" name="Text Box 244">
          <a:extLst>
            <a:ext uri="{FF2B5EF4-FFF2-40B4-BE49-F238E27FC236}">
              <a16:creationId xmlns:a16="http://schemas.microsoft.com/office/drawing/2014/main" id="{00000000-0008-0000-0100-000073000000}"/>
            </a:ext>
          </a:extLst>
        </xdr:cNvPr>
        <xdr:cNvSpPr txBox="1">
          <a:spLocks noChangeArrowheads="1"/>
        </xdr:cNvSpPr>
      </xdr:nvSpPr>
      <xdr:spPr bwMode="auto">
        <a:xfrm>
          <a:off x="6994257" y="1648534"/>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652346</xdr:colOff>
      <xdr:row>2</xdr:row>
      <xdr:rowOff>57135</xdr:rowOff>
    </xdr:from>
    <xdr:to>
      <xdr:col>3</xdr:col>
      <xdr:colOff>1221208</xdr:colOff>
      <xdr:row>3</xdr:row>
      <xdr:rowOff>110510</xdr:rowOff>
    </xdr:to>
    <xdr:sp macro="" textlink="'Variable Management'!G98">
      <xdr:nvSpPr>
        <xdr:cNvPr id="116" name="Text Box 264">
          <a:extLst>
            <a:ext uri="{FF2B5EF4-FFF2-40B4-BE49-F238E27FC236}">
              <a16:creationId xmlns:a16="http://schemas.microsoft.com/office/drawing/2014/main" id="{00000000-0008-0000-0100-000074000000}"/>
            </a:ext>
          </a:extLst>
        </xdr:cNvPr>
        <xdr:cNvSpPr txBox="1">
          <a:spLocks noChangeArrowheads="1" noTextEdit="1"/>
        </xdr:cNvSpPr>
      </xdr:nvSpPr>
      <xdr:spPr bwMode="auto">
        <a:xfrm>
          <a:off x="3368652" y="397794"/>
          <a:ext cx="568862"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8.25kΩ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824727</xdr:colOff>
      <xdr:row>1</xdr:row>
      <xdr:rowOff>17156</xdr:rowOff>
    </xdr:from>
    <xdr:to>
      <xdr:col>3</xdr:col>
      <xdr:colOff>1245796</xdr:colOff>
      <xdr:row>2</xdr:row>
      <xdr:rowOff>56518</xdr:rowOff>
    </xdr:to>
    <xdr:sp macro="" textlink="">
      <xdr:nvSpPr>
        <xdr:cNvPr id="117" name="Text Box 255">
          <a:extLst>
            <a:ext uri="{FF2B5EF4-FFF2-40B4-BE49-F238E27FC236}">
              <a16:creationId xmlns:a16="http://schemas.microsoft.com/office/drawing/2014/main" id="{00000000-0008-0000-0100-000075000000}"/>
            </a:ext>
          </a:extLst>
        </xdr:cNvPr>
        <xdr:cNvSpPr txBox="1">
          <a:spLocks noChangeArrowheads="1"/>
        </xdr:cNvSpPr>
      </xdr:nvSpPr>
      <xdr:spPr bwMode="auto">
        <a:xfrm>
          <a:off x="3541033" y="187485"/>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4</xdr:col>
      <xdr:colOff>21211</xdr:colOff>
      <xdr:row>2</xdr:row>
      <xdr:rowOff>46882</xdr:rowOff>
    </xdr:from>
    <xdr:to>
      <xdr:col>4</xdr:col>
      <xdr:colOff>606573</xdr:colOff>
      <xdr:row>3</xdr:row>
      <xdr:rowOff>92545</xdr:rowOff>
    </xdr:to>
    <xdr:sp macro="" textlink="'Variable Management'!G97">
      <xdr:nvSpPr>
        <xdr:cNvPr id="118" name="Text Box 264">
          <a:extLst>
            <a:ext uri="{FF2B5EF4-FFF2-40B4-BE49-F238E27FC236}">
              <a16:creationId xmlns:a16="http://schemas.microsoft.com/office/drawing/2014/main" id="{00000000-0008-0000-0100-000076000000}"/>
            </a:ext>
          </a:extLst>
        </xdr:cNvPr>
        <xdr:cNvSpPr txBox="1">
          <a:spLocks noChangeArrowheads="1" noTextEdit="1"/>
        </xdr:cNvSpPr>
      </xdr:nvSpPr>
      <xdr:spPr bwMode="auto">
        <a:xfrm>
          <a:off x="4118082" y="387541"/>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151933</xdr:colOff>
      <xdr:row>1</xdr:row>
      <xdr:rowOff>0</xdr:rowOff>
    </xdr:from>
    <xdr:to>
      <xdr:col>4</xdr:col>
      <xdr:colOff>586239</xdr:colOff>
      <xdr:row>2</xdr:row>
      <xdr:rowOff>46752</xdr:rowOff>
    </xdr:to>
    <xdr:sp macro="" textlink="">
      <xdr:nvSpPr>
        <xdr:cNvPr id="119" name="Text Box 255">
          <a:extLst>
            <a:ext uri="{FF2B5EF4-FFF2-40B4-BE49-F238E27FC236}">
              <a16:creationId xmlns:a16="http://schemas.microsoft.com/office/drawing/2014/main" id="{00000000-0008-0000-0100-000077000000}"/>
            </a:ext>
          </a:extLst>
        </xdr:cNvPr>
        <xdr:cNvSpPr txBox="1">
          <a:spLocks noChangeArrowheads="1"/>
        </xdr:cNvSpPr>
      </xdr:nvSpPr>
      <xdr:spPr bwMode="auto">
        <a:xfrm>
          <a:off x="4248804" y="170329"/>
          <a:ext cx="434306"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327293</xdr:colOff>
      <xdr:row>16</xdr:row>
      <xdr:rowOff>46385</xdr:rowOff>
    </xdr:from>
    <xdr:to>
      <xdr:col>7</xdr:col>
      <xdr:colOff>849121</xdr:colOff>
      <xdr:row>17</xdr:row>
      <xdr:rowOff>147672</xdr:rowOff>
    </xdr:to>
    <xdr:sp macro="" textlink="'Variable Management'!B239">
      <xdr:nvSpPr>
        <xdr:cNvPr id="120" name="Text Box 275">
          <a:extLst>
            <a:ext uri="{FF2B5EF4-FFF2-40B4-BE49-F238E27FC236}">
              <a16:creationId xmlns:a16="http://schemas.microsoft.com/office/drawing/2014/main" id="{00000000-0008-0000-0100-000078000000}"/>
            </a:ext>
          </a:extLst>
        </xdr:cNvPr>
        <xdr:cNvSpPr txBox="1">
          <a:spLocks noChangeArrowheads="1" noTextEdit="1"/>
        </xdr:cNvSpPr>
      </xdr:nvSpPr>
      <xdr:spPr bwMode="auto">
        <a:xfrm>
          <a:off x="7687317" y="2771656"/>
          <a:ext cx="521828" cy="271616"/>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6mΩ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137954</xdr:colOff>
      <xdr:row>26</xdr:row>
      <xdr:rowOff>143208</xdr:rowOff>
    </xdr:from>
    <xdr:to>
      <xdr:col>4</xdr:col>
      <xdr:colOff>645592</xdr:colOff>
      <xdr:row>28</xdr:row>
      <xdr:rowOff>39020</xdr:rowOff>
    </xdr:to>
    <xdr:sp macro="" textlink="">
      <xdr:nvSpPr>
        <xdr:cNvPr id="121" name="Text Box 245">
          <a:extLst>
            <a:ext uri="{FF2B5EF4-FFF2-40B4-BE49-F238E27FC236}">
              <a16:creationId xmlns:a16="http://schemas.microsoft.com/office/drawing/2014/main" id="{00000000-0008-0000-0100-000079000000}"/>
            </a:ext>
          </a:extLst>
        </xdr:cNvPr>
        <xdr:cNvSpPr txBox="1">
          <a:spLocks noChangeArrowheads="1"/>
        </xdr:cNvSpPr>
      </xdr:nvSpPr>
      <xdr:spPr bwMode="auto">
        <a:xfrm>
          <a:off x="4234825" y="4571773"/>
          <a:ext cx="507638"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155302</xdr:colOff>
      <xdr:row>27</xdr:row>
      <xdr:rowOff>160736</xdr:rowOff>
    </xdr:from>
    <xdr:to>
      <xdr:col>4</xdr:col>
      <xdr:colOff>791059</xdr:colOff>
      <xdr:row>29</xdr:row>
      <xdr:rowOff>69472</xdr:rowOff>
    </xdr:to>
    <xdr:sp macro="" textlink="'Variable Management'!B274">
      <xdr:nvSpPr>
        <xdr:cNvPr id="122" name="Text Box 281">
          <a:extLst>
            <a:ext uri="{FF2B5EF4-FFF2-40B4-BE49-F238E27FC236}">
              <a16:creationId xmlns:a16="http://schemas.microsoft.com/office/drawing/2014/main" id="{00000000-0008-0000-0100-00007A000000}"/>
            </a:ext>
          </a:extLst>
        </xdr:cNvPr>
        <xdr:cNvSpPr txBox="1">
          <a:spLocks noChangeArrowheads="1" noTextEdit="1"/>
        </xdr:cNvSpPr>
      </xdr:nvSpPr>
      <xdr:spPr bwMode="auto">
        <a:xfrm>
          <a:off x="4252173" y="4759630"/>
          <a:ext cx="635757"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357031</xdr:colOff>
      <xdr:row>21</xdr:row>
      <xdr:rowOff>79102</xdr:rowOff>
    </xdr:from>
    <xdr:to>
      <xdr:col>7</xdr:col>
      <xdr:colOff>267329</xdr:colOff>
      <xdr:row>23</xdr:row>
      <xdr:rowOff>43439</xdr:rowOff>
    </xdr:to>
    <xdr:sp macro="" textlink="'Variable Management'!B269">
      <xdr:nvSpPr>
        <xdr:cNvPr id="123" name="Text Box 270">
          <a:extLst>
            <a:ext uri="{FF2B5EF4-FFF2-40B4-BE49-F238E27FC236}">
              <a16:creationId xmlns:a16="http://schemas.microsoft.com/office/drawing/2014/main" id="{00000000-0008-0000-0100-00007B000000}"/>
            </a:ext>
          </a:extLst>
        </xdr:cNvPr>
        <xdr:cNvSpPr txBox="1">
          <a:spLocks noChangeArrowheads="1" noTextEdit="1"/>
        </xdr:cNvSpPr>
      </xdr:nvSpPr>
      <xdr:spPr bwMode="auto">
        <a:xfrm>
          <a:off x="7053666" y="3656020"/>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421801</xdr:colOff>
      <xdr:row>20</xdr:row>
      <xdr:rowOff>32038</xdr:rowOff>
    </xdr:from>
    <xdr:to>
      <xdr:col>7</xdr:col>
      <xdr:colOff>332099</xdr:colOff>
      <xdr:row>21</xdr:row>
      <xdr:rowOff>87887</xdr:rowOff>
    </xdr:to>
    <xdr:sp macro="" textlink="'Variable Management'!A269">
      <xdr:nvSpPr>
        <xdr:cNvPr id="124" name="Text Box 270">
          <a:extLst>
            <a:ext uri="{FF2B5EF4-FFF2-40B4-BE49-F238E27FC236}">
              <a16:creationId xmlns:a16="http://schemas.microsoft.com/office/drawing/2014/main" id="{00000000-0008-0000-0100-00007C000000}"/>
            </a:ext>
          </a:extLst>
        </xdr:cNvPr>
        <xdr:cNvSpPr txBox="1">
          <a:spLocks noChangeArrowheads="1" noTextEdit="1"/>
        </xdr:cNvSpPr>
      </xdr:nvSpPr>
      <xdr:spPr bwMode="auto">
        <a:xfrm>
          <a:off x="7118436" y="3438626"/>
          <a:ext cx="573687" cy="226179"/>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398736</xdr:colOff>
      <xdr:row>29</xdr:row>
      <xdr:rowOff>4767</xdr:rowOff>
    </xdr:from>
    <xdr:to>
      <xdr:col>4</xdr:col>
      <xdr:colOff>883507</xdr:colOff>
      <xdr:row>30</xdr:row>
      <xdr:rowOff>107441</xdr:rowOff>
    </xdr:to>
    <xdr:sp macro="" textlink="'Variable Management'!A270">
      <xdr:nvSpPr>
        <xdr:cNvPr id="125" name="Text Box 231">
          <a:extLst>
            <a:ext uri="{FF2B5EF4-FFF2-40B4-BE49-F238E27FC236}">
              <a16:creationId xmlns:a16="http://schemas.microsoft.com/office/drawing/2014/main" id="{00000000-0008-0000-0100-00007D000000}"/>
            </a:ext>
          </a:extLst>
        </xdr:cNvPr>
        <xdr:cNvSpPr txBox="1">
          <a:spLocks noChangeArrowheads="1"/>
        </xdr:cNvSpPr>
      </xdr:nvSpPr>
      <xdr:spPr bwMode="auto">
        <a:xfrm>
          <a:off x="4495607" y="4944320"/>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390929</xdr:colOff>
      <xdr:row>30</xdr:row>
      <xdr:rowOff>50182</xdr:rowOff>
    </xdr:from>
    <xdr:to>
      <xdr:col>4</xdr:col>
      <xdr:colOff>974228</xdr:colOff>
      <xdr:row>31</xdr:row>
      <xdr:rowOff>105316</xdr:rowOff>
    </xdr:to>
    <xdr:sp macro="" textlink="'Variable Management'!B270">
      <xdr:nvSpPr>
        <xdr:cNvPr id="126" name="Text Box 270">
          <a:extLst>
            <a:ext uri="{FF2B5EF4-FFF2-40B4-BE49-F238E27FC236}">
              <a16:creationId xmlns:a16="http://schemas.microsoft.com/office/drawing/2014/main" id="{00000000-0008-0000-0100-00007E000000}"/>
            </a:ext>
          </a:extLst>
        </xdr:cNvPr>
        <xdr:cNvSpPr txBox="1">
          <a:spLocks noChangeArrowheads="1" noTextEdit="1"/>
        </xdr:cNvSpPr>
      </xdr:nvSpPr>
      <xdr:spPr bwMode="auto">
        <a:xfrm>
          <a:off x="4487800" y="5160064"/>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4.7pF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170959</xdr:colOff>
      <xdr:row>7</xdr:row>
      <xdr:rowOff>70700</xdr:rowOff>
    </xdr:from>
    <xdr:to>
      <xdr:col>8</xdr:col>
      <xdr:colOff>216681</xdr:colOff>
      <xdr:row>8</xdr:row>
      <xdr:rowOff>141437</xdr:rowOff>
    </xdr:to>
    <xdr:sp macro="" textlink="'Variable Management'!B281">
      <xdr:nvSpPr>
        <xdr:cNvPr id="127" name="Text Box 283">
          <a:extLst>
            <a:ext uri="{FF2B5EF4-FFF2-40B4-BE49-F238E27FC236}">
              <a16:creationId xmlns:a16="http://schemas.microsoft.com/office/drawing/2014/main" id="{00000000-0008-0000-0100-00007F000000}"/>
            </a:ext>
          </a:extLst>
        </xdr:cNvPr>
        <xdr:cNvSpPr txBox="1">
          <a:spLocks noChangeArrowheads="1" noTextEdit="1"/>
        </xdr:cNvSpPr>
      </xdr:nvSpPr>
      <xdr:spPr bwMode="auto">
        <a:xfrm>
          <a:off x="7530983" y="1263006"/>
          <a:ext cx="1148380" cy="241066"/>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36V to 85V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1205950</xdr:colOff>
      <xdr:row>14</xdr:row>
      <xdr:rowOff>148053</xdr:rowOff>
    </xdr:from>
    <xdr:to>
      <xdr:col>4</xdr:col>
      <xdr:colOff>941146</xdr:colOff>
      <xdr:row>16</xdr:row>
      <xdr:rowOff>168094</xdr:rowOff>
    </xdr:to>
    <xdr:sp macro="" textlink="'Variable Management'!U12">
      <xdr:nvSpPr>
        <xdr:cNvPr id="128" name="Text Box 24">
          <a:extLst>
            <a:ext uri="{FF2B5EF4-FFF2-40B4-BE49-F238E27FC236}">
              <a16:creationId xmlns:a16="http://schemas.microsoft.com/office/drawing/2014/main" id="{00000000-0008-0000-0100-000080000000}"/>
            </a:ext>
          </a:extLst>
        </xdr:cNvPr>
        <xdr:cNvSpPr txBox="1">
          <a:spLocks noChangeArrowheads="1" noTextEdit="1"/>
        </xdr:cNvSpPr>
      </xdr:nvSpPr>
      <xdr:spPr bwMode="auto">
        <a:xfrm>
          <a:off x="3922256" y="2532665"/>
          <a:ext cx="1115761"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LM5146</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219075</xdr:colOff>
          <xdr:row>10</xdr:row>
          <xdr:rowOff>114300</xdr:rowOff>
        </xdr:from>
        <xdr:to>
          <xdr:col>16</xdr:col>
          <xdr:colOff>28575</xdr:colOff>
          <xdr:row>31</xdr:row>
          <xdr:rowOff>123825</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2</xdr:col>
      <xdr:colOff>22859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22859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4" zoomScale="130" zoomScaleNormal="130" zoomScaleSheetLayoutView="100" workbookViewId="0">
      <selection activeCell="E9" sqref="E9"/>
    </sheetView>
  </sheetViews>
  <sheetFormatPr defaultColWidth="9.140625" defaultRowHeight="12.75" x14ac:dyDescent="0.2"/>
  <cols>
    <col min="1" max="1" width="8.28515625" style="276" customWidth="1"/>
    <col min="2" max="2" width="8.28515625" style="123" customWidth="1"/>
    <col min="3" max="3" width="14.5703125" style="123" customWidth="1"/>
    <col min="4" max="4" width="8" style="123" customWidth="1"/>
    <col min="5" max="5" width="7" style="123" customWidth="1"/>
    <col min="6" max="6" width="8.28515625" style="123" customWidth="1"/>
    <col min="7" max="7" width="9.140625" style="123" customWidth="1"/>
    <col min="8" max="8" width="11.85546875" style="123" customWidth="1"/>
    <col min="9" max="9" width="9.140625" style="123"/>
    <col min="10" max="10" width="12.42578125" style="123" bestFit="1" customWidth="1"/>
    <col min="11" max="11" width="9.140625" style="123"/>
    <col min="12" max="12" width="12.42578125" style="123" bestFit="1" customWidth="1"/>
    <col min="13" max="15" width="9.140625" style="123"/>
    <col min="16" max="16" width="10.140625" style="123" customWidth="1"/>
    <col min="17" max="17" width="41.85546875" style="123" customWidth="1"/>
    <col min="18" max="18" width="3.140625" style="123" customWidth="1"/>
    <col min="19" max="19" width="10" style="123" bestFit="1" customWidth="1"/>
    <col min="20" max="16384" width="9.140625" style="123"/>
  </cols>
  <sheetData>
    <row r="1" spans="1:18" ht="50.25" customHeight="1" x14ac:dyDescent="0.2">
      <c r="A1" s="516" t="s">
        <v>739</v>
      </c>
      <c r="B1" s="517"/>
      <c r="C1" s="517"/>
      <c r="D1" s="517"/>
      <c r="E1" s="517"/>
      <c r="F1" s="517"/>
      <c r="G1" s="517"/>
      <c r="H1" s="517"/>
      <c r="I1" s="517"/>
      <c r="J1" s="517"/>
      <c r="K1" s="517"/>
      <c r="L1" s="517"/>
      <c r="M1" s="517"/>
      <c r="N1" s="517"/>
      <c r="O1" s="517"/>
      <c r="P1" s="517"/>
      <c r="Q1" s="517"/>
      <c r="R1" s="364"/>
    </row>
    <row r="2" spans="1:18" ht="13.5" customHeight="1" x14ac:dyDescent="0.45">
      <c r="A2" s="490"/>
      <c r="B2" s="368"/>
      <c r="C2" s="368"/>
      <c r="D2" s="368"/>
      <c r="E2" s="368"/>
      <c r="F2" s="368"/>
      <c r="G2" s="368"/>
      <c r="H2" s="368"/>
      <c r="I2" s="368"/>
      <c r="J2" s="368"/>
      <c r="K2" s="368"/>
      <c r="L2" s="368"/>
      <c r="M2" s="479"/>
      <c r="N2" s="484"/>
      <c r="O2" s="485"/>
      <c r="P2" s="484"/>
      <c r="Q2" s="484"/>
      <c r="R2" s="364"/>
    </row>
    <row r="3" spans="1:18" ht="14.25" customHeight="1" x14ac:dyDescent="0.45">
      <c r="A3" s="378" t="s">
        <v>474</v>
      </c>
      <c r="B3" s="369"/>
      <c r="C3" s="379" t="s">
        <v>475</v>
      </c>
      <c r="D3" s="370"/>
      <c r="E3" s="177"/>
      <c r="F3" s="372" t="s">
        <v>284</v>
      </c>
      <c r="G3" s="371"/>
      <c r="H3" s="368"/>
      <c r="I3" s="368"/>
      <c r="J3" s="371"/>
      <c r="K3" s="373"/>
      <c r="L3" s="374"/>
      <c r="M3" s="480"/>
      <c r="N3" s="488"/>
      <c r="O3" s="515" t="s">
        <v>117</v>
      </c>
      <c r="P3" s="515"/>
      <c r="Q3" s="364" t="s">
        <v>319</v>
      </c>
      <c r="R3" s="364"/>
    </row>
    <row r="4" spans="1:18" ht="13.5" customHeight="1" thickBot="1" x14ac:dyDescent="0.35">
      <c r="A4" s="375"/>
      <c r="B4" s="376"/>
      <c r="C4" s="377"/>
      <c r="D4" s="377"/>
      <c r="E4" s="377"/>
      <c r="F4" s="377"/>
      <c r="G4" s="377"/>
      <c r="H4" s="377"/>
      <c r="I4" s="377"/>
      <c r="J4" s="377"/>
      <c r="K4" s="377"/>
      <c r="L4" s="377"/>
      <c r="M4" s="481"/>
      <c r="N4" s="486"/>
      <c r="O4" s="486"/>
      <c r="P4" s="486"/>
      <c r="Q4" s="487"/>
      <c r="R4" s="364"/>
    </row>
    <row r="5" spans="1:18" ht="20.100000000000001" customHeight="1" thickBot="1" x14ac:dyDescent="0.35">
      <c r="A5" s="214" t="s">
        <v>440</v>
      </c>
      <c r="B5" s="176"/>
      <c r="C5" s="124"/>
      <c r="D5" s="124"/>
      <c r="E5" s="126"/>
      <c r="F5" s="124"/>
      <c r="G5" s="160"/>
      <c r="H5" s="127"/>
      <c r="I5" s="127"/>
      <c r="J5" s="127"/>
      <c r="K5" s="127"/>
      <c r="L5" s="127"/>
      <c r="M5" s="482"/>
      <c r="N5" s="482"/>
      <c r="O5" s="482"/>
      <c r="P5" s="482"/>
      <c r="Q5" s="483"/>
      <c r="R5" s="364"/>
    </row>
    <row r="6" spans="1:18" ht="14.1" customHeight="1" x14ac:dyDescent="0.25">
      <c r="A6" s="271"/>
      <c r="B6" s="224"/>
      <c r="C6" s="225"/>
      <c r="D6" s="226" t="s">
        <v>564</v>
      </c>
      <c r="E6" s="227">
        <v>36</v>
      </c>
      <c r="F6" s="228" t="s">
        <v>0</v>
      </c>
      <c r="G6" s="186"/>
      <c r="H6" s="184"/>
      <c r="I6" s="127"/>
      <c r="J6" s="127"/>
      <c r="K6" s="127"/>
      <c r="L6" s="127"/>
      <c r="M6" s="127"/>
      <c r="N6" s="127"/>
      <c r="O6" s="127"/>
      <c r="P6" s="127"/>
      <c r="Q6" s="159"/>
      <c r="R6" s="364"/>
    </row>
    <row r="7" spans="1:18" ht="14.1" customHeight="1" x14ac:dyDescent="0.25">
      <c r="A7" s="381"/>
      <c r="B7" s="184"/>
      <c r="C7" s="181"/>
      <c r="D7" s="219" t="s">
        <v>565</v>
      </c>
      <c r="E7" s="185">
        <v>48</v>
      </c>
      <c r="F7" s="229" t="s">
        <v>0</v>
      </c>
      <c r="G7" s="186"/>
      <c r="H7" s="184"/>
      <c r="I7" s="127"/>
      <c r="J7" s="127"/>
      <c r="K7" s="127"/>
      <c r="L7" s="127"/>
      <c r="M7" s="127"/>
      <c r="N7" s="127"/>
      <c r="O7" s="127"/>
      <c r="P7" s="127"/>
      <c r="Q7" s="159"/>
      <c r="R7" s="364"/>
    </row>
    <row r="8" spans="1:18" ht="14.1" customHeight="1" x14ac:dyDescent="0.25">
      <c r="A8" s="381"/>
      <c r="B8" s="184"/>
      <c r="C8" s="181"/>
      <c r="D8" s="219" t="s">
        <v>566</v>
      </c>
      <c r="E8" s="185">
        <v>85</v>
      </c>
      <c r="F8" s="229" t="s">
        <v>0</v>
      </c>
      <c r="G8" s="186"/>
      <c r="H8" s="184"/>
      <c r="I8" s="127"/>
      <c r="J8" s="127"/>
      <c r="K8" s="127"/>
      <c r="L8" s="127"/>
      <c r="M8" s="127"/>
      <c r="N8" s="127"/>
      <c r="O8" s="127"/>
      <c r="P8" s="127"/>
      <c r="Q8" s="159"/>
      <c r="R8" s="364"/>
    </row>
    <row r="9" spans="1:18" ht="14.1" customHeight="1" x14ac:dyDescent="0.25">
      <c r="A9" s="183"/>
      <c r="B9" s="184"/>
      <c r="C9" s="181"/>
      <c r="D9" s="219" t="s">
        <v>560</v>
      </c>
      <c r="E9" s="185">
        <v>24</v>
      </c>
      <c r="F9" s="229" t="s">
        <v>0</v>
      </c>
      <c r="G9" s="186"/>
      <c r="H9" s="184"/>
      <c r="I9" s="127"/>
      <c r="J9" s="127"/>
      <c r="K9" s="127"/>
      <c r="L9" s="127"/>
      <c r="M9" s="127"/>
      <c r="N9" s="127"/>
      <c r="O9" s="127"/>
      <c r="P9" s="127"/>
      <c r="Q9" s="159"/>
      <c r="R9" s="364"/>
    </row>
    <row r="10" spans="1:18" ht="14.1" customHeight="1" x14ac:dyDescent="0.25">
      <c r="A10" s="183"/>
      <c r="B10" s="184"/>
      <c r="C10" s="181"/>
      <c r="D10" s="219" t="s">
        <v>559</v>
      </c>
      <c r="E10" s="185">
        <v>15</v>
      </c>
      <c r="F10" s="229" t="s">
        <v>2</v>
      </c>
      <c r="G10" s="186"/>
      <c r="H10" s="184"/>
      <c r="I10" s="127"/>
      <c r="J10" s="127"/>
      <c r="K10" s="127"/>
      <c r="L10" s="127"/>
      <c r="M10" s="127"/>
      <c r="N10" s="127"/>
      <c r="O10" s="127"/>
      <c r="P10" s="127"/>
      <c r="Q10" s="159"/>
      <c r="R10" s="364"/>
    </row>
    <row r="11" spans="1:18" ht="14.1" customHeight="1" x14ac:dyDescent="0.25">
      <c r="A11" s="183"/>
      <c r="B11" s="184"/>
      <c r="C11" s="181"/>
      <c r="D11" s="219" t="s">
        <v>616</v>
      </c>
      <c r="E11" s="187">
        <v>1000</v>
      </c>
      <c r="F11" s="229" t="s">
        <v>3</v>
      </c>
      <c r="G11" s="186"/>
      <c r="H11" s="184"/>
      <c r="I11" s="127"/>
      <c r="J11" s="127"/>
      <c r="K11" s="127"/>
      <c r="L11" s="127"/>
      <c r="M11" s="127"/>
      <c r="N11" s="127"/>
      <c r="O11" s="127"/>
      <c r="P11" s="127"/>
      <c r="Q11" s="159"/>
      <c r="R11" s="364"/>
    </row>
    <row r="12" spans="1:18" ht="14.1" customHeight="1" x14ac:dyDescent="0.25">
      <c r="A12" s="183"/>
      <c r="B12" s="184"/>
      <c r="C12" s="181"/>
      <c r="D12" s="219" t="s">
        <v>617</v>
      </c>
      <c r="E12" s="187">
        <v>1000</v>
      </c>
      <c r="F12" s="229" t="s">
        <v>3</v>
      </c>
      <c r="G12" s="188"/>
      <c r="H12" s="184"/>
      <c r="I12" s="127"/>
      <c r="J12" s="127"/>
      <c r="K12" s="127"/>
      <c r="L12" s="127"/>
      <c r="M12" s="127"/>
      <c r="N12" s="127"/>
      <c r="O12" s="127"/>
      <c r="P12" s="127"/>
      <c r="Q12" s="159"/>
      <c r="R12" s="364"/>
    </row>
    <row r="13" spans="1:18" ht="15.95" customHeight="1" thickBot="1" x14ac:dyDescent="0.35">
      <c r="A13" s="230"/>
      <c r="B13" s="231"/>
      <c r="C13" s="182"/>
      <c r="D13" s="182" t="s">
        <v>561</v>
      </c>
      <c r="E13" s="182">
        <f>'Standard Value Calculator'!S4/1000</f>
        <v>10</v>
      </c>
      <c r="F13" s="232" t="s">
        <v>116</v>
      </c>
      <c r="G13" s="186"/>
      <c r="H13" s="184"/>
      <c r="I13" s="127"/>
      <c r="J13" s="127"/>
      <c r="K13" s="127"/>
      <c r="L13" s="127"/>
      <c r="M13" s="127"/>
      <c r="N13" s="127"/>
      <c r="O13" s="127"/>
      <c r="P13" s="127"/>
      <c r="Q13" s="159"/>
      <c r="R13" s="364"/>
    </row>
    <row r="14" spans="1:18" ht="14.1" customHeight="1" x14ac:dyDescent="0.2">
      <c r="A14" s="183"/>
      <c r="B14" s="184"/>
      <c r="C14" s="184"/>
      <c r="D14" s="189"/>
      <c r="E14" s="190"/>
      <c r="F14" s="184"/>
      <c r="G14" s="186"/>
      <c r="H14" s="184"/>
      <c r="I14" s="127"/>
      <c r="J14" s="127"/>
      <c r="K14" s="127"/>
      <c r="L14" s="127"/>
      <c r="M14" s="127"/>
      <c r="N14" s="127"/>
      <c r="O14" s="127"/>
      <c r="P14" s="127"/>
      <c r="Q14" s="159"/>
      <c r="R14" s="364"/>
    </row>
    <row r="15" spans="1:18" ht="20.100000000000001" customHeight="1" thickBot="1" x14ac:dyDescent="0.35">
      <c r="A15" s="214" t="s">
        <v>429</v>
      </c>
      <c r="B15" s="191"/>
      <c r="C15" s="192"/>
      <c r="D15" s="192"/>
      <c r="E15" s="193"/>
      <c r="F15" s="192"/>
      <c r="G15" s="186"/>
      <c r="H15" s="184"/>
      <c r="I15" s="127"/>
      <c r="J15" s="127"/>
      <c r="K15" s="127"/>
      <c r="L15" s="127"/>
      <c r="M15" s="127"/>
      <c r="N15" s="127"/>
      <c r="O15" s="127"/>
      <c r="P15" s="127"/>
      <c r="Q15" s="159"/>
      <c r="R15" s="364"/>
    </row>
    <row r="16" spans="1:18" ht="14.1" customHeight="1" x14ac:dyDescent="0.2">
      <c r="A16" s="271"/>
      <c r="B16" s="224"/>
      <c r="C16" s="225"/>
      <c r="D16" s="225" t="s">
        <v>457</v>
      </c>
      <c r="E16" s="459">
        <f>Lout1*1000000</f>
        <v>2.4024024024024024</v>
      </c>
      <c r="F16" s="233" t="s">
        <v>412</v>
      </c>
      <c r="G16" s="186"/>
      <c r="H16" s="184"/>
      <c r="I16" s="127"/>
      <c r="J16" s="127"/>
      <c r="K16" s="127"/>
      <c r="L16" s="127"/>
      <c r="M16" s="127"/>
      <c r="N16" s="127"/>
      <c r="O16" s="127"/>
      <c r="P16" s="127"/>
      <c r="Q16" s="159"/>
      <c r="R16" s="364"/>
    </row>
    <row r="17" spans="1:19" ht="14.1" customHeight="1" x14ac:dyDescent="0.25">
      <c r="A17" s="183"/>
      <c r="B17" s="184"/>
      <c r="C17" s="181"/>
      <c r="D17" s="219" t="s">
        <v>765</v>
      </c>
      <c r="E17" s="185">
        <v>5.6</v>
      </c>
      <c r="F17" s="229" t="s">
        <v>412</v>
      </c>
      <c r="G17" s="186"/>
      <c r="H17" s="184"/>
      <c r="I17" s="127"/>
      <c r="J17" s="127"/>
      <c r="K17" s="127"/>
      <c r="L17" s="127"/>
      <c r="M17" s="127"/>
      <c r="N17" s="127"/>
      <c r="O17" s="127"/>
      <c r="P17" s="127"/>
      <c r="Q17" s="159"/>
      <c r="R17" s="364"/>
    </row>
    <row r="18" spans="1:19" ht="14.1" customHeight="1" x14ac:dyDescent="0.2">
      <c r="A18" s="183"/>
      <c r="B18" s="184"/>
      <c r="C18" s="181"/>
      <c r="D18" s="219" t="s">
        <v>458</v>
      </c>
      <c r="E18" s="185">
        <v>6</v>
      </c>
      <c r="F18" s="229" t="s">
        <v>115</v>
      </c>
      <c r="G18" s="186"/>
      <c r="H18" s="184"/>
      <c r="I18" s="127"/>
      <c r="J18" s="127"/>
      <c r="K18" s="127"/>
      <c r="L18" s="127"/>
      <c r="M18" s="127"/>
      <c r="N18" s="127"/>
      <c r="O18" s="127"/>
      <c r="P18" s="127"/>
      <c r="Q18" s="159"/>
      <c r="R18" s="364"/>
    </row>
    <row r="19" spans="1:19" ht="15" customHeight="1" x14ac:dyDescent="0.3">
      <c r="A19" s="183"/>
      <c r="B19" s="184"/>
      <c r="C19" s="181"/>
      <c r="D19" s="380" t="s">
        <v>563</v>
      </c>
      <c r="E19" s="216">
        <f>Iripple1</f>
        <v>2.1930697548176967</v>
      </c>
      <c r="F19" s="234" t="s">
        <v>769</v>
      </c>
      <c r="G19" s="186"/>
      <c r="H19" s="184"/>
      <c r="I19" s="127"/>
      <c r="J19" s="127"/>
      <c r="K19" s="127"/>
      <c r="L19" s="127"/>
      <c r="M19" s="127"/>
      <c r="N19" s="127"/>
      <c r="O19" s="127"/>
      <c r="P19" s="127"/>
      <c r="Q19" s="159"/>
      <c r="R19" s="364"/>
    </row>
    <row r="20" spans="1:19" ht="15" customHeight="1" x14ac:dyDescent="0.3">
      <c r="A20" s="381"/>
      <c r="B20" s="184"/>
      <c r="C20" s="181"/>
      <c r="D20" s="181" t="s">
        <v>544</v>
      </c>
      <c r="E20" s="217">
        <f>Iripple1/Iout*100</f>
        <v>14.620465032117977</v>
      </c>
      <c r="F20" s="234" t="s">
        <v>299</v>
      </c>
      <c r="G20" s="186"/>
      <c r="H20" s="184"/>
      <c r="I20" s="127"/>
      <c r="J20" s="127"/>
      <c r="K20" s="127"/>
      <c r="L20" s="127"/>
      <c r="M20" s="127"/>
      <c r="N20" s="127"/>
      <c r="O20" s="127"/>
      <c r="P20" s="127"/>
      <c r="Q20" s="159"/>
      <c r="R20" s="364"/>
    </row>
    <row r="21" spans="1:19" ht="15" customHeight="1" thickBot="1" x14ac:dyDescent="0.25">
      <c r="A21" s="230"/>
      <c r="B21" s="231"/>
      <c r="C21" s="280"/>
      <c r="D21" s="511" t="s">
        <v>762</v>
      </c>
      <c r="E21" s="349">
        <v>0.2</v>
      </c>
      <c r="F21" s="512" t="s">
        <v>208</v>
      </c>
      <c r="G21" s="186"/>
      <c r="H21" s="184"/>
      <c r="I21" s="127"/>
      <c r="J21" s="127"/>
      <c r="K21" s="127"/>
      <c r="L21" s="127"/>
      <c r="M21" s="127"/>
      <c r="N21" s="127"/>
      <c r="O21" s="127"/>
      <c r="P21" s="127"/>
      <c r="Q21" s="159"/>
      <c r="R21" s="364"/>
    </row>
    <row r="22" spans="1:19" ht="14.1" customHeight="1" x14ac:dyDescent="0.2">
      <c r="A22" s="183"/>
      <c r="B22" s="184"/>
      <c r="C22" s="184"/>
      <c r="D22" s="184"/>
      <c r="E22" s="184"/>
      <c r="F22" s="184"/>
      <c r="G22" s="186"/>
      <c r="H22" s="184"/>
      <c r="I22" s="127"/>
      <c r="J22" s="127"/>
      <c r="K22" s="127"/>
      <c r="L22" s="127"/>
      <c r="M22" s="127"/>
      <c r="N22" s="127"/>
      <c r="O22" s="127"/>
      <c r="P22" s="127"/>
      <c r="Q22" s="159"/>
      <c r="R22" s="364"/>
    </row>
    <row r="23" spans="1:19" ht="20.100000000000001" customHeight="1" thickBot="1" x14ac:dyDescent="0.4">
      <c r="A23" s="214" t="s">
        <v>558</v>
      </c>
      <c r="B23" s="191"/>
      <c r="C23" s="184"/>
      <c r="D23" s="184"/>
      <c r="E23" s="184"/>
      <c r="F23" s="184"/>
      <c r="G23" s="186"/>
      <c r="H23" s="184"/>
      <c r="I23" s="127"/>
      <c r="J23" s="127"/>
      <c r="K23" s="127"/>
      <c r="L23" s="127"/>
      <c r="M23" s="127"/>
      <c r="N23" s="127"/>
      <c r="O23" s="127"/>
      <c r="P23" s="127"/>
      <c r="Q23" s="159"/>
      <c r="R23" s="364"/>
    </row>
    <row r="24" spans="1:19" ht="15" customHeight="1" x14ac:dyDescent="0.25">
      <c r="A24" s="396"/>
      <c r="B24" s="278"/>
      <c r="C24" s="397"/>
      <c r="D24" s="401" t="s">
        <v>597</v>
      </c>
      <c r="E24" s="403">
        <v>6</v>
      </c>
      <c r="F24" s="402" t="s">
        <v>115</v>
      </c>
      <c r="G24" s="186"/>
      <c r="H24" s="184"/>
      <c r="I24" s="127"/>
      <c r="J24" s="127"/>
      <c r="K24" s="127"/>
      <c r="L24" s="127"/>
      <c r="M24" s="127"/>
      <c r="N24" s="127"/>
      <c r="O24" s="127"/>
      <c r="P24" s="127"/>
      <c r="Q24" s="159"/>
      <c r="R24" s="364"/>
      <c r="S24" s="123" t="s">
        <v>383</v>
      </c>
    </row>
    <row r="25" spans="1:19" ht="15" customHeight="1" x14ac:dyDescent="0.2">
      <c r="A25" s="183"/>
      <c r="B25" s="184"/>
      <c r="C25" s="184"/>
      <c r="D25" s="219" t="s">
        <v>459</v>
      </c>
      <c r="E25" s="185">
        <v>18</v>
      </c>
      <c r="F25" s="229" t="s">
        <v>2</v>
      </c>
      <c r="G25" s="186"/>
      <c r="H25" s="184"/>
      <c r="I25" s="127"/>
      <c r="J25" s="127"/>
      <c r="K25" s="127"/>
      <c r="L25" s="127"/>
      <c r="M25" s="127"/>
      <c r="N25" s="127"/>
      <c r="O25" s="127"/>
      <c r="P25" s="127"/>
      <c r="Q25" s="159"/>
      <c r="R25" s="364"/>
    </row>
    <row r="26" spans="1:19" ht="15" customHeight="1" x14ac:dyDescent="0.3">
      <c r="A26" s="184"/>
      <c r="B26" s="184"/>
      <c r="C26" s="184"/>
      <c r="D26" s="181" t="s">
        <v>581</v>
      </c>
      <c r="E26" s="217">
        <f>IF(RDSON_sense=1, Rilim_Rdson, Rilim_shunt)</f>
        <v>845</v>
      </c>
      <c r="F26" s="234" t="s">
        <v>274</v>
      </c>
      <c r="G26" s="188"/>
      <c r="H26" s="184"/>
      <c r="I26" s="127"/>
      <c r="J26" s="127"/>
      <c r="K26" s="127"/>
      <c r="L26" s="127"/>
      <c r="M26" s="127"/>
      <c r="N26" s="127"/>
      <c r="O26" s="127"/>
      <c r="P26" s="127"/>
      <c r="Q26" s="159"/>
      <c r="R26" s="364"/>
    </row>
    <row r="27" spans="1:19" ht="14.1" customHeight="1" x14ac:dyDescent="0.3">
      <c r="A27" s="183"/>
      <c r="B27" s="184"/>
      <c r="C27" s="184"/>
      <c r="D27" s="181" t="s">
        <v>562</v>
      </c>
      <c r="E27" s="216">
        <f>'Variable Management'!B51</f>
        <v>22.8</v>
      </c>
      <c r="F27" s="234" t="s">
        <v>2</v>
      </c>
      <c r="G27" s="184"/>
      <c r="H27" s="184"/>
      <c r="I27" s="127"/>
      <c r="J27" s="127"/>
      <c r="K27" s="127"/>
      <c r="L27" s="127"/>
      <c r="M27" s="127"/>
      <c r="N27" s="127"/>
      <c r="O27" s="127"/>
      <c r="P27" s="127"/>
      <c r="Q27" s="159"/>
      <c r="R27" s="364"/>
    </row>
    <row r="28" spans="1:19" ht="14.1" customHeight="1" thickBot="1" x14ac:dyDescent="0.35">
      <c r="A28" s="230"/>
      <c r="B28" s="231"/>
      <c r="C28" s="231"/>
      <c r="D28" s="398" t="s">
        <v>589</v>
      </c>
      <c r="E28" s="399">
        <f>_Rs3</f>
        <v>0.7</v>
      </c>
      <c r="F28" s="257" t="s">
        <v>208</v>
      </c>
      <c r="G28" s="184"/>
      <c r="H28" s="184"/>
      <c r="I28" s="127"/>
      <c r="J28" s="127"/>
      <c r="K28" s="127"/>
      <c r="L28" s="127"/>
      <c r="M28" s="127"/>
      <c r="N28" s="127"/>
      <c r="O28" s="127"/>
      <c r="P28" s="127"/>
      <c r="Q28" s="159"/>
      <c r="R28" s="364"/>
    </row>
    <row r="29" spans="1:19" ht="14.1" customHeight="1" x14ac:dyDescent="0.2">
      <c r="A29" s="277"/>
      <c r="B29" s="170"/>
      <c r="C29" s="170"/>
      <c r="D29" s="170"/>
      <c r="E29" s="170"/>
      <c r="F29" s="170"/>
      <c r="G29" s="184"/>
      <c r="H29" s="184"/>
      <c r="I29" s="127"/>
      <c r="J29" s="127"/>
      <c r="K29" s="127"/>
      <c r="L29" s="127"/>
      <c r="M29" s="127"/>
      <c r="N29" s="127"/>
      <c r="O29" s="127"/>
      <c r="P29" s="127"/>
      <c r="Q29" s="159"/>
      <c r="R29" s="364"/>
    </row>
    <row r="30" spans="1:19" ht="19.5" thickBot="1" x14ac:dyDescent="0.35">
      <c r="A30" s="214" t="s">
        <v>724</v>
      </c>
      <c r="B30" s="191"/>
      <c r="C30" s="192"/>
      <c r="D30" s="192"/>
      <c r="E30" s="193"/>
      <c r="F30" s="192"/>
      <c r="G30" s="184"/>
      <c r="H30" s="184"/>
      <c r="I30" s="127"/>
      <c r="J30" s="127"/>
      <c r="K30" s="127"/>
      <c r="L30" s="127"/>
      <c r="M30" s="127"/>
      <c r="N30" s="127"/>
      <c r="O30" s="127"/>
      <c r="P30" s="127"/>
      <c r="Q30" s="159"/>
      <c r="R30" s="364"/>
    </row>
    <row r="31" spans="1:19" ht="14.1" customHeight="1" x14ac:dyDescent="0.25">
      <c r="A31" s="250"/>
      <c r="B31" s="236"/>
      <c r="C31" s="225"/>
      <c r="D31" s="237" t="s">
        <v>460</v>
      </c>
      <c r="E31" s="238">
        <v>100</v>
      </c>
      <c r="F31" s="228" t="s">
        <v>770</v>
      </c>
      <c r="G31" s="184"/>
      <c r="H31" s="184"/>
      <c r="I31" s="127"/>
      <c r="J31" s="127"/>
      <c r="K31" s="127"/>
      <c r="L31" s="127"/>
      <c r="M31" s="127"/>
      <c r="N31" s="127"/>
      <c r="O31" s="127"/>
      <c r="P31" s="127"/>
      <c r="Q31" s="159"/>
      <c r="R31" s="364"/>
    </row>
    <row r="32" spans="1:19" ht="14.1" customHeight="1" x14ac:dyDescent="0.2">
      <c r="A32" s="183"/>
      <c r="B32" s="184"/>
      <c r="C32" s="181"/>
      <c r="D32" s="181" t="s">
        <v>461</v>
      </c>
      <c r="E32" s="217">
        <f>Coutmin*1000000</f>
        <v>2.7413371935221207</v>
      </c>
      <c r="F32" s="234" t="s">
        <v>413</v>
      </c>
      <c r="G32" s="184"/>
      <c r="H32" s="184"/>
      <c r="I32" s="127"/>
      <c r="J32" s="127"/>
      <c r="K32" s="127"/>
      <c r="L32" s="127"/>
      <c r="M32" s="127"/>
      <c r="N32" s="127"/>
      <c r="O32" s="127"/>
      <c r="P32" s="127"/>
      <c r="Q32" s="159"/>
      <c r="R32" s="364"/>
    </row>
    <row r="33" spans="1:18" ht="14.1" customHeight="1" x14ac:dyDescent="0.25">
      <c r="A33" s="183"/>
      <c r="B33" s="184"/>
      <c r="C33" s="181"/>
      <c r="D33" s="180" t="s">
        <v>728</v>
      </c>
      <c r="E33" s="185">
        <v>20</v>
      </c>
      <c r="F33" s="229" t="s">
        <v>413</v>
      </c>
      <c r="G33" s="186"/>
      <c r="H33" s="184"/>
      <c r="I33" s="127"/>
      <c r="J33" s="127"/>
      <c r="K33" s="127"/>
      <c r="L33" s="127"/>
      <c r="M33" s="127"/>
      <c r="N33" s="127"/>
      <c r="O33" s="127"/>
      <c r="P33" s="127"/>
      <c r="Q33" s="159"/>
      <c r="R33" s="364"/>
    </row>
    <row r="34" spans="1:18" ht="14.1" customHeight="1" x14ac:dyDescent="0.2">
      <c r="A34" s="183"/>
      <c r="B34" s="184"/>
      <c r="C34" s="181"/>
      <c r="D34" s="181" t="s">
        <v>462</v>
      </c>
      <c r="E34" s="218">
        <f>IF(ISERROR(Resrmax*1000),"N/A",Resrmax*1000)</f>
        <v>45.167819946732301</v>
      </c>
      <c r="F34" s="234" t="s">
        <v>115</v>
      </c>
      <c r="G34" s="186"/>
      <c r="H34" s="184"/>
      <c r="I34" s="127"/>
      <c r="J34" s="127"/>
      <c r="K34" s="127"/>
      <c r="L34" s="127"/>
      <c r="M34" s="127"/>
      <c r="N34" s="127"/>
      <c r="O34" s="127"/>
      <c r="P34" s="127"/>
      <c r="Q34" s="159"/>
      <c r="R34" s="364"/>
    </row>
    <row r="35" spans="1:18" ht="14.1" customHeight="1" x14ac:dyDescent="0.2">
      <c r="A35" s="183"/>
      <c r="B35" s="184"/>
      <c r="C35" s="181"/>
      <c r="D35" s="180" t="s">
        <v>463</v>
      </c>
      <c r="E35" s="187">
        <v>1</v>
      </c>
      <c r="F35" s="229" t="s">
        <v>115</v>
      </c>
      <c r="G35" s="186"/>
      <c r="H35" s="184"/>
      <c r="I35" s="127"/>
      <c r="J35" s="127"/>
      <c r="K35" s="127"/>
      <c r="L35" s="127"/>
      <c r="M35" s="127"/>
      <c r="N35" s="127"/>
      <c r="O35" s="127"/>
      <c r="P35" s="127"/>
      <c r="Q35" s="159"/>
      <c r="R35" s="364"/>
    </row>
    <row r="36" spans="1:18" ht="14.1" customHeight="1" x14ac:dyDescent="0.3">
      <c r="A36" s="183"/>
      <c r="B36" s="184"/>
      <c r="C36" s="184"/>
      <c r="D36" s="181" t="s">
        <v>464</v>
      </c>
      <c r="E36" s="217">
        <f>Vripple2*1000</f>
        <v>13.881022842866791</v>
      </c>
      <c r="F36" s="234" t="s">
        <v>767</v>
      </c>
      <c r="G36" s="186"/>
      <c r="H36" s="184"/>
      <c r="I36" s="127"/>
      <c r="J36" s="127"/>
      <c r="K36" s="127"/>
      <c r="L36" s="127"/>
      <c r="M36" s="127"/>
      <c r="N36" s="127"/>
      <c r="O36" s="127"/>
      <c r="P36" s="127"/>
      <c r="Q36" s="159"/>
      <c r="R36" s="364"/>
    </row>
    <row r="37" spans="1:18" ht="14.1" customHeight="1" thickBot="1" x14ac:dyDescent="0.35">
      <c r="A37" s="230"/>
      <c r="B37" s="231"/>
      <c r="C37" s="231"/>
      <c r="D37" s="182" t="s">
        <v>465</v>
      </c>
      <c r="E37" s="235">
        <f>Icoutrms</f>
        <v>0.63308470664781191</v>
      </c>
      <c r="F37" s="232" t="s">
        <v>768</v>
      </c>
      <c r="G37" s="188"/>
      <c r="H37" s="184"/>
      <c r="I37" s="127"/>
      <c r="J37" s="127"/>
      <c r="K37" s="161"/>
      <c r="L37" s="127"/>
      <c r="M37" s="127"/>
      <c r="N37" s="127"/>
      <c r="O37" s="127"/>
      <c r="P37" s="127"/>
      <c r="Q37" s="159"/>
      <c r="R37" s="364"/>
    </row>
    <row r="38" spans="1:18" ht="14.1" customHeight="1" x14ac:dyDescent="0.2">
      <c r="A38" s="272"/>
      <c r="B38" s="194"/>
      <c r="C38" s="194"/>
      <c r="D38" s="194"/>
      <c r="E38" s="194"/>
      <c r="F38" s="194"/>
      <c r="G38" s="184"/>
      <c r="H38" s="184"/>
      <c r="I38" s="127"/>
      <c r="J38" s="127"/>
      <c r="K38" s="127"/>
      <c r="L38" s="127"/>
      <c r="M38" s="127"/>
      <c r="N38" s="127"/>
      <c r="O38" s="127"/>
      <c r="P38" s="127"/>
      <c r="Q38" s="159"/>
      <c r="R38" s="364"/>
    </row>
    <row r="39" spans="1:18" ht="19.5" thickBot="1" x14ac:dyDescent="0.35">
      <c r="A39" s="214" t="s">
        <v>725</v>
      </c>
      <c r="B39" s="191"/>
      <c r="C39" s="192"/>
      <c r="D39" s="192"/>
      <c r="E39" s="184"/>
      <c r="F39" s="184"/>
      <c r="G39" s="184"/>
      <c r="H39" s="184"/>
      <c r="I39" s="127"/>
      <c r="J39" s="127"/>
      <c r="K39" s="127"/>
      <c r="L39" s="162"/>
      <c r="M39" s="127"/>
      <c r="N39" s="127"/>
      <c r="O39" s="127"/>
      <c r="P39" s="127"/>
      <c r="Q39" s="159"/>
      <c r="R39" s="364"/>
    </row>
    <row r="40" spans="1:18" ht="14.1" customHeight="1" x14ac:dyDescent="0.25">
      <c r="A40" s="250"/>
      <c r="B40" s="236"/>
      <c r="C40" s="224"/>
      <c r="D40" s="226" t="s">
        <v>466</v>
      </c>
      <c r="E40" s="238">
        <v>480</v>
      </c>
      <c r="F40" s="228" t="s">
        <v>770</v>
      </c>
      <c r="G40" s="184"/>
      <c r="H40" s="184"/>
      <c r="I40" s="127"/>
      <c r="J40" s="163"/>
      <c r="K40" s="127"/>
      <c r="L40" s="127"/>
      <c r="M40" s="127"/>
      <c r="N40" s="127"/>
      <c r="O40" s="127"/>
      <c r="P40" s="127"/>
      <c r="Q40" s="159"/>
      <c r="R40" s="364"/>
    </row>
    <row r="41" spans="1:18" ht="14.1" customHeight="1" x14ac:dyDescent="0.2">
      <c r="A41" s="195"/>
      <c r="B41" s="192"/>
      <c r="C41" s="184"/>
      <c r="D41" s="181" t="s">
        <v>467</v>
      </c>
      <c r="E41" s="217">
        <f>'Variable Management'!B80*1000000</f>
        <v>7.808210277305724</v>
      </c>
      <c r="F41" s="234" t="s">
        <v>413</v>
      </c>
      <c r="G41" s="184"/>
      <c r="H41" s="184"/>
      <c r="I41" s="127"/>
      <c r="J41" s="163"/>
      <c r="K41" s="127"/>
      <c r="L41" s="127"/>
      <c r="M41" s="127"/>
      <c r="N41" s="127"/>
      <c r="O41" s="127"/>
      <c r="P41" s="127"/>
      <c r="Q41" s="159"/>
      <c r="R41" s="364"/>
    </row>
    <row r="42" spans="1:18" ht="14.1" customHeight="1" x14ac:dyDescent="0.25">
      <c r="A42" s="183"/>
      <c r="B42" s="184"/>
      <c r="C42" s="192"/>
      <c r="D42" s="219" t="s">
        <v>729</v>
      </c>
      <c r="E42" s="185">
        <v>20</v>
      </c>
      <c r="F42" s="229" t="s">
        <v>413</v>
      </c>
      <c r="G42" s="184"/>
      <c r="H42" s="184"/>
      <c r="I42" s="127"/>
      <c r="J42" s="163"/>
      <c r="K42" s="127"/>
      <c r="L42" s="127"/>
      <c r="M42" s="127"/>
      <c r="N42" s="127"/>
      <c r="O42" s="127"/>
      <c r="P42" s="127"/>
      <c r="Q42" s="159"/>
      <c r="R42" s="364"/>
    </row>
    <row r="43" spans="1:18" ht="14.1" customHeight="1" x14ac:dyDescent="0.2">
      <c r="A43" s="183"/>
      <c r="B43" s="184"/>
      <c r="C43" s="192"/>
      <c r="D43" s="181" t="s">
        <v>462</v>
      </c>
      <c r="E43" s="218">
        <f>IF(CinEsrMax*1000&lt;0,"N/A",CinEsrMax*1000)</f>
        <v>18.178008843091117</v>
      </c>
      <c r="F43" s="234" t="s">
        <v>115</v>
      </c>
      <c r="G43" s="184"/>
      <c r="H43" s="184"/>
      <c r="I43" s="127"/>
      <c r="J43" s="164"/>
      <c r="K43" s="127"/>
      <c r="L43" s="127"/>
      <c r="M43" s="127"/>
      <c r="N43" s="127"/>
      <c r="O43" s="127"/>
      <c r="P43" s="127"/>
      <c r="Q43" s="159" t="s">
        <v>342</v>
      </c>
      <c r="R43" s="364"/>
    </row>
    <row r="44" spans="1:18" ht="14.1" customHeight="1" x14ac:dyDescent="0.2">
      <c r="A44" s="183"/>
      <c r="B44" s="184"/>
      <c r="C44" s="192"/>
      <c r="D44" s="219" t="s">
        <v>468</v>
      </c>
      <c r="E44" s="185">
        <v>2</v>
      </c>
      <c r="F44" s="229" t="s">
        <v>115</v>
      </c>
      <c r="G44" s="184"/>
      <c r="H44" s="184"/>
      <c r="I44" s="127"/>
      <c r="J44" s="164"/>
      <c r="K44" s="127"/>
      <c r="L44" s="127"/>
      <c r="M44" s="127"/>
      <c r="N44" s="127"/>
      <c r="O44" s="127"/>
      <c r="P44" s="127"/>
      <c r="Q44" s="159"/>
      <c r="R44" s="364"/>
    </row>
    <row r="45" spans="1:18" ht="14.1" customHeight="1" x14ac:dyDescent="0.3">
      <c r="A45" s="183"/>
      <c r="B45" s="184"/>
      <c r="C45" s="192"/>
      <c r="D45" s="181" t="s">
        <v>469</v>
      </c>
      <c r="E45" s="217">
        <f>Vinripple2*1000</f>
        <v>219.59011641015505</v>
      </c>
      <c r="F45" s="234" t="s">
        <v>767</v>
      </c>
      <c r="G45" s="184"/>
      <c r="H45" s="184"/>
      <c r="I45" s="127"/>
      <c r="J45" s="164"/>
      <c r="K45" s="127"/>
      <c r="L45" s="127"/>
      <c r="M45" s="127"/>
      <c r="N45" s="127"/>
      <c r="O45" s="127"/>
      <c r="P45" s="127"/>
      <c r="Q45" s="159"/>
      <c r="R45" s="364"/>
    </row>
    <row r="46" spans="1:18" ht="14.1" customHeight="1" thickBot="1" x14ac:dyDescent="0.35">
      <c r="A46" s="230"/>
      <c r="B46" s="231"/>
      <c r="C46" s="231"/>
      <c r="D46" s="182" t="s">
        <v>470</v>
      </c>
      <c r="E46" s="235">
        <f>Icinrms</f>
        <v>7.4979406503786903</v>
      </c>
      <c r="F46" s="232" t="s">
        <v>768</v>
      </c>
      <c r="G46" s="184"/>
      <c r="H46" s="184"/>
      <c r="I46" s="127"/>
      <c r="J46" s="127"/>
      <c r="K46" s="127"/>
      <c r="L46" s="127"/>
      <c r="M46" s="127"/>
      <c r="N46" s="127"/>
      <c r="O46" s="127"/>
      <c r="P46" s="127"/>
      <c r="Q46" s="159"/>
      <c r="R46" s="364"/>
    </row>
    <row r="47" spans="1:18" ht="14.1" customHeight="1" x14ac:dyDescent="0.2">
      <c r="A47" s="183"/>
      <c r="B47" s="184"/>
      <c r="C47" s="184"/>
      <c r="D47" s="181"/>
      <c r="E47" s="184"/>
      <c r="F47" s="184"/>
      <c r="G47" s="184"/>
      <c r="H47" s="184"/>
      <c r="I47" s="127"/>
      <c r="J47" s="127"/>
      <c r="K47" s="127"/>
      <c r="L47" s="127"/>
      <c r="M47" s="127"/>
      <c r="N47" s="127"/>
      <c r="O47" s="127"/>
      <c r="P47" s="127"/>
      <c r="Q47" s="159"/>
      <c r="R47" s="364"/>
    </row>
    <row r="48" spans="1:18" ht="19.5" thickBot="1" x14ac:dyDescent="0.35">
      <c r="A48" s="214" t="s">
        <v>605</v>
      </c>
      <c r="B48" s="191"/>
      <c r="C48" s="184"/>
      <c r="D48" s="181"/>
      <c r="E48" s="184"/>
      <c r="F48" s="184"/>
      <c r="G48" s="184"/>
      <c r="H48" s="196"/>
      <c r="I48" s="170"/>
      <c r="J48" s="170"/>
      <c r="K48" s="170"/>
      <c r="L48" s="170"/>
      <c r="M48" s="170"/>
      <c r="N48" s="127"/>
      <c r="O48" s="127"/>
      <c r="P48" s="127"/>
      <c r="Q48" s="159"/>
      <c r="R48" s="364"/>
    </row>
    <row r="49" spans="1:35" ht="14.1" customHeight="1" x14ac:dyDescent="0.25">
      <c r="A49" s="271"/>
      <c r="B49" s="224"/>
      <c r="C49" s="224"/>
      <c r="D49" s="239" t="s">
        <v>608</v>
      </c>
      <c r="E49" s="227">
        <v>4</v>
      </c>
      <c r="F49" s="228" t="s">
        <v>290</v>
      </c>
      <c r="G49" s="184"/>
      <c r="H49" s="194"/>
      <c r="I49" s="170"/>
      <c r="J49" s="170"/>
      <c r="K49" s="170"/>
      <c r="L49" s="170"/>
      <c r="M49" s="170"/>
      <c r="N49" s="127"/>
      <c r="O49" s="127"/>
      <c r="P49" s="127"/>
      <c r="Q49" s="159"/>
      <c r="R49" s="364"/>
    </row>
    <row r="50" spans="1:35" ht="14.1" customHeight="1" x14ac:dyDescent="0.3">
      <c r="A50" s="183"/>
      <c r="B50" s="184"/>
      <c r="C50" s="184"/>
      <c r="D50" s="181" t="s">
        <v>609</v>
      </c>
      <c r="E50" s="218">
        <f>Css_u*1000000000</f>
        <v>47</v>
      </c>
      <c r="F50" s="234" t="s">
        <v>278</v>
      </c>
      <c r="G50" s="184"/>
      <c r="H50" s="194"/>
      <c r="I50" s="170"/>
      <c r="J50" s="170"/>
      <c r="K50" s="170"/>
      <c r="L50" s="170"/>
      <c r="M50" s="170"/>
      <c r="N50" s="127"/>
      <c r="O50" s="127"/>
      <c r="P50" s="127"/>
      <c r="Q50" s="159"/>
      <c r="R50" s="364"/>
    </row>
    <row r="51" spans="1:35" ht="14.1" customHeight="1" x14ac:dyDescent="0.2">
      <c r="A51" s="183"/>
      <c r="B51" s="184"/>
      <c r="C51" s="192"/>
      <c r="D51" s="180" t="s">
        <v>606</v>
      </c>
      <c r="E51" s="308">
        <v>30</v>
      </c>
      <c r="F51" s="229" t="s">
        <v>0</v>
      </c>
      <c r="G51" s="184"/>
      <c r="H51" s="184"/>
      <c r="I51" s="127"/>
      <c r="J51" s="125"/>
      <c r="K51" s="179"/>
      <c r="L51" s="127"/>
      <c r="M51" s="170"/>
      <c r="N51" s="127"/>
      <c r="O51" s="127"/>
      <c r="P51" s="127"/>
      <c r="Q51" s="159"/>
      <c r="R51" s="364"/>
    </row>
    <row r="52" spans="1:35" ht="14.1" customHeight="1" x14ac:dyDescent="0.2">
      <c r="A52" s="183"/>
      <c r="B52" s="184"/>
      <c r="C52" s="192"/>
      <c r="D52" s="180" t="s">
        <v>607</v>
      </c>
      <c r="E52" s="308">
        <v>28</v>
      </c>
      <c r="F52" s="229" t="s">
        <v>0</v>
      </c>
      <c r="G52" s="184"/>
      <c r="H52" s="184"/>
      <c r="I52" s="127"/>
      <c r="J52" s="125"/>
      <c r="K52" s="179"/>
      <c r="L52" s="127"/>
      <c r="M52" s="170"/>
      <c r="N52" s="127"/>
      <c r="O52" s="127"/>
      <c r="P52" s="127"/>
      <c r="Q52" s="159"/>
      <c r="R52" s="364"/>
    </row>
    <row r="53" spans="1:35" ht="14.1" customHeight="1" x14ac:dyDescent="0.3">
      <c r="A53" s="183"/>
      <c r="B53" s="184"/>
      <c r="C53" s="184"/>
      <c r="D53" s="181" t="s">
        <v>590</v>
      </c>
      <c r="E53" s="181">
        <f>'Variable Management'!F97</f>
        <v>200</v>
      </c>
      <c r="F53" s="234" t="s">
        <v>116</v>
      </c>
      <c r="G53" s="184"/>
      <c r="H53" s="184"/>
      <c r="I53" s="127"/>
      <c r="J53" s="125"/>
      <c r="K53" s="179"/>
      <c r="L53" s="127"/>
      <c r="M53" s="170"/>
      <c r="N53" s="127"/>
      <c r="O53" s="127"/>
      <c r="P53" s="127"/>
      <c r="Q53" s="159"/>
      <c r="R53" s="364"/>
    </row>
    <row r="54" spans="1:35" ht="14.1" customHeight="1" thickBot="1" x14ac:dyDescent="0.35">
      <c r="A54" s="230"/>
      <c r="B54" s="231"/>
      <c r="C54" s="231"/>
      <c r="D54" s="182" t="s">
        <v>591</v>
      </c>
      <c r="E54" s="182">
        <f>'Variable Management'!F98</f>
        <v>8.25</v>
      </c>
      <c r="F54" s="232" t="s">
        <v>116</v>
      </c>
      <c r="G54" s="184"/>
      <c r="H54" s="184"/>
      <c r="I54" s="127"/>
      <c r="J54" s="125"/>
      <c r="K54" s="179"/>
      <c r="L54" s="127"/>
      <c r="M54" s="170"/>
      <c r="N54" s="127"/>
      <c r="O54" s="127"/>
      <c r="P54" s="127"/>
      <c r="Q54" s="159"/>
      <c r="R54" s="364"/>
    </row>
    <row r="55" spans="1:35" ht="14.1" customHeight="1" x14ac:dyDescent="0.2">
      <c r="A55" s="183" t="s">
        <v>726</v>
      </c>
      <c r="B55" s="184"/>
      <c r="C55" s="184"/>
      <c r="D55" s="181"/>
      <c r="E55" s="197"/>
      <c r="F55" s="184"/>
      <c r="G55" s="184"/>
      <c r="H55" s="184"/>
      <c r="I55" s="127"/>
      <c r="J55" s="125"/>
      <c r="K55" s="179"/>
      <c r="L55" s="127"/>
      <c r="M55" s="170"/>
      <c r="N55" s="127"/>
      <c r="O55" s="127"/>
      <c r="P55" s="127"/>
      <c r="Q55" s="159"/>
      <c r="R55" s="364"/>
    </row>
    <row r="56" spans="1:35" ht="14.1" customHeight="1" x14ac:dyDescent="0.2">
      <c r="A56" s="272" t="s">
        <v>771</v>
      </c>
      <c r="B56" s="170"/>
      <c r="C56" s="170"/>
      <c r="D56" s="170"/>
      <c r="E56" s="170"/>
      <c r="F56" s="170"/>
      <c r="G56" s="184"/>
      <c r="H56" s="184"/>
      <c r="I56" s="127"/>
      <c r="J56" s="125"/>
      <c r="K56" s="179"/>
      <c r="L56" s="127"/>
      <c r="M56" s="170"/>
      <c r="N56" s="127"/>
      <c r="O56" s="127"/>
      <c r="P56" s="127"/>
      <c r="Q56" s="159"/>
      <c r="R56" s="364"/>
    </row>
    <row r="57" spans="1:35" ht="14.1" customHeight="1" x14ac:dyDescent="0.2">
      <c r="A57" s="277"/>
      <c r="B57" s="184"/>
      <c r="C57" s="184"/>
      <c r="D57" s="181"/>
      <c r="E57" s="197"/>
      <c r="F57" s="184"/>
      <c r="G57" s="184"/>
      <c r="H57" s="184"/>
      <c r="I57" s="127"/>
      <c r="J57" s="125"/>
      <c r="K57" s="179"/>
      <c r="L57" s="127"/>
      <c r="M57" s="170"/>
      <c r="N57" s="127"/>
      <c r="O57" s="127"/>
      <c r="P57" s="127"/>
      <c r="Q57" s="159"/>
      <c r="R57" s="364"/>
    </row>
    <row r="58" spans="1:35" ht="24.95" customHeight="1" thickBot="1" x14ac:dyDescent="0.25">
      <c r="A58" s="270" t="s">
        <v>455</v>
      </c>
      <c r="B58" s="199"/>
      <c r="C58" s="192"/>
      <c r="D58" s="192"/>
      <c r="E58" s="193"/>
      <c r="F58" s="192"/>
      <c r="G58" s="184"/>
      <c r="H58" s="184"/>
      <c r="I58" s="127"/>
      <c r="J58" s="127"/>
      <c r="K58" s="127"/>
      <c r="L58" s="127"/>
      <c r="M58" s="127"/>
      <c r="N58" s="127"/>
      <c r="O58" s="127"/>
      <c r="P58" s="127"/>
      <c r="Q58" s="159"/>
      <c r="R58" s="365"/>
      <c r="S58" s="85"/>
      <c r="T58" s="85"/>
      <c r="W58" s="85"/>
      <c r="X58" s="85"/>
      <c r="Y58" s="85"/>
      <c r="AB58" s="85"/>
      <c r="AC58" s="85"/>
      <c r="AD58" s="85"/>
      <c r="AG58" s="85"/>
      <c r="AH58" s="85"/>
      <c r="AI58" s="85"/>
    </row>
    <row r="59" spans="1:35" ht="14.1" customHeight="1" x14ac:dyDescent="0.2">
      <c r="A59" s="271"/>
      <c r="B59" s="224"/>
      <c r="C59" s="225"/>
      <c r="D59" s="225" t="s">
        <v>471</v>
      </c>
      <c r="E59" s="241">
        <f>Fo/1000</f>
        <v>15.062195235189181</v>
      </c>
      <c r="F59" s="233" t="s">
        <v>3</v>
      </c>
      <c r="G59" s="184"/>
      <c r="H59" s="184"/>
      <c r="I59" s="127"/>
      <c r="J59" s="127"/>
      <c r="K59" s="127"/>
      <c r="L59" s="127"/>
      <c r="M59" s="127"/>
      <c r="N59" s="127"/>
      <c r="O59" s="127"/>
      <c r="P59" s="127"/>
      <c r="Q59" s="159"/>
      <c r="R59" s="365"/>
      <c r="S59" s="85"/>
      <c r="T59" s="85"/>
      <c r="W59" s="85"/>
      <c r="X59" s="85"/>
      <c r="Y59" s="85"/>
      <c r="AB59" s="85"/>
      <c r="AC59" s="85"/>
      <c r="AD59" s="85"/>
      <c r="AG59" s="85"/>
      <c r="AH59" s="85"/>
      <c r="AI59" s="85"/>
    </row>
    <row r="60" spans="1:35" ht="14.1" customHeight="1" x14ac:dyDescent="0.2">
      <c r="A60" s="183"/>
      <c r="B60" s="184"/>
      <c r="C60" s="181"/>
      <c r="D60" s="181" t="s">
        <v>472</v>
      </c>
      <c r="E60" s="217">
        <f>Fesr/1000</f>
        <v>7957.7471636878181</v>
      </c>
      <c r="F60" s="234" t="s">
        <v>3</v>
      </c>
      <c r="G60" s="184"/>
      <c r="H60" s="184"/>
      <c r="I60" s="127"/>
      <c r="J60" s="127"/>
      <c r="K60" s="127"/>
      <c r="L60" s="127"/>
      <c r="M60" s="127"/>
      <c r="N60" s="127"/>
      <c r="O60" s="127"/>
      <c r="P60" s="127"/>
      <c r="Q60" s="159"/>
      <c r="R60" s="365"/>
      <c r="S60" s="85"/>
      <c r="T60" s="85"/>
      <c r="W60" s="85"/>
      <c r="X60" s="85"/>
      <c r="Y60" s="85"/>
      <c r="AB60" s="85"/>
      <c r="AC60" s="85"/>
      <c r="AD60" s="85"/>
      <c r="AG60" s="85"/>
      <c r="AH60" s="85"/>
      <c r="AI60" s="85"/>
    </row>
    <row r="61" spans="1:35" ht="14.1" customHeight="1" x14ac:dyDescent="0.2">
      <c r="A61" s="183"/>
      <c r="B61" s="184"/>
      <c r="C61" s="181"/>
      <c r="D61" s="180" t="s">
        <v>481</v>
      </c>
      <c r="E61" s="220">
        <v>50</v>
      </c>
      <c r="F61" s="404" t="s">
        <v>604</v>
      </c>
      <c r="G61" s="184"/>
      <c r="H61" s="184"/>
      <c r="I61" s="127"/>
      <c r="J61" s="127"/>
      <c r="K61" s="127"/>
      <c r="L61" s="127"/>
      <c r="M61" s="127"/>
      <c r="N61" s="127"/>
      <c r="O61" s="127"/>
      <c r="P61" s="127"/>
      <c r="Q61" s="159"/>
      <c r="R61" s="365"/>
      <c r="S61" s="85"/>
      <c r="T61" s="85"/>
      <c r="W61" s="85"/>
      <c r="X61" s="85"/>
      <c r="Y61" s="85"/>
      <c r="AB61" s="85"/>
      <c r="AC61" s="85"/>
      <c r="AD61" s="85"/>
      <c r="AG61" s="85"/>
      <c r="AH61" s="85"/>
      <c r="AI61" s="85"/>
    </row>
    <row r="62" spans="1:35" ht="14.1" customHeight="1" x14ac:dyDescent="0.2">
      <c r="A62" s="183"/>
      <c r="B62" s="184"/>
      <c r="C62" s="181"/>
      <c r="D62" s="181" t="s">
        <v>473</v>
      </c>
      <c r="E62" s="215">
        <f>Kmidband</f>
        <v>0.22130461604599341</v>
      </c>
      <c r="F62" s="234" t="s">
        <v>49</v>
      </c>
      <c r="G62" s="184"/>
      <c r="H62" s="184"/>
      <c r="I62" s="127"/>
      <c r="J62" s="127"/>
      <c r="K62" s="127"/>
      <c r="L62" s="127"/>
      <c r="M62" s="127"/>
      <c r="N62" s="127"/>
      <c r="O62" s="127"/>
      <c r="P62" s="127"/>
      <c r="Q62" s="159"/>
      <c r="R62" s="365"/>
      <c r="S62" s="85"/>
      <c r="T62" s="85"/>
      <c r="W62" s="85"/>
      <c r="X62" s="85"/>
      <c r="Y62" s="85"/>
      <c r="AB62" s="85"/>
      <c r="AC62" s="85"/>
      <c r="AD62" s="85"/>
      <c r="AG62" s="85"/>
      <c r="AH62" s="85"/>
      <c r="AI62" s="85"/>
    </row>
    <row r="63" spans="1:35" ht="15.95" customHeight="1" x14ac:dyDescent="0.25">
      <c r="A63" s="183"/>
      <c r="B63" s="184"/>
      <c r="C63" s="181"/>
      <c r="D63" s="180" t="s">
        <v>592</v>
      </c>
      <c r="E63" s="221">
        <v>22.1</v>
      </c>
      <c r="F63" s="229" t="s">
        <v>116</v>
      </c>
      <c r="G63" s="184"/>
      <c r="H63" s="184"/>
      <c r="I63" s="127"/>
      <c r="J63" s="127"/>
      <c r="K63" s="127"/>
      <c r="L63" s="127"/>
      <c r="M63" s="127"/>
      <c r="N63" s="127"/>
      <c r="O63" s="127"/>
      <c r="P63" s="127"/>
      <c r="Q63" s="159"/>
      <c r="R63" s="365"/>
      <c r="S63" s="85"/>
      <c r="T63" s="85"/>
      <c r="W63" s="85"/>
      <c r="X63" s="85"/>
      <c r="Y63" s="85"/>
      <c r="AB63" s="85"/>
      <c r="AC63" s="85"/>
      <c r="AD63" s="85"/>
      <c r="AG63" s="85"/>
      <c r="AH63" s="85"/>
      <c r="AI63" s="85"/>
    </row>
    <row r="64" spans="1:35" ht="15.95" customHeight="1" x14ac:dyDescent="0.3">
      <c r="A64" s="381"/>
      <c r="B64" s="184"/>
      <c r="C64" s="181"/>
      <c r="D64" s="181" t="s">
        <v>593</v>
      </c>
      <c r="E64" s="181">
        <f>IF(Vout=Vref,"OPEN",Rfb2_u/1000)</f>
        <v>0.76800000000000002</v>
      </c>
      <c r="F64" s="234" t="str">
        <f>IF(Vout=Vref,"","kΩ")</f>
        <v>kΩ</v>
      </c>
      <c r="G64" s="184"/>
      <c r="H64" s="184"/>
      <c r="I64" s="127"/>
      <c r="J64" s="127"/>
      <c r="K64" s="127"/>
      <c r="L64" s="127"/>
      <c r="M64" s="127"/>
      <c r="N64" s="127"/>
      <c r="O64" s="127"/>
      <c r="P64" s="127"/>
      <c r="Q64" s="159"/>
      <c r="R64" s="365"/>
      <c r="S64" s="85"/>
      <c r="T64" s="85"/>
      <c r="W64" s="85"/>
      <c r="X64" s="85"/>
      <c r="Y64" s="85"/>
      <c r="AB64" s="85"/>
      <c r="AC64" s="85"/>
      <c r="AD64" s="85"/>
      <c r="AG64" s="85"/>
      <c r="AH64" s="85"/>
      <c r="AI64" s="85"/>
    </row>
    <row r="65" spans="1:35" ht="15.95" customHeight="1" thickBot="1" x14ac:dyDescent="0.35">
      <c r="A65" s="230"/>
      <c r="B65" s="280"/>
      <c r="C65" s="280"/>
      <c r="D65" s="398" t="s">
        <v>699</v>
      </c>
      <c r="E65" s="489">
        <f>'Variable Management'!B129</f>
        <v>23.820833333333333</v>
      </c>
      <c r="F65" s="257" t="s">
        <v>0</v>
      </c>
      <c r="G65" s="184"/>
      <c r="H65" s="184"/>
      <c r="I65" s="127"/>
      <c r="J65" s="127"/>
      <c r="K65" s="127"/>
      <c r="L65" s="127"/>
      <c r="M65" s="127"/>
      <c r="N65" s="127"/>
      <c r="O65" s="127"/>
      <c r="P65" s="127"/>
      <c r="Q65" s="159"/>
      <c r="R65" s="365"/>
      <c r="S65" s="85"/>
      <c r="T65" s="85"/>
      <c r="W65" s="85"/>
      <c r="X65" s="85"/>
      <c r="Y65" s="85"/>
      <c r="AB65" s="85"/>
      <c r="AC65" s="85"/>
      <c r="AD65" s="85"/>
      <c r="AG65" s="85"/>
      <c r="AH65" s="85"/>
      <c r="AI65" s="85"/>
    </row>
    <row r="66" spans="1:35" ht="13.5" thickBot="1" x14ac:dyDescent="0.25">
      <c r="A66" s="183"/>
      <c r="B66" s="184"/>
      <c r="C66" s="181"/>
      <c r="D66" s="200"/>
      <c r="E66" s="201"/>
      <c r="F66" s="202"/>
      <c r="G66" s="184"/>
      <c r="H66" s="184"/>
      <c r="I66" s="127"/>
      <c r="J66" s="127"/>
      <c r="K66" s="127"/>
      <c r="L66" s="127"/>
      <c r="M66" s="127"/>
      <c r="N66" s="127"/>
      <c r="O66" s="127"/>
      <c r="P66" s="127"/>
      <c r="Q66" s="159"/>
      <c r="R66" s="365"/>
      <c r="S66" s="85"/>
      <c r="T66" s="85"/>
      <c r="W66" s="85"/>
      <c r="X66" s="85"/>
      <c r="Y66" s="85"/>
      <c r="AB66" s="85"/>
      <c r="AC66" s="85"/>
      <c r="AD66" s="85"/>
      <c r="AG66" s="85"/>
      <c r="AH66" s="85"/>
      <c r="AI66" s="85"/>
    </row>
    <row r="67" spans="1:35" ht="15.95" customHeight="1" x14ac:dyDescent="0.2">
      <c r="A67" s="348" t="s">
        <v>727</v>
      </c>
      <c r="B67" s="278"/>
      <c r="C67" s="278"/>
      <c r="D67" s="281" t="s">
        <v>533</v>
      </c>
      <c r="E67" s="282">
        <v>9</v>
      </c>
      <c r="F67" s="284" t="str">
        <f>"      kHz  "</f>
        <v xml:space="preserve">      kHz  </v>
      </c>
      <c r="G67" s="204"/>
      <c r="H67" s="205"/>
      <c r="I67" s="127"/>
      <c r="J67" s="127"/>
      <c r="K67" s="127"/>
      <c r="L67" s="127"/>
      <c r="M67" s="127"/>
      <c r="N67" s="127"/>
      <c r="O67" s="127"/>
      <c r="P67" s="127"/>
      <c r="Q67" s="159"/>
      <c r="R67" s="365"/>
      <c r="S67" s="85"/>
      <c r="T67" s="85"/>
      <c r="W67" s="85"/>
      <c r="X67" s="85"/>
      <c r="Y67" s="85"/>
      <c r="AB67" s="85"/>
      <c r="AC67" s="85"/>
      <c r="AD67" s="85"/>
      <c r="AG67" s="85"/>
      <c r="AH67" s="85"/>
      <c r="AI67" s="85"/>
    </row>
    <row r="68" spans="1:35" ht="15.95" customHeight="1" x14ac:dyDescent="0.2">
      <c r="A68" s="354" t="str">
        <f>" Baseline P/Z Frequencies:"</f>
        <v xml:space="preserve"> Baseline P/Z Frequencies:</v>
      </c>
      <c r="B68" s="170"/>
      <c r="C68" s="170"/>
      <c r="D68" s="203" t="s">
        <v>534</v>
      </c>
      <c r="E68" s="222">
        <v>13</v>
      </c>
      <c r="F68" s="240" t="str">
        <f>"      kHz"</f>
        <v xml:space="preserve">      kHz</v>
      </c>
      <c r="G68" s="204"/>
      <c r="H68" s="205"/>
      <c r="I68" s="127"/>
      <c r="J68" s="127"/>
      <c r="K68" s="127"/>
      <c r="L68" s="127"/>
      <c r="M68" s="127"/>
      <c r="N68" s="127"/>
      <c r="O68" s="127"/>
      <c r="P68" s="127"/>
      <c r="Q68" s="159"/>
      <c r="R68" s="365"/>
      <c r="S68" s="85"/>
      <c r="T68" s="85"/>
      <c r="W68" s="85"/>
      <c r="X68" s="85"/>
      <c r="Y68" s="85"/>
      <c r="AB68" s="85"/>
      <c r="AC68" s="85"/>
      <c r="AD68" s="85"/>
      <c r="AG68" s="85"/>
      <c r="AH68" s="85"/>
      <c r="AI68" s="85"/>
    </row>
    <row r="69" spans="1:35" ht="15.95" customHeight="1" x14ac:dyDescent="0.2">
      <c r="A69" s="277"/>
      <c r="B69" s="170"/>
      <c r="C69" s="170"/>
      <c r="D69" s="206" t="s">
        <v>531</v>
      </c>
      <c r="E69" s="223">
        <f>Fesr/1000</f>
        <v>7957.7471636878181</v>
      </c>
      <c r="F69" s="240" t="str">
        <f>"      kHz"</f>
        <v xml:space="preserve">      kHz</v>
      </c>
      <c r="G69" s="207"/>
      <c r="H69" s="205"/>
      <c r="I69" s="127"/>
      <c r="J69" s="127"/>
      <c r="K69" s="127"/>
      <c r="L69" s="127"/>
      <c r="M69" s="127"/>
      <c r="N69" s="127"/>
      <c r="O69" s="127"/>
      <c r="P69" s="127"/>
      <c r="Q69" s="159"/>
      <c r="R69" s="365"/>
      <c r="S69" s="85"/>
      <c r="T69" s="85"/>
      <c r="W69" s="85"/>
      <c r="X69" s="85"/>
      <c r="Y69" s="85"/>
      <c r="AB69" s="85"/>
      <c r="AC69" s="85"/>
      <c r="AD69" s="85"/>
      <c r="AG69" s="85"/>
      <c r="AH69" s="85"/>
      <c r="AI69" s="85"/>
    </row>
    <row r="70" spans="1:35" ht="15.95" customHeight="1" thickBot="1" x14ac:dyDescent="0.25">
      <c r="A70" s="279"/>
      <c r="B70" s="280"/>
      <c r="C70" s="280"/>
      <c r="D70" s="267" t="s">
        <v>532</v>
      </c>
      <c r="E70" s="268">
        <f>Fsw/2000</f>
        <v>500</v>
      </c>
      <c r="F70" s="269" t="str">
        <f>"      kHz"</f>
        <v xml:space="preserve">      kHz</v>
      </c>
      <c r="G70" s="207"/>
      <c r="H70" s="205"/>
      <c r="I70" s="127"/>
      <c r="J70" s="127"/>
      <c r="K70" s="127"/>
      <c r="L70" s="127"/>
      <c r="M70" s="127"/>
      <c r="N70" s="127"/>
      <c r="O70" s="127"/>
      <c r="P70" s="127"/>
      <c r="Q70" s="159"/>
      <c r="R70" s="365"/>
      <c r="S70" s="85"/>
      <c r="T70" s="85"/>
      <c r="W70" s="85"/>
      <c r="X70" s="85"/>
      <c r="Y70" s="85"/>
      <c r="AB70" s="85"/>
      <c r="AC70" s="85"/>
      <c r="AD70" s="85"/>
      <c r="AG70" s="85"/>
      <c r="AH70" s="85"/>
      <c r="AI70" s="85"/>
    </row>
    <row r="71" spans="1:35" ht="15.75" customHeight="1" x14ac:dyDescent="0.2">
      <c r="A71" s="273"/>
      <c r="B71" s="208"/>
      <c r="C71" s="209"/>
      <c r="D71" s="194"/>
      <c r="E71" s="194"/>
      <c r="F71" s="194"/>
      <c r="G71" s="207"/>
      <c r="H71" s="205"/>
      <c r="I71" s="127"/>
      <c r="J71" s="127"/>
      <c r="K71" s="127"/>
      <c r="L71" s="127"/>
      <c r="M71" s="127"/>
      <c r="N71" s="127"/>
      <c r="O71" s="127"/>
      <c r="P71" s="127"/>
      <c r="Q71" s="159"/>
      <c r="R71" s="365"/>
      <c r="S71" s="85"/>
      <c r="T71" s="85"/>
      <c r="W71" s="85"/>
      <c r="X71" s="85"/>
      <c r="Y71" s="85"/>
      <c r="AB71" s="85"/>
      <c r="AC71" s="85"/>
      <c r="AD71" s="85"/>
      <c r="AG71" s="85"/>
      <c r="AH71" s="85"/>
      <c r="AI71" s="85"/>
    </row>
    <row r="72" spans="1:35" ht="18" customHeight="1" x14ac:dyDescent="0.2">
      <c r="A72" s="195" t="s">
        <v>443</v>
      </c>
      <c r="B72" s="210"/>
      <c r="C72" s="181"/>
      <c r="D72" s="200"/>
      <c r="E72" s="201"/>
      <c r="F72" s="202"/>
      <c r="G72" s="211"/>
      <c r="H72" s="184"/>
      <c r="I72" s="127"/>
      <c r="J72" s="127"/>
      <c r="K72" s="127"/>
      <c r="L72" s="127"/>
      <c r="M72" s="127"/>
      <c r="N72" s="127"/>
      <c r="O72" s="127"/>
      <c r="P72" s="127"/>
      <c r="Q72" s="159"/>
      <c r="R72" s="365"/>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25">
      <c r="A73" s="300"/>
      <c r="B73" s="301" t="s">
        <v>456</v>
      </c>
      <c r="C73" s="304" t="s">
        <v>442</v>
      </c>
      <c r="D73" s="302" t="str">
        <f>"    Selected"</f>
        <v xml:space="preserve">    Selected</v>
      </c>
      <c r="E73" s="303"/>
      <c r="F73" s="514" t="s">
        <v>444</v>
      </c>
      <c r="G73" s="514"/>
      <c r="H73" s="514"/>
      <c r="I73" s="293"/>
      <c r="J73" s="293"/>
      <c r="K73" s="293"/>
      <c r="L73" s="293"/>
      <c r="M73" s="293"/>
      <c r="N73" s="293"/>
      <c r="O73" s="293"/>
      <c r="P73" s="293"/>
      <c r="Q73" s="294"/>
      <c r="R73" s="366"/>
      <c r="S73" s="295"/>
      <c r="T73" s="295"/>
      <c r="U73" s="296"/>
      <c r="V73" s="296"/>
      <c r="W73" s="295"/>
      <c r="X73" s="295"/>
      <c r="Y73" s="295"/>
      <c r="Z73" s="296"/>
      <c r="AA73" s="296"/>
      <c r="AB73" s="295"/>
      <c r="AC73" s="295"/>
      <c r="AD73" s="295"/>
      <c r="AE73" s="296"/>
      <c r="AF73" s="296"/>
      <c r="AG73" s="297"/>
      <c r="AH73" s="297"/>
      <c r="AI73" s="297"/>
    </row>
    <row r="74" spans="1:35" ht="14.25" x14ac:dyDescent="0.25">
      <c r="A74" s="248" t="s">
        <v>445</v>
      </c>
      <c r="B74" s="264">
        <f>Rcea1/1000</f>
        <v>4.8908320146164543</v>
      </c>
      <c r="C74" s="242">
        <f>'Standard Value Calculator'!S27</f>
        <v>4.87</v>
      </c>
      <c r="D74" s="243">
        <f>C74</f>
        <v>4.87</v>
      </c>
      <c r="E74" s="244" t="s">
        <v>116</v>
      </c>
      <c r="F74" s="246">
        <f>Fz1_u/1000</f>
        <v>8.3796632061157457</v>
      </c>
      <c r="G74" s="263" t="s">
        <v>446</v>
      </c>
      <c r="H74" s="194"/>
      <c r="I74" s="127"/>
      <c r="J74" s="127"/>
      <c r="K74" s="127"/>
      <c r="L74" s="127"/>
      <c r="M74" s="127"/>
      <c r="N74" s="127"/>
      <c r="O74" s="127"/>
      <c r="P74" s="127"/>
      <c r="Q74" s="159"/>
      <c r="R74" s="365"/>
      <c r="S74" s="285"/>
      <c r="T74" s="285"/>
      <c r="U74" s="286"/>
      <c r="V74" s="286"/>
      <c r="W74" s="285"/>
      <c r="X74" s="285"/>
      <c r="Y74" s="285"/>
      <c r="Z74" s="286"/>
      <c r="AA74" s="286"/>
      <c r="AB74" s="285"/>
      <c r="AC74" s="285"/>
      <c r="AD74" s="285"/>
      <c r="AE74" s="286"/>
      <c r="AF74" s="286"/>
      <c r="AG74" s="85"/>
      <c r="AH74" s="85"/>
      <c r="AI74" s="85"/>
    </row>
    <row r="75" spans="1:35" ht="14.25" x14ac:dyDescent="0.25">
      <c r="A75" s="249" t="s">
        <v>447</v>
      </c>
      <c r="B75" s="265">
        <f>Cc1ea*1000000000000</f>
        <v>3615.7207062364678</v>
      </c>
      <c r="C75" s="205">
        <f>'Standard Value Calculator'!S28</f>
        <v>3900</v>
      </c>
      <c r="D75" s="212">
        <f>C75</f>
        <v>3900</v>
      </c>
      <c r="E75" s="245" t="s">
        <v>53</v>
      </c>
      <c r="F75" s="247">
        <f>Fz2_u/1000</f>
        <v>12.838762037629866</v>
      </c>
      <c r="G75" s="240" t="s">
        <v>448</v>
      </c>
      <c r="H75" s="194"/>
      <c r="I75" s="127"/>
      <c r="J75" s="127"/>
      <c r="K75" s="127"/>
      <c r="L75" s="127"/>
      <c r="M75" s="127"/>
      <c r="N75" s="127"/>
      <c r="O75" s="127"/>
      <c r="P75" s="127"/>
      <c r="Q75" s="159"/>
      <c r="R75" s="365"/>
      <c r="S75" s="285"/>
      <c r="T75" s="285"/>
      <c r="U75" s="286"/>
      <c r="V75" s="286"/>
      <c r="W75" s="285"/>
      <c r="X75" s="285"/>
      <c r="Y75" s="285"/>
      <c r="Z75" s="286"/>
      <c r="AA75" s="286"/>
      <c r="AB75" s="285"/>
      <c r="AC75" s="285"/>
      <c r="AD75" s="285"/>
      <c r="AE75" s="286"/>
      <c r="AF75" s="286"/>
      <c r="AG75" s="85"/>
      <c r="AH75" s="85"/>
      <c r="AI75" s="85"/>
    </row>
    <row r="76" spans="1:35" ht="14.25" x14ac:dyDescent="0.25">
      <c r="A76" s="249" t="s">
        <v>449</v>
      </c>
      <c r="B76" s="265">
        <f>Cc2ea*1000000000000</f>
        <v>66.27593962551569</v>
      </c>
      <c r="C76" s="205">
        <f>'Standard Value Calculator'!S29</f>
        <v>68</v>
      </c>
      <c r="D76" s="212">
        <f>C76</f>
        <v>68</v>
      </c>
      <c r="E76" s="245" t="s">
        <v>53</v>
      </c>
      <c r="F76" s="422">
        <f>Fp1_u/1000</f>
        <v>7786.4453656436572</v>
      </c>
      <c r="G76" s="240" t="s">
        <v>450</v>
      </c>
      <c r="H76" s="194"/>
      <c r="I76" s="127"/>
      <c r="J76" s="127"/>
      <c r="K76" s="127"/>
      <c r="L76" s="127"/>
      <c r="M76" s="127"/>
      <c r="N76" s="127"/>
      <c r="O76" s="127"/>
      <c r="P76" s="127"/>
      <c r="Q76" s="159"/>
      <c r="R76" s="365"/>
      <c r="S76" s="285"/>
      <c r="T76" s="285"/>
      <c r="U76" s="286"/>
      <c r="V76" s="286"/>
      <c r="W76" s="285"/>
      <c r="X76" s="285"/>
      <c r="Y76" s="285"/>
      <c r="Z76" s="286"/>
      <c r="AA76" s="286"/>
      <c r="AB76" s="285"/>
      <c r="AC76" s="285"/>
      <c r="AD76" s="285"/>
      <c r="AE76" s="286"/>
      <c r="AF76" s="286"/>
      <c r="AG76" s="85"/>
      <c r="AH76" s="85"/>
      <c r="AI76" s="85"/>
    </row>
    <row r="77" spans="1:35" ht="16.149999999999999" customHeight="1" x14ac:dyDescent="0.25">
      <c r="A77" s="249" t="s">
        <v>451</v>
      </c>
      <c r="B77" s="265">
        <f>Rcea2</f>
        <v>36.162258418131984</v>
      </c>
      <c r="C77" s="205">
        <f>'Standard Value Calculator'!S30</f>
        <v>36.5</v>
      </c>
      <c r="D77" s="212">
        <f>C77</f>
        <v>36.5</v>
      </c>
      <c r="E77" s="245" t="s">
        <v>274</v>
      </c>
      <c r="F77" s="422">
        <f>Fp2_u/1000</f>
        <v>488.97799414510712</v>
      </c>
      <c r="G77" s="240" t="s">
        <v>452</v>
      </c>
      <c r="H77" s="194"/>
      <c r="I77" s="127"/>
      <c r="J77" s="127"/>
      <c r="K77" s="127"/>
      <c r="L77" s="127"/>
      <c r="M77" s="127"/>
      <c r="N77" s="127"/>
      <c r="O77" s="127"/>
      <c r="P77" s="127"/>
      <c r="Q77" s="159"/>
      <c r="R77" s="365"/>
      <c r="S77" s="285"/>
      <c r="T77" s="285"/>
      <c r="U77" s="286"/>
      <c r="V77" s="286"/>
      <c r="W77" s="285"/>
      <c r="X77" s="285"/>
      <c r="Y77" s="285"/>
      <c r="Z77" s="286"/>
      <c r="AA77" s="286"/>
      <c r="AB77" s="285"/>
      <c r="AC77" s="285"/>
      <c r="AD77" s="285"/>
      <c r="AE77" s="286"/>
      <c r="AF77" s="286"/>
      <c r="AG77" s="85"/>
      <c r="AH77" s="85"/>
      <c r="AI77" s="85"/>
    </row>
    <row r="78" spans="1:35" ht="15" customHeight="1" thickBot="1" x14ac:dyDescent="0.3">
      <c r="A78" s="274" t="s">
        <v>453</v>
      </c>
      <c r="B78" s="266">
        <f>Cc3ea*1000000000000</f>
        <v>553.06280290204108</v>
      </c>
      <c r="C78" s="258">
        <f>'Standard Value Calculator'!S31</f>
        <v>560</v>
      </c>
      <c r="D78" s="259">
        <f>C78</f>
        <v>560</v>
      </c>
      <c r="E78" s="260" t="s">
        <v>53</v>
      </c>
      <c r="F78" s="261"/>
      <c r="G78" s="262"/>
      <c r="H78" s="194"/>
      <c r="I78" s="127"/>
      <c r="J78" s="127"/>
      <c r="K78" s="127"/>
      <c r="L78" s="180"/>
      <c r="M78" s="513"/>
      <c r="N78" s="192"/>
      <c r="O78" s="127"/>
      <c r="P78" s="127"/>
      <c r="Q78" s="159"/>
      <c r="R78" s="365"/>
      <c r="S78" s="285"/>
      <c r="T78" s="285"/>
      <c r="U78" s="286"/>
      <c r="V78" s="286"/>
      <c r="W78" s="285"/>
      <c r="X78" s="285"/>
      <c r="Y78" s="285"/>
      <c r="Z78" s="286"/>
      <c r="AA78" s="286"/>
      <c r="AB78" s="285"/>
      <c r="AC78" s="285"/>
      <c r="AD78" s="285"/>
      <c r="AE78" s="286"/>
      <c r="AF78" s="286"/>
      <c r="AG78" s="85"/>
      <c r="AH78" s="85"/>
      <c r="AI78" s="85"/>
    </row>
    <row r="79" spans="1:35" ht="13.5" thickBot="1" x14ac:dyDescent="0.25">
      <c r="A79" s="183"/>
      <c r="B79" s="181"/>
      <c r="C79" s="181"/>
      <c r="D79" s="184"/>
      <c r="E79" s="184"/>
      <c r="F79" s="184"/>
      <c r="G79" s="184"/>
      <c r="H79" s="184"/>
      <c r="I79" s="127"/>
      <c r="J79" s="127"/>
      <c r="K79" s="127"/>
      <c r="L79" s="127"/>
      <c r="M79" s="127"/>
      <c r="N79" s="127"/>
      <c r="O79" s="127"/>
      <c r="P79" s="127"/>
      <c r="Q79" s="159"/>
      <c r="R79" s="365"/>
      <c r="S79" s="285"/>
      <c r="T79" s="285"/>
      <c r="U79" s="286"/>
      <c r="V79" s="286"/>
      <c r="W79" s="285"/>
      <c r="X79" s="285"/>
      <c r="Y79" s="285"/>
      <c r="Z79" s="286"/>
      <c r="AA79" s="286"/>
      <c r="AB79" s="285"/>
      <c r="AC79" s="285"/>
      <c r="AD79" s="285"/>
      <c r="AE79" s="286"/>
      <c r="AF79" s="286"/>
      <c r="AG79" s="85"/>
      <c r="AH79" s="85"/>
      <c r="AI79" s="85"/>
    </row>
    <row r="80" spans="1:35" s="130" customFormat="1" ht="18.75" thickBot="1" x14ac:dyDescent="0.3">
      <c r="A80" s="275" t="s">
        <v>454</v>
      </c>
      <c r="B80" s="198"/>
      <c r="C80" s="213"/>
      <c r="D80" s="213"/>
      <c r="E80" s="213"/>
      <c r="F80" s="213"/>
      <c r="G80" s="213"/>
      <c r="H80" s="213"/>
      <c r="I80" s="128"/>
      <c r="J80" s="128"/>
      <c r="K80" s="128"/>
      <c r="L80" s="128"/>
      <c r="M80" s="128"/>
      <c r="N80" s="128"/>
      <c r="O80" s="128"/>
      <c r="P80" s="128"/>
      <c r="Q80" s="129"/>
      <c r="R80" s="367"/>
      <c r="S80" s="287"/>
      <c r="T80" s="287"/>
      <c r="U80" s="288"/>
      <c r="V80" s="288"/>
      <c r="W80" s="287"/>
      <c r="X80" s="287"/>
      <c r="Y80" s="287"/>
      <c r="Z80" s="288"/>
      <c r="AA80" s="288"/>
      <c r="AB80" s="287"/>
      <c r="AC80" s="287"/>
      <c r="AD80" s="287"/>
      <c r="AE80" s="288"/>
      <c r="AF80" s="288"/>
      <c r="AG80" s="86"/>
      <c r="AH80" s="86"/>
      <c r="AI80" s="86"/>
    </row>
    <row r="81" spans="1:35" x14ac:dyDescent="0.2">
      <c r="A81" s="272"/>
      <c r="B81" s="194"/>
      <c r="C81" s="184"/>
      <c r="D81" s="184"/>
      <c r="E81" s="184"/>
      <c r="F81" s="184"/>
      <c r="G81" s="184"/>
      <c r="H81" s="184"/>
      <c r="I81" s="127"/>
      <c r="J81" s="127"/>
      <c r="K81" s="127"/>
      <c r="L81" s="127"/>
      <c r="M81" s="127"/>
      <c r="N81" s="127"/>
      <c r="O81" s="127"/>
      <c r="P81" s="127"/>
      <c r="Q81" s="159"/>
      <c r="R81" s="365"/>
      <c r="S81" s="285"/>
      <c r="T81" s="285"/>
      <c r="U81" s="286"/>
      <c r="V81" s="286"/>
      <c r="W81" s="285"/>
      <c r="X81" s="285"/>
      <c r="Y81" s="285"/>
      <c r="Z81" s="286"/>
      <c r="AA81" s="286"/>
      <c r="AB81" s="285"/>
      <c r="AC81" s="285"/>
      <c r="AD81" s="285"/>
      <c r="AE81" s="286"/>
      <c r="AF81" s="286"/>
      <c r="AG81" s="85"/>
      <c r="AH81" s="85"/>
      <c r="AI81" s="85"/>
    </row>
    <row r="82" spans="1:35" ht="18.75" x14ac:dyDescent="0.3">
      <c r="A82" s="214" t="s">
        <v>361</v>
      </c>
      <c r="B82" s="191"/>
      <c r="C82" s="184"/>
      <c r="D82" s="184"/>
      <c r="E82" s="184"/>
      <c r="F82" s="184"/>
      <c r="G82" s="184"/>
      <c r="H82" s="184"/>
      <c r="I82" s="127"/>
      <c r="J82" s="127"/>
      <c r="K82" s="127"/>
      <c r="L82" s="127"/>
      <c r="M82" s="127"/>
      <c r="N82" s="127"/>
      <c r="O82" s="127"/>
      <c r="P82" s="127"/>
      <c r="Q82" s="159"/>
      <c r="R82" s="365"/>
      <c r="S82" s="285"/>
      <c r="T82" s="285"/>
      <c r="U82" s="286"/>
      <c r="V82" s="286"/>
      <c r="W82" s="285"/>
      <c r="X82" s="285"/>
      <c r="Y82" s="285"/>
      <c r="Z82" s="286"/>
      <c r="AA82" s="286"/>
      <c r="AB82" s="285"/>
      <c r="AC82" s="285"/>
      <c r="AD82" s="285"/>
      <c r="AE82" s="286"/>
      <c r="AF82" s="286"/>
      <c r="AG82" s="85"/>
      <c r="AH82" s="85"/>
      <c r="AI82" s="85"/>
    </row>
    <row r="83" spans="1:35" ht="13.5" customHeight="1" thickBot="1" x14ac:dyDescent="0.25">
      <c r="A83" s="183"/>
      <c r="B83" s="184"/>
      <c r="C83" s="184"/>
      <c r="D83" s="184"/>
      <c r="E83" s="184"/>
      <c r="F83" s="184"/>
      <c r="G83" s="184"/>
      <c r="H83" s="184"/>
      <c r="I83" s="127"/>
      <c r="J83" s="127"/>
      <c r="K83" s="127"/>
      <c r="L83" s="127"/>
      <c r="M83" s="127"/>
      <c r="N83" s="127"/>
      <c r="O83" s="127"/>
      <c r="P83" s="127"/>
      <c r="Q83" s="159"/>
      <c r="R83" s="365"/>
      <c r="S83" s="285"/>
      <c r="T83" s="178"/>
      <c r="U83" s="178"/>
      <c r="V83" s="286"/>
      <c r="W83" s="285"/>
      <c r="X83" s="285"/>
      <c r="Y83" s="285"/>
      <c r="Z83" s="286"/>
      <c r="AA83" s="286"/>
      <c r="AB83" s="285"/>
      <c r="AC83" s="285"/>
      <c r="AD83" s="285"/>
      <c r="AE83" s="286"/>
      <c r="AF83" s="286"/>
      <c r="AG83" s="85"/>
      <c r="AH83" s="85"/>
      <c r="AI83" s="85"/>
    </row>
    <row r="84" spans="1:35" ht="18" customHeight="1" x14ac:dyDescent="0.25">
      <c r="A84" s="250"/>
      <c r="B84" s="251"/>
      <c r="C84" s="252"/>
      <c r="D84" s="299" t="s">
        <v>529</v>
      </c>
      <c r="E84" s="352" t="s">
        <v>763</v>
      </c>
      <c r="F84" s="253"/>
      <c r="G84" s="184"/>
      <c r="H84" s="184"/>
      <c r="I84" s="127"/>
      <c r="J84" s="127"/>
      <c r="K84" s="127"/>
      <c r="L84" s="127"/>
      <c r="M84" s="127"/>
      <c r="N84" s="127"/>
      <c r="O84" s="127"/>
      <c r="P84" s="127"/>
      <c r="Q84" s="159"/>
      <c r="R84" s="365"/>
      <c r="S84" s="285"/>
      <c r="T84" s="178"/>
      <c r="U84" s="178"/>
      <c r="V84" s="286"/>
      <c r="W84" s="285"/>
      <c r="X84" s="285"/>
      <c r="Y84" s="285"/>
      <c r="Z84" s="286"/>
      <c r="AA84" s="286"/>
      <c r="AB84" s="285"/>
      <c r="AC84" s="285"/>
      <c r="AD84" s="285"/>
      <c r="AE84" s="286"/>
      <c r="AF84" s="286"/>
      <c r="AG84" s="85"/>
      <c r="AH84" s="85"/>
      <c r="AI84" s="85"/>
    </row>
    <row r="85" spans="1:35" ht="14.45" customHeight="1" x14ac:dyDescent="0.25">
      <c r="A85" s="183"/>
      <c r="B85" s="184"/>
      <c r="C85" s="192"/>
      <c r="D85" s="180" t="s">
        <v>545</v>
      </c>
      <c r="E85" s="185">
        <v>52</v>
      </c>
      <c r="F85" s="234" t="s">
        <v>115</v>
      </c>
      <c r="G85" s="184"/>
      <c r="H85" s="184"/>
      <c r="I85" s="127"/>
      <c r="J85" s="127"/>
      <c r="K85" s="127"/>
      <c r="L85" s="127"/>
      <c r="M85" s="127"/>
      <c r="N85" s="127"/>
      <c r="O85" s="127"/>
      <c r="P85" s="127"/>
      <c r="Q85" s="159"/>
      <c r="R85" s="365"/>
      <c r="S85" s="285"/>
      <c r="T85" s="178"/>
      <c r="U85" s="178"/>
      <c r="V85" s="286"/>
      <c r="W85" s="285"/>
      <c r="X85" s="285"/>
      <c r="Y85" s="285"/>
      <c r="Z85" s="286"/>
      <c r="AA85" s="286"/>
      <c r="AB85" s="285"/>
      <c r="AC85" s="285"/>
      <c r="AD85" s="285"/>
      <c r="AE85" s="286"/>
      <c r="AF85" s="286"/>
      <c r="AG85" s="85"/>
      <c r="AH85" s="85"/>
      <c r="AI85" s="85"/>
    </row>
    <row r="86" spans="1:35" ht="14.45" customHeight="1" x14ac:dyDescent="0.25">
      <c r="A86" s="183"/>
      <c r="B86" s="184"/>
      <c r="C86" s="192"/>
      <c r="D86" s="180" t="s">
        <v>546</v>
      </c>
      <c r="E86" s="185">
        <v>3.2</v>
      </c>
      <c r="F86" s="234" t="s">
        <v>136</v>
      </c>
      <c r="G86" s="184"/>
      <c r="H86" s="184"/>
      <c r="I86" s="127"/>
      <c r="J86" s="127"/>
      <c r="K86" s="127"/>
      <c r="L86" s="127"/>
      <c r="M86" s="127"/>
      <c r="N86" s="127"/>
      <c r="O86" s="127"/>
      <c r="P86" s="127"/>
      <c r="Q86" s="159"/>
      <c r="R86" s="365"/>
      <c r="S86" s="285"/>
      <c r="T86" s="178"/>
      <c r="U86" s="178"/>
      <c r="V86" s="286"/>
      <c r="W86" s="285"/>
      <c r="X86" s="285"/>
      <c r="Y86" s="285"/>
      <c r="Z86" s="286"/>
      <c r="AA86" s="286"/>
      <c r="AB86" s="285"/>
      <c r="AC86" s="285"/>
      <c r="AD86" s="285"/>
      <c r="AE86" s="286"/>
      <c r="AF86" s="286"/>
      <c r="AG86" s="85"/>
      <c r="AH86" s="85"/>
      <c r="AI86" s="85"/>
    </row>
    <row r="87" spans="1:35" ht="14.45" customHeight="1" x14ac:dyDescent="0.25">
      <c r="A87" s="183"/>
      <c r="B87" s="184"/>
      <c r="C87" s="192"/>
      <c r="D87" s="180" t="s">
        <v>547</v>
      </c>
      <c r="E87" s="185">
        <v>0.8</v>
      </c>
      <c r="F87" s="234" t="s">
        <v>136</v>
      </c>
      <c r="G87" s="184"/>
      <c r="H87" s="184"/>
      <c r="I87" s="127"/>
      <c r="J87" s="127"/>
      <c r="K87" s="127"/>
      <c r="L87" s="127"/>
      <c r="M87" s="127"/>
      <c r="N87" s="127"/>
      <c r="O87" s="127"/>
      <c r="P87" s="127"/>
      <c r="Q87" s="159"/>
      <c r="R87" s="365"/>
      <c r="S87" s="285"/>
      <c r="T87" s="178"/>
      <c r="U87" s="178"/>
      <c r="V87" s="286"/>
      <c r="W87" s="285"/>
      <c r="X87" s="285"/>
      <c r="Y87" s="285"/>
      <c r="Z87" s="286"/>
      <c r="AA87" s="286"/>
      <c r="AB87" s="285"/>
      <c r="AC87" s="285"/>
      <c r="AD87" s="285"/>
      <c r="AE87" s="286"/>
      <c r="AF87" s="286"/>
      <c r="AG87" s="85"/>
      <c r="AH87" s="85"/>
      <c r="AI87" s="85"/>
    </row>
    <row r="88" spans="1:35" ht="14.45" customHeight="1" x14ac:dyDescent="0.25">
      <c r="A88" s="183"/>
      <c r="B88" s="184"/>
      <c r="C88" s="192"/>
      <c r="D88" s="180" t="s">
        <v>548</v>
      </c>
      <c r="E88" s="185">
        <v>1.6</v>
      </c>
      <c r="F88" s="234" t="s">
        <v>136</v>
      </c>
      <c r="G88" s="184"/>
      <c r="H88" s="184"/>
      <c r="I88" s="127"/>
      <c r="J88" s="127"/>
      <c r="K88" s="127"/>
      <c r="L88" s="127"/>
      <c r="M88" s="127"/>
      <c r="N88" s="127"/>
      <c r="O88" s="127"/>
      <c r="P88" s="127"/>
      <c r="Q88" s="159"/>
      <c r="R88" s="365"/>
      <c r="S88" s="285"/>
      <c r="T88" s="178"/>
      <c r="U88" s="178"/>
      <c r="V88" s="286"/>
      <c r="W88" s="285"/>
      <c r="X88" s="285"/>
      <c r="Y88" s="285"/>
      <c r="Z88" s="286"/>
      <c r="AA88" s="286"/>
      <c r="AB88" s="285"/>
      <c r="AC88" s="285"/>
      <c r="AD88" s="285"/>
      <c r="AE88" s="286"/>
      <c r="AF88" s="286"/>
      <c r="AG88" s="85"/>
      <c r="AH88" s="85"/>
      <c r="AI88" s="85"/>
    </row>
    <row r="89" spans="1:35" ht="14.45" customHeight="1" x14ac:dyDescent="0.25">
      <c r="A89" s="183"/>
      <c r="B89" s="184"/>
      <c r="C89" s="192"/>
      <c r="D89" s="180" t="s">
        <v>717</v>
      </c>
      <c r="E89" s="185">
        <v>69</v>
      </c>
      <c r="F89" s="234" t="s">
        <v>53</v>
      </c>
      <c r="G89" s="184"/>
      <c r="H89" s="184"/>
      <c r="I89" s="127"/>
      <c r="J89" s="127"/>
      <c r="K89" s="127"/>
      <c r="L89" s="127"/>
      <c r="M89" s="127"/>
      <c r="N89" s="127"/>
      <c r="O89" s="127"/>
      <c r="P89" s="127"/>
      <c r="Q89" s="159"/>
      <c r="R89" s="365"/>
      <c r="S89" s="285"/>
      <c r="T89" s="178"/>
      <c r="U89" s="178"/>
      <c r="V89" s="286"/>
      <c r="W89" s="285"/>
      <c r="X89" s="285"/>
      <c r="Y89" s="285"/>
      <c r="Z89" s="286"/>
      <c r="AA89" s="286"/>
      <c r="AB89" s="285"/>
      <c r="AC89" s="285"/>
      <c r="AD89" s="285"/>
      <c r="AE89" s="286"/>
      <c r="AF89" s="286"/>
      <c r="AG89" s="85"/>
      <c r="AH89" s="85"/>
      <c r="AI89" s="85"/>
    </row>
    <row r="90" spans="1:35" ht="14.45" customHeight="1" x14ac:dyDescent="0.25">
      <c r="A90" s="183"/>
      <c r="B90" s="184"/>
      <c r="C90" s="192"/>
      <c r="D90" s="180" t="s">
        <v>549</v>
      </c>
      <c r="E90" s="185">
        <v>4.5999999999999996</v>
      </c>
      <c r="F90" s="234" t="s">
        <v>274</v>
      </c>
      <c r="G90" s="184"/>
      <c r="H90" s="184"/>
      <c r="I90" s="127"/>
      <c r="J90" s="127"/>
      <c r="K90" s="127"/>
      <c r="L90" s="127"/>
      <c r="M90" s="127"/>
      <c r="N90" s="127"/>
      <c r="O90" s="127"/>
      <c r="P90" s="127"/>
      <c r="Q90" s="159"/>
      <c r="R90" s="365"/>
      <c r="S90" s="285"/>
      <c r="T90" s="178"/>
      <c r="U90" s="178"/>
      <c r="V90" s="286"/>
      <c r="W90" s="285"/>
      <c r="X90" s="285"/>
      <c r="Y90" s="285"/>
      <c r="Z90" s="286"/>
      <c r="AA90" s="286"/>
      <c r="AB90" s="285"/>
      <c r="AC90" s="285"/>
      <c r="AD90" s="285"/>
      <c r="AE90" s="286"/>
      <c r="AF90" s="286"/>
      <c r="AG90" s="85"/>
      <c r="AH90" s="85"/>
      <c r="AI90" s="85"/>
    </row>
    <row r="91" spans="1:35" ht="14.45" customHeight="1" x14ac:dyDescent="0.25">
      <c r="A91" s="183"/>
      <c r="B91" s="184"/>
      <c r="C91" s="192"/>
      <c r="D91" s="180" t="s">
        <v>550</v>
      </c>
      <c r="E91" s="185">
        <v>45</v>
      </c>
      <c r="F91" s="234" t="s">
        <v>137</v>
      </c>
      <c r="G91" s="184"/>
      <c r="H91" s="184"/>
      <c r="I91" s="127"/>
      <c r="J91" s="127"/>
      <c r="K91" s="127"/>
      <c r="L91" s="127"/>
      <c r="M91" s="127"/>
      <c r="N91" s="127"/>
      <c r="O91" s="127"/>
      <c r="P91" s="127"/>
      <c r="Q91" s="159"/>
      <c r="R91" s="365"/>
      <c r="S91" s="285"/>
      <c r="T91" s="178"/>
      <c r="U91" s="178"/>
      <c r="V91" s="286"/>
      <c r="W91" s="285"/>
      <c r="X91" s="285"/>
      <c r="Y91" s="285"/>
      <c r="Z91" s="286"/>
      <c r="AA91" s="286"/>
      <c r="AB91" s="285"/>
      <c r="AC91" s="285"/>
      <c r="AD91" s="285"/>
      <c r="AE91" s="286"/>
      <c r="AF91" s="286"/>
      <c r="AG91" s="85"/>
      <c r="AH91" s="85"/>
      <c r="AI91" s="85"/>
    </row>
    <row r="92" spans="1:35" ht="14.45" customHeight="1" x14ac:dyDescent="0.25">
      <c r="A92" s="183"/>
      <c r="B92" s="184"/>
      <c r="C92" s="192"/>
      <c r="D92" s="180" t="s">
        <v>761</v>
      </c>
      <c r="E92" s="185">
        <v>5</v>
      </c>
      <c r="F92" s="234" t="s">
        <v>0</v>
      </c>
      <c r="G92" s="184"/>
      <c r="H92" s="184"/>
      <c r="I92" s="127"/>
      <c r="J92" s="127"/>
      <c r="K92" s="127"/>
      <c r="L92" s="127"/>
      <c r="M92" s="127"/>
      <c r="N92" s="127"/>
      <c r="O92" s="127"/>
      <c r="P92" s="127"/>
      <c r="Q92" s="159"/>
      <c r="R92" s="365"/>
      <c r="S92" s="285"/>
      <c r="T92" s="178"/>
      <c r="U92" s="178"/>
      <c r="V92" s="286"/>
      <c r="W92" s="285"/>
      <c r="X92" s="285"/>
      <c r="Y92" s="285"/>
      <c r="Z92" s="286"/>
      <c r="AA92" s="286"/>
      <c r="AB92" s="285"/>
      <c r="AC92" s="285"/>
      <c r="AD92" s="285"/>
      <c r="AE92" s="286"/>
      <c r="AF92" s="286"/>
      <c r="AG92" s="85"/>
      <c r="AH92" s="85"/>
      <c r="AI92" s="85"/>
    </row>
    <row r="93" spans="1:35" ht="14.45" customHeight="1" x14ac:dyDescent="0.25">
      <c r="A93" s="183"/>
      <c r="B93" s="184"/>
      <c r="C93" s="192"/>
      <c r="D93" s="180" t="s">
        <v>554</v>
      </c>
      <c r="E93" s="185">
        <v>0.8</v>
      </c>
      <c r="F93" s="234" t="s">
        <v>0</v>
      </c>
      <c r="G93" s="184"/>
      <c r="H93" s="184"/>
      <c r="I93" s="127"/>
      <c r="J93" s="127"/>
      <c r="K93" s="127"/>
      <c r="L93" s="127"/>
      <c r="M93" s="127"/>
      <c r="N93" s="127"/>
      <c r="O93" s="127"/>
      <c r="P93" s="127"/>
      <c r="Q93" s="159"/>
      <c r="R93" s="365"/>
      <c r="S93" s="285"/>
      <c r="T93" s="178"/>
      <c r="U93" s="178"/>
      <c r="V93" s="286"/>
      <c r="W93" s="285"/>
      <c r="X93" s="285"/>
      <c r="Y93" s="285"/>
      <c r="Z93" s="286"/>
      <c r="AA93" s="286"/>
      <c r="AB93" s="285"/>
      <c r="AC93" s="285"/>
      <c r="AD93" s="285"/>
      <c r="AE93" s="286"/>
      <c r="AF93" s="286"/>
      <c r="AG93" s="85"/>
      <c r="AH93" s="85"/>
      <c r="AI93" s="85"/>
    </row>
    <row r="94" spans="1:35" ht="14.45" customHeight="1" thickBot="1" x14ac:dyDescent="0.3">
      <c r="A94" s="289"/>
      <c r="B94" s="255"/>
      <c r="C94" s="290"/>
      <c r="D94" s="256" t="s">
        <v>551</v>
      </c>
      <c r="E94" s="349">
        <v>55</v>
      </c>
      <c r="F94" s="257" t="s">
        <v>380</v>
      </c>
      <c r="G94" s="184"/>
      <c r="H94" s="184"/>
      <c r="I94" s="127"/>
      <c r="J94" s="127"/>
      <c r="K94" s="127"/>
      <c r="L94" s="127"/>
      <c r="M94" s="127"/>
      <c r="N94" s="127"/>
      <c r="O94" s="127"/>
      <c r="P94" s="127"/>
      <c r="Q94" s="159"/>
      <c r="R94" s="365"/>
      <c r="S94" s="285"/>
      <c r="T94" s="178"/>
      <c r="U94" s="178"/>
      <c r="V94" s="286"/>
      <c r="W94" s="285"/>
      <c r="X94" s="285"/>
      <c r="Y94" s="285"/>
      <c r="Z94" s="286"/>
      <c r="AA94" s="286"/>
      <c r="AB94" s="285"/>
      <c r="AC94" s="285"/>
      <c r="AD94" s="285"/>
      <c r="AE94" s="286"/>
      <c r="AF94" s="286"/>
      <c r="AG94" s="85"/>
      <c r="AH94" s="85"/>
      <c r="AI94" s="85"/>
    </row>
    <row r="95" spans="1:35" ht="18" customHeight="1" thickBot="1" x14ac:dyDescent="0.25">
      <c r="A95" s="183"/>
      <c r="B95" s="184"/>
      <c r="C95" s="192"/>
      <c r="D95" s="180"/>
      <c r="E95" s="194"/>
      <c r="F95" s="291"/>
      <c r="G95" s="184"/>
      <c r="H95" s="184"/>
      <c r="I95" s="127"/>
      <c r="J95" s="127"/>
      <c r="K95" s="127"/>
      <c r="L95" s="127"/>
      <c r="M95" s="127"/>
      <c r="N95" s="127"/>
      <c r="O95" s="127"/>
      <c r="P95" s="127"/>
      <c r="Q95" s="159"/>
      <c r="R95" s="365"/>
      <c r="S95" s="285"/>
      <c r="T95" s="178"/>
      <c r="U95" s="178"/>
      <c r="V95" s="286"/>
      <c r="W95" s="285"/>
      <c r="X95" s="285"/>
      <c r="Y95" s="285"/>
      <c r="Z95" s="286"/>
      <c r="AA95" s="286"/>
      <c r="AB95" s="285"/>
      <c r="AC95" s="285"/>
      <c r="AD95" s="285"/>
      <c r="AE95" s="286"/>
      <c r="AF95" s="286"/>
      <c r="AG95" s="85"/>
      <c r="AH95" s="85"/>
      <c r="AI95" s="85"/>
    </row>
    <row r="96" spans="1:35" ht="18" customHeight="1" x14ac:dyDescent="0.25">
      <c r="A96" s="250"/>
      <c r="B96" s="251"/>
      <c r="C96" s="254"/>
      <c r="D96" s="299" t="s">
        <v>530</v>
      </c>
      <c r="E96" s="352" t="s">
        <v>764</v>
      </c>
      <c r="F96" s="253"/>
      <c r="G96" s="184"/>
      <c r="H96" s="184"/>
      <c r="I96" s="127"/>
      <c r="J96" s="127"/>
      <c r="K96" s="127"/>
      <c r="L96" s="127"/>
      <c r="M96" s="127"/>
      <c r="N96" s="127"/>
      <c r="O96" s="127"/>
      <c r="P96" s="127"/>
      <c r="Q96" s="159"/>
      <c r="R96" s="365"/>
      <c r="S96" s="285"/>
      <c r="T96" s="178"/>
      <c r="U96" s="178"/>
      <c r="V96" s="286"/>
      <c r="W96" s="285"/>
      <c r="X96" s="285"/>
      <c r="Y96" s="285"/>
      <c r="Z96" s="286"/>
      <c r="AA96" s="286"/>
      <c r="AB96" s="285"/>
      <c r="AC96" s="285"/>
      <c r="AD96" s="285"/>
      <c r="AE96" s="286"/>
      <c r="AF96" s="286"/>
      <c r="AG96" s="85"/>
      <c r="AH96" s="85"/>
      <c r="AI96" s="85"/>
    </row>
    <row r="97" spans="1:35" ht="14.45" customHeight="1" x14ac:dyDescent="0.25">
      <c r="A97" s="183"/>
      <c r="B97" s="184"/>
      <c r="C97" s="184"/>
      <c r="D97" s="180" t="s">
        <v>545</v>
      </c>
      <c r="E97" s="185">
        <v>10</v>
      </c>
      <c r="F97" s="234" t="s">
        <v>115</v>
      </c>
      <c r="G97" s="184"/>
      <c r="H97" s="184"/>
      <c r="I97" s="127"/>
      <c r="J97" s="127"/>
      <c r="K97" s="127"/>
      <c r="L97" s="127"/>
      <c r="M97" s="127"/>
      <c r="N97" s="127"/>
      <c r="O97" s="127"/>
      <c r="P97" s="127"/>
      <c r="Q97" s="159"/>
      <c r="R97" s="365"/>
      <c r="S97" s="285"/>
      <c r="T97" s="178"/>
      <c r="U97" s="178"/>
      <c r="V97" s="286"/>
      <c r="W97" s="285"/>
      <c r="X97" s="285"/>
      <c r="Y97" s="285"/>
      <c r="Z97" s="286"/>
      <c r="AA97" s="286"/>
      <c r="AB97" s="285"/>
      <c r="AC97" s="285"/>
      <c r="AD97" s="285"/>
      <c r="AE97" s="286"/>
      <c r="AF97" s="286"/>
      <c r="AG97" s="85"/>
      <c r="AH97" s="85"/>
      <c r="AI97" s="85"/>
    </row>
    <row r="98" spans="1:35" ht="14.45" customHeight="1" x14ac:dyDescent="0.25">
      <c r="A98" s="183"/>
      <c r="B98" s="184"/>
      <c r="C98" s="184"/>
      <c r="D98" s="180" t="s">
        <v>546</v>
      </c>
      <c r="E98" s="185">
        <v>13</v>
      </c>
      <c r="F98" s="234" t="s">
        <v>136</v>
      </c>
      <c r="G98" s="184"/>
      <c r="H98" s="184"/>
      <c r="I98" s="127"/>
      <c r="J98" s="127"/>
      <c r="K98" s="127"/>
      <c r="L98" s="127"/>
      <c r="M98" s="127"/>
      <c r="N98" s="127"/>
      <c r="O98" s="127"/>
      <c r="P98" s="127"/>
      <c r="Q98" s="159"/>
      <c r="R98" s="365"/>
      <c r="S98" s="85"/>
      <c r="T98" s="6"/>
      <c r="U98" s="6"/>
      <c r="W98" s="85"/>
      <c r="X98" s="85"/>
      <c r="Y98" s="85"/>
      <c r="AB98" s="85"/>
      <c r="AC98" s="85"/>
      <c r="AD98" s="85"/>
      <c r="AG98" s="85"/>
      <c r="AH98" s="85"/>
      <c r="AI98" s="85"/>
    </row>
    <row r="99" spans="1:35" ht="14.45" customHeight="1" x14ac:dyDescent="0.25">
      <c r="A99" s="183"/>
      <c r="B99" s="184"/>
      <c r="C99" s="184"/>
      <c r="D99" s="180" t="s">
        <v>710</v>
      </c>
      <c r="E99" s="185">
        <v>20</v>
      </c>
      <c r="F99" s="234" t="s">
        <v>136</v>
      </c>
      <c r="G99" s="184"/>
      <c r="H99" s="184"/>
      <c r="I99" s="127"/>
      <c r="J99" s="127"/>
      <c r="K99" s="127"/>
      <c r="L99" s="127"/>
      <c r="M99" s="127"/>
      <c r="N99" s="127"/>
      <c r="O99" s="127"/>
      <c r="P99" s="127"/>
      <c r="Q99" s="159"/>
      <c r="R99" s="365"/>
      <c r="S99" s="85"/>
      <c r="T99" s="85"/>
      <c r="W99" s="85"/>
      <c r="X99" s="85"/>
      <c r="Y99" s="85"/>
      <c r="AB99" s="85"/>
      <c r="AC99" s="85"/>
      <c r="AD99" s="85"/>
      <c r="AG99" s="85"/>
      <c r="AH99" s="85"/>
      <c r="AI99" s="85"/>
    </row>
    <row r="100" spans="1:35" ht="14.45" customHeight="1" x14ac:dyDescent="0.25">
      <c r="A100" s="183"/>
      <c r="B100" s="184"/>
      <c r="C100" s="184"/>
      <c r="D100" s="180" t="s">
        <v>717</v>
      </c>
      <c r="E100" s="185">
        <v>580</v>
      </c>
      <c r="F100" s="234" t="s">
        <v>53</v>
      </c>
      <c r="G100" s="184"/>
      <c r="H100" s="184"/>
      <c r="I100" s="127"/>
      <c r="J100" s="127"/>
      <c r="K100" s="127"/>
      <c r="L100" s="127"/>
      <c r="M100" s="127"/>
      <c r="N100" s="127"/>
      <c r="O100" s="127"/>
      <c r="P100" s="127"/>
      <c r="Q100" s="159"/>
      <c r="R100" s="365"/>
      <c r="S100" s="85"/>
      <c r="T100" s="85"/>
      <c r="W100" s="85"/>
      <c r="X100" s="85"/>
      <c r="Y100" s="85"/>
      <c r="AB100" s="85"/>
      <c r="AC100" s="85"/>
      <c r="AD100" s="85"/>
      <c r="AG100" s="85"/>
      <c r="AH100" s="85"/>
      <c r="AI100" s="85"/>
    </row>
    <row r="101" spans="1:35" ht="14.25" customHeight="1" x14ac:dyDescent="0.25">
      <c r="A101" s="183"/>
      <c r="B101" s="184"/>
      <c r="C101" s="184"/>
      <c r="D101" s="180" t="s">
        <v>553</v>
      </c>
      <c r="E101" s="185">
        <v>0.9</v>
      </c>
      <c r="F101" s="234" t="s">
        <v>0</v>
      </c>
      <c r="G101" s="184"/>
      <c r="H101" s="184"/>
      <c r="I101" s="127"/>
      <c r="J101" s="127"/>
      <c r="K101" s="127"/>
      <c r="L101" s="127"/>
      <c r="M101" s="127"/>
      <c r="N101" s="127"/>
      <c r="O101" s="127"/>
      <c r="P101" s="127"/>
      <c r="Q101" s="159"/>
      <c r="R101" s="365"/>
      <c r="S101" s="85"/>
      <c r="T101" s="85"/>
      <c r="W101" s="85"/>
      <c r="X101" s="85"/>
      <c r="Y101" s="85"/>
      <c r="AB101" s="85"/>
      <c r="AC101" s="85"/>
      <c r="AD101" s="85"/>
      <c r="AG101" s="85"/>
      <c r="AH101" s="85"/>
      <c r="AI101" s="85"/>
    </row>
    <row r="102" spans="1:35" ht="14.45" customHeight="1" x14ac:dyDescent="0.25">
      <c r="A102" s="183"/>
      <c r="B102" s="184"/>
      <c r="C102" s="184"/>
      <c r="D102" s="180" t="s">
        <v>552</v>
      </c>
      <c r="E102" s="185">
        <v>50</v>
      </c>
      <c r="F102" s="234" t="s">
        <v>136</v>
      </c>
      <c r="G102" s="184"/>
      <c r="H102" s="184"/>
      <c r="I102" s="131"/>
      <c r="J102" s="132"/>
      <c r="K102" s="127"/>
      <c r="L102" s="127"/>
      <c r="M102" s="127"/>
      <c r="N102" s="127"/>
      <c r="O102" s="127"/>
      <c r="P102" s="127"/>
      <c r="Q102" s="159"/>
      <c r="R102" s="365"/>
      <c r="S102" s="85"/>
      <c r="T102" s="85"/>
      <c r="W102" s="85"/>
      <c r="X102" s="85"/>
      <c r="Y102" s="85"/>
      <c r="AB102" s="85"/>
      <c r="AC102" s="85"/>
      <c r="AD102" s="85"/>
      <c r="AG102" s="85"/>
      <c r="AH102" s="85"/>
      <c r="AI102" s="85"/>
    </row>
    <row r="103" spans="1:35" ht="14.45" customHeight="1" thickBot="1" x14ac:dyDescent="0.3">
      <c r="A103" s="289"/>
      <c r="B103" s="255"/>
      <c r="C103" s="255"/>
      <c r="D103" s="256" t="s">
        <v>551</v>
      </c>
      <c r="E103" s="349">
        <v>40</v>
      </c>
      <c r="F103" s="257" t="s">
        <v>380</v>
      </c>
      <c r="G103" s="184"/>
      <c r="H103" s="184"/>
      <c r="I103" s="127"/>
      <c r="J103" s="127"/>
      <c r="K103" s="127"/>
      <c r="L103" s="127"/>
      <c r="M103" s="127"/>
      <c r="N103" s="127"/>
      <c r="O103" s="127"/>
      <c r="P103" s="127"/>
      <c r="Q103" s="159"/>
      <c r="R103" s="365"/>
      <c r="S103" s="85"/>
      <c r="T103" s="85"/>
      <c r="W103" s="85"/>
      <c r="X103" s="85"/>
      <c r="Y103" s="85"/>
      <c r="AB103" s="85"/>
      <c r="AC103" s="85"/>
      <c r="AD103" s="85"/>
      <c r="AG103" s="85"/>
      <c r="AH103" s="85"/>
      <c r="AI103" s="85"/>
    </row>
    <row r="104" spans="1:35" ht="14.45" customHeight="1" x14ac:dyDescent="0.2">
      <c r="A104" s="195"/>
      <c r="B104" s="192"/>
      <c r="C104" s="184"/>
      <c r="D104" s="292"/>
      <c r="E104" s="210"/>
      <c r="F104" s="252"/>
      <c r="G104" s="184"/>
      <c r="H104" s="184"/>
      <c r="I104" s="127"/>
      <c r="J104" s="127"/>
      <c r="K104" s="127"/>
      <c r="L104" s="127"/>
      <c r="M104" s="127"/>
      <c r="N104" s="127"/>
      <c r="O104" s="127"/>
      <c r="P104" s="127"/>
      <c r="Q104" s="159"/>
      <c r="R104" s="365"/>
      <c r="S104" s="85"/>
      <c r="T104" s="85"/>
      <c r="W104" s="85"/>
      <c r="X104" s="85"/>
      <c r="Y104" s="85"/>
      <c r="AB104" s="85"/>
      <c r="AC104" s="85"/>
      <c r="AD104" s="85"/>
      <c r="AG104" s="85"/>
      <c r="AH104" s="85"/>
      <c r="AI104" s="85"/>
    </row>
    <row r="105" spans="1:35" ht="14.45" customHeight="1" x14ac:dyDescent="0.2">
      <c r="A105" s="183"/>
      <c r="B105" s="184"/>
      <c r="C105" s="184"/>
      <c r="D105" s="180"/>
      <c r="E105" s="502"/>
      <c r="F105" s="184"/>
      <c r="G105" s="184"/>
      <c r="H105" s="184"/>
      <c r="I105" s="127"/>
      <c r="J105" s="127"/>
      <c r="K105" s="127"/>
      <c r="L105" s="127"/>
      <c r="M105" s="127"/>
      <c r="N105" s="127"/>
      <c r="O105" s="127"/>
      <c r="P105" s="127"/>
      <c r="Q105" s="159"/>
      <c r="R105" s="365"/>
      <c r="S105" s="85"/>
      <c r="T105" s="85"/>
      <c r="W105" s="85"/>
      <c r="X105" s="85"/>
      <c r="Y105" s="85"/>
      <c r="AB105" s="85"/>
      <c r="AC105" s="85"/>
      <c r="AD105" s="85"/>
      <c r="AG105" s="85"/>
      <c r="AH105" s="85"/>
      <c r="AI105" s="85"/>
    </row>
    <row r="106" spans="1:35" ht="18" customHeight="1" thickBot="1" x14ac:dyDescent="0.3">
      <c r="A106" s="503" t="s">
        <v>757</v>
      </c>
      <c r="B106" s="194"/>
      <c r="C106" s="504"/>
      <c r="D106" s="505"/>
      <c r="E106" s="170"/>
      <c r="F106" s="170"/>
      <c r="G106" s="184"/>
      <c r="H106" s="184"/>
      <c r="I106" s="127"/>
      <c r="J106" s="127"/>
      <c r="K106" s="127"/>
      <c r="L106" s="127"/>
      <c r="M106" s="127"/>
      <c r="N106" s="127"/>
      <c r="O106" s="127"/>
      <c r="P106" s="127"/>
      <c r="Q106" s="159"/>
      <c r="R106" s="365"/>
      <c r="S106" s="85"/>
      <c r="T106" s="85"/>
      <c r="W106" s="85"/>
      <c r="X106" s="85"/>
      <c r="Y106" s="85"/>
      <c r="AB106" s="85"/>
      <c r="AC106" s="85"/>
      <c r="AD106" s="85"/>
      <c r="AG106" s="85"/>
      <c r="AH106" s="85"/>
      <c r="AI106" s="85"/>
    </row>
    <row r="107" spans="1:35" ht="14.45" customHeight="1" x14ac:dyDescent="0.2">
      <c r="A107" s="271"/>
      <c r="B107" s="252"/>
      <c r="C107" s="506"/>
      <c r="D107" s="506" t="s">
        <v>758</v>
      </c>
      <c r="E107" s="507">
        <f>'Power Calculations'!AN9</f>
        <v>0.2175</v>
      </c>
      <c r="F107" s="253" t="s">
        <v>208</v>
      </c>
      <c r="G107" s="184"/>
      <c r="H107" s="184"/>
      <c r="I107" s="127"/>
      <c r="J107" s="127"/>
      <c r="K107" s="127"/>
      <c r="L107" s="127"/>
      <c r="M107" s="127"/>
      <c r="N107" s="127"/>
      <c r="O107" s="127"/>
      <c r="P107" s="127"/>
      <c r="Q107" s="159"/>
      <c r="R107" s="365"/>
      <c r="S107" s="85"/>
      <c r="T107" s="85"/>
      <c r="W107" s="85"/>
      <c r="X107" s="85"/>
      <c r="Y107" s="85"/>
      <c r="AB107" s="85"/>
      <c r="AC107" s="85"/>
      <c r="AD107" s="85"/>
      <c r="AG107" s="85"/>
      <c r="AH107" s="85"/>
      <c r="AI107" s="85"/>
    </row>
    <row r="108" spans="1:35" ht="19.5" customHeight="1" thickBot="1" x14ac:dyDescent="0.25">
      <c r="A108" s="289"/>
      <c r="B108" s="255"/>
      <c r="C108" s="255"/>
      <c r="D108" s="508" t="s">
        <v>759</v>
      </c>
      <c r="E108" s="509">
        <f>'Power Calculations'!AN9*50</f>
        <v>10.875</v>
      </c>
      <c r="F108" s="510" t="s">
        <v>441</v>
      </c>
      <c r="G108" s="170"/>
      <c r="H108" s="184"/>
      <c r="I108" s="127"/>
      <c r="J108" s="127"/>
      <c r="K108" s="127"/>
      <c r="L108" s="127"/>
      <c r="M108" s="127"/>
      <c r="N108" s="127"/>
      <c r="O108" s="127"/>
      <c r="P108" s="127"/>
      <c r="Q108" s="159"/>
      <c r="R108" s="365"/>
      <c r="S108" s="85"/>
      <c r="T108" s="85"/>
      <c r="W108" s="85"/>
      <c r="X108" s="85"/>
      <c r="Y108" s="85"/>
      <c r="AB108" s="85"/>
      <c r="AC108" s="85"/>
      <c r="AD108" s="85"/>
      <c r="AG108" s="85"/>
      <c r="AH108" s="85"/>
      <c r="AI108" s="85"/>
    </row>
    <row r="109" spans="1:35" ht="15.75" customHeight="1" x14ac:dyDescent="0.2">
      <c r="A109" s="277"/>
      <c r="B109" s="170"/>
      <c r="C109" s="170"/>
      <c r="D109" s="170"/>
      <c r="E109" s="170"/>
      <c r="F109" s="170"/>
      <c r="G109" s="170"/>
      <c r="H109" s="184"/>
      <c r="I109" s="127"/>
      <c r="J109" s="127"/>
      <c r="K109" s="127"/>
      <c r="L109" s="127"/>
      <c r="M109" s="127"/>
      <c r="N109" s="127"/>
      <c r="O109" s="127"/>
      <c r="P109" s="127"/>
      <c r="Q109" s="159"/>
      <c r="R109" s="365"/>
      <c r="S109" s="85"/>
      <c r="T109" s="85"/>
      <c r="W109" s="85"/>
      <c r="X109" s="85"/>
      <c r="Y109" s="85"/>
      <c r="AB109" s="85"/>
      <c r="AC109" s="85"/>
      <c r="AD109" s="85"/>
      <c r="AG109" s="85"/>
      <c r="AH109" s="85"/>
      <c r="AI109" s="85"/>
    </row>
    <row r="110" spans="1:35" ht="14.45" customHeight="1" x14ac:dyDescent="0.2">
      <c r="A110" s="277"/>
      <c r="B110" s="170"/>
      <c r="C110" s="170"/>
      <c r="D110" s="170"/>
      <c r="E110" s="170"/>
      <c r="F110" s="170"/>
      <c r="G110" s="170"/>
      <c r="H110" s="184"/>
      <c r="I110" s="127"/>
      <c r="J110" s="127"/>
      <c r="K110" s="127"/>
      <c r="L110" s="127"/>
      <c r="M110" s="127"/>
      <c r="N110" s="127"/>
      <c r="O110" s="127"/>
      <c r="P110" s="127"/>
      <c r="Q110" s="159"/>
      <c r="R110" s="365"/>
      <c r="S110" s="85"/>
      <c r="T110" s="85"/>
      <c r="W110" s="85"/>
      <c r="X110" s="85"/>
      <c r="Y110" s="85"/>
      <c r="AB110" s="85"/>
      <c r="AC110" s="85"/>
      <c r="AD110" s="85"/>
      <c r="AG110" s="85"/>
      <c r="AH110" s="85"/>
      <c r="AI110" s="85"/>
    </row>
    <row r="111" spans="1:35" ht="16.149999999999999" customHeight="1" thickBot="1" x14ac:dyDescent="0.25">
      <c r="A111" s="183"/>
      <c r="B111" s="184"/>
      <c r="C111" s="184"/>
      <c r="D111" s="180"/>
      <c r="E111" s="283"/>
      <c r="F111" s="184"/>
      <c r="G111" s="184"/>
      <c r="H111" s="184"/>
      <c r="I111" s="127"/>
      <c r="J111" s="127"/>
      <c r="K111" s="127"/>
      <c r="L111" s="127"/>
      <c r="M111" s="127"/>
      <c r="N111" s="127"/>
      <c r="O111" s="127"/>
      <c r="P111" s="127"/>
      <c r="Q111" s="159"/>
      <c r="R111" s="365"/>
      <c r="S111" s="85"/>
      <c r="T111" s="85"/>
      <c r="W111" s="85"/>
      <c r="X111" s="85"/>
      <c r="Y111" s="85"/>
      <c r="AB111" s="85"/>
      <c r="AC111" s="85"/>
      <c r="AD111" s="85"/>
      <c r="AG111" s="85"/>
      <c r="AH111" s="85"/>
      <c r="AI111" s="85"/>
    </row>
    <row r="112" spans="1:35" ht="13.5" thickBot="1" x14ac:dyDescent="0.25">
      <c r="A112" s="360"/>
      <c r="B112" s="361"/>
      <c r="C112" s="362"/>
      <c r="D112" s="362"/>
      <c r="E112" s="362"/>
      <c r="F112" s="362"/>
      <c r="G112" s="362"/>
      <c r="H112" s="362"/>
      <c r="I112" s="362"/>
      <c r="J112" s="362"/>
      <c r="K112" s="362"/>
      <c r="L112" s="362"/>
      <c r="M112" s="362"/>
      <c r="N112" s="362"/>
      <c r="O112" s="362"/>
      <c r="P112" s="362"/>
      <c r="Q112" s="362"/>
      <c r="R112" s="363"/>
      <c r="S112" s="85"/>
      <c r="T112" s="85"/>
      <c r="W112" s="85"/>
      <c r="X112" s="85"/>
      <c r="Y112" s="85"/>
      <c r="AB112" s="85"/>
      <c r="AC112" s="85"/>
      <c r="AD112" s="85"/>
      <c r="AG112" s="85"/>
      <c r="AH112" s="85"/>
      <c r="AI112" s="85"/>
    </row>
    <row r="113" spans="18:35" x14ac:dyDescent="0.2">
      <c r="R113" s="85"/>
      <c r="S113" s="85"/>
      <c r="T113" s="85"/>
      <c r="W113" s="85"/>
      <c r="X113" s="85"/>
      <c r="Y113" s="85"/>
      <c r="AB113" s="85"/>
      <c r="AC113" s="85"/>
      <c r="AD113" s="85"/>
      <c r="AG113" s="85"/>
      <c r="AH113" s="85"/>
      <c r="AI113" s="85"/>
    </row>
    <row r="114" spans="18:35" x14ac:dyDescent="0.2">
      <c r="R114" s="85"/>
      <c r="S114" s="85"/>
      <c r="T114" s="85"/>
      <c r="W114" s="85"/>
      <c r="X114" s="85"/>
      <c r="Y114" s="85"/>
      <c r="AB114" s="85"/>
      <c r="AC114" s="85"/>
      <c r="AD114" s="85"/>
      <c r="AG114" s="85"/>
      <c r="AH114" s="85"/>
      <c r="AI114" s="85"/>
    </row>
    <row r="115" spans="18:35" x14ac:dyDescent="0.2">
      <c r="R115" s="85"/>
      <c r="S115" s="85"/>
      <c r="T115" s="85"/>
      <c r="W115" s="85"/>
      <c r="X115" s="85"/>
      <c r="Y115" s="85"/>
      <c r="AB115" s="85"/>
      <c r="AC115" s="85"/>
      <c r="AD115" s="85"/>
      <c r="AG115" s="85"/>
      <c r="AH115" s="85"/>
      <c r="AI115" s="85"/>
    </row>
    <row r="116" spans="18:35" x14ac:dyDescent="0.2">
      <c r="R116" s="85"/>
      <c r="S116" s="85"/>
      <c r="T116" s="85"/>
      <c r="W116" s="85"/>
      <c r="X116" s="85"/>
      <c r="Y116" s="85"/>
      <c r="AB116" s="85"/>
      <c r="AC116" s="85"/>
      <c r="AD116" s="85"/>
      <c r="AG116" s="85"/>
      <c r="AH116" s="85"/>
      <c r="AI116" s="85"/>
    </row>
    <row r="117" spans="18:35" x14ac:dyDescent="0.2">
      <c r="R117" s="85"/>
      <c r="S117" s="85"/>
      <c r="T117" s="85"/>
      <c r="W117" s="85"/>
      <c r="X117" s="85"/>
      <c r="Y117" s="85"/>
      <c r="AB117" s="85"/>
      <c r="AC117" s="85"/>
      <c r="AD117" s="85"/>
      <c r="AG117" s="85"/>
      <c r="AH117" s="85"/>
      <c r="AI117" s="85"/>
    </row>
    <row r="118" spans="18:35" x14ac:dyDescent="0.2">
      <c r="R118" s="85"/>
      <c r="S118" s="85"/>
      <c r="T118" s="85"/>
      <c r="W118" s="85"/>
      <c r="X118" s="85"/>
      <c r="Y118" s="85"/>
      <c r="AB118" s="85"/>
      <c r="AC118" s="85"/>
      <c r="AD118" s="85"/>
      <c r="AG118" s="85"/>
      <c r="AH118" s="85"/>
      <c r="AI118" s="85"/>
    </row>
    <row r="119" spans="18:35" x14ac:dyDescent="0.2">
      <c r="R119" s="85"/>
      <c r="S119" s="85"/>
      <c r="T119" s="85"/>
      <c r="W119" s="85"/>
      <c r="X119" s="85"/>
      <c r="Y119" s="85"/>
      <c r="AB119" s="85"/>
      <c r="AC119" s="85"/>
      <c r="AD119" s="85"/>
      <c r="AG119" s="85"/>
      <c r="AH119" s="85"/>
      <c r="AI119" s="85"/>
    </row>
    <row r="120" spans="18:35" x14ac:dyDescent="0.2">
      <c r="R120" s="85"/>
      <c r="S120" s="85"/>
      <c r="T120" s="85"/>
      <c r="W120" s="85"/>
      <c r="X120" s="85"/>
      <c r="Y120" s="85"/>
      <c r="AB120" s="85"/>
      <c r="AC120" s="85"/>
      <c r="AD120" s="85"/>
      <c r="AG120" s="85"/>
      <c r="AH120" s="85"/>
      <c r="AI120" s="85"/>
    </row>
    <row r="121" spans="18:35" x14ac:dyDescent="0.2">
      <c r="R121" s="85"/>
      <c r="S121" s="85"/>
      <c r="T121" s="85"/>
      <c r="W121" s="85"/>
      <c r="X121" s="85"/>
      <c r="Y121" s="85"/>
      <c r="AB121" s="85"/>
      <c r="AC121" s="85"/>
      <c r="AD121" s="85"/>
      <c r="AG121" s="85"/>
      <c r="AH121" s="85"/>
      <c r="AI121" s="85"/>
    </row>
    <row r="122" spans="18:35" x14ac:dyDescent="0.2">
      <c r="R122" s="85"/>
      <c r="S122" s="85"/>
      <c r="T122" s="85"/>
      <c r="W122" s="85"/>
      <c r="X122" s="85"/>
      <c r="Y122" s="85"/>
      <c r="AB122" s="85"/>
      <c r="AC122" s="85"/>
      <c r="AD122" s="85"/>
      <c r="AG122" s="85"/>
      <c r="AH122" s="85"/>
      <c r="AI122" s="85"/>
    </row>
    <row r="123" spans="18:35" x14ac:dyDescent="0.2">
      <c r="R123" s="85"/>
      <c r="S123" s="85"/>
      <c r="T123" s="85"/>
      <c r="W123" s="85"/>
      <c r="X123" s="85"/>
      <c r="Y123" s="85"/>
      <c r="AB123" s="85"/>
      <c r="AC123" s="85"/>
      <c r="AD123" s="85"/>
      <c r="AG123" s="85"/>
      <c r="AH123" s="85"/>
      <c r="AI123" s="85"/>
    </row>
    <row r="124" spans="18:35" x14ac:dyDescent="0.2">
      <c r="R124" s="85"/>
      <c r="S124" s="85"/>
      <c r="T124" s="85"/>
      <c r="W124" s="85"/>
      <c r="X124" s="85"/>
      <c r="Y124" s="85"/>
      <c r="AB124" s="85"/>
      <c r="AC124" s="85"/>
      <c r="AD124" s="85"/>
      <c r="AG124" s="85"/>
      <c r="AH124" s="85"/>
      <c r="AI124" s="85"/>
    </row>
    <row r="125" spans="18:35" x14ac:dyDescent="0.2">
      <c r="R125" s="85"/>
      <c r="S125" s="85"/>
      <c r="T125" s="85"/>
      <c r="W125" s="85"/>
      <c r="X125" s="85"/>
      <c r="Y125" s="85"/>
      <c r="AB125" s="85"/>
      <c r="AC125" s="85"/>
      <c r="AD125" s="85"/>
      <c r="AG125" s="85"/>
      <c r="AH125" s="85"/>
      <c r="AI125" s="85"/>
    </row>
    <row r="126" spans="18:35" x14ac:dyDescent="0.2">
      <c r="R126" s="85"/>
      <c r="S126" s="85"/>
      <c r="T126" s="85"/>
      <c r="W126" s="85"/>
      <c r="X126" s="85"/>
      <c r="Y126" s="85"/>
      <c r="AB126" s="85"/>
      <c r="AC126" s="85"/>
      <c r="AD126" s="85"/>
      <c r="AG126" s="85"/>
      <c r="AH126" s="85"/>
      <c r="AI126" s="85"/>
    </row>
    <row r="127" spans="18:35" x14ac:dyDescent="0.2">
      <c r="R127" s="85"/>
      <c r="S127" s="85"/>
      <c r="T127" s="85"/>
      <c r="W127" s="85"/>
      <c r="X127" s="85"/>
      <c r="Y127" s="85"/>
      <c r="AB127" s="85"/>
      <c r="AC127" s="85"/>
      <c r="AD127" s="85"/>
      <c r="AG127" s="85"/>
      <c r="AH127" s="85"/>
      <c r="AI127" s="85"/>
    </row>
    <row r="128" spans="18:35" x14ac:dyDescent="0.2">
      <c r="R128" s="85"/>
      <c r="S128" s="85"/>
      <c r="T128" s="85"/>
      <c r="W128" s="85"/>
      <c r="X128" s="85"/>
      <c r="Y128" s="85"/>
      <c r="AB128" s="85"/>
      <c r="AC128" s="85"/>
      <c r="AD128" s="85"/>
      <c r="AG128" s="85"/>
      <c r="AH128" s="85"/>
      <c r="AI128" s="85"/>
    </row>
    <row r="129" spans="18:35" x14ac:dyDescent="0.2">
      <c r="R129" s="85"/>
      <c r="S129" s="85"/>
      <c r="T129" s="85"/>
      <c r="W129" s="85"/>
      <c r="X129" s="85"/>
      <c r="Y129" s="85"/>
      <c r="AB129" s="85"/>
      <c r="AC129" s="85"/>
      <c r="AD129" s="85"/>
      <c r="AG129" s="85"/>
      <c r="AH129" s="85"/>
      <c r="AI129" s="85"/>
    </row>
    <row r="130" spans="18:35" x14ac:dyDescent="0.2">
      <c r="R130" s="85"/>
      <c r="S130" s="85"/>
      <c r="T130" s="85"/>
      <c r="W130" s="85"/>
      <c r="X130" s="85"/>
      <c r="Y130" s="85"/>
      <c r="AB130" s="85"/>
      <c r="AC130" s="85"/>
      <c r="AD130" s="85"/>
      <c r="AG130" s="85"/>
      <c r="AH130" s="85"/>
      <c r="AI130" s="85"/>
    </row>
    <row r="131" spans="18:35" x14ac:dyDescent="0.2">
      <c r="R131" s="85"/>
      <c r="S131" s="85"/>
      <c r="T131" s="85"/>
      <c r="W131" s="85"/>
      <c r="X131" s="85"/>
      <c r="Y131" s="85"/>
      <c r="AB131" s="85"/>
      <c r="AC131" s="85"/>
      <c r="AD131" s="85"/>
      <c r="AG131" s="85"/>
      <c r="AH131" s="85"/>
      <c r="AI131" s="85"/>
    </row>
    <row r="132" spans="18:35" x14ac:dyDescent="0.2">
      <c r="R132" s="85"/>
      <c r="S132" s="85"/>
      <c r="T132" s="85"/>
      <c r="W132" s="85"/>
      <c r="X132" s="85"/>
      <c r="Y132" s="85"/>
      <c r="AB132" s="85"/>
      <c r="AC132" s="85"/>
      <c r="AD132" s="85"/>
      <c r="AG132" s="85"/>
      <c r="AH132" s="85"/>
      <c r="AI132" s="85"/>
    </row>
    <row r="133" spans="18:35" x14ac:dyDescent="0.2">
      <c r="R133" s="85"/>
      <c r="S133" s="85"/>
      <c r="T133" s="85"/>
      <c r="W133" s="85"/>
      <c r="X133" s="85"/>
      <c r="Y133" s="85"/>
      <c r="AB133" s="85"/>
      <c r="AC133" s="85"/>
      <c r="AD133" s="85"/>
      <c r="AG133" s="85"/>
      <c r="AH133" s="85"/>
      <c r="AI133" s="85"/>
    </row>
    <row r="134" spans="18:35" x14ac:dyDescent="0.2">
      <c r="R134" s="85"/>
      <c r="S134" s="85"/>
      <c r="T134" s="85"/>
      <c r="W134" s="85"/>
      <c r="X134" s="85"/>
      <c r="Y134" s="85"/>
      <c r="AB134" s="85"/>
      <c r="AC134" s="85"/>
      <c r="AD134" s="85"/>
      <c r="AG134" s="85"/>
      <c r="AH134" s="85"/>
      <c r="AI134" s="85"/>
    </row>
    <row r="135" spans="18:35" x14ac:dyDescent="0.2">
      <c r="R135" s="85"/>
      <c r="S135" s="85"/>
      <c r="T135" s="85"/>
      <c r="W135" s="85"/>
      <c r="X135" s="85"/>
      <c r="Y135" s="85"/>
      <c r="AB135" s="85"/>
      <c r="AC135" s="85"/>
      <c r="AD135" s="85"/>
      <c r="AG135" s="85"/>
      <c r="AH135" s="85"/>
      <c r="AI135" s="85"/>
    </row>
    <row r="136" spans="18:35" x14ac:dyDescent="0.2">
      <c r="R136" s="85"/>
      <c r="S136" s="85"/>
      <c r="T136" s="85"/>
      <c r="W136" s="85"/>
      <c r="X136" s="85"/>
      <c r="Y136" s="85"/>
      <c r="AB136" s="85"/>
      <c r="AC136" s="85"/>
      <c r="AD136" s="85"/>
      <c r="AG136" s="85"/>
      <c r="AH136" s="85"/>
      <c r="AI136" s="85"/>
    </row>
    <row r="137" spans="18:35" x14ac:dyDescent="0.2">
      <c r="R137" s="85"/>
      <c r="S137" s="85"/>
      <c r="T137" s="85"/>
      <c r="W137" s="85"/>
      <c r="X137" s="85"/>
      <c r="Y137" s="85"/>
      <c r="AB137" s="85"/>
      <c r="AC137" s="85"/>
      <c r="AD137" s="85"/>
      <c r="AG137" s="85"/>
      <c r="AH137" s="85"/>
      <c r="AI137" s="85"/>
    </row>
    <row r="138" spans="18:35" x14ac:dyDescent="0.2">
      <c r="R138" s="85"/>
      <c r="S138" s="85"/>
      <c r="T138" s="85"/>
      <c r="W138" s="85"/>
      <c r="X138" s="85"/>
      <c r="Y138" s="85"/>
      <c r="AB138" s="85"/>
      <c r="AC138" s="85"/>
      <c r="AD138" s="85"/>
      <c r="AG138" s="85"/>
      <c r="AH138" s="85"/>
      <c r="AI138" s="85"/>
    </row>
    <row r="139" spans="18:35" x14ac:dyDescent="0.2">
      <c r="R139" s="85"/>
      <c r="S139" s="85"/>
      <c r="T139" s="85"/>
      <c r="W139" s="85"/>
      <c r="X139" s="85"/>
      <c r="Y139" s="85"/>
      <c r="AB139" s="85"/>
      <c r="AC139" s="85"/>
      <c r="AD139" s="85"/>
      <c r="AG139" s="85"/>
      <c r="AH139" s="85"/>
      <c r="AI139" s="85"/>
    </row>
    <row r="140" spans="18:35" x14ac:dyDescent="0.2">
      <c r="R140" s="85"/>
      <c r="S140" s="85"/>
      <c r="T140" s="85"/>
      <c r="W140" s="85"/>
      <c r="X140" s="85"/>
      <c r="Y140" s="85"/>
      <c r="AB140" s="85"/>
      <c r="AC140" s="85"/>
      <c r="AD140" s="85"/>
      <c r="AG140" s="85"/>
      <c r="AH140" s="85"/>
      <c r="AI140" s="85"/>
    </row>
    <row r="141" spans="18:35" x14ac:dyDescent="0.2">
      <c r="R141" s="85"/>
      <c r="S141" s="85"/>
      <c r="T141" s="85"/>
      <c r="W141" s="85"/>
      <c r="X141" s="85"/>
      <c r="Y141" s="85"/>
      <c r="AB141" s="85"/>
      <c r="AC141" s="85"/>
      <c r="AD141" s="85"/>
      <c r="AG141" s="85"/>
      <c r="AH141" s="85"/>
      <c r="AI141" s="85"/>
    </row>
    <row r="142" spans="18:35" x14ac:dyDescent="0.2">
      <c r="R142" s="85"/>
      <c r="S142" s="85"/>
      <c r="T142" s="85"/>
      <c r="W142" s="85"/>
      <c r="X142" s="85"/>
      <c r="Y142" s="85"/>
      <c r="AB142" s="85"/>
      <c r="AC142" s="85"/>
      <c r="AD142" s="85"/>
      <c r="AG142" s="85"/>
      <c r="AH142" s="85"/>
      <c r="AI142" s="85"/>
    </row>
    <row r="143" spans="18:35" x14ac:dyDescent="0.2">
      <c r="R143" s="85"/>
      <c r="S143" s="85"/>
      <c r="T143" s="85"/>
      <c r="W143" s="85"/>
      <c r="X143" s="85"/>
      <c r="Y143" s="85"/>
      <c r="AB143" s="85"/>
      <c r="AC143" s="85"/>
      <c r="AD143" s="85"/>
      <c r="AG143" s="85"/>
      <c r="AH143" s="85"/>
      <c r="AI143" s="85"/>
    </row>
    <row r="144" spans="18:35" x14ac:dyDescent="0.2">
      <c r="R144" s="85"/>
      <c r="S144" s="85"/>
      <c r="T144" s="85"/>
      <c r="W144" s="85"/>
      <c r="X144" s="85"/>
      <c r="Y144" s="85"/>
      <c r="AB144" s="85"/>
      <c r="AC144" s="85"/>
      <c r="AD144" s="85"/>
      <c r="AG144" s="85"/>
      <c r="AH144" s="85"/>
      <c r="AI144" s="85"/>
    </row>
    <row r="145" spans="18:35" x14ac:dyDescent="0.2">
      <c r="R145" s="85"/>
      <c r="S145" s="85"/>
      <c r="T145" s="85"/>
      <c r="W145" s="85"/>
      <c r="X145" s="85"/>
      <c r="Y145" s="85"/>
      <c r="AB145" s="85"/>
      <c r="AC145" s="85"/>
      <c r="AD145" s="85"/>
      <c r="AG145" s="85"/>
      <c r="AH145" s="85"/>
      <c r="AI145" s="85"/>
    </row>
    <row r="146" spans="18:35" x14ac:dyDescent="0.2">
      <c r="R146" s="85"/>
      <c r="S146" s="85"/>
      <c r="T146" s="85"/>
      <c r="W146" s="85"/>
      <c r="X146" s="85"/>
      <c r="Y146" s="85"/>
      <c r="AB146" s="85"/>
      <c r="AC146" s="85"/>
      <c r="AD146" s="85"/>
      <c r="AG146" s="85"/>
      <c r="AH146" s="85"/>
      <c r="AI146" s="85"/>
    </row>
    <row r="147" spans="18:35" x14ac:dyDescent="0.2">
      <c r="R147" s="85"/>
      <c r="S147" s="85"/>
      <c r="T147" s="85"/>
      <c r="W147" s="85"/>
      <c r="X147" s="85"/>
      <c r="Y147" s="85"/>
      <c r="AB147" s="85"/>
      <c r="AC147" s="85"/>
      <c r="AD147" s="85"/>
      <c r="AG147" s="85"/>
      <c r="AH147" s="85"/>
      <c r="AI147" s="85"/>
    </row>
    <row r="148" spans="18:35" x14ac:dyDescent="0.2">
      <c r="R148" s="85"/>
      <c r="S148" s="85"/>
      <c r="T148" s="85"/>
      <c r="W148" s="85"/>
      <c r="X148" s="85"/>
      <c r="Y148" s="85"/>
      <c r="AB148" s="85"/>
      <c r="AC148" s="85"/>
      <c r="AD148" s="85"/>
      <c r="AG148" s="85"/>
      <c r="AH148" s="85"/>
      <c r="AI148" s="85"/>
    </row>
    <row r="149" spans="18:35" x14ac:dyDescent="0.2">
      <c r="R149" s="85"/>
      <c r="S149" s="85"/>
      <c r="T149" s="85"/>
      <c r="W149" s="85"/>
      <c r="X149" s="85"/>
      <c r="Y149" s="85"/>
      <c r="AB149" s="85"/>
      <c r="AC149" s="85"/>
      <c r="AD149" s="85"/>
      <c r="AG149" s="85"/>
      <c r="AH149" s="85"/>
      <c r="AI149" s="85"/>
    </row>
    <row r="150" spans="18:35" x14ac:dyDescent="0.2">
      <c r="R150" s="85"/>
      <c r="S150" s="85"/>
      <c r="T150" s="85"/>
      <c r="W150" s="85"/>
      <c r="X150" s="85"/>
      <c r="Y150" s="85"/>
      <c r="AB150" s="85"/>
      <c r="AC150" s="85"/>
      <c r="AD150" s="85"/>
      <c r="AG150" s="85"/>
      <c r="AH150" s="85"/>
      <c r="AI150" s="85"/>
    </row>
    <row r="151" spans="18:35" x14ac:dyDescent="0.2">
      <c r="R151" s="85"/>
      <c r="S151" s="85"/>
      <c r="T151" s="85"/>
      <c r="W151" s="85"/>
      <c r="X151" s="85"/>
      <c r="Y151" s="85"/>
      <c r="AB151" s="85"/>
      <c r="AC151" s="85"/>
      <c r="AD151" s="85"/>
      <c r="AG151" s="85"/>
      <c r="AH151" s="85"/>
      <c r="AI151" s="85"/>
    </row>
    <row r="152" spans="18:35" x14ac:dyDescent="0.2">
      <c r="R152" s="85"/>
      <c r="S152" s="85"/>
      <c r="T152" s="85"/>
      <c r="W152" s="85"/>
      <c r="X152" s="85"/>
      <c r="Y152" s="85"/>
      <c r="AB152" s="85"/>
      <c r="AC152" s="85"/>
      <c r="AD152" s="85"/>
      <c r="AG152" s="85"/>
      <c r="AH152" s="85"/>
      <c r="AI152" s="85"/>
    </row>
    <row r="153" spans="18:35" x14ac:dyDescent="0.2">
      <c r="R153" s="85"/>
      <c r="S153" s="85"/>
      <c r="T153" s="85"/>
      <c r="W153" s="85"/>
      <c r="X153" s="85"/>
      <c r="Y153" s="85"/>
      <c r="AB153" s="85"/>
      <c r="AC153" s="85"/>
      <c r="AD153" s="85"/>
      <c r="AG153" s="85"/>
      <c r="AH153" s="85"/>
      <c r="AI153" s="85"/>
    </row>
    <row r="154" spans="18:35" x14ac:dyDescent="0.2">
      <c r="R154" s="85"/>
      <c r="S154" s="85"/>
      <c r="T154" s="85"/>
      <c r="W154" s="85"/>
      <c r="X154" s="85"/>
      <c r="Y154" s="85"/>
      <c r="AB154" s="85"/>
      <c r="AC154" s="85"/>
      <c r="AD154" s="85"/>
      <c r="AG154" s="85"/>
      <c r="AH154" s="85"/>
      <c r="AI154" s="85"/>
    </row>
    <row r="155" spans="18:35" x14ac:dyDescent="0.2">
      <c r="R155" s="85"/>
      <c r="S155" s="85"/>
      <c r="T155" s="85"/>
      <c r="W155" s="85"/>
      <c r="X155" s="85"/>
      <c r="Y155" s="85"/>
      <c r="AB155" s="85"/>
      <c r="AC155" s="85"/>
      <c r="AD155" s="85"/>
      <c r="AG155" s="85"/>
      <c r="AH155" s="85"/>
      <c r="AI155" s="85"/>
    </row>
    <row r="156" spans="18:35" x14ac:dyDescent="0.2">
      <c r="R156" s="85"/>
      <c r="S156" s="85"/>
      <c r="T156" s="85"/>
      <c r="W156" s="85"/>
      <c r="X156" s="85"/>
      <c r="Y156" s="85"/>
      <c r="AB156" s="85"/>
      <c r="AC156" s="85"/>
      <c r="AD156" s="85"/>
      <c r="AG156" s="85"/>
      <c r="AH156" s="85"/>
      <c r="AI156" s="85"/>
    </row>
    <row r="157" spans="18:35" x14ac:dyDescent="0.2">
      <c r="R157" s="85"/>
      <c r="S157" s="85"/>
      <c r="T157" s="85"/>
      <c r="W157" s="85"/>
      <c r="X157" s="85"/>
      <c r="Y157" s="85"/>
      <c r="AB157" s="85"/>
      <c r="AC157" s="85"/>
      <c r="AD157" s="85"/>
      <c r="AG157" s="85"/>
      <c r="AH157" s="85"/>
      <c r="AI157" s="85"/>
    </row>
    <row r="158" spans="18:35" x14ac:dyDescent="0.2">
      <c r="R158" s="85"/>
      <c r="S158" s="85"/>
      <c r="T158" s="85"/>
      <c r="W158" s="85"/>
      <c r="X158" s="85"/>
      <c r="Y158" s="85"/>
      <c r="AB158" s="85"/>
      <c r="AC158" s="85"/>
      <c r="AD158" s="85"/>
      <c r="AG158" s="85"/>
      <c r="AH158" s="85"/>
      <c r="AI158" s="85"/>
    </row>
    <row r="159" spans="18:35" x14ac:dyDescent="0.2">
      <c r="R159" s="85"/>
      <c r="S159" s="85"/>
      <c r="T159" s="85"/>
      <c r="W159" s="85"/>
      <c r="X159" s="85"/>
      <c r="Y159" s="85"/>
      <c r="AB159" s="85"/>
      <c r="AC159" s="85"/>
      <c r="AD159" s="85"/>
      <c r="AG159" s="85"/>
      <c r="AH159" s="85"/>
      <c r="AI159" s="85"/>
    </row>
    <row r="160" spans="18:35" x14ac:dyDescent="0.2">
      <c r="R160" s="85"/>
      <c r="S160" s="85"/>
      <c r="T160" s="85"/>
      <c r="W160" s="85"/>
      <c r="X160" s="85"/>
      <c r="Y160" s="85"/>
      <c r="AB160" s="85"/>
      <c r="AC160" s="85"/>
      <c r="AD160" s="85"/>
      <c r="AG160" s="85"/>
      <c r="AH160" s="85"/>
      <c r="AI160" s="85"/>
    </row>
    <row r="161" spans="18:35" x14ac:dyDescent="0.2">
      <c r="R161" s="85"/>
      <c r="S161" s="85"/>
      <c r="T161" s="85"/>
      <c r="W161" s="85"/>
      <c r="X161" s="85"/>
      <c r="Y161" s="85"/>
      <c r="AB161" s="85"/>
      <c r="AC161" s="85"/>
      <c r="AD161" s="85"/>
      <c r="AG161" s="85"/>
      <c r="AH161" s="85"/>
      <c r="AI161" s="85"/>
    </row>
    <row r="162" spans="18:35" x14ac:dyDescent="0.2">
      <c r="R162" s="85"/>
      <c r="S162" s="85"/>
      <c r="T162" s="85"/>
      <c r="W162" s="85"/>
      <c r="X162" s="85"/>
      <c r="Y162" s="85"/>
      <c r="AB162" s="85"/>
      <c r="AC162" s="85"/>
      <c r="AD162" s="85"/>
      <c r="AG162" s="85"/>
      <c r="AH162" s="85"/>
      <c r="AI162" s="85"/>
    </row>
    <row r="163" spans="18:35" x14ac:dyDescent="0.2">
      <c r="R163" s="85"/>
      <c r="S163" s="85"/>
      <c r="T163" s="85"/>
      <c r="W163" s="85"/>
      <c r="X163" s="85"/>
      <c r="Y163" s="85"/>
      <c r="AB163" s="85"/>
      <c r="AC163" s="85"/>
      <c r="AD163" s="85"/>
      <c r="AG163" s="85"/>
      <c r="AH163" s="85"/>
      <c r="AI163" s="85"/>
    </row>
    <row r="164" spans="18:35" x14ac:dyDescent="0.2">
      <c r="R164" s="85"/>
      <c r="S164" s="85"/>
      <c r="T164" s="85"/>
      <c r="W164" s="85"/>
      <c r="X164" s="85"/>
      <c r="Y164" s="85"/>
      <c r="AB164" s="85"/>
      <c r="AC164" s="85"/>
      <c r="AD164" s="85"/>
      <c r="AG164" s="85"/>
      <c r="AH164" s="85"/>
      <c r="AI164" s="85"/>
    </row>
    <row r="165" spans="18:35" x14ac:dyDescent="0.2">
      <c r="R165" s="85"/>
      <c r="S165" s="85"/>
      <c r="T165" s="85"/>
      <c r="W165" s="85"/>
      <c r="X165" s="85"/>
      <c r="Y165" s="85"/>
      <c r="AB165" s="85"/>
      <c r="AC165" s="85"/>
      <c r="AD165" s="85"/>
      <c r="AG165" s="85"/>
      <c r="AH165" s="85"/>
      <c r="AI165" s="85"/>
    </row>
    <row r="166" spans="18:35" x14ac:dyDescent="0.2">
      <c r="R166" s="85"/>
      <c r="S166" s="85"/>
      <c r="T166" s="85"/>
      <c r="W166" s="85"/>
      <c r="X166" s="85"/>
      <c r="Y166" s="85"/>
      <c r="AB166" s="85"/>
      <c r="AC166" s="85"/>
      <c r="AD166" s="85"/>
      <c r="AG166" s="85"/>
      <c r="AH166" s="85"/>
      <c r="AI166" s="85"/>
    </row>
    <row r="167" spans="18:35" x14ac:dyDescent="0.2">
      <c r="R167" s="85"/>
      <c r="S167" s="85"/>
      <c r="T167" s="85"/>
      <c r="W167" s="85"/>
      <c r="X167" s="85"/>
      <c r="Y167" s="85"/>
      <c r="AB167" s="85"/>
      <c r="AC167" s="85"/>
      <c r="AD167" s="85"/>
      <c r="AG167" s="85"/>
      <c r="AH167" s="85"/>
      <c r="AI167" s="85"/>
    </row>
    <row r="168" spans="18:35" x14ac:dyDescent="0.2">
      <c r="R168" s="85"/>
      <c r="S168" s="85"/>
      <c r="T168" s="85"/>
      <c r="W168" s="85"/>
      <c r="X168" s="85"/>
      <c r="Y168" s="85"/>
      <c r="AB168" s="85"/>
      <c r="AC168" s="85"/>
      <c r="AD168" s="85"/>
      <c r="AG168" s="85"/>
      <c r="AH168" s="85"/>
      <c r="AI168" s="85"/>
    </row>
    <row r="169" spans="18:35" x14ac:dyDescent="0.2">
      <c r="R169" s="85"/>
      <c r="S169" s="85"/>
      <c r="T169" s="85"/>
      <c r="W169" s="85"/>
      <c r="X169" s="85"/>
      <c r="Y169" s="85"/>
      <c r="AB169" s="85"/>
      <c r="AC169" s="85"/>
      <c r="AD169" s="85"/>
      <c r="AG169" s="85"/>
      <c r="AH169" s="85"/>
      <c r="AI169" s="85"/>
    </row>
    <row r="170" spans="18:35" x14ac:dyDescent="0.2">
      <c r="R170" s="85"/>
      <c r="S170" s="85"/>
      <c r="T170" s="85"/>
      <c r="W170" s="85"/>
      <c r="X170" s="85"/>
      <c r="Y170" s="85"/>
      <c r="AB170" s="85"/>
      <c r="AC170" s="85"/>
      <c r="AD170" s="85"/>
      <c r="AG170" s="85"/>
      <c r="AH170" s="85"/>
      <c r="AI170" s="85"/>
    </row>
    <row r="171" spans="18:35" x14ac:dyDescent="0.2">
      <c r="R171" s="85"/>
      <c r="S171" s="85"/>
      <c r="T171" s="85"/>
      <c r="W171" s="85"/>
      <c r="X171" s="85"/>
      <c r="Y171" s="85"/>
      <c r="AB171" s="85"/>
      <c r="AC171" s="85"/>
      <c r="AD171" s="85"/>
      <c r="AG171" s="85"/>
      <c r="AH171" s="85"/>
      <c r="AI171" s="85"/>
    </row>
    <row r="172" spans="18:35" x14ac:dyDescent="0.2">
      <c r="R172" s="85"/>
      <c r="S172" s="85"/>
      <c r="T172" s="85"/>
      <c r="W172" s="85"/>
      <c r="X172" s="85"/>
      <c r="Y172" s="85"/>
      <c r="AB172" s="85"/>
      <c r="AC172" s="85"/>
      <c r="AD172" s="85"/>
      <c r="AG172" s="85"/>
      <c r="AH172" s="85"/>
      <c r="AI172" s="85"/>
    </row>
    <row r="173" spans="18:35" x14ac:dyDescent="0.2">
      <c r="R173" s="85"/>
      <c r="S173" s="85"/>
      <c r="T173" s="85"/>
      <c r="W173" s="85"/>
      <c r="X173" s="85"/>
      <c r="Y173" s="85"/>
      <c r="AB173" s="85"/>
      <c r="AC173" s="85"/>
      <c r="AD173" s="85"/>
      <c r="AG173" s="85"/>
      <c r="AH173" s="85"/>
      <c r="AI173" s="85"/>
    </row>
    <row r="174" spans="18:35" x14ac:dyDescent="0.2">
      <c r="R174" s="85"/>
      <c r="S174" s="85"/>
      <c r="T174" s="85"/>
      <c r="W174" s="85"/>
      <c r="X174" s="85"/>
      <c r="Y174" s="85"/>
      <c r="AB174" s="85"/>
      <c r="AC174" s="85"/>
      <c r="AD174" s="85"/>
      <c r="AG174" s="85"/>
      <c r="AH174" s="85"/>
      <c r="AI174" s="85"/>
    </row>
    <row r="175" spans="18:35" x14ac:dyDescent="0.2">
      <c r="R175" s="85"/>
      <c r="S175" s="85"/>
      <c r="T175" s="85"/>
      <c r="W175" s="85"/>
      <c r="X175" s="85"/>
      <c r="Y175" s="85"/>
      <c r="AB175" s="85"/>
      <c r="AC175" s="85"/>
      <c r="AD175" s="85"/>
      <c r="AG175" s="85"/>
      <c r="AH175" s="85"/>
      <c r="AI175" s="85"/>
    </row>
    <row r="176" spans="18:35" x14ac:dyDescent="0.2">
      <c r="R176" s="85"/>
      <c r="S176" s="85"/>
      <c r="T176" s="85"/>
      <c r="W176" s="85"/>
      <c r="X176" s="85"/>
      <c r="Y176" s="85"/>
      <c r="AB176" s="85"/>
      <c r="AC176" s="85"/>
      <c r="AD176" s="85"/>
      <c r="AG176" s="85"/>
      <c r="AH176" s="85"/>
      <c r="AI176" s="85"/>
    </row>
    <row r="177" spans="18:35" x14ac:dyDescent="0.2">
      <c r="R177" s="85"/>
      <c r="S177" s="85"/>
      <c r="T177" s="85"/>
      <c r="W177" s="85"/>
      <c r="X177" s="85"/>
      <c r="Y177" s="85"/>
      <c r="AB177" s="85"/>
      <c r="AC177" s="85"/>
      <c r="AD177" s="85"/>
      <c r="AG177" s="85"/>
      <c r="AH177" s="85"/>
      <c r="AI177" s="85"/>
    </row>
    <row r="178" spans="18:35" x14ac:dyDescent="0.2">
      <c r="R178" s="85"/>
      <c r="S178" s="85"/>
      <c r="T178" s="85"/>
      <c r="W178" s="85"/>
      <c r="X178" s="85"/>
      <c r="Y178" s="85"/>
      <c r="AB178" s="85"/>
      <c r="AC178" s="85"/>
      <c r="AD178" s="85"/>
      <c r="AG178" s="85"/>
      <c r="AH178" s="85"/>
      <c r="AI178" s="85"/>
    </row>
    <row r="179" spans="18:35" x14ac:dyDescent="0.2">
      <c r="R179" s="85"/>
      <c r="S179" s="85"/>
      <c r="T179" s="85"/>
      <c r="W179" s="85"/>
      <c r="X179" s="85"/>
      <c r="Y179" s="85"/>
      <c r="AB179" s="85"/>
      <c r="AC179" s="85"/>
      <c r="AD179" s="85"/>
      <c r="AG179" s="85"/>
      <c r="AH179" s="85"/>
      <c r="AI179" s="85"/>
    </row>
    <row r="180" spans="18:35" x14ac:dyDescent="0.2">
      <c r="R180" s="85"/>
      <c r="S180" s="85"/>
      <c r="T180" s="85"/>
      <c r="W180" s="85"/>
      <c r="X180" s="85"/>
      <c r="Y180" s="85"/>
      <c r="AB180" s="85"/>
      <c r="AC180" s="85"/>
      <c r="AD180" s="85"/>
      <c r="AG180" s="85"/>
      <c r="AH180" s="85"/>
      <c r="AI180" s="85"/>
    </row>
    <row r="181" spans="18:35" x14ac:dyDescent="0.2">
      <c r="R181" s="85"/>
      <c r="S181" s="85"/>
      <c r="T181" s="85"/>
      <c r="W181" s="85"/>
      <c r="X181" s="85"/>
      <c r="Y181" s="85"/>
      <c r="AB181" s="85"/>
      <c r="AC181" s="85"/>
      <c r="AD181" s="85"/>
      <c r="AG181" s="85"/>
      <c r="AH181" s="85"/>
      <c r="AI181" s="85"/>
    </row>
    <row r="182" spans="18:35" x14ac:dyDescent="0.2">
      <c r="R182" s="85"/>
      <c r="S182" s="85"/>
      <c r="T182" s="85"/>
      <c r="W182" s="85"/>
      <c r="X182" s="85"/>
      <c r="Y182" s="85"/>
      <c r="AB182" s="85"/>
      <c r="AC182" s="85"/>
      <c r="AD182" s="85"/>
      <c r="AG182" s="85"/>
      <c r="AH182" s="85"/>
      <c r="AI182" s="85"/>
    </row>
    <row r="183" spans="18:35" x14ac:dyDescent="0.2">
      <c r="R183" s="85"/>
      <c r="S183" s="85"/>
      <c r="T183" s="85"/>
      <c r="W183" s="85"/>
      <c r="X183" s="85"/>
      <c r="Y183" s="85"/>
      <c r="AB183" s="85"/>
      <c r="AC183" s="85"/>
      <c r="AD183" s="85"/>
      <c r="AG183" s="85"/>
      <c r="AH183" s="85"/>
      <c r="AI183" s="85"/>
    </row>
    <row r="184" spans="18:35" x14ac:dyDescent="0.2">
      <c r="R184" s="85"/>
      <c r="S184" s="85"/>
      <c r="T184" s="85"/>
      <c r="W184" s="85"/>
      <c r="X184" s="85"/>
      <c r="Y184" s="85"/>
      <c r="AB184" s="85"/>
      <c r="AC184" s="85"/>
      <c r="AD184" s="85"/>
      <c r="AG184" s="85"/>
      <c r="AH184" s="85"/>
      <c r="AI184" s="85"/>
    </row>
    <row r="185" spans="18:35" x14ac:dyDescent="0.2">
      <c r="R185" s="85"/>
      <c r="S185" s="85"/>
      <c r="T185" s="85"/>
      <c r="W185" s="85"/>
      <c r="X185" s="85"/>
      <c r="Y185" s="85"/>
      <c r="AB185" s="85"/>
      <c r="AC185" s="85"/>
      <c r="AD185" s="85"/>
      <c r="AG185" s="85"/>
      <c r="AH185" s="85"/>
      <c r="AI185" s="85"/>
    </row>
    <row r="186" spans="18:35" x14ac:dyDescent="0.2">
      <c r="R186" s="85"/>
      <c r="S186" s="85"/>
      <c r="T186" s="85"/>
      <c r="W186" s="85"/>
      <c r="X186" s="85"/>
      <c r="Y186" s="85"/>
      <c r="AB186" s="85"/>
      <c r="AC186" s="85"/>
      <c r="AD186" s="85"/>
      <c r="AG186" s="85"/>
      <c r="AH186" s="85"/>
      <c r="AI186" s="85"/>
    </row>
    <row r="187" spans="18:35" x14ac:dyDescent="0.2">
      <c r="R187" s="85"/>
      <c r="S187" s="85"/>
      <c r="T187" s="85"/>
      <c r="W187" s="85"/>
      <c r="X187" s="85"/>
      <c r="Y187" s="85"/>
      <c r="AB187" s="85"/>
      <c r="AC187" s="85"/>
      <c r="AD187" s="85"/>
      <c r="AG187" s="85"/>
      <c r="AH187" s="85"/>
      <c r="AI187" s="85"/>
    </row>
    <row r="188" spans="18:35" x14ac:dyDescent="0.2">
      <c r="R188" s="85"/>
      <c r="S188" s="85"/>
      <c r="T188" s="85"/>
      <c r="W188" s="85"/>
      <c r="X188" s="85"/>
      <c r="Y188" s="85"/>
      <c r="AB188" s="85"/>
      <c r="AC188" s="85"/>
      <c r="AD188" s="85"/>
      <c r="AG188" s="85"/>
      <c r="AH188" s="85"/>
      <c r="AI188" s="85"/>
    </row>
    <row r="189" spans="18:35" x14ac:dyDescent="0.2">
      <c r="R189" s="85"/>
      <c r="S189" s="85"/>
      <c r="T189" s="85"/>
      <c r="W189" s="85"/>
      <c r="X189" s="85"/>
      <c r="Y189" s="85"/>
      <c r="AB189" s="85"/>
      <c r="AC189" s="85"/>
      <c r="AD189" s="85"/>
      <c r="AG189" s="85"/>
      <c r="AH189" s="85"/>
      <c r="AI189" s="85"/>
    </row>
    <row r="190" spans="18:35" x14ac:dyDescent="0.2">
      <c r="R190" s="85"/>
      <c r="S190" s="85"/>
      <c r="T190" s="85"/>
      <c r="W190" s="85"/>
      <c r="X190" s="85"/>
      <c r="Y190" s="85"/>
      <c r="AB190" s="85"/>
      <c r="AC190" s="85"/>
      <c r="AD190" s="85"/>
      <c r="AG190" s="85"/>
      <c r="AH190" s="85"/>
      <c r="AI190" s="85"/>
    </row>
    <row r="191" spans="18:35" x14ac:dyDescent="0.2">
      <c r="R191" s="85"/>
      <c r="S191" s="85"/>
      <c r="T191" s="85"/>
      <c r="W191" s="85"/>
      <c r="X191" s="85"/>
      <c r="Y191" s="85"/>
      <c r="AB191" s="85"/>
      <c r="AC191" s="85"/>
      <c r="AD191" s="85"/>
      <c r="AG191" s="85"/>
      <c r="AH191" s="85"/>
      <c r="AI191" s="85"/>
    </row>
    <row r="192" spans="18:35" x14ac:dyDescent="0.2">
      <c r="R192" s="85"/>
      <c r="S192" s="85"/>
      <c r="T192" s="85"/>
      <c r="W192" s="85"/>
      <c r="X192" s="85"/>
      <c r="Y192" s="85"/>
      <c r="AB192" s="85"/>
      <c r="AC192" s="85"/>
      <c r="AD192" s="85"/>
      <c r="AG192" s="85"/>
      <c r="AH192" s="85"/>
      <c r="AI192" s="85"/>
    </row>
    <row r="193" spans="18:35" x14ac:dyDescent="0.2">
      <c r="R193" s="85"/>
      <c r="S193" s="85"/>
      <c r="T193" s="85"/>
      <c r="W193" s="85"/>
      <c r="X193" s="85"/>
      <c r="Y193" s="85"/>
      <c r="AB193" s="85"/>
      <c r="AC193" s="85"/>
      <c r="AD193" s="85"/>
      <c r="AG193" s="85"/>
      <c r="AH193" s="85"/>
      <c r="AI193" s="85"/>
    </row>
    <row r="194" spans="18:35" x14ac:dyDescent="0.2">
      <c r="R194" s="85"/>
      <c r="S194" s="85"/>
      <c r="T194" s="85"/>
      <c r="W194" s="85"/>
      <c r="X194" s="85"/>
      <c r="Y194" s="85"/>
      <c r="AB194" s="85"/>
      <c r="AC194" s="85"/>
      <c r="AD194" s="85"/>
      <c r="AG194" s="85"/>
      <c r="AH194" s="85"/>
      <c r="AI194" s="85"/>
    </row>
    <row r="195" spans="18:35" x14ac:dyDescent="0.2">
      <c r="R195" s="85"/>
      <c r="S195" s="85"/>
      <c r="T195" s="85"/>
      <c r="W195" s="85"/>
      <c r="X195" s="85"/>
      <c r="Y195" s="85"/>
      <c r="AB195" s="85"/>
      <c r="AC195" s="85"/>
      <c r="AD195" s="85"/>
      <c r="AG195" s="85"/>
      <c r="AH195" s="85"/>
      <c r="AI195" s="85"/>
    </row>
    <row r="196" spans="18:35" x14ac:dyDescent="0.2">
      <c r="R196" s="85"/>
      <c r="S196" s="85"/>
      <c r="T196" s="85"/>
      <c r="W196" s="85"/>
      <c r="X196" s="85"/>
      <c r="Y196" s="85"/>
      <c r="AB196" s="85"/>
      <c r="AC196" s="85"/>
      <c r="AD196" s="85"/>
      <c r="AG196" s="85"/>
      <c r="AH196" s="85"/>
      <c r="AI196" s="85"/>
    </row>
    <row r="197" spans="18:35" x14ac:dyDescent="0.2">
      <c r="R197" s="85"/>
      <c r="S197" s="85"/>
      <c r="T197" s="85"/>
      <c r="W197" s="85"/>
      <c r="X197" s="85"/>
      <c r="Y197" s="85"/>
      <c r="AB197" s="85"/>
      <c r="AC197" s="85"/>
      <c r="AD197" s="85"/>
      <c r="AG197" s="85"/>
      <c r="AH197" s="85"/>
      <c r="AI197" s="85"/>
    </row>
    <row r="198" spans="18:35" x14ac:dyDescent="0.2">
      <c r="R198" s="85"/>
      <c r="S198" s="85"/>
      <c r="T198" s="85"/>
      <c r="W198" s="85"/>
      <c r="X198" s="85"/>
      <c r="Y198" s="85"/>
      <c r="AB198" s="85"/>
      <c r="AC198" s="85"/>
      <c r="AD198" s="85"/>
      <c r="AG198" s="85"/>
      <c r="AH198" s="85"/>
      <c r="AI198" s="85"/>
    </row>
    <row r="199" spans="18:35" x14ac:dyDescent="0.2">
      <c r="R199" s="85"/>
      <c r="S199" s="85"/>
      <c r="T199" s="85"/>
      <c r="W199" s="85"/>
      <c r="X199" s="85"/>
      <c r="Y199" s="85"/>
      <c r="AB199" s="85"/>
      <c r="AC199" s="85"/>
      <c r="AD199" s="85"/>
      <c r="AG199" s="85"/>
      <c r="AH199" s="85"/>
      <c r="AI199" s="85"/>
    </row>
    <row r="200" spans="18:35" x14ac:dyDescent="0.2">
      <c r="R200" s="85"/>
      <c r="S200" s="85"/>
      <c r="T200" s="85"/>
      <c r="W200" s="85"/>
      <c r="X200" s="85"/>
      <c r="Y200" s="85"/>
      <c r="AB200" s="85"/>
      <c r="AC200" s="85"/>
      <c r="AD200" s="85"/>
      <c r="AG200" s="85"/>
      <c r="AH200" s="85"/>
      <c r="AI200" s="85"/>
    </row>
    <row r="201" spans="18:35" x14ac:dyDescent="0.2">
      <c r="R201" s="85"/>
      <c r="S201" s="85"/>
      <c r="T201" s="85"/>
      <c r="W201" s="85"/>
      <c r="X201" s="85"/>
      <c r="Y201" s="85"/>
      <c r="AB201" s="85"/>
      <c r="AC201" s="85"/>
      <c r="AD201" s="85"/>
      <c r="AG201" s="85"/>
      <c r="AH201" s="85"/>
      <c r="AI201" s="85"/>
    </row>
    <row r="202" spans="18:35" x14ac:dyDescent="0.2">
      <c r="R202" s="85"/>
      <c r="S202" s="85"/>
      <c r="T202" s="85"/>
      <c r="W202" s="85"/>
      <c r="X202" s="85"/>
      <c r="Y202" s="85"/>
      <c r="AB202" s="85"/>
      <c r="AC202" s="85"/>
      <c r="AD202" s="85"/>
      <c r="AG202" s="85"/>
      <c r="AH202" s="85"/>
      <c r="AI202" s="85"/>
    </row>
    <row r="203" spans="18:35" x14ac:dyDescent="0.2">
      <c r="R203" s="85"/>
      <c r="S203" s="85"/>
      <c r="T203" s="85"/>
      <c r="W203" s="85"/>
      <c r="X203" s="85"/>
      <c r="Y203" s="85"/>
      <c r="AB203" s="85"/>
      <c r="AC203" s="85"/>
      <c r="AD203" s="85"/>
      <c r="AG203" s="85"/>
      <c r="AH203" s="85"/>
      <c r="AI203" s="85"/>
    </row>
    <row r="204" spans="18:35" x14ac:dyDescent="0.2">
      <c r="R204" s="85"/>
      <c r="S204" s="85"/>
      <c r="T204" s="85"/>
      <c r="W204" s="85"/>
      <c r="X204" s="85"/>
      <c r="Y204" s="85"/>
      <c r="AB204" s="85"/>
      <c r="AC204" s="85"/>
      <c r="AD204" s="85"/>
      <c r="AG204" s="85"/>
      <c r="AH204" s="85"/>
      <c r="AI204" s="85"/>
    </row>
    <row r="205" spans="18:35" x14ac:dyDescent="0.2">
      <c r="R205" s="85"/>
      <c r="S205" s="85"/>
      <c r="T205" s="85"/>
      <c r="W205" s="85"/>
      <c r="X205" s="85"/>
      <c r="Y205" s="85"/>
      <c r="AB205" s="85"/>
      <c r="AC205" s="85"/>
      <c r="AD205" s="85"/>
      <c r="AG205" s="85"/>
      <c r="AH205" s="85"/>
      <c r="AI205" s="85"/>
    </row>
    <row r="206" spans="18:35" x14ac:dyDescent="0.2">
      <c r="R206" s="85"/>
      <c r="S206" s="85"/>
      <c r="T206" s="85"/>
      <c r="W206" s="85"/>
      <c r="X206" s="85"/>
      <c r="Y206" s="85"/>
      <c r="AB206" s="85"/>
      <c r="AC206" s="85"/>
      <c r="AD206" s="85"/>
      <c r="AG206" s="85"/>
      <c r="AH206" s="85"/>
      <c r="AI206" s="85"/>
    </row>
    <row r="207" spans="18:35" x14ac:dyDescent="0.2">
      <c r="R207" s="85"/>
      <c r="S207" s="85"/>
      <c r="T207" s="85"/>
      <c r="W207" s="85"/>
      <c r="X207" s="85"/>
      <c r="Y207" s="85"/>
      <c r="AB207" s="85"/>
      <c r="AC207" s="85"/>
      <c r="AD207" s="85"/>
      <c r="AG207" s="85"/>
      <c r="AH207" s="85"/>
      <c r="AI207" s="85"/>
    </row>
    <row r="208" spans="18:35" x14ac:dyDescent="0.2">
      <c r="R208" s="85"/>
      <c r="S208" s="85"/>
      <c r="T208" s="85"/>
      <c r="W208" s="85"/>
      <c r="X208" s="85"/>
      <c r="Y208" s="85"/>
      <c r="AB208" s="85"/>
      <c r="AC208" s="85"/>
      <c r="AD208" s="85"/>
      <c r="AG208" s="85"/>
      <c r="AH208" s="85"/>
      <c r="AI208" s="85"/>
    </row>
    <row r="209" spans="18:35" x14ac:dyDescent="0.2">
      <c r="R209" s="85"/>
      <c r="S209" s="85"/>
      <c r="T209" s="85"/>
      <c r="W209" s="85"/>
      <c r="X209" s="85"/>
      <c r="Y209" s="85"/>
      <c r="AB209" s="85"/>
      <c r="AC209" s="85"/>
      <c r="AD209" s="85"/>
      <c r="AG209" s="85"/>
      <c r="AH209" s="85"/>
      <c r="AI209" s="85"/>
    </row>
    <row r="210" spans="18:35" x14ac:dyDescent="0.2">
      <c r="R210" s="85"/>
      <c r="S210" s="85"/>
      <c r="T210" s="85"/>
      <c r="W210" s="85"/>
      <c r="X210" s="85"/>
      <c r="Y210" s="85"/>
      <c r="AB210" s="85"/>
      <c r="AC210" s="85"/>
      <c r="AD210" s="85"/>
      <c r="AG210" s="85"/>
      <c r="AH210" s="85"/>
      <c r="AI210" s="85"/>
    </row>
    <row r="211" spans="18:35" x14ac:dyDescent="0.2">
      <c r="R211" s="85"/>
      <c r="S211" s="85"/>
      <c r="T211" s="85"/>
      <c r="W211" s="85"/>
      <c r="X211" s="85"/>
      <c r="Y211" s="85"/>
      <c r="AB211" s="85"/>
      <c r="AC211" s="85"/>
      <c r="AD211" s="85"/>
      <c r="AG211" s="85"/>
      <c r="AH211" s="85"/>
      <c r="AI211" s="85"/>
    </row>
    <row r="212" spans="18:35" x14ac:dyDescent="0.2">
      <c r="R212" s="85"/>
      <c r="S212" s="85"/>
      <c r="T212" s="85"/>
      <c r="W212" s="85"/>
      <c r="X212" s="85"/>
      <c r="Y212" s="85"/>
      <c r="AB212" s="85"/>
      <c r="AC212" s="85"/>
      <c r="AD212" s="85"/>
      <c r="AG212" s="85"/>
      <c r="AH212" s="85"/>
      <c r="AI212" s="85"/>
    </row>
    <row r="213" spans="18:35" x14ac:dyDescent="0.2">
      <c r="R213" s="85"/>
      <c r="S213" s="85"/>
      <c r="T213" s="85"/>
      <c r="W213" s="85"/>
      <c r="X213" s="85"/>
      <c r="Y213" s="85"/>
      <c r="AB213" s="85"/>
      <c r="AC213" s="85"/>
      <c r="AD213" s="85"/>
      <c r="AG213" s="85"/>
      <c r="AH213" s="85"/>
      <c r="AI213" s="85"/>
    </row>
    <row r="214" spans="18:35" x14ac:dyDescent="0.2">
      <c r="R214" s="85"/>
      <c r="S214" s="85"/>
      <c r="T214" s="85"/>
      <c r="W214" s="85"/>
      <c r="X214" s="85"/>
      <c r="Y214" s="85"/>
      <c r="AB214" s="85"/>
      <c r="AC214" s="85"/>
      <c r="AD214" s="85"/>
      <c r="AG214" s="85"/>
      <c r="AH214" s="85"/>
      <c r="AI214" s="85"/>
    </row>
    <row r="215" spans="18:35" x14ac:dyDescent="0.2">
      <c r="R215" s="85"/>
      <c r="S215" s="85"/>
      <c r="T215" s="85"/>
      <c r="W215" s="85"/>
      <c r="X215" s="85"/>
      <c r="Y215" s="85"/>
      <c r="AB215" s="85"/>
      <c r="AC215" s="85"/>
      <c r="AD215" s="85"/>
      <c r="AG215" s="85"/>
      <c r="AH215" s="85"/>
      <c r="AI215" s="85"/>
    </row>
    <row r="216" spans="18:35" x14ac:dyDescent="0.2">
      <c r="R216" s="85"/>
      <c r="S216" s="85"/>
      <c r="T216" s="85"/>
      <c r="W216" s="85"/>
      <c r="X216" s="85"/>
      <c r="Y216" s="85"/>
      <c r="AB216" s="85"/>
      <c r="AC216" s="85"/>
      <c r="AD216" s="85"/>
      <c r="AG216" s="85"/>
      <c r="AH216" s="85"/>
      <c r="AI216" s="85"/>
    </row>
    <row r="217" spans="18:35" x14ac:dyDescent="0.2">
      <c r="R217" s="85"/>
      <c r="S217" s="85"/>
      <c r="T217" s="85"/>
      <c r="W217" s="85"/>
      <c r="X217" s="85"/>
      <c r="Y217" s="85"/>
      <c r="AB217" s="85"/>
      <c r="AC217" s="85"/>
      <c r="AD217" s="85"/>
      <c r="AG217" s="85"/>
      <c r="AH217" s="85"/>
      <c r="AI217" s="85"/>
    </row>
    <row r="218" spans="18:35" x14ac:dyDescent="0.2">
      <c r="R218" s="85"/>
      <c r="S218" s="85"/>
      <c r="T218" s="85"/>
      <c r="W218" s="85"/>
      <c r="X218" s="85"/>
      <c r="Y218" s="85"/>
      <c r="AB218" s="85"/>
      <c r="AC218" s="85"/>
      <c r="AD218" s="85"/>
      <c r="AG218" s="85"/>
      <c r="AH218" s="85"/>
      <c r="AI218" s="85"/>
    </row>
    <row r="219" spans="18:35" x14ac:dyDescent="0.2">
      <c r="R219" s="85"/>
      <c r="S219" s="85"/>
      <c r="T219" s="85"/>
      <c r="W219" s="85"/>
      <c r="X219" s="85"/>
      <c r="Y219" s="85"/>
      <c r="AB219" s="85"/>
      <c r="AC219" s="85"/>
      <c r="AD219" s="85"/>
      <c r="AG219" s="85"/>
      <c r="AH219" s="85"/>
      <c r="AI219" s="85"/>
    </row>
    <row r="220" spans="18:35" x14ac:dyDescent="0.2">
      <c r="R220" s="85"/>
      <c r="S220" s="85"/>
      <c r="T220" s="85"/>
      <c r="W220" s="85"/>
      <c r="X220" s="85"/>
      <c r="Y220" s="85"/>
      <c r="AB220" s="85"/>
      <c r="AC220" s="85"/>
      <c r="AD220" s="85"/>
      <c r="AG220" s="85"/>
      <c r="AH220" s="85"/>
      <c r="AI220" s="85"/>
    </row>
    <row r="221" spans="18:35" x14ac:dyDescent="0.2">
      <c r="R221" s="85"/>
      <c r="S221" s="85"/>
      <c r="T221" s="85"/>
      <c r="W221" s="85"/>
      <c r="X221" s="85"/>
      <c r="Y221" s="85"/>
      <c r="AB221" s="85"/>
      <c r="AC221" s="85"/>
      <c r="AD221" s="85"/>
      <c r="AG221" s="85"/>
      <c r="AH221" s="85"/>
      <c r="AI221" s="85"/>
    </row>
    <row r="222" spans="18:35" x14ac:dyDescent="0.2">
      <c r="R222" s="85"/>
      <c r="S222" s="85"/>
      <c r="T222" s="85"/>
      <c r="W222" s="85"/>
      <c r="X222" s="85"/>
      <c r="Y222" s="85"/>
      <c r="AB222" s="85"/>
      <c r="AC222" s="85"/>
      <c r="AD222" s="85"/>
      <c r="AG222" s="85"/>
      <c r="AH222" s="85"/>
      <c r="AI222" s="85"/>
    </row>
    <row r="223" spans="18:35" x14ac:dyDescent="0.2">
      <c r="R223" s="85"/>
      <c r="S223" s="85"/>
      <c r="T223" s="85"/>
      <c r="W223" s="85"/>
      <c r="X223" s="85"/>
      <c r="Y223" s="85"/>
      <c r="AB223" s="85"/>
      <c r="AC223" s="85"/>
      <c r="AD223" s="85"/>
      <c r="AG223" s="85"/>
      <c r="AH223" s="85"/>
      <c r="AI223" s="85"/>
    </row>
    <row r="224" spans="18:35" x14ac:dyDescent="0.2">
      <c r="R224" s="85"/>
      <c r="S224" s="85"/>
      <c r="T224" s="85"/>
      <c r="W224" s="85"/>
      <c r="X224" s="85"/>
      <c r="Y224" s="85"/>
      <c r="AB224" s="85"/>
      <c r="AC224" s="85"/>
      <c r="AD224" s="85"/>
      <c r="AG224" s="85"/>
      <c r="AH224" s="85"/>
      <c r="AI224" s="85"/>
    </row>
    <row r="225" spans="18:35" x14ac:dyDescent="0.2">
      <c r="R225" s="85"/>
      <c r="S225" s="85"/>
      <c r="T225" s="85"/>
      <c r="W225" s="85"/>
      <c r="X225" s="85"/>
      <c r="Y225" s="85"/>
      <c r="AB225" s="85"/>
      <c r="AC225" s="85"/>
      <c r="AD225" s="85"/>
      <c r="AG225" s="85"/>
      <c r="AH225" s="85"/>
      <c r="AI225" s="85"/>
    </row>
    <row r="226" spans="18:35" x14ac:dyDescent="0.2">
      <c r="R226" s="85"/>
      <c r="S226" s="85"/>
      <c r="T226" s="85"/>
      <c r="W226" s="85"/>
      <c r="X226" s="85"/>
      <c r="Y226" s="85"/>
      <c r="AB226" s="85"/>
      <c r="AC226" s="85"/>
      <c r="AD226" s="85"/>
      <c r="AG226" s="85"/>
      <c r="AH226" s="85"/>
      <c r="AI226" s="85"/>
    </row>
    <row r="227" spans="18:35" x14ac:dyDescent="0.2">
      <c r="R227" s="85"/>
      <c r="S227" s="85"/>
      <c r="T227" s="85"/>
      <c r="W227" s="85"/>
      <c r="X227" s="85"/>
      <c r="Y227" s="85"/>
      <c r="AB227" s="85"/>
      <c r="AC227" s="85"/>
      <c r="AD227" s="85"/>
      <c r="AG227" s="85"/>
      <c r="AH227" s="85"/>
      <c r="AI227" s="85"/>
    </row>
    <row r="228" spans="18:35" x14ac:dyDescent="0.2">
      <c r="R228" s="85"/>
      <c r="S228" s="85"/>
      <c r="T228" s="85"/>
      <c r="W228" s="85"/>
      <c r="X228" s="85"/>
      <c r="Y228" s="85"/>
      <c r="AB228" s="85"/>
      <c r="AC228" s="85"/>
      <c r="AD228" s="85"/>
      <c r="AG228" s="85"/>
      <c r="AH228" s="85"/>
      <c r="AI228" s="85"/>
    </row>
    <row r="229" spans="18:35" x14ac:dyDescent="0.2">
      <c r="R229" s="85"/>
      <c r="S229" s="85"/>
      <c r="T229" s="85"/>
      <c r="W229" s="85"/>
      <c r="X229" s="85"/>
      <c r="Y229" s="85"/>
      <c r="AB229" s="85"/>
      <c r="AC229" s="85"/>
      <c r="AD229" s="85"/>
      <c r="AG229" s="85"/>
      <c r="AH229" s="85"/>
      <c r="AI229" s="85"/>
    </row>
    <row r="230" spans="18:35" x14ac:dyDescent="0.2">
      <c r="R230" s="85"/>
      <c r="S230" s="85"/>
      <c r="T230" s="85"/>
      <c r="W230" s="85"/>
      <c r="X230" s="85"/>
      <c r="Y230" s="85"/>
      <c r="AB230" s="85"/>
      <c r="AC230" s="85"/>
      <c r="AD230" s="85"/>
      <c r="AG230" s="85"/>
      <c r="AH230" s="85"/>
      <c r="AI230" s="85"/>
    </row>
    <row r="231" spans="18:35" x14ac:dyDescent="0.2">
      <c r="R231" s="85"/>
      <c r="S231" s="85"/>
      <c r="T231" s="85"/>
      <c r="W231" s="85"/>
      <c r="X231" s="85"/>
      <c r="Y231" s="85"/>
      <c r="AB231" s="85"/>
      <c r="AC231" s="85"/>
      <c r="AD231" s="85"/>
      <c r="AG231" s="85"/>
      <c r="AH231" s="85"/>
      <c r="AI231" s="85"/>
    </row>
    <row r="232" spans="18:35" x14ac:dyDescent="0.2">
      <c r="R232" s="85"/>
      <c r="S232" s="85"/>
      <c r="T232" s="85"/>
      <c r="W232" s="85"/>
      <c r="X232" s="85"/>
      <c r="Y232" s="85"/>
      <c r="AB232" s="85"/>
      <c r="AC232" s="85"/>
      <c r="AD232" s="85"/>
      <c r="AG232" s="85"/>
      <c r="AH232" s="85"/>
      <c r="AI232" s="85"/>
    </row>
    <row r="233" spans="18:35" x14ac:dyDescent="0.2">
      <c r="R233" s="85"/>
      <c r="S233" s="85"/>
      <c r="T233" s="85"/>
      <c r="W233" s="85"/>
      <c r="X233" s="85"/>
      <c r="Y233" s="85"/>
      <c r="AB233" s="85"/>
      <c r="AC233" s="85"/>
      <c r="AD233" s="85"/>
      <c r="AG233" s="85"/>
      <c r="AH233" s="85"/>
      <c r="AI233" s="85"/>
    </row>
    <row r="234" spans="18:35" x14ac:dyDescent="0.2">
      <c r="R234" s="85"/>
      <c r="S234" s="85"/>
      <c r="T234" s="85"/>
      <c r="W234" s="85"/>
      <c r="X234" s="85"/>
      <c r="Y234" s="85"/>
      <c r="AB234" s="85"/>
      <c r="AC234" s="85"/>
      <c r="AD234" s="85"/>
      <c r="AG234" s="85"/>
      <c r="AH234" s="85"/>
      <c r="AI234" s="85"/>
    </row>
    <row r="235" spans="18:35" x14ac:dyDescent="0.2">
      <c r="R235" s="85"/>
      <c r="S235" s="85"/>
      <c r="T235" s="85"/>
      <c r="W235" s="85"/>
      <c r="X235" s="85"/>
      <c r="Y235" s="85"/>
      <c r="AB235" s="85"/>
      <c r="AC235" s="85"/>
      <c r="AD235" s="85"/>
      <c r="AG235" s="85"/>
      <c r="AH235" s="85"/>
      <c r="AI235" s="85"/>
    </row>
    <row r="236" spans="18:35" x14ac:dyDescent="0.2">
      <c r="R236" s="85"/>
      <c r="S236" s="85"/>
      <c r="T236" s="85"/>
      <c r="W236" s="85"/>
      <c r="X236" s="85"/>
      <c r="Y236" s="85"/>
      <c r="AB236" s="85"/>
      <c r="AC236" s="85"/>
      <c r="AD236" s="85"/>
      <c r="AG236" s="85"/>
      <c r="AH236" s="85"/>
      <c r="AI236" s="85"/>
    </row>
    <row r="237" spans="18:35" x14ac:dyDescent="0.2">
      <c r="R237" s="85"/>
      <c r="S237" s="85"/>
      <c r="T237" s="85"/>
      <c r="W237" s="85"/>
      <c r="X237" s="85"/>
      <c r="Y237" s="85"/>
      <c r="AB237" s="85"/>
      <c r="AC237" s="85"/>
      <c r="AD237" s="85"/>
      <c r="AG237" s="85"/>
      <c r="AH237" s="85"/>
      <c r="AI237" s="85"/>
    </row>
    <row r="238" spans="18:35" x14ac:dyDescent="0.2">
      <c r="R238" s="85"/>
      <c r="S238" s="85"/>
      <c r="T238" s="85"/>
      <c r="W238" s="85"/>
      <c r="X238" s="85"/>
      <c r="Y238" s="85"/>
      <c r="AB238" s="85"/>
      <c r="AC238" s="85"/>
      <c r="AD238" s="85"/>
      <c r="AG238" s="85"/>
      <c r="AH238" s="85"/>
      <c r="AI238" s="85"/>
    </row>
    <row r="239" spans="18:35" x14ac:dyDescent="0.2">
      <c r="R239" s="85"/>
      <c r="S239" s="85"/>
      <c r="T239" s="85"/>
      <c r="W239" s="85"/>
      <c r="X239" s="85"/>
      <c r="Y239" s="85"/>
      <c r="AB239" s="85"/>
      <c r="AC239" s="85"/>
      <c r="AD239" s="85"/>
      <c r="AG239" s="85"/>
      <c r="AH239" s="85"/>
      <c r="AI239" s="85"/>
    </row>
    <row r="240" spans="18:35" x14ac:dyDescent="0.2">
      <c r="R240" s="85"/>
      <c r="S240" s="85"/>
      <c r="T240" s="85"/>
      <c r="W240" s="85"/>
      <c r="X240" s="85"/>
      <c r="Y240" s="85"/>
      <c r="AB240" s="85"/>
      <c r="AC240" s="85"/>
      <c r="AD240" s="85"/>
      <c r="AG240" s="85"/>
      <c r="AH240" s="85"/>
      <c r="AI240" s="85"/>
    </row>
    <row r="241" spans="18:35" x14ac:dyDescent="0.2">
      <c r="R241" s="85"/>
      <c r="S241" s="85"/>
      <c r="T241" s="85"/>
      <c r="W241" s="85"/>
      <c r="X241" s="85"/>
      <c r="Y241" s="85"/>
      <c r="AB241" s="85"/>
      <c r="AC241" s="85"/>
      <c r="AD241" s="85"/>
      <c r="AG241" s="85"/>
      <c r="AH241" s="85"/>
      <c r="AI241" s="85"/>
    </row>
    <row r="242" spans="18:35" x14ac:dyDescent="0.2">
      <c r="R242" s="85"/>
      <c r="S242" s="85"/>
      <c r="T242" s="85"/>
      <c r="W242" s="85"/>
      <c r="X242" s="85"/>
      <c r="Y242" s="85"/>
      <c r="AB242" s="85"/>
      <c r="AC242" s="85"/>
      <c r="AD242" s="85"/>
      <c r="AG242" s="85"/>
      <c r="AH242" s="85"/>
      <c r="AI242" s="85"/>
    </row>
    <row r="243" spans="18:35" x14ac:dyDescent="0.2">
      <c r="R243" s="85"/>
      <c r="S243" s="85"/>
      <c r="T243" s="85"/>
      <c r="W243" s="85"/>
      <c r="X243" s="85"/>
      <c r="Y243" s="85"/>
      <c r="AB243" s="85"/>
      <c r="AC243" s="85"/>
      <c r="AD243" s="85"/>
      <c r="AG243" s="85"/>
      <c r="AH243" s="85"/>
      <c r="AI243" s="85"/>
    </row>
    <row r="244" spans="18:35" x14ac:dyDescent="0.2">
      <c r="R244" s="85"/>
      <c r="S244" s="85"/>
      <c r="T244" s="85"/>
      <c r="W244" s="85"/>
      <c r="X244" s="85"/>
      <c r="Y244" s="85"/>
      <c r="AB244" s="85"/>
      <c r="AC244" s="85"/>
      <c r="AD244" s="85"/>
      <c r="AG244" s="85"/>
      <c r="AH244" s="85"/>
      <c r="AI244" s="85"/>
    </row>
    <row r="245" spans="18:35" x14ac:dyDescent="0.2">
      <c r="R245" s="85"/>
      <c r="S245" s="85"/>
      <c r="T245" s="85"/>
      <c r="W245" s="85"/>
      <c r="X245" s="85"/>
      <c r="Y245" s="85"/>
      <c r="AB245" s="85"/>
      <c r="AC245" s="85"/>
      <c r="AD245" s="85"/>
      <c r="AG245" s="85"/>
      <c r="AH245" s="85"/>
      <c r="AI245" s="85"/>
    </row>
    <row r="246" spans="18:35" x14ac:dyDescent="0.2">
      <c r="R246" s="85"/>
      <c r="S246" s="85"/>
      <c r="T246" s="85"/>
      <c r="W246" s="85"/>
      <c r="X246" s="85"/>
      <c r="Y246" s="85"/>
      <c r="AB246" s="85"/>
      <c r="AC246" s="85"/>
      <c r="AD246" s="85"/>
      <c r="AG246" s="85"/>
      <c r="AH246" s="85"/>
      <c r="AI246" s="85"/>
    </row>
    <row r="247" spans="18:35" x14ac:dyDescent="0.2">
      <c r="R247" s="85"/>
      <c r="S247" s="85"/>
      <c r="T247" s="85"/>
      <c r="W247" s="85"/>
      <c r="X247" s="85"/>
      <c r="Y247" s="85"/>
      <c r="AB247" s="85"/>
      <c r="AC247" s="85"/>
      <c r="AD247" s="85"/>
      <c r="AG247" s="85"/>
      <c r="AH247" s="85"/>
      <c r="AI247" s="85"/>
    </row>
    <row r="248" spans="18:35" x14ac:dyDescent="0.2">
      <c r="R248" s="85"/>
      <c r="S248" s="85"/>
      <c r="T248" s="85"/>
      <c r="W248" s="85"/>
      <c r="X248" s="85"/>
      <c r="Y248" s="85"/>
      <c r="AB248" s="85"/>
      <c r="AC248" s="85"/>
      <c r="AD248" s="85"/>
      <c r="AG248" s="85"/>
      <c r="AH248" s="85"/>
      <c r="AI248" s="85"/>
    </row>
    <row r="249" spans="18:35" x14ac:dyDescent="0.2">
      <c r="R249" s="85"/>
      <c r="S249" s="85"/>
      <c r="T249" s="85"/>
      <c r="W249" s="85"/>
      <c r="X249" s="85"/>
      <c r="Y249" s="85"/>
      <c r="AB249" s="85"/>
      <c r="AC249" s="85"/>
      <c r="AD249" s="85"/>
      <c r="AG249" s="85"/>
      <c r="AH249" s="85"/>
      <c r="AI249" s="85"/>
    </row>
    <row r="250" spans="18:35" x14ac:dyDescent="0.2">
      <c r="R250" s="85"/>
      <c r="S250" s="85"/>
      <c r="T250" s="85"/>
      <c r="W250" s="85"/>
      <c r="X250" s="85"/>
      <c r="Y250" s="85"/>
      <c r="AB250" s="85"/>
      <c r="AC250" s="85"/>
      <c r="AD250" s="85"/>
      <c r="AG250" s="85"/>
      <c r="AH250" s="85"/>
      <c r="AI250" s="85"/>
    </row>
    <row r="251" spans="18:35" x14ac:dyDescent="0.2">
      <c r="R251" s="85"/>
      <c r="S251" s="85"/>
      <c r="T251" s="85"/>
      <c r="W251" s="85"/>
      <c r="X251" s="85"/>
      <c r="Y251" s="85"/>
      <c r="AB251" s="85"/>
      <c r="AC251" s="85"/>
      <c r="AD251" s="85"/>
      <c r="AG251" s="85"/>
      <c r="AH251" s="85"/>
      <c r="AI251" s="85"/>
    </row>
    <row r="252" spans="18:35" x14ac:dyDescent="0.2">
      <c r="R252" s="85"/>
      <c r="S252" s="85"/>
      <c r="T252" s="85"/>
      <c r="W252" s="85"/>
      <c r="X252" s="85"/>
      <c r="Y252" s="85"/>
      <c r="AB252" s="85"/>
      <c r="AC252" s="85"/>
      <c r="AD252" s="85"/>
      <c r="AG252" s="85"/>
      <c r="AH252" s="85"/>
      <c r="AI252" s="85"/>
    </row>
    <row r="253" spans="18:35" x14ac:dyDescent="0.2">
      <c r="R253" s="85"/>
      <c r="S253" s="85"/>
      <c r="T253" s="85"/>
      <c r="W253" s="85"/>
      <c r="X253" s="85"/>
      <c r="Y253" s="85"/>
      <c r="AB253" s="85"/>
      <c r="AC253" s="85"/>
      <c r="AD253" s="85"/>
      <c r="AG253" s="85"/>
      <c r="AH253" s="85"/>
      <c r="AI253" s="85"/>
    </row>
    <row r="254" spans="18:35" x14ac:dyDescent="0.2">
      <c r="R254" s="85"/>
      <c r="S254" s="85"/>
      <c r="T254" s="85"/>
      <c r="W254" s="85"/>
      <c r="X254" s="85"/>
      <c r="Y254" s="85"/>
      <c r="AB254" s="85"/>
      <c r="AC254" s="85"/>
      <c r="AD254" s="85"/>
      <c r="AG254" s="85"/>
      <c r="AH254" s="85"/>
      <c r="AI254" s="85"/>
    </row>
    <row r="255" spans="18:35" x14ac:dyDescent="0.2">
      <c r="R255" s="85"/>
      <c r="S255" s="85"/>
      <c r="T255" s="85"/>
      <c r="W255" s="85"/>
      <c r="X255" s="85"/>
      <c r="Y255" s="85"/>
      <c r="AB255" s="85"/>
      <c r="AC255" s="85"/>
      <c r="AD255" s="85"/>
      <c r="AG255" s="85"/>
      <c r="AH255" s="85"/>
      <c r="AI255" s="85"/>
    </row>
    <row r="256" spans="18:35" x14ac:dyDescent="0.2">
      <c r="R256" s="85"/>
      <c r="S256" s="85"/>
      <c r="T256" s="85"/>
      <c r="W256" s="85"/>
      <c r="X256" s="85"/>
      <c r="Y256" s="85"/>
      <c r="AB256" s="85"/>
      <c r="AC256" s="85"/>
      <c r="AD256" s="85"/>
      <c r="AG256" s="85"/>
      <c r="AH256" s="85"/>
      <c r="AI256" s="85"/>
    </row>
    <row r="257" spans="18:35" x14ac:dyDescent="0.2">
      <c r="R257" s="85"/>
      <c r="S257" s="85"/>
      <c r="T257" s="85"/>
      <c r="W257" s="85"/>
      <c r="X257" s="85"/>
      <c r="Y257" s="85"/>
      <c r="AB257" s="85"/>
      <c r="AC257" s="85"/>
      <c r="AD257" s="85"/>
      <c r="AG257" s="85"/>
      <c r="AH257" s="85"/>
      <c r="AI257" s="85"/>
    </row>
    <row r="258" spans="18:35" x14ac:dyDescent="0.2">
      <c r="R258" s="85"/>
      <c r="S258" s="85"/>
      <c r="T258" s="85"/>
      <c r="W258" s="85"/>
      <c r="X258" s="85"/>
      <c r="Y258" s="85"/>
      <c r="AB258" s="85"/>
      <c r="AC258" s="85"/>
      <c r="AD258" s="85"/>
      <c r="AG258" s="85"/>
      <c r="AH258" s="85"/>
      <c r="AI258" s="85"/>
    </row>
    <row r="259" spans="18:35" x14ac:dyDescent="0.2">
      <c r="R259" s="85"/>
      <c r="S259" s="85"/>
      <c r="T259" s="85"/>
      <c r="W259" s="85"/>
      <c r="X259" s="85"/>
      <c r="Y259" s="85"/>
      <c r="AB259" s="85"/>
      <c r="AC259" s="85"/>
      <c r="AD259" s="85"/>
      <c r="AG259" s="85"/>
      <c r="AH259" s="85"/>
      <c r="AI259" s="85"/>
    </row>
    <row r="260" spans="18:35" x14ac:dyDescent="0.2">
      <c r="R260" s="85"/>
      <c r="S260" s="85"/>
      <c r="T260" s="85"/>
      <c r="W260" s="85"/>
      <c r="X260" s="85"/>
      <c r="Y260" s="85"/>
      <c r="AB260" s="85"/>
      <c r="AC260" s="85"/>
      <c r="AD260" s="85"/>
      <c r="AG260" s="85"/>
      <c r="AH260" s="85"/>
      <c r="AI260" s="85"/>
    </row>
    <row r="261" spans="18:35" x14ac:dyDescent="0.2">
      <c r="R261" s="85"/>
      <c r="S261" s="85"/>
      <c r="T261" s="85"/>
      <c r="W261" s="85"/>
      <c r="X261" s="85"/>
      <c r="Y261" s="85"/>
      <c r="AB261" s="85"/>
      <c r="AC261" s="85"/>
      <c r="AD261" s="85"/>
      <c r="AG261" s="85"/>
      <c r="AH261" s="85"/>
      <c r="AI261" s="85"/>
    </row>
    <row r="262" spans="18:35" x14ac:dyDescent="0.2">
      <c r="R262" s="85"/>
      <c r="S262" s="85"/>
      <c r="T262" s="85"/>
      <c r="W262" s="85"/>
      <c r="X262" s="85"/>
      <c r="Y262" s="85"/>
      <c r="AB262" s="85"/>
      <c r="AC262" s="85"/>
      <c r="AD262" s="85"/>
      <c r="AG262" s="85"/>
      <c r="AH262" s="85"/>
      <c r="AI262" s="85"/>
    </row>
    <row r="263" spans="18:35" x14ac:dyDescent="0.2">
      <c r="R263" s="85"/>
      <c r="S263" s="85"/>
      <c r="T263" s="85"/>
      <c r="W263" s="85"/>
      <c r="X263" s="85"/>
      <c r="Y263" s="85"/>
      <c r="AB263" s="85"/>
      <c r="AC263" s="85"/>
      <c r="AD263" s="85"/>
      <c r="AG263" s="85"/>
      <c r="AH263" s="85"/>
      <c r="AI263" s="85"/>
    </row>
    <row r="264" spans="18:35" x14ac:dyDescent="0.2">
      <c r="R264" s="85"/>
      <c r="S264" s="85"/>
      <c r="T264" s="85"/>
      <c r="W264" s="85"/>
      <c r="X264" s="85"/>
      <c r="Y264" s="85"/>
      <c r="AB264" s="85"/>
      <c r="AC264" s="85"/>
      <c r="AD264" s="85"/>
      <c r="AG264" s="85"/>
      <c r="AH264" s="85"/>
      <c r="AI264" s="85"/>
    </row>
    <row r="265" spans="18:35" x14ac:dyDescent="0.2">
      <c r="R265" s="85"/>
      <c r="S265" s="85"/>
      <c r="T265" s="85"/>
      <c r="W265" s="85"/>
      <c r="X265" s="85"/>
      <c r="Y265" s="85"/>
      <c r="AB265" s="85"/>
      <c r="AC265" s="85"/>
      <c r="AD265" s="85"/>
      <c r="AG265" s="85"/>
      <c r="AH265" s="85"/>
      <c r="AI265" s="85"/>
    </row>
    <row r="266" spans="18:35" x14ac:dyDescent="0.2">
      <c r="R266" s="85"/>
      <c r="S266" s="85"/>
      <c r="T266" s="85"/>
      <c r="W266" s="85"/>
      <c r="X266" s="85"/>
      <c r="Y266" s="85"/>
      <c r="AB266" s="85"/>
      <c r="AC266" s="85"/>
      <c r="AD266" s="85"/>
      <c r="AG266" s="85"/>
      <c r="AH266" s="85"/>
      <c r="AI266" s="85"/>
    </row>
    <row r="267" spans="18:35" x14ac:dyDescent="0.2">
      <c r="R267" s="85"/>
      <c r="S267" s="85"/>
      <c r="T267" s="85"/>
      <c r="W267" s="85"/>
      <c r="X267" s="85"/>
      <c r="Y267" s="85"/>
      <c r="AB267" s="85"/>
      <c r="AC267" s="85"/>
      <c r="AD267" s="85"/>
      <c r="AG267" s="85"/>
      <c r="AH267" s="85"/>
      <c r="AI267" s="85"/>
    </row>
    <row r="268" spans="18:35" x14ac:dyDescent="0.2">
      <c r="R268" s="85"/>
      <c r="S268" s="85"/>
      <c r="T268" s="85"/>
      <c r="W268" s="85"/>
      <c r="X268" s="85"/>
      <c r="Y268" s="85"/>
      <c r="AB268" s="85"/>
      <c r="AC268" s="85"/>
      <c r="AD268" s="85"/>
      <c r="AG268" s="85"/>
      <c r="AH268" s="85"/>
      <c r="AI268" s="85"/>
    </row>
    <row r="269" spans="18:35" x14ac:dyDescent="0.2">
      <c r="R269" s="85"/>
      <c r="S269" s="85"/>
      <c r="T269" s="85"/>
      <c r="W269" s="85"/>
      <c r="X269" s="85"/>
      <c r="Y269" s="85"/>
      <c r="AB269" s="85"/>
      <c r="AC269" s="85"/>
      <c r="AD269" s="85"/>
      <c r="AG269" s="85"/>
      <c r="AH269" s="85"/>
      <c r="AI269" s="85"/>
    </row>
    <row r="270" spans="18:35" x14ac:dyDescent="0.2">
      <c r="R270" s="85"/>
      <c r="S270" s="85"/>
      <c r="T270" s="85"/>
      <c r="W270" s="85"/>
      <c r="X270" s="85"/>
      <c r="Y270" s="85"/>
      <c r="AB270" s="85"/>
      <c r="AC270" s="85"/>
      <c r="AD270" s="85"/>
      <c r="AG270" s="85"/>
      <c r="AH270" s="85"/>
      <c r="AI270" s="85"/>
    </row>
    <row r="271" spans="18:35" x14ac:dyDescent="0.2">
      <c r="R271" s="85"/>
      <c r="S271" s="85"/>
      <c r="T271" s="85"/>
      <c r="W271" s="85"/>
      <c r="X271" s="85"/>
      <c r="Y271" s="85"/>
      <c r="AB271" s="85"/>
      <c r="AC271" s="85"/>
      <c r="AD271" s="85"/>
      <c r="AG271" s="85"/>
      <c r="AH271" s="85"/>
      <c r="AI271" s="85"/>
    </row>
    <row r="272" spans="18:35" x14ac:dyDescent="0.2">
      <c r="R272" s="85"/>
      <c r="S272" s="85"/>
      <c r="T272" s="85"/>
      <c r="W272" s="85"/>
      <c r="X272" s="85"/>
      <c r="Y272" s="85"/>
      <c r="AB272" s="85"/>
      <c r="AC272" s="85"/>
      <c r="AD272" s="85"/>
      <c r="AG272" s="85"/>
      <c r="AH272" s="85"/>
      <c r="AI272" s="85"/>
    </row>
    <row r="273" spans="18:35" x14ac:dyDescent="0.2">
      <c r="R273" s="85"/>
      <c r="S273" s="85"/>
      <c r="T273" s="85"/>
      <c r="W273" s="85"/>
      <c r="X273" s="85"/>
      <c r="Y273" s="85"/>
      <c r="AB273" s="85"/>
      <c r="AC273" s="85"/>
      <c r="AD273" s="85"/>
      <c r="AG273" s="85"/>
      <c r="AH273" s="85"/>
      <c r="AI273" s="85"/>
    </row>
    <row r="274" spans="18:35" x14ac:dyDescent="0.2">
      <c r="R274" s="85"/>
      <c r="S274" s="85"/>
      <c r="T274" s="85"/>
      <c r="W274" s="85"/>
      <c r="X274" s="85"/>
      <c r="Y274" s="85"/>
      <c r="AB274" s="85"/>
      <c r="AC274" s="85"/>
      <c r="AD274" s="85"/>
      <c r="AG274" s="85"/>
      <c r="AH274" s="85"/>
      <c r="AI274" s="85"/>
    </row>
    <row r="275" spans="18:35" x14ac:dyDescent="0.2">
      <c r="R275" s="85"/>
      <c r="S275" s="85"/>
      <c r="T275" s="85"/>
      <c r="W275" s="85"/>
      <c r="X275" s="85"/>
      <c r="Y275" s="85"/>
      <c r="AB275" s="85"/>
      <c r="AC275" s="85"/>
      <c r="AD275" s="85"/>
      <c r="AG275" s="85"/>
      <c r="AH275" s="85"/>
      <c r="AI275" s="85"/>
    </row>
    <row r="276" spans="18:35" x14ac:dyDescent="0.2">
      <c r="R276" s="85"/>
      <c r="S276" s="85"/>
      <c r="T276" s="85"/>
      <c r="W276" s="85"/>
      <c r="X276" s="85"/>
      <c r="Y276" s="85"/>
      <c r="AB276" s="85"/>
      <c r="AC276" s="85"/>
      <c r="AD276" s="85"/>
      <c r="AG276" s="85"/>
      <c r="AH276" s="85"/>
      <c r="AI276" s="85"/>
    </row>
    <row r="277" spans="18:35" x14ac:dyDescent="0.2">
      <c r="R277" s="85"/>
      <c r="S277" s="85"/>
      <c r="T277" s="85"/>
      <c r="W277" s="85"/>
      <c r="X277" s="85"/>
      <c r="Y277" s="85"/>
      <c r="AB277" s="85"/>
      <c r="AC277" s="85"/>
      <c r="AD277" s="85"/>
      <c r="AG277" s="85"/>
      <c r="AH277" s="85"/>
      <c r="AI277" s="85"/>
    </row>
    <row r="278" spans="18:35" x14ac:dyDescent="0.2">
      <c r="R278" s="85"/>
      <c r="S278" s="85"/>
      <c r="T278" s="85"/>
      <c r="W278" s="85"/>
      <c r="X278" s="85"/>
      <c r="Y278" s="85"/>
      <c r="AB278" s="85"/>
      <c r="AC278" s="85"/>
      <c r="AD278" s="85"/>
      <c r="AG278" s="85"/>
      <c r="AH278" s="85"/>
      <c r="AI278" s="85"/>
    </row>
    <row r="279" spans="18:35" x14ac:dyDescent="0.2">
      <c r="R279" s="85"/>
      <c r="S279" s="85"/>
      <c r="T279" s="85"/>
      <c r="W279" s="85"/>
      <c r="X279" s="85"/>
      <c r="Y279" s="85"/>
      <c r="AB279" s="85"/>
      <c r="AC279" s="85"/>
      <c r="AD279" s="85"/>
      <c r="AG279" s="85"/>
      <c r="AH279" s="85"/>
      <c r="AI279" s="85"/>
    </row>
    <row r="280" spans="18:35" x14ac:dyDescent="0.2">
      <c r="R280" s="85"/>
      <c r="S280" s="85"/>
      <c r="T280" s="85"/>
      <c r="W280" s="85"/>
      <c r="X280" s="85"/>
      <c r="Y280" s="85"/>
      <c r="AB280" s="85"/>
      <c r="AC280" s="85"/>
      <c r="AD280" s="85"/>
      <c r="AG280" s="85"/>
      <c r="AH280" s="85"/>
      <c r="AI280" s="85"/>
    </row>
    <row r="281" spans="18:35" x14ac:dyDescent="0.2">
      <c r="R281" s="85"/>
      <c r="S281" s="85"/>
      <c r="T281" s="85"/>
      <c r="W281" s="85"/>
      <c r="X281" s="85"/>
      <c r="Y281" s="85"/>
      <c r="AB281" s="85"/>
      <c r="AC281" s="85"/>
      <c r="AD281" s="85"/>
      <c r="AG281" s="85"/>
      <c r="AH281" s="85"/>
      <c r="AI281" s="85"/>
    </row>
    <row r="282" spans="18:35" x14ac:dyDescent="0.2">
      <c r="R282" s="85"/>
      <c r="S282" s="85"/>
      <c r="T282" s="85"/>
      <c r="W282" s="85"/>
      <c r="X282" s="85"/>
      <c r="Y282" s="85"/>
      <c r="AB282" s="85"/>
      <c r="AC282" s="85"/>
      <c r="AD282" s="85"/>
      <c r="AG282" s="85"/>
      <c r="AH282" s="85"/>
      <c r="AI282" s="85"/>
    </row>
    <row r="283" spans="18:35" x14ac:dyDescent="0.2">
      <c r="R283" s="85"/>
      <c r="S283" s="85"/>
      <c r="T283" s="85"/>
      <c r="W283" s="85"/>
      <c r="X283" s="85"/>
      <c r="Y283" s="85"/>
      <c r="AB283" s="85"/>
      <c r="AC283" s="85"/>
      <c r="AD283" s="85"/>
      <c r="AG283" s="85"/>
      <c r="AH283" s="85"/>
      <c r="AI283" s="85"/>
    </row>
    <row r="284" spans="18:35" x14ac:dyDescent="0.2">
      <c r="R284" s="85"/>
      <c r="S284" s="85"/>
      <c r="T284" s="85"/>
      <c r="W284" s="85"/>
      <c r="X284" s="85"/>
      <c r="Y284" s="85"/>
      <c r="AB284" s="85"/>
      <c r="AC284" s="85"/>
      <c r="AD284" s="85"/>
      <c r="AG284" s="85"/>
      <c r="AH284" s="85"/>
      <c r="AI284" s="85"/>
    </row>
    <row r="285" spans="18:35" x14ac:dyDescent="0.2">
      <c r="R285" s="85"/>
      <c r="S285" s="85"/>
      <c r="T285" s="85"/>
      <c r="W285" s="85"/>
      <c r="X285" s="85"/>
      <c r="Y285" s="85"/>
      <c r="AB285" s="85"/>
      <c r="AC285" s="85"/>
      <c r="AD285" s="85"/>
      <c r="AG285" s="85"/>
      <c r="AH285" s="85"/>
      <c r="AI285" s="85"/>
    </row>
    <row r="286" spans="18:35" x14ac:dyDescent="0.2">
      <c r="R286" s="85"/>
      <c r="S286" s="85"/>
      <c r="T286" s="85"/>
      <c r="W286" s="85"/>
      <c r="X286" s="85"/>
      <c r="Y286" s="85"/>
      <c r="AB286" s="85"/>
      <c r="AC286" s="85"/>
      <c r="AD286" s="85"/>
      <c r="AG286" s="85"/>
      <c r="AH286" s="85"/>
      <c r="AI286" s="85"/>
    </row>
    <row r="287" spans="18:35" x14ac:dyDescent="0.2">
      <c r="R287" s="85"/>
      <c r="S287" s="85"/>
      <c r="T287" s="85"/>
      <c r="W287" s="85"/>
      <c r="X287" s="85"/>
      <c r="Y287" s="85"/>
      <c r="AB287" s="85"/>
      <c r="AC287" s="85"/>
      <c r="AD287" s="85"/>
      <c r="AG287" s="85"/>
      <c r="AH287" s="85"/>
      <c r="AI287" s="85"/>
    </row>
    <row r="288" spans="18:35" x14ac:dyDescent="0.2">
      <c r="R288" s="85"/>
      <c r="S288" s="85"/>
      <c r="T288" s="85"/>
      <c r="W288" s="85"/>
      <c r="X288" s="85"/>
      <c r="Y288" s="85"/>
      <c r="AB288" s="85"/>
      <c r="AC288" s="85"/>
      <c r="AD288" s="85"/>
      <c r="AG288" s="85"/>
      <c r="AH288" s="85"/>
      <c r="AI288" s="85"/>
    </row>
    <row r="289" spans="18:35" x14ac:dyDescent="0.2">
      <c r="R289" s="85"/>
      <c r="S289" s="85"/>
      <c r="T289" s="85"/>
      <c r="W289" s="85"/>
      <c r="X289" s="85"/>
      <c r="Y289" s="85"/>
      <c r="AB289" s="85"/>
      <c r="AC289" s="85"/>
      <c r="AD289" s="85"/>
      <c r="AG289" s="85"/>
      <c r="AH289" s="85"/>
      <c r="AI289" s="85"/>
    </row>
    <row r="290" spans="18:35" x14ac:dyDescent="0.2">
      <c r="R290" s="85"/>
      <c r="S290" s="85"/>
      <c r="T290" s="85"/>
      <c r="W290" s="85"/>
      <c r="X290" s="85"/>
      <c r="Y290" s="85"/>
      <c r="AB290" s="85"/>
      <c r="AC290" s="85"/>
      <c r="AD290" s="85"/>
      <c r="AG290" s="85"/>
      <c r="AH290" s="85"/>
      <c r="AI290" s="85"/>
    </row>
    <row r="291" spans="18:35" x14ac:dyDescent="0.2">
      <c r="R291" s="85"/>
      <c r="S291" s="85"/>
      <c r="T291" s="85"/>
      <c r="W291" s="85"/>
      <c r="X291" s="85"/>
      <c r="Y291" s="85"/>
      <c r="AB291" s="85"/>
      <c r="AC291" s="85"/>
      <c r="AD291" s="85"/>
      <c r="AG291" s="85"/>
      <c r="AH291" s="85"/>
      <c r="AI291" s="85"/>
    </row>
    <row r="292" spans="18:35" x14ac:dyDescent="0.2">
      <c r="R292" s="85"/>
      <c r="S292" s="85"/>
      <c r="T292" s="85"/>
      <c r="W292" s="85"/>
      <c r="X292" s="85"/>
      <c r="Y292" s="85"/>
      <c r="AB292" s="85"/>
      <c r="AC292" s="85"/>
      <c r="AD292" s="85"/>
      <c r="AG292" s="85"/>
      <c r="AH292" s="85"/>
      <c r="AI292" s="85"/>
    </row>
    <row r="293" spans="18:35" x14ac:dyDescent="0.2">
      <c r="R293" s="85"/>
      <c r="S293" s="85"/>
      <c r="T293" s="85"/>
      <c r="W293" s="85"/>
      <c r="X293" s="85"/>
      <c r="Y293" s="85"/>
      <c r="AB293" s="85"/>
      <c r="AC293" s="85"/>
      <c r="AD293" s="85"/>
      <c r="AG293" s="85"/>
      <c r="AH293" s="85"/>
      <c r="AI293" s="85"/>
    </row>
    <row r="294" spans="18:35" x14ac:dyDescent="0.2">
      <c r="R294" s="85"/>
      <c r="S294" s="85"/>
      <c r="T294" s="85"/>
      <c r="W294" s="85"/>
      <c r="X294" s="85"/>
      <c r="Y294" s="85"/>
      <c r="AB294" s="85"/>
      <c r="AC294" s="85"/>
      <c r="AD294" s="85"/>
      <c r="AG294" s="85"/>
      <c r="AH294" s="85"/>
      <c r="AI294" s="85"/>
    </row>
    <row r="295" spans="18:35" x14ac:dyDescent="0.2">
      <c r="R295" s="85"/>
      <c r="S295" s="85"/>
      <c r="T295" s="85"/>
      <c r="W295" s="85"/>
      <c r="X295" s="85"/>
      <c r="Y295" s="85"/>
      <c r="AB295" s="85"/>
      <c r="AC295" s="85"/>
      <c r="AD295" s="85"/>
      <c r="AG295" s="85"/>
      <c r="AH295" s="85"/>
      <c r="AI295" s="85"/>
    </row>
    <row r="296" spans="18:35" x14ac:dyDescent="0.2">
      <c r="R296" s="85"/>
      <c r="S296" s="85"/>
      <c r="T296" s="85"/>
      <c r="W296" s="85"/>
      <c r="X296" s="85"/>
      <c r="Y296" s="85"/>
      <c r="AB296" s="85"/>
      <c r="AC296" s="85"/>
      <c r="AD296" s="85"/>
      <c r="AG296" s="85"/>
      <c r="AH296" s="85"/>
      <c r="AI296" s="85"/>
    </row>
    <row r="297" spans="18:35" x14ac:dyDescent="0.2">
      <c r="R297" s="85"/>
      <c r="S297" s="85"/>
      <c r="T297" s="85"/>
      <c r="W297" s="85"/>
      <c r="X297" s="85"/>
      <c r="Y297" s="85"/>
      <c r="AB297" s="85"/>
      <c r="AC297" s="85"/>
      <c r="AD297" s="85"/>
      <c r="AG297" s="85"/>
      <c r="AH297" s="85"/>
      <c r="AI297" s="85"/>
    </row>
    <row r="298" spans="18:35" x14ac:dyDescent="0.2">
      <c r="R298" s="85"/>
      <c r="S298" s="85"/>
      <c r="T298" s="85"/>
      <c r="W298" s="85"/>
      <c r="X298" s="85"/>
      <c r="Y298" s="85"/>
      <c r="AB298" s="85"/>
      <c r="AC298" s="85"/>
      <c r="AD298" s="85"/>
      <c r="AG298" s="85"/>
      <c r="AH298" s="85"/>
      <c r="AI298" s="85"/>
    </row>
    <row r="299" spans="18:35" x14ac:dyDescent="0.2">
      <c r="R299" s="85"/>
      <c r="S299" s="85"/>
      <c r="T299" s="85"/>
      <c r="W299" s="85"/>
      <c r="X299" s="85"/>
      <c r="Y299" s="85"/>
      <c r="AB299" s="85"/>
      <c r="AC299" s="85"/>
      <c r="AD299" s="85"/>
      <c r="AG299" s="85"/>
      <c r="AH299" s="85"/>
      <c r="AI299" s="85"/>
    </row>
    <row r="300" spans="18:35" x14ac:dyDescent="0.2">
      <c r="R300" s="85"/>
      <c r="S300" s="85"/>
      <c r="T300" s="85"/>
      <c r="W300" s="85"/>
      <c r="X300" s="85"/>
      <c r="Y300" s="85"/>
      <c r="AB300" s="85"/>
      <c r="AC300" s="85"/>
      <c r="AD300" s="85"/>
      <c r="AG300" s="85"/>
      <c r="AH300" s="85"/>
      <c r="AI300" s="85"/>
    </row>
    <row r="301" spans="18:35" x14ac:dyDescent="0.2">
      <c r="R301" s="85"/>
      <c r="S301" s="85"/>
      <c r="T301" s="85"/>
      <c r="W301" s="85"/>
      <c r="X301" s="85"/>
      <c r="Y301" s="85"/>
      <c r="AB301" s="85"/>
      <c r="AC301" s="85"/>
      <c r="AD301" s="85"/>
      <c r="AG301" s="85"/>
      <c r="AH301" s="85"/>
      <c r="AI301" s="85"/>
    </row>
    <row r="302" spans="18:35" x14ac:dyDescent="0.2">
      <c r="R302" s="85"/>
      <c r="S302" s="85"/>
      <c r="T302" s="85"/>
      <c r="W302" s="85"/>
      <c r="X302" s="85"/>
      <c r="Y302" s="85"/>
      <c r="AB302" s="85"/>
      <c r="AC302" s="85"/>
      <c r="AD302" s="85"/>
      <c r="AG302" s="85"/>
      <c r="AH302" s="85"/>
      <c r="AI302" s="85"/>
    </row>
    <row r="303" spans="18:35" x14ac:dyDescent="0.2">
      <c r="R303" s="85"/>
      <c r="S303" s="85"/>
      <c r="T303" s="85"/>
      <c r="W303" s="85"/>
      <c r="X303" s="85"/>
      <c r="Y303" s="85"/>
      <c r="AB303" s="85"/>
      <c r="AC303" s="85"/>
      <c r="AD303" s="85"/>
      <c r="AG303" s="85"/>
      <c r="AH303" s="85"/>
      <c r="AI303" s="85"/>
    </row>
    <row r="304" spans="18:35" x14ac:dyDescent="0.2">
      <c r="R304" s="85"/>
      <c r="S304" s="85"/>
      <c r="T304" s="85"/>
      <c r="W304" s="85"/>
      <c r="X304" s="85"/>
      <c r="Y304" s="85"/>
      <c r="AB304" s="85"/>
      <c r="AC304" s="85"/>
      <c r="AD304" s="85"/>
      <c r="AG304" s="85"/>
      <c r="AH304" s="85"/>
      <c r="AI304" s="85"/>
    </row>
    <row r="305" spans="18:35" x14ac:dyDescent="0.2">
      <c r="R305" s="85"/>
      <c r="S305" s="85"/>
      <c r="T305" s="85"/>
      <c r="W305" s="85"/>
      <c r="X305" s="85"/>
      <c r="Y305" s="85"/>
      <c r="AB305" s="85"/>
      <c r="AC305" s="85"/>
      <c r="AD305" s="85"/>
      <c r="AG305" s="85"/>
      <c r="AH305" s="85"/>
      <c r="AI305" s="85"/>
    </row>
    <row r="306" spans="18:35" x14ac:dyDescent="0.2">
      <c r="R306" s="85"/>
      <c r="S306" s="85"/>
      <c r="T306" s="85"/>
      <c r="W306" s="85"/>
      <c r="X306" s="85"/>
      <c r="Y306" s="85"/>
      <c r="AB306" s="85"/>
      <c r="AC306" s="85"/>
      <c r="AD306" s="85"/>
      <c r="AG306" s="85"/>
      <c r="AH306" s="85"/>
      <c r="AI306" s="85"/>
    </row>
    <row r="307" spans="18:35" x14ac:dyDescent="0.2">
      <c r="R307" s="85"/>
      <c r="S307" s="85"/>
      <c r="T307" s="85"/>
      <c r="W307" s="85"/>
      <c r="X307" s="85"/>
      <c r="Y307" s="85"/>
      <c r="AB307" s="85"/>
      <c r="AC307" s="85"/>
      <c r="AD307" s="85"/>
      <c r="AG307" s="85"/>
      <c r="AH307" s="85"/>
      <c r="AI307" s="85"/>
    </row>
    <row r="308" spans="18:35" x14ac:dyDescent="0.2">
      <c r="R308" s="85"/>
      <c r="S308" s="85"/>
      <c r="T308" s="85"/>
      <c r="W308" s="85"/>
      <c r="X308" s="85"/>
      <c r="Y308" s="85"/>
      <c r="AB308" s="85"/>
      <c r="AC308" s="85"/>
      <c r="AD308" s="85"/>
      <c r="AG308" s="85"/>
      <c r="AH308" s="85"/>
      <c r="AI308" s="85"/>
    </row>
    <row r="309" spans="18:35" x14ac:dyDescent="0.2">
      <c r="R309" s="85"/>
      <c r="S309" s="85"/>
      <c r="T309" s="85"/>
      <c r="W309" s="85"/>
      <c r="X309" s="85"/>
      <c r="Y309" s="85"/>
      <c r="AB309" s="85"/>
      <c r="AC309" s="85"/>
      <c r="AD309" s="85"/>
      <c r="AG309" s="85"/>
      <c r="AH309" s="85"/>
      <c r="AI309" s="85"/>
    </row>
    <row r="310" spans="18:35" x14ac:dyDescent="0.2">
      <c r="R310" s="85"/>
      <c r="S310" s="85"/>
      <c r="T310" s="85"/>
      <c r="W310" s="85"/>
      <c r="X310" s="85"/>
      <c r="Y310" s="85"/>
      <c r="AB310" s="85"/>
      <c r="AC310" s="85"/>
      <c r="AD310" s="85"/>
      <c r="AG310" s="85"/>
      <c r="AH310" s="85"/>
      <c r="AI310" s="85"/>
    </row>
    <row r="311" spans="18:35" x14ac:dyDescent="0.2">
      <c r="R311" s="85"/>
      <c r="S311" s="85"/>
      <c r="T311" s="85"/>
      <c r="W311" s="85"/>
      <c r="X311" s="85"/>
      <c r="Y311" s="85"/>
      <c r="AB311" s="85"/>
      <c r="AC311" s="85"/>
      <c r="AD311" s="85"/>
      <c r="AG311" s="85"/>
      <c r="AH311" s="85"/>
      <c r="AI311" s="85"/>
    </row>
    <row r="312" spans="18:35" x14ac:dyDescent="0.2">
      <c r="R312" s="85"/>
      <c r="S312" s="85"/>
      <c r="T312" s="85"/>
      <c r="W312" s="85"/>
      <c r="X312" s="85"/>
      <c r="Y312" s="85"/>
      <c r="AB312" s="85"/>
      <c r="AC312" s="85"/>
      <c r="AD312" s="85"/>
      <c r="AG312" s="85"/>
      <c r="AH312" s="85"/>
      <c r="AI312" s="85"/>
    </row>
    <row r="313" spans="18:35" x14ac:dyDescent="0.2">
      <c r="R313" s="85"/>
      <c r="S313" s="85"/>
      <c r="T313" s="85"/>
      <c r="W313" s="85"/>
      <c r="X313" s="85"/>
      <c r="Y313" s="85"/>
      <c r="AB313" s="85"/>
      <c r="AC313" s="85"/>
      <c r="AD313" s="85"/>
      <c r="AG313" s="85"/>
      <c r="AH313" s="85"/>
      <c r="AI313" s="85"/>
    </row>
    <row r="314" spans="18:35" x14ac:dyDescent="0.2">
      <c r="R314" s="85"/>
      <c r="S314" s="85"/>
      <c r="T314" s="85"/>
      <c r="W314" s="85"/>
      <c r="X314" s="85"/>
      <c r="Y314" s="85"/>
      <c r="AB314" s="85"/>
      <c r="AC314" s="85"/>
      <c r="AD314" s="85"/>
      <c r="AG314" s="85"/>
      <c r="AH314" s="85"/>
      <c r="AI314" s="85"/>
    </row>
    <row r="315" spans="18:35" x14ac:dyDescent="0.2">
      <c r="R315" s="85"/>
      <c r="S315" s="85"/>
      <c r="T315" s="85"/>
      <c r="W315" s="85"/>
      <c r="X315" s="85"/>
      <c r="Y315" s="85"/>
      <c r="AB315" s="85"/>
      <c r="AC315" s="85"/>
      <c r="AD315" s="85"/>
      <c r="AG315" s="85"/>
      <c r="AH315" s="85"/>
      <c r="AI315" s="85"/>
    </row>
    <row r="316" spans="18:35" x14ac:dyDescent="0.2">
      <c r="R316" s="85"/>
      <c r="S316" s="85"/>
      <c r="T316" s="85"/>
      <c r="W316" s="85"/>
      <c r="X316" s="85"/>
      <c r="Y316" s="85"/>
      <c r="AB316" s="85"/>
      <c r="AC316" s="85"/>
      <c r="AD316" s="85"/>
      <c r="AG316" s="85"/>
      <c r="AH316" s="85"/>
      <c r="AI316" s="85"/>
    </row>
    <row r="317" spans="18:35" x14ac:dyDescent="0.2">
      <c r="R317" s="85"/>
      <c r="S317" s="85"/>
      <c r="T317" s="85"/>
      <c r="W317" s="85"/>
      <c r="X317" s="85"/>
      <c r="Y317" s="85"/>
      <c r="AB317" s="85"/>
      <c r="AC317" s="85"/>
      <c r="AD317" s="85"/>
      <c r="AG317" s="85"/>
      <c r="AH317" s="85"/>
      <c r="AI317" s="85"/>
    </row>
    <row r="318" spans="18:35" x14ac:dyDescent="0.2">
      <c r="R318" s="85"/>
      <c r="S318" s="85"/>
      <c r="T318" s="85"/>
      <c r="W318" s="85"/>
      <c r="X318" s="85"/>
      <c r="Y318" s="85"/>
      <c r="AB318" s="85"/>
      <c r="AC318" s="85"/>
      <c r="AD318" s="85"/>
      <c r="AG318" s="85"/>
      <c r="AH318" s="85"/>
      <c r="AI318" s="85"/>
    </row>
    <row r="319" spans="18:35" x14ac:dyDescent="0.2">
      <c r="R319" s="85"/>
      <c r="S319" s="85"/>
      <c r="T319" s="85"/>
      <c r="W319" s="85"/>
      <c r="X319" s="85"/>
      <c r="Y319" s="85"/>
      <c r="AB319" s="85"/>
      <c r="AC319" s="85"/>
      <c r="AD319" s="85"/>
      <c r="AG319" s="85"/>
      <c r="AH319" s="85"/>
      <c r="AI319" s="85"/>
    </row>
    <row r="320" spans="18:35" x14ac:dyDescent="0.2">
      <c r="R320" s="85"/>
      <c r="S320" s="85"/>
      <c r="T320" s="85"/>
      <c r="W320" s="85"/>
      <c r="X320" s="85"/>
      <c r="Y320" s="85"/>
      <c r="AB320" s="85"/>
      <c r="AC320" s="85"/>
      <c r="AD320" s="85"/>
      <c r="AG320" s="85"/>
      <c r="AH320" s="85"/>
      <c r="AI320" s="85"/>
    </row>
    <row r="321" spans="18:35" x14ac:dyDescent="0.2">
      <c r="R321" s="85"/>
      <c r="S321" s="85"/>
      <c r="T321" s="85"/>
      <c r="W321" s="85"/>
      <c r="X321" s="85"/>
      <c r="Y321" s="85"/>
      <c r="AB321" s="85"/>
      <c r="AC321" s="85"/>
      <c r="AD321" s="85"/>
      <c r="AG321" s="85"/>
      <c r="AH321" s="85"/>
      <c r="AI321" s="85"/>
    </row>
    <row r="322" spans="18:35" x14ac:dyDescent="0.2">
      <c r="R322" s="85"/>
      <c r="S322" s="85"/>
      <c r="T322" s="85"/>
      <c r="W322" s="85"/>
      <c r="X322" s="85"/>
      <c r="Y322" s="85"/>
      <c r="AB322" s="85"/>
      <c r="AC322" s="85"/>
      <c r="AD322" s="85"/>
      <c r="AG322" s="85"/>
      <c r="AH322" s="85"/>
      <c r="AI322" s="85"/>
    </row>
    <row r="323" spans="18:35" x14ac:dyDescent="0.2">
      <c r="R323" s="85"/>
      <c r="S323" s="85"/>
      <c r="T323" s="85"/>
      <c r="W323" s="85"/>
      <c r="X323" s="85"/>
      <c r="Y323" s="85"/>
      <c r="AB323" s="85"/>
      <c r="AC323" s="85"/>
      <c r="AD323" s="85"/>
      <c r="AG323" s="85"/>
      <c r="AH323" s="85"/>
      <c r="AI323" s="85"/>
    </row>
    <row r="324" spans="18:35" x14ac:dyDescent="0.2">
      <c r="R324" s="85"/>
      <c r="S324" s="85"/>
      <c r="T324" s="85"/>
      <c r="W324" s="85"/>
      <c r="X324" s="85"/>
      <c r="Y324" s="85"/>
      <c r="AB324" s="85"/>
      <c r="AC324" s="85"/>
      <c r="AD324" s="85"/>
      <c r="AG324" s="85"/>
      <c r="AH324" s="85"/>
      <c r="AI324" s="85"/>
    </row>
    <row r="325" spans="18:35" x14ac:dyDescent="0.2">
      <c r="R325" s="85"/>
      <c r="S325" s="85"/>
      <c r="T325" s="85"/>
      <c r="W325" s="85"/>
      <c r="X325" s="85"/>
      <c r="Y325" s="85"/>
      <c r="AB325" s="85"/>
      <c r="AC325" s="85"/>
      <c r="AD325" s="85"/>
      <c r="AG325" s="85"/>
      <c r="AH325" s="85"/>
      <c r="AI325" s="85"/>
    </row>
    <row r="326" spans="18:35" x14ac:dyDescent="0.2">
      <c r="R326" s="85"/>
      <c r="S326" s="85"/>
      <c r="T326" s="85"/>
      <c r="W326" s="85"/>
      <c r="X326" s="85"/>
      <c r="Y326" s="85"/>
      <c r="AB326" s="85"/>
      <c r="AC326" s="85"/>
      <c r="AD326" s="85"/>
      <c r="AG326" s="85"/>
      <c r="AH326" s="85"/>
      <c r="AI326" s="85"/>
    </row>
    <row r="327" spans="18:35" x14ac:dyDescent="0.2">
      <c r="R327" s="85"/>
      <c r="S327" s="85"/>
      <c r="T327" s="85"/>
      <c r="W327" s="85"/>
      <c r="X327" s="85"/>
      <c r="Y327" s="85"/>
      <c r="AB327" s="85"/>
      <c r="AC327" s="85"/>
      <c r="AD327" s="85"/>
      <c r="AG327" s="85"/>
      <c r="AH327" s="85"/>
      <c r="AI327" s="85"/>
    </row>
    <row r="328" spans="18:35" x14ac:dyDescent="0.2">
      <c r="R328" s="85"/>
      <c r="S328" s="85"/>
      <c r="T328" s="85"/>
      <c r="W328" s="85"/>
      <c r="X328" s="85"/>
      <c r="Y328" s="85"/>
      <c r="AB328" s="85"/>
      <c r="AC328" s="85"/>
      <c r="AD328" s="85"/>
      <c r="AG328" s="85"/>
      <c r="AH328" s="85"/>
      <c r="AI328" s="85"/>
    </row>
    <row r="329" spans="18:35" x14ac:dyDescent="0.2">
      <c r="R329" s="85"/>
      <c r="S329" s="85"/>
      <c r="T329" s="85"/>
      <c r="W329" s="85"/>
      <c r="X329" s="85"/>
      <c r="Y329" s="85"/>
      <c r="AB329" s="85"/>
      <c r="AC329" s="85"/>
      <c r="AD329" s="85"/>
      <c r="AG329" s="85"/>
      <c r="AH329" s="85"/>
      <c r="AI329" s="85"/>
    </row>
    <row r="330" spans="18:35" x14ac:dyDescent="0.2">
      <c r="R330" s="85"/>
      <c r="S330" s="85"/>
      <c r="T330" s="85"/>
      <c r="W330" s="85"/>
      <c r="X330" s="85"/>
      <c r="Y330" s="85"/>
      <c r="AB330" s="85"/>
      <c r="AC330" s="85"/>
      <c r="AD330" s="85"/>
      <c r="AG330" s="85"/>
      <c r="AH330" s="85"/>
      <c r="AI330" s="85"/>
    </row>
    <row r="331" spans="18:35" x14ac:dyDescent="0.2">
      <c r="R331" s="85"/>
      <c r="S331" s="85"/>
      <c r="T331" s="85"/>
      <c r="W331" s="85"/>
      <c r="X331" s="85"/>
      <c r="Y331" s="85"/>
      <c r="AB331" s="85"/>
      <c r="AC331" s="85"/>
      <c r="AD331" s="85"/>
      <c r="AG331" s="85"/>
      <c r="AH331" s="85"/>
      <c r="AI331" s="85"/>
    </row>
    <row r="332" spans="18:35" x14ac:dyDescent="0.2">
      <c r="R332" s="85"/>
      <c r="S332" s="85"/>
      <c r="T332" s="85"/>
      <c r="W332" s="85"/>
      <c r="X332" s="85"/>
      <c r="Y332" s="85"/>
      <c r="AB332" s="85"/>
      <c r="AC332" s="85"/>
      <c r="AD332" s="85"/>
      <c r="AG332" s="85"/>
      <c r="AH332" s="85"/>
      <c r="AI332" s="85"/>
    </row>
    <row r="333" spans="18:35" x14ac:dyDescent="0.2">
      <c r="R333" s="85"/>
      <c r="S333" s="85"/>
      <c r="T333" s="85"/>
      <c r="W333" s="85"/>
      <c r="X333" s="85"/>
      <c r="Y333" s="85"/>
      <c r="AB333" s="85"/>
      <c r="AC333" s="85"/>
      <c r="AD333" s="85"/>
      <c r="AG333" s="85"/>
      <c r="AH333" s="85"/>
      <c r="AI333" s="85"/>
    </row>
    <row r="334" spans="18:35" x14ac:dyDescent="0.2">
      <c r="R334" s="85"/>
      <c r="S334" s="85"/>
      <c r="T334" s="85"/>
      <c r="W334" s="85"/>
      <c r="X334" s="85"/>
      <c r="Y334" s="85"/>
      <c r="AB334" s="85"/>
      <c r="AC334" s="85"/>
      <c r="AD334" s="85"/>
      <c r="AG334" s="85"/>
      <c r="AH334" s="85"/>
      <c r="AI334" s="85"/>
    </row>
    <row r="335" spans="18:35" x14ac:dyDescent="0.2">
      <c r="R335" s="85"/>
      <c r="S335" s="85"/>
      <c r="T335" s="85"/>
      <c r="W335" s="85"/>
      <c r="X335" s="85"/>
      <c r="Y335" s="85"/>
      <c r="AB335" s="85"/>
      <c r="AC335" s="85"/>
      <c r="AD335" s="85"/>
      <c r="AG335" s="85"/>
      <c r="AH335" s="85"/>
      <c r="AI335" s="85"/>
    </row>
    <row r="336" spans="18:35" x14ac:dyDescent="0.2">
      <c r="R336" s="85"/>
      <c r="S336" s="85"/>
      <c r="T336" s="85"/>
      <c r="W336" s="85"/>
      <c r="X336" s="85"/>
      <c r="Y336" s="85"/>
      <c r="AB336" s="85"/>
      <c r="AC336" s="85"/>
      <c r="AD336" s="85"/>
      <c r="AG336" s="85"/>
      <c r="AH336" s="85"/>
      <c r="AI336" s="85"/>
    </row>
    <row r="337" spans="18:35" x14ac:dyDescent="0.2">
      <c r="R337" s="85"/>
      <c r="S337" s="85"/>
      <c r="T337" s="85"/>
      <c r="W337" s="85"/>
      <c r="X337" s="85"/>
      <c r="Y337" s="85"/>
      <c r="AB337" s="85"/>
      <c r="AC337" s="85"/>
      <c r="AD337" s="85"/>
      <c r="AG337" s="85"/>
      <c r="AH337" s="85"/>
      <c r="AI337" s="85"/>
    </row>
    <row r="338" spans="18:35" x14ac:dyDescent="0.2">
      <c r="R338" s="85"/>
      <c r="S338" s="85"/>
      <c r="T338" s="85"/>
      <c r="W338" s="85"/>
      <c r="X338" s="85"/>
      <c r="Y338" s="85"/>
      <c r="AB338" s="85"/>
      <c r="AC338" s="85"/>
      <c r="AD338" s="85"/>
      <c r="AG338" s="85"/>
      <c r="AH338" s="85"/>
      <c r="AI338" s="85"/>
    </row>
    <row r="339" spans="18:35" x14ac:dyDescent="0.2">
      <c r="R339" s="85"/>
      <c r="S339" s="85"/>
      <c r="T339" s="85"/>
      <c r="W339" s="85"/>
      <c r="X339" s="85"/>
      <c r="Y339" s="85"/>
      <c r="AB339" s="85"/>
      <c r="AC339" s="85"/>
      <c r="AD339" s="85"/>
      <c r="AG339" s="85"/>
      <c r="AH339" s="85"/>
      <c r="AI339" s="85"/>
    </row>
    <row r="340" spans="18:35" x14ac:dyDescent="0.2">
      <c r="R340" s="85"/>
      <c r="S340" s="85"/>
      <c r="T340" s="85"/>
      <c r="W340" s="85"/>
      <c r="X340" s="85"/>
      <c r="Y340" s="85"/>
      <c r="AB340" s="85"/>
      <c r="AC340" s="85"/>
      <c r="AD340" s="85"/>
      <c r="AG340" s="85"/>
      <c r="AH340" s="85"/>
      <c r="AI340" s="85"/>
    </row>
    <row r="341" spans="18:35" x14ac:dyDescent="0.2">
      <c r="R341" s="85"/>
      <c r="S341" s="85"/>
      <c r="T341" s="85"/>
      <c r="W341" s="85"/>
      <c r="X341" s="85"/>
      <c r="Y341" s="85"/>
      <c r="AB341" s="85"/>
      <c r="AC341" s="85"/>
      <c r="AD341" s="85"/>
      <c r="AG341" s="85"/>
      <c r="AH341" s="85"/>
      <c r="AI341" s="85"/>
    </row>
    <row r="342" spans="18:35" x14ac:dyDescent="0.2">
      <c r="R342" s="85"/>
      <c r="S342" s="85"/>
      <c r="T342" s="85"/>
      <c r="W342" s="85"/>
      <c r="X342" s="85"/>
      <c r="Y342" s="85"/>
      <c r="AB342" s="85"/>
      <c r="AC342" s="85"/>
      <c r="AD342" s="85"/>
      <c r="AG342" s="85"/>
      <c r="AH342" s="85"/>
      <c r="AI342" s="85"/>
    </row>
    <row r="343" spans="18:35" x14ac:dyDescent="0.2">
      <c r="R343" s="85"/>
      <c r="S343" s="85"/>
      <c r="T343" s="85"/>
      <c r="W343" s="85"/>
      <c r="X343" s="85"/>
      <c r="Y343" s="85"/>
      <c r="AB343" s="85"/>
      <c r="AC343" s="85"/>
      <c r="AD343" s="85"/>
      <c r="AG343" s="85"/>
      <c r="AH343" s="85"/>
      <c r="AI343" s="85"/>
    </row>
    <row r="344" spans="18:35" x14ac:dyDescent="0.2">
      <c r="R344" s="85"/>
      <c r="S344" s="85"/>
      <c r="T344" s="85"/>
      <c r="W344" s="85"/>
      <c r="X344" s="85"/>
      <c r="Y344" s="85"/>
      <c r="AB344" s="85"/>
      <c r="AC344" s="85"/>
      <c r="AD344" s="85"/>
      <c r="AG344" s="85"/>
      <c r="AH344" s="85"/>
      <c r="AI344" s="85"/>
    </row>
    <row r="345" spans="18:35" x14ac:dyDescent="0.2">
      <c r="R345" s="85"/>
      <c r="S345" s="85"/>
      <c r="T345" s="85"/>
      <c r="W345" s="85"/>
      <c r="X345" s="85"/>
      <c r="Y345" s="85"/>
      <c r="AB345" s="85"/>
      <c r="AC345" s="85"/>
      <c r="AD345" s="85"/>
      <c r="AG345" s="85"/>
      <c r="AH345" s="85"/>
      <c r="AI345" s="85"/>
    </row>
    <row r="346" spans="18:35" x14ac:dyDescent="0.2">
      <c r="R346" s="85"/>
      <c r="S346" s="85"/>
      <c r="T346" s="85"/>
      <c r="W346" s="85"/>
      <c r="X346" s="85"/>
      <c r="Y346" s="85"/>
      <c r="AB346" s="85"/>
      <c r="AC346" s="85"/>
      <c r="AD346" s="85"/>
      <c r="AG346" s="85"/>
      <c r="AH346" s="85"/>
      <c r="AI346" s="85"/>
    </row>
    <row r="347" spans="18:35" x14ac:dyDescent="0.2">
      <c r="R347" s="85"/>
      <c r="S347" s="85"/>
      <c r="T347" s="85"/>
      <c r="W347" s="85"/>
      <c r="X347" s="85"/>
      <c r="Y347" s="85"/>
      <c r="AB347" s="85"/>
      <c r="AC347" s="85"/>
      <c r="AD347" s="85"/>
      <c r="AG347" s="85"/>
      <c r="AH347" s="85"/>
      <c r="AI347" s="85"/>
    </row>
    <row r="348" spans="18:35" x14ac:dyDescent="0.2">
      <c r="R348" s="85"/>
      <c r="S348" s="85"/>
      <c r="T348" s="85"/>
      <c r="W348" s="85"/>
      <c r="X348" s="85"/>
      <c r="Y348" s="85"/>
      <c r="AB348" s="85"/>
      <c r="AC348" s="85"/>
      <c r="AD348" s="85"/>
      <c r="AG348" s="85"/>
      <c r="AH348" s="85"/>
      <c r="AI348" s="85"/>
    </row>
    <row r="349" spans="18:35" x14ac:dyDescent="0.2">
      <c r="R349" s="85"/>
      <c r="S349" s="85"/>
      <c r="T349" s="85"/>
      <c r="W349" s="85"/>
      <c r="X349" s="85"/>
      <c r="Y349" s="85"/>
      <c r="AB349" s="85"/>
      <c r="AC349" s="85"/>
      <c r="AD349" s="85"/>
      <c r="AG349" s="85"/>
      <c r="AH349" s="85"/>
      <c r="AI349" s="85"/>
    </row>
    <row r="350" spans="18:35" x14ac:dyDescent="0.2">
      <c r="R350" s="85"/>
      <c r="S350" s="85"/>
      <c r="T350" s="85"/>
      <c r="W350" s="85"/>
      <c r="X350" s="85"/>
      <c r="Y350" s="85"/>
      <c r="AB350" s="85"/>
      <c r="AC350" s="85"/>
      <c r="AD350" s="85"/>
      <c r="AG350" s="85"/>
      <c r="AH350" s="85"/>
      <c r="AI350" s="85"/>
    </row>
    <row r="351" spans="18:35" x14ac:dyDescent="0.2">
      <c r="R351" s="85"/>
      <c r="S351" s="85"/>
      <c r="T351" s="85"/>
      <c r="W351" s="85"/>
      <c r="X351" s="85"/>
      <c r="Y351" s="85"/>
      <c r="AB351" s="85"/>
      <c r="AC351" s="85"/>
      <c r="AD351" s="85"/>
      <c r="AG351" s="85"/>
      <c r="AH351" s="85"/>
      <c r="AI351" s="85"/>
    </row>
    <row r="352" spans="18:35" x14ac:dyDescent="0.2">
      <c r="R352" s="85"/>
      <c r="S352" s="85"/>
      <c r="T352" s="85"/>
      <c r="W352" s="85"/>
      <c r="X352" s="85"/>
      <c r="Y352" s="85"/>
      <c r="AB352" s="85"/>
      <c r="AC352" s="85"/>
      <c r="AD352" s="85"/>
      <c r="AG352" s="85"/>
      <c r="AH352" s="85"/>
      <c r="AI352" s="85"/>
    </row>
    <row r="353" spans="18:35" x14ac:dyDescent="0.2">
      <c r="R353" s="85"/>
      <c r="S353" s="85"/>
      <c r="T353" s="85"/>
      <c r="W353" s="85"/>
      <c r="X353" s="85"/>
      <c r="Y353" s="85"/>
      <c r="AB353" s="85"/>
      <c r="AC353" s="85"/>
      <c r="AD353" s="85"/>
      <c r="AG353" s="85"/>
      <c r="AH353" s="85"/>
      <c r="AI353" s="85"/>
    </row>
    <row r="354" spans="18:35" x14ac:dyDescent="0.2">
      <c r="R354" s="85"/>
      <c r="S354" s="85"/>
      <c r="T354" s="85"/>
      <c r="W354" s="85"/>
      <c r="X354" s="85"/>
      <c r="Y354" s="85"/>
      <c r="AB354" s="85"/>
      <c r="AC354" s="85"/>
      <c r="AD354" s="85"/>
      <c r="AG354" s="85"/>
      <c r="AH354" s="85"/>
      <c r="AI354" s="85"/>
    </row>
    <row r="355" spans="18:35" x14ac:dyDescent="0.2">
      <c r="R355" s="85"/>
      <c r="S355" s="85"/>
      <c r="T355" s="85"/>
      <c r="W355" s="85"/>
      <c r="X355" s="85"/>
      <c r="Y355" s="85"/>
      <c r="AB355" s="85"/>
      <c r="AC355" s="85"/>
      <c r="AD355" s="85"/>
      <c r="AG355" s="85"/>
      <c r="AH355" s="85"/>
      <c r="AI355" s="85"/>
    </row>
    <row r="356" spans="18:35" x14ac:dyDescent="0.2">
      <c r="R356" s="85"/>
      <c r="S356" s="85"/>
      <c r="T356" s="85"/>
      <c r="W356" s="85"/>
      <c r="X356" s="85"/>
      <c r="Y356" s="85"/>
      <c r="AB356" s="85"/>
      <c r="AC356" s="85"/>
      <c r="AD356" s="85"/>
      <c r="AG356" s="85"/>
      <c r="AH356" s="85"/>
      <c r="AI356" s="85"/>
    </row>
    <row r="357" spans="18:35" x14ac:dyDescent="0.2">
      <c r="R357" s="85"/>
      <c r="S357" s="85"/>
      <c r="T357" s="85"/>
      <c r="W357" s="85"/>
      <c r="X357" s="85"/>
      <c r="Y357" s="85"/>
      <c r="AB357" s="85"/>
      <c r="AC357" s="85"/>
      <c r="AD357" s="85"/>
      <c r="AG357" s="85"/>
      <c r="AH357" s="85"/>
      <c r="AI357" s="85"/>
    </row>
    <row r="358" spans="18:35" x14ac:dyDescent="0.2">
      <c r="R358" s="85"/>
      <c r="S358" s="85"/>
      <c r="T358" s="85"/>
      <c r="W358" s="85"/>
      <c r="X358" s="85"/>
      <c r="Y358" s="85"/>
      <c r="AB358" s="85"/>
      <c r="AC358" s="85"/>
      <c r="AD358" s="85"/>
      <c r="AG358" s="85"/>
      <c r="AH358" s="85"/>
      <c r="AI358" s="85"/>
    </row>
    <row r="359" spans="18:35" x14ac:dyDescent="0.2">
      <c r="R359" s="85"/>
      <c r="S359" s="85"/>
      <c r="T359" s="85"/>
      <c r="W359" s="85"/>
      <c r="X359" s="85"/>
      <c r="Y359" s="85"/>
      <c r="AB359" s="85"/>
      <c r="AC359" s="85"/>
      <c r="AD359" s="85"/>
      <c r="AG359" s="85"/>
      <c r="AH359" s="85"/>
      <c r="AI359" s="85"/>
    </row>
    <row r="360" spans="18:35" x14ac:dyDescent="0.2">
      <c r="R360" s="85"/>
      <c r="S360" s="85"/>
      <c r="T360" s="85"/>
      <c r="W360" s="85"/>
      <c r="X360" s="85"/>
      <c r="Y360" s="85"/>
      <c r="AB360" s="85"/>
      <c r="AC360" s="85"/>
      <c r="AD360" s="85"/>
      <c r="AG360" s="85"/>
      <c r="AH360" s="85"/>
      <c r="AI360" s="85"/>
    </row>
    <row r="361" spans="18:35" x14ac:dyDescent="0.2">
      <c r="R361" s="85"/>
      <c r="S361" s="85"/>
      <c r="T361" s="85"/>
      <c r="W361" s="85"/>
      <c r="X361" s="85"/>
      <c r="Y361" s="85"/>
      <c r="AB361" s="85"/>
      <c r="AC361" s="85"/>
      <c r="AD361" s="85"/>
      <c r="AG361" s="85"/>
      <c r="AH361" s="85"/>
      <c r="AI361" s="85"/>
    </row>
    <row r="362" spans="18:35" x14ac:dyDescent="0.2">
      <c r="R362" s="85"/>
      <c r="S362" s="85"/>
      <c r="T362" s="85"/>
      <c r="W362" s="85"/>
      <c r="X362" s="85"/>
      <c r="Y362" s="85"/>
      <c r="AB362" s="85"/>
      <c r="AC362" s="85"/>
      <c r="AD362" s="85"/>
      <c r="AG362" s="85"/>
      <c r="AH362" s="85"/>
      <c r="AI362" s="85"/>
    </row>
    <row r="363" spans="18:35" x14ac:dyDescent="0.2">
      <c r="R363" s="85"/>
      <c r="S363" s="85"/>
      <c r="T363" s="85"/>
      <c r="W363" s="85"/>
      <c r="X363" s="85"/>
      <c r="Y363" s="85"/>
      <c r="AB363" s="85"/>
      <c r="AC363" s="85"/>
      <c r="AD363" s="85"/>
      <c r="AG363" s="85"/>
      <c r="AH363" s="85"/>
      <c r="AI363" s="85"/>
    </row>
    <row r="364" spans="18:35" x14ac:dyDescent="0.2">
      <c r="R364" s="85"/>
      <c r="S364" s="85"/>
      <c r="T364" s="85"/>
      <c r="W364" s="85"/>
      <c r="X364" s="85"/>
      <c r="Y364" s="85"/>
      <c r="AB364" s="85"/>
      <c r="AC364" s="85"/>
      <c r="AD364" s="85"/>
      <c r="AG364" s="85"/>
      <c r="AH364" s="85"/>
      <c r="AI364" s="85"/>
    </row>
    <row r="365" spans="18:35" x14ac:dyDescent="0.2">
      <c r="R365" s="85"/>
      <c r="S365" s="85"/>
      <c r="T365" s="85"/>
      <c r="W365" s="85"/>
      <c r="X365" s="85"/>
      <c r="Y365" s="85"/>
      <c r="AB365" s="85"/>
      <c r="AC365" s="85"/>
      <c r="AD365" s="85"/>
      <c r="AG365" s="85"/>
      <c r="AH365" s="85"/>
      <c r="AI365" s="85"/>
    </row>
    <row r="366" spans="18:35" x14ac:dyDescent="0.2">
      <c r="R366" s="85"/>
      <c r="S366" s="85"/>
      <c r="T366" s="85"/>
      <c r="W366" s="85"/>
      <c r="X366" s="85"/>
      <c r="Y366" s="85"/>
      <c r="AB366" s="85"/>
      <c r="AC366" s="85"/>
      <c r="AD366" s="85"/>
      <c r="AG366" s="85"/>
      <c r="AH366" s="85"/>
      <c r="AI366" s="85"/>
    </row>
    <row r="367" spans="18:35" x14ac:dyDescent="0.2">
      <c r="R367" s="85"/>
      <c r="S367" s="85"/>
      <c r="T367" s="85"/>
      <c r="W367" s="85"/>
      <c r="X367" s="85"/>
      <c r="Y367" s="85"/>
      <c r="AB367" s="85"/>
      <c r="AC367" s="85"/>
      <c r="AD367" s="85"/>
      <c r="AG367" s="85"/>
      <c r="AH367" s="85"/>
      <c r="AI367" s="85"/>
    </row>
    <row r="368" spans="18:35" x14ac:dyDescent="0.2">
      <c r="R368" s="85"/>
      <c r="S368" s="85"/>
      <c r="T368" s="85"/>
      <c r="W368" s="85"/>
      <c r="X368" s="85"/>
      <c r="Y368" s="85"/>
      <c r="AB368" s="85"/>
      <c r="AC368" s="85"/>
      <c r="AD368" s="85"/>
      <c r="AG368" s="85"/>
      <c r="AH368" s="85"/>
      <c r="AI368" s="85"/>
    </row>
    <row r="369" spans="18:35" x14ac:dyDescent="0.2">
      <c r="R369" s="85"/>
      <c r="S369" s="85"/>
      <c r="T369" s="85"/>
      <c r="W369" s="85"/>
      <c r="X369" s="85"/>
      <c r="Y369" s="85"/>
      <c r="AB369" s="85"/>
      <c r="AC369" s="85"/>
      <c r="AD369" s="85"/>
      <c r="AG369" s="85"/>
      <c r="AH369" s="85"/>
      <c r="AI369" s="85"/>
    </row>
    <row r="370" spans="18:35" x14ac:dyDescent="0.2">
      <c r="R370" s="85"/>
      <c r="S370" s="85"/>
      <c r="T370" s="85"/>
      <c r="W370" s="85"/>
      <c r="X370" s="85"/>
      <c r="Y370" s="85"/>
      <c r="AB370" s="85"/>
      <c r="AC370" s="85"/>
      <c r="AD370" s="85"/>
      <c r="AG370" s="85"/>
      <c r="AH370" s="85"/>
      <c r="AI370" s="85"/>
    </row>
    <row r="371" spans="18:35" x14ac:dyDescent="0.2">
      <c r="R371" s="85"/>
      <c r="S371" s="85"/>
      <c r="T371" s="85"/>
      <c r="W371" s="85"/>
      <c r="X371" s="85"/>
      <c r="Y371" s="85"/>
      <c r="AB371" s="85"/>
      <c r="AC371" s="85"/>
      <c r="AD371" s="85"/>
      <c r="AG371" s="85"/>
      <c r="AH371" s="85"/>
      <c r="AI371" s="85"/>
    </row>
    <row r="372" spans="18:35" x14ac:dyDescent="0.2">
      <c r="R372" s="85"/>
      <c r="S372" s="85"/>
      <c r="T372" s="85"/>
      <c r="W372" s="85"/>
      <c r="X372" s="85"/>
      <c r="Y372" s="85"/>
      <c r="AB372" s="85"/>
      <c r="AC372" s="85"/>
      <c r="AD372" s="85"/>
      <c r="AG372" s="85"/>
      <c r="AH372" s="85"/>
      <c r="AI372" s="85"/>
    </row>
    <row r="373" spans="18:35" x14ac:dyDescent="0.2">
      <c r="R373" s="85"/>
      <c r="S373" s="85"/>
      <c r="T373" s="85"/>
      <c r="W373" s="85"/>
      <c r="X373" s="85"/>
      <c r="Y373" s="85"/>
      <c r="AB373" s="85"/>
      <c r="AC373" s="85"/>
      <c r="AD373" s="85"/>
      <c r="AG373" s="85"/>
      <c r="AH373" s="85"/>
      <c r="AI373" s="85"/>
    </row>
    <row r="374" spans="18:35" x14ac:dyDescent="0.2">
      <c r="R374" s="85"/>
      <c r="S374" s="85"/>
      <c r="T374" s="85"/>
      <c r="W374" s="85"/>
      <c r="X374" s="85"/>
      <c r="Y374" s="85"/>
      <c r="AB374" s="85"/>
      <c r="AC374" s="85"/>
      <c r="AD374" s="85"/>
      <c r="AG374" s="85"/>
      <c r="AH374" s="85"/>
      <c r="AI374" s="85"/>
    </row>
    <row r="375" spans="18:35" x14ac:dyDescent="0.2">
      <c r="R375" s="85"/>
      <c r="S375" s="85"/>
      <c r="T375" s="85"/>
      <c r="W375" s="85"/>
      <c r="X375" s="85"/>
      <c r="Y375" s="85"/>
      <c r="AB375" s="85"/>
      <c r="AC375" s="85"/>
      <c r="AD375" s="85"/>
      <c r="AG375" s="85"/>
      <c r="AH375" s="85"/>
      <c r="AI375" s="85"/>
    </row>
    <row r="376" spans="18:35" x14ac:dyDescent="0.2">
      <c r="R376" s="85"/>
      <c r="S376" s="85"/>
      <c r="T376" s="85"/>
      <c r="W376" s="85"/>
      <c r="X376" s="85"/>
      <c r="Y376" s="85"/>
      <c r="AB376" s="85"/>
      <c r="AC376" s="85"/>
      <c r="AD376" s="85"/>
      <c r="AG376" s="85"/>
      <c r="AH376" s="85"/>
      <c r="AI376" s="85"/>
    </row>
    <row r="377" spans="18:35" x14ac:dyDescent="0.2">
      <c r="R377" s="85"/>
      <c r="S377" s="85"/>
      <c r="T377" s="85"/>
      <c r="W377" s="85"/>
      <c r="X377" s="85"/>
      <c r="Y377" s="85"/>
      <c r="AB377" s="85"/>
      <c r="AC377" s="85"/>
      <c r="AD377" s="85"/>
      <c r="AG377" s="85"/>
      <c r="AH377" s="85"/>
      <c r="AI377" s="85"/>
    </row>
    <row r="378" spans="18:35" x14ac:dyDescent="0.2">
      <c r="R378" s="85"/>
      <c r="S378" s="85"/>
      <c r="T378" s="85"/>
      <c r="W378" s="85"/>
      <c r="X378" s="85"/>
      <c r="Y378" s="85"/>
      <c r="AB378" s="85"/>
      <c r="AC378" s="85"/>
      <c r="AD378" s="85"/>
      <c r="AG378" s="85"/>
      <c r="AH378" s="85"/>
      <c r="AI378" s="85"/>
    </row>
    <row r="379" spans="18:35" x14ac:dyDescent="0.2">
      <c r="R379" s="85"/>
      <c r="S379" s="85"/>
      <c r="T379" s="85"/>
      <c r="W379" s="85"/>
      <c r="X379" s="85"/>
      <c r="Y379" s="85"/>
      <c r="AB379" s="85"/>
      <c r="AC379" s="85"/>
      <c r="AD379" s="85"/>
      <c r="AG379" s="85"/>
      <c r="AH379" s="85"/>
      <c r="AI379" s="85"/>
    </row>
    <row r="380" spans="18:35" x14ac:dyDescent="0.2">
      <c r="R380" s="85"/>
      <c r="S380" s="85"/>
      <c r="T380" s="85"/>
      <c r="W380" s="85"/>
      <c r="X380" s="85"/>
      <c r="Y380" s="85"/>
      <c r="AB380" s="85"/>
      <c r="AC380" s="85"/>
      <c r="AD380" s="85"/>
      <c r="AG380" s="85"/>
      <c r="AH380" s="85"/>
      <c r="AI380" s="85"/>
    </row>
    <row r="381" spans="18:35" x14ac:dyDescent="0.2">
      <c r="R381" s="85"/>
      <c r="S381" s="85"/>
      <c r="T381" s="85"/>
      <c r="W381" s="85"/>
      <c r="X381" s="85"/>
      <c r="Y381" s="85"/>
      <c r="AB381" s="85"/>
      <c r="AC381" s="85"/>
      <c r="AD381" s="85"/>
      <c r="AG381" s="85"/>
      <c r="AH381" s="85"/>
      <c r="AI381" s="85"/>
    </row>
    <row r="382" spans="18:35" x14ac:dyDescent="0.2">
      <c r="R382" s="85"/>
      <c r="S382" s="85"/>
      <c r="T382" s="85"/>
      <c r="W382" s="85"/>
      <c r="X382" s="85"/>
      <c r="Y382" s="85"/>
      <c r="AB382" s="85"/>
      <c r="AC382" s="85"/>
      <c r="AD382" s="85"/>
      <c r="AG382" s="85"/>
      <c r="AH382" s="85"/>
      <c r="AI382" s="85"/>
    </row>
    <row r="383" spans="18:35" x14ac:dyDescent="0.2">
      <c r="R383" s="85"/>
      <c r="S383" s="85"/>
      <c r="T383" s="85"/>
      <c r="W383" s="85"/>
      <c r="X383" s="85"/>
      <c r="Y383" s="85"/>
      <c r="AB383" s="85"/>
      <c r="AC383" s="85"/>
      <c r="AD383" s="85"/>
      <c r="AG383" s="85"/>
      <c r="AH383" s="85"/>
      <c r="AI383" s="85"/>
    </row>
    <row r="384" spans="18:35" x14ac:dyDescent="0.2">
      <c r="R384" s="85"/>
      <c r="S384" s="85"/>
      <c r="T384" s="85"/>
      <c r="W384" s="85"/>
      <c r="X384" s="85"/>
      <c r="Y384" s="85"/>
      <c r="AB384" s="85"/>
      <c r="AC384" s="85"/>
      <c r="AD384" s="85"/>
      <c r="AG384" s="85"/>
      <c r="AH384" s="85"/>
      <c r="AI384" s="85"/>
    </row>
    <row r="385" spans="18:35" x14ac:dyDescent="0.2">
      <c r="R385" s="85"/>
      <c r="S385" s="85"/>
      <c r="T385" s="85"/>
      <c r="W385" s="85"/>
      <c r="X385" s="85"/>
      <c r="Y385" s="85"/>
      <c r="AB385" s="85"/>
      <c r="AC385" s="85"/>
      <c r="AD385" s="85"/>
      <c r="AG385" s="85"/>
      <c r="AH385" s="85"/>
      <c r="AI385" s="85"/>
    </row>
    <row r="386" spans="18:35" x14ac:dyDescent="0.2">
      <c r="R386" s="85"/>
      <c r="S386" s="85"/>
      <c r="T386" s="85"/>
      <c r="W386" s="85"/>
      <c r="X386" s="85"/>
      <c r="Y386" s="85"/>
      <c r="AB386" s="85"/>
      <c r="AC386" s="85"/>
      <c r="AD386" s="85"/>
      <c r="AG386" s="85"/>
      <c r="AH386" s="85"/>
      <c r="AI386" s="85"/>
    </row>
    <row r="387" spans="18:35" x14ac:dyDescent="0.2">
      <c r="R387" s="85"/>
      <c r="S387" s="85"/>
      <c r="T387" s="85"/>
      <c r="W387" s="85"/>
      <c r="X387" s="85"/>
      <c r="Y387" s="85"/>
      <c r="AB387" s="85"/>
      <c r="AC387" s="85"/>
      <c r="AD387" s="85"/>
      <c r="AG387" s="85"/>
      <c r="AH387" s="85"/>
      <c r="AI387" s="85"/>
    </row>
    <row r="388" spans="18:35" x14ac:dyDescent="0.2">
      <c r="R388" s="85"/>
      <c r="S388" s="85"/>
      <c r="T388" s="85"/>
      <c r="W388" s="85"/>
      <c r="X388" s="85"/>
      <c r="Y388" s="85"/>
      <c r="AB388" s="85"/>
      <c r="AC388" s="85"/>
      <c r="AD388" s="85"/>
      <c r="AG388" s="85"/>
      <c r="AH388" s="85"/>
      <c r="AI388" s="85"/>
    </row>
    <row r="389" spans="18:35" x14ac:dyDescent="0.2">
      <c r="R389" s="85"/>
      <c r="S389" s="85"/>
      <c r="T389" s="85"/>
      <c r="W389" s="85"/>
      <c r="X389" s="85"/>
      <c r="Y389" s="85"/>
      <c r="AB389" s="85"/>
      <c r="AC389" s="85"/>
      <c r="AD389" s="85"/>
      <c r="AG389" s="85"/>
      <c r="AH389" s="85"/>
      <c r="AI389" s="85"/>
    </row>
    <row r="390" spans="18:35" x14ac:dyDescent="0.2">
      <c r="R390" s="85"/>
      <c r="S390" s="85"/>
      <c r="T390" s="85"/>
      <c r="W390" s="85"/>
      <c r="X390" s="85"/>
      <c r="Y390" s="85"/>
      <c r="AB390" s="85"/>
      <c r="AC390" s="85"/>
      <c r="AD390" s="85"/>
      <c r="AG390" s="85"/>
      <c r="AH390" s="85"/>
      <c r="AI390" s="85"/>
    </row>
    <row r="391" spans="18:35" x14ac:dyDescent="0.2">
      <c r="R391" s="85"/>
      <c r="S391" s="85"/>
      <c r="T391" s="85"/>
      <c r="W391" s="85"/>
      <c r="X391" s="85"/>
      <c r="Y391" s="85"/>
      <c r="AB391" s="85"/>
      <c r="AC391" s="85"/>
      <c r="AD391" s="85"/>
      <c r="AG391" s="85"/>
      <c r="AH391" s="85"/>
      <c r="AI391" s="85"/>
    </row>
    <row r="392" spans="18:35" x14ac:dyDescent="0.2">
      <c r="R392" s="85"/>
      <c r="S392" s="85"/>
      <c r="T392" s="85"/>
      <c r="W392" s="85"/>
      <c r="X392" s="85"/>
      <c r="Y392" s="85"/>
      <c r="AB392" s="85"/>
      <c r="AC392" s="85"/>
      <c r="AD392" s="85"/>
      <c r="AG392" s="85"/>
      <c r="AH392" s="85"/>
      <c r="AI392" s="85"/>
    </row>
    <row r="393" spans="18:35" x14ac:dyDescent="0.2">
      <c r="R393" s="85"/>
      <c r="S393" s="85"/>
      <c r="T393" s="85"/>
      <c r="W393" s="85"/>
      <c r="X393" s="85"/>
      <c r="Y393" s="85"/>
      <c r="AB393" s="85"/>
      <c r="AC393" s="85"/>
      <c r="AD393" s="85"/>
      <c r="AG393" s="85"/>
      <c r="AH393" s="85"/>
      <c r="AI393" s="85"/>
    </row>
    <row r="394" spans="18:35" x14ac:dyDescent="0.2">
      <c r="R394" s="85"/>
      <c r="S394" s="85"/>
      <c r="T394" s="85"/>
      <c r="W394" s="85"/>
      <c r="X394" s="85"/>
      <c r="Y394" s="85"/>
      <c r="AB394" s="85"/>
      <c r="AC394" s="85"/>
      <c r="AD394" s="85"/>
      <c r="AG394" s="85"/>
      <c r="AH394" s="85"/>
      <c r="AI394" s="85"/>
    </row>
    <row r="395" spans="18:35" x14ac:dyDescent="0.2">
      <c r="R395" s="85"/>
      <c r="S395" s="85"/>
      <c r="T395" s="85"/>
      <c r="W395" s="85"/>
      <c r="X395" s="85"/>
      <c r="Y395" s="85"/>
      <c r="AB395" s="85"/>
      <c r="AC395" s="85"/>
      <c r="AD395" s="85"/>
      <c r="AG395" s="85"/>
      <c r="AH395" s="85"/>
      <c r="AI395" s="85"/>
    </row>
    <row r="396" spans="18:35" x14ac:dyDescent="0.2">
      <c r="R396" s="85"/>
      <c r="S396" s="85"/>
      <c r="T396" s="85"/>
      <c r="W396" s="85"/>
      <c r="X396" s="85"/>
      <c r="Y396" s="85"/>
      <c r="AB396" s="85"/>
      <c r="AC396" s="85"/>
      <c r="AD396" s="85"/>
      <c r="AG396" s="85"/>
      <c r="AH396" s="85"/>
      <c r="AI396" s="85"/>
    </row>
    <row r="397" spans="18:35" x14ac:dyDescent="0.2">
      <c r="R397" s="85"/>
      <c r="S397" s="85"/>
      <c r="T397" s="85"/>
      <c r="W397" s="85"/>
      <c r="X397" s="85"/>
      <c r="Y397" s="85"/>
      <c r="AB397" s="85"/>
      <c r="AC397" s="85"/>
      <c r="AD397" s="85"/>
      <c r="AG397" s="85"/>
      <c r="AH397" s="85"/>
      <c r="AI397" s="85"/>
    </row>
    <row r="398" spans="18:35" x14ac:dyDescent="0.2">
      <c r="R398" s="85"/>
      <c r="S398" s="85"/>
      <c r="T398" s="85"/>
      <c r="W398" s="85"/>
      <c r="X398" s="85"/>
      <c r="Y398" s="85"/>
      <c r="AB398" s="85"/>
      <c r="AC398" s="85"/>
      <c r="AD398" s="85"/>
      <c r="AG398" s="85"/>
      <c r="AH398" s="85"/>
      <c r="AI398" s="85"/>
    </row>
    <row r="399" spans="18:35" x14ac:dyDescent="0.2">
      <c r="R399" s="85"/>
      <c r="S399" s="85"/>
      <c r="T399" s="85"/>
      <c r="W399" s="85"/>
      <c r="X399" s="85"/>
      <c r="Y399" s="85"/>
      <c r="AB399" s="85"/>
      <c r="AC399" s="85"/>
      <c r="AD399" s="85"/>
      <c r="AG399" s="85"/>
      <c r="AH399" s="85"/>
      <c r="AI399" s="85"/>
    </row>
    <row r="400" spans="18:35" x14ac:dyDescent="0.2">
      <c r="R400" s="85"/>
      <c r="S400" s="85"/>
      <c r="T400" s="85"/>
      <c r="W400" s="85"/>
      <c r="X400" s="85"/>
      <c r="Y400" s="85"/>
      <c r="AB400" s="85"/>
      <c r="AC400" s="85"/>
      <c r="AD400" s="85"/>
      <c r="AG400" s="85"/>
      <c r="AH400" s="85"/>
      <c r="AI400" s="85"/>
    </row>
    <row r="401" spans="18:35" x14ac:dyDescent="0.2">
      <c r="R401" s="85"/>
      <c r="S401" s="85"/>
      <c r="T401" s="85"/>
      <c r="W401" s="85"/>
      <c r="X401" s="85"/>
      <c r="Y401" s="85"/>
      <c r="AB401" s="85"/>
      <c r="AC401" s="85"/>
      <c r="AD401" s="85"/>
      <c r="AG401" s="85"/>
      <c r="AH401" s="85"/>
      <c r="AI401" s="85"/>
    </row>
    <row r="402" spans="18:35" x14ac:dyDescent="0.2">
      <c r="R402" s="85"/>
      <c r="S402" s="85"/>
      <c r="T402" s="85"/>
      <c r="W402" s="85"/>
      <c r="X402" s="85"/>
      <c r="Y402" s="85"/>
      <c r="AB402" s="85"/>
      <c r="AC402" s="85"/>
      <c r="AD402" s="85"/>
      <c r="AG402" s="85"/>
      <c r="AH402" s="85"/>
      <c r="AI402" s="85"/>
    </row>
    <row r="403" spans="18:35" x14ac:dyDescent="0.2">
      <c r="R403" s="85"/>
      <c r="S403" s="85"/>
      <c r="T403" s="85"/>
      <c r="W403" s="85"/>
      <c r="X403" s="85"/>
      <c r="Y403" s="85"/>
      <c r="AB403" s="85"/>
      <c r="AC403" s="85"/>
      <c r="AD403" s="85"/>
      <c r="AG403" s="85"/>
      <c r="AH403" s="85"/>
      <c r="AI403" s="85"/>
    </row>
    <row r="404" spans="18:35" x14ac:dyDescent="0.2">
      <c r="R404" s="85"/>
      <c r="S404" s="85"/>
      <c r="T404" s="85"/>
      <c r="W404" s="85"/>
      <c r="X404" s="85"/>
      <c r="Y404" s="85"/>
      <c r="AB404" s="85"/>
      <c r="AC404" s="85"/>
      <c r="AD404" s="85"/>
      <c r="AG404" s="85"/>
      <c r="AH404" s="85"/>
      <c r="AI404" s="85"/>
    </row>
    <row r="405" spans="18:35" x14ac:dyDescent="0.2">
      <c r="R405" s="85"/>
      <c r="S405" s="85"/>
      <c r="T405" s="85"/>
      <c r="W405" s="85"/>
      <c r="X405" s="85"/>
      <c r="Y405" s="85"/>
      <c r="AB405" s="85"/>
      <c r="AC405" s="85"/>
      <c r="AD405" s="85"/>
      <c r="AG405" s="85"/>
      <c r="AH405" s="85"/>
      <c r="AI405" s="85"/>
    </row>
    <row r="406" spans="18:35" x14ac:dyDescent="0.2">
      <c r="R406" s="85"/>
      <c r="S406" s="85"/>
      <c r="T406" s="85"/>
      <c r="W406" s="85"/>
      <c r="X406" s="85"/>
      <c r="Y406" s="85"/>
      <c r="AB406" s="85"/>
      <c r="AC406" s="85"/>
      <c r="AD406" s="85"/>
      <c r="AG406" s="85"/>
      <c r="AH406" s="85"/>
      <c r="AI406" s="85"/>
    </row>
    <row r="407" spans="18:35" x14ac:dyDescent="0.2">
      <c r="R407" s="85"/>
      <c r="S407" s="85"/>
      <c r="T407" s="85"/>
      <c r="W407" s="85"/>
      <c r="X407" s="85"/>
      <c r="Y407" s="85"/>
      <c r="AB407" s="85"/>
      <c r="AC407" s="85"/>
      <c r="AD407" s="85"/>
      <c r="AG407" s="85"/>
      <c r="AH407" s="85"/>
      <c r="AI407" s="85"/>
    </row>
    <row r="408" spans="18:35" x14ac:dyDescent="0.2">
      <c r="R408" s="85"/>
      <c r="S408" s="85"/>
      <c r="T408" s="85"/>
      <c r="W408" s="85"/>
      <c r="X408" s="85"/>
      <c r="Y408" s="85"/>
      <c r="AB408" s="85"/>
      <c r="AC408" s="85"/>
      <c r="AD408" s="85"/>
      <c r="AG408" s="85"/>
      <c r="AH408" s="85"/>
      <c r="AI408" s="85"/>
    </row>
    <row r="409" spans="18:35" x14ac:dyDescent="0.2">
      <c r="R409" s="85"/>
      <c r="S409" s="85"/>
      <c r="T409" s="85"/>
      <c r="W409" s="85"/>
      <c r="X409" s="85"/>
      <c r="Y409" s="85"/>
      <c r="AB409" s="85"/>
      <c r="AC409" s="85"/>
      <c r="AD409" s="85"/>
      <c r="AG409" s="85"/>
      <c r="AH409" s="85"/>
      <c r="AI409" s="85"/>
    </row>
    <row r="410" spans="18:35" x14ac:dyDescent="0.2">
      <c r="R410" s="85"/>
      <c r="S410" s="85"/>
      <c r="T410" s="85"/>
      <c r="W410" s="85"/>
      <c r="X410" s="85"/>
      <c r="Y410" s="85"/>
      <c r="AB410" s="85"/>
      <c r="AC410" s="85"/>
      <c r="AD410" s="85"/>
      <c r="AG410" s="85"/>
      <c r="AH410" s="85"/>
      <c r="AI410" s="85"/>
    </row>
    <row r="411" spans="18:35" x14ac:dyDescent="0.2">
      <c r="R411" s="85"/>
      <c r="S411" s="85"/>
      <c r="T411" s="85"/>
      <c r="W411" s="85"/>
      <c r="X411" s="85"/>
      <c r="Y411" s="85"/>
      <c r="AB411" s="85"/>
      <c r="AC411" s="85"/>
      <c r="AD411" s="85"/>
      <c r="AG411" s="85"/>
      <c r="AH411" s="85"/>
      <c r="AI411" s="85"/>
    </row>
    <row r="412" spans="18:35" x14ac:dyDescent="0.2">
      <c r="R412" s="85"/>
      <c r="S412" s="85"/>
      <c r="T412" s="85"/>
      <c r="W412" s="85"/>
      <c r="X412" s="85"/>
      <c r="Y412" s="85"/>
      <c r="AB412" s="85"/>
      <c r="AC412" s="85"/>
      <c r="AD412" s="85"/>
      <c r="AG412" s="85"/>
      <c r="AH412" s="85"/>
      <c r="AI412" s="85"/>
    </row>
    <row r="413" spans="18:35" x14ac:dyDescent="0.2">
      <c r="R413" s="85"/>
      <c r="S413" s="85"/>
      <c r="T413" s="85"/>
      <c r="W413" s="85"/>
      <c r="X413" s="85"/>
      <c r="Y413" s="85"/>
      <c r="AB413" s="85"/>
      <c r="AC413" s="85"/>
      <c r="AD413" s="85"/>
      <c r="AG413" s="85"/>
      <c r="AH413" s="85"/>
      <c r="AI413" s="85"/>
    </row>
    <row r="414" spans="18:35" x14ac:dyDescent="0.2">
      <c r="R414" s="85"/>
      <c r="S414" s="85"/>
      <c r="T414" s="85"/>
      <c r="W414" s="85"/>
      <c r="X414" s="85"/>
      <c r="Y414" s="85"/>
      <c r="AB414" s="85"/>
      <c r="AC414" s="85"/>
      <c r="AD414" s="85"/>
      <c r="AG414" s="85"/>
      <c r="AH414" s="85"/>
      <c r="AI414" s="85"/>
    </row>
    <row r="415" spans="18:35" x14ac:dyDescent="0.2">
      <c r="R415" s="85"/>
      <c r="S415" s="85"/>
      <c r="T415" s="85"/>
      <c r="W415" s="85"/>
      <c r="X415" s="85"/>
      <c r="Y415" s="85"/>
      <c r="AB415" s="85"/>
      <c r="AC415" s="85"/>
      <c r="AD415" s="85"/>
      <c r="AG415" s="85"/>
      <c r="AH415" s="85"/>
      <c r="AI415" s="85"/>
    </row>
    <row r="416" spans="18:35" x14ac:dyDescent="0.2">
      <c r="R416" s="85"/>
      <c r="S416" s="85"/>
      <c r="T416" s="85"/>
      <c r="W416" s="85"/>
      <c r="X416" s="85"/>
      <c r="Y416" s="85"/>
      <c r="AB416" s="85"/>
      <c r="AC416" s="85"/>
      <c r="AD416" s="85"/>
      <c r="AG416" s="85"/>
      <c r="AH416" s="85"/>
      <c r="AI416" s="85"/>
    </row>
    <row r="417" spans="18:35" x14ac:dyDescent="0.2">
      <c r="R417" s="85"/>
      <c r="S417" s="85"/>
      <c r="T417" s="85"/>
      <c r="W417" s="85"/>
      <c r="X417" s="85"/>
      <c r="Y417" s="85"/>
      <c r="AB417" s="85"/>
      <c r="AC417" s="85"/>
      <c r="AD417" s="85"/>
      <c r="AG417" s="85"/>
      <c r="AH417" s="85"/>
      <c r="AI417" s="85"/>
    </row>
    <row r="418" spans="18:35" x14ac:dyDescent="0.2">
      <c r="R418" s="85"/>
      <c r="S418" s="85"/>
      <c r="T418" s="85"/>
      <c r="W418" s="85"/>
      <c r="X418" s="85"/>
      <c r="Y418" s="85"/>
      <c r="AB418" s="85"/>
      <c r="AC418" s="85"/>
      <c r="AD418" s="85"/>
      <c r="AG418" s="85"/>
      <c r="AH418" s="85"/>
      <c r="AI418" s="85"/>
    </row>
    <row r="419" spans="18:35" x14ac:dyDescent="0.2">
      <c r="R419" s="85"/>
      <c r="S419" s="85"/>
      <c r="T419" s="85"/>
      <c r="W419" s="85"/>
      <c r="X419" s="85"/>
      <c r="Y419" s="85"/>
      <c r="AB419" s="85"/>
      <c r="AC419" s="85"/>
      <c r="AD419" s="85"/>
      <c r="AG419" s="85"/>
      <c r="AH419" s="85"/>
      <c r="AI419" s="85"/>
    </row>
    <row r="420" spans="18:35" x14ac:dyDescent="0.2">
      <c r="R420" s="85"/>
      <c r="S420" s="85"/>
      <c r="T420" s="85"/>
      <c r="W420" s="85"/>
      <c r="X420" s="85"/>
      <c r="Y420" s="85"/>
      <c r="AB420" s="85"/>
      <c r="AC420" s="85"/>
      <c r="AD420" s="85"/>
      <c r="AG420" s="85"/>
      <c r="AH420" s="85"/>
      <c r="AI420" s="85"/>
    </row>
    <row r="421" spans="18:35" x14ac:dyDescent="0.2">
      <c r="R421" s="85"/>
      <c r="S421" s="85"/>
      <c r="T421" s="85"/>
      <c r="W421" s="85"/>
      <c r="X421" s="85"/>
      <c r="Y421" s="85"/>
      <c r="AB421" s="85"/>
      <c r="AC421" s="85"/>
      <c r="AD421" s="85"/>
      <c r="AG421" s="85"/>
      <c r="AH421" s="85"/>
      <c r="AI421" s="85"/>
    </row>
    <row r="422" spans="18:35" x14ac:dyDescent="0.2">
      <c r="R422" s="85"/>
      <c r="S422" s="85"/>
      <c r="T422" s="85"/>
      <c r="W422" s="85"/>
      <c r="X422" s="85"/>
      <c r="Y422" s="85"/>
      <c r="AB422" s="85"/>
      <c r="AC422" s="85"/>
      <c r="AD422" s="85"/>
      <c r="AG422" s="85"/>
      <c r="AH422" s="85"/>
      <c r="AI422" s="85"/>
    </row>
    <row r="423" spans="18:35" x14ac:dyDescent="0.2">
      <c r="R423" s="85"/>
      <c r="S423" s="85"/>
      <c r="T423" s="85"/>
      <c r="W423" s="85"/>
      <c r="X423" s="85"/>
      <c r="Y423" s="85"/>
      <c r="AB423" s="85"/>
      <c r="AC423" s="85"/>
      <c r="AD423" s="85"/>
      <c r="AG423" s="85"/>
      <c r="AH423" s="85"/>
      <c r="AI423" s="85"/>
    </row>
    <row r="424" spans="18:35" x14ac:dyDescent="0.2">
      <c r="R424" s="85"/>
      <c r="S424" s="85"/>
      <c r="T424" s="85"/>
      <c r="W424" s="85"/>
      <c r="X424" s="85"/>
      <c r="Y424" s="85"/>
      <c r="AB424" s="85"/>
      <c r="AC424" s="85"/>
      <c r="AD424" s="85"/>
      <c r="AG424" s="85"/>
      <c r="AH424" s="85"/>
      <c r="AI424" s="85"/>
    </row>
    <row r="425" spans="18:35" x14ac:dyDescent="0.2">
      <c r="R425" s="85"/>
      <c r="S425" s="85"/>
      <c r="T425" s="85"/>
      <c r="W425" s="85"/>
      <c r="X425" s="85"/>
      <c r="Y425" s="85"/>
      <c r="AB425" s="85"/>
      <c r="AC425" s="85"/>
      <c r="AD425" s="85"/>
      <c r="AG425" s="85"/>
      <c r="AH425" s="85"/>
      <c r="AI425" s="85"/>
    </row>
    <row r="426" spans="18:35" x14ac:dyDescent="0.2">
      <c r="R426" s="85"/>
      <c r="S426" s="85"/>
      <c r="T426" s="85"/>
      <c r="W426" s="85"/>
      <c r="X426" s="85"/>
      <c r="Y426" s="85"/>
      <c r="AB426" s="85"/>
      <c r="AC426" s="85"/>
      <c r="AD426" s="85"/>
      <c r="AG426" s="85"/>
      <c r="AH426" s="85"/>
      <c r="AI426" s="85"/>
    </row>
    <row r="427" spans="18:35" x14ac:dyDescent="0.2">
      <c r="R427" s="85"/>
      <c r="S427" s="85"/>
      <c r="T427" s="85"/>
      <c r="W427" s="85"/>
      <c r="X427" s="85"/>
      <c r="Y427" s="85"/>
      <c r="AB427" s="85"/>
      <c r="AC427" s="85"/>
      <c r="AD427" s="85"/>
      <c r="AG427" s="85"/>
      <c r="AH427" s="85"/>
      <c r="AI427" s="85"/>
    </row>
    <row r="428" spans="18:35" x14ac:dyDescent="0.2">
      <c r="R428" s="85"/>
      <c r="S428" s="85"/>
      <c r="T428" s="85"/>
      <c r="W428" s="85"/>
      <c r="X428" s="85"/>
      <c r="Y428" s="85"/>
      <c r="AB428" s="85"/>
      <c r="AC428" s="85"/>
      <c r="AD428" s="85"/>
      <c r="AG428" s="85"/>
      <c r="AH428" s="85"/>
      <c r="AI428" s="85"/>
    </row>
    <row r="429" spans="18:35" x14ac:dyDescent="0.2">
      <c r="R429" s="85"/>
      <c r="S429" s="85"/>
      <c r="T429" s="85"/>
      <c r="W429" s="85"/>
      <c r="X429" s="85"/>
      <c r="Y429" s="85"/>
      <c r="AB429" s="85"/>
      <c r="AC429" s="85"/>
      <c r="AD429" s="85"/>
      <c r="AG429" s="85"/>
      <c r="AH429" s="85"/>
      <c r="AI429" s="85"/>
    </row>
    <row r="430" spans="18:35" x14ac:dyDescent="0.2">
      <c r="R430" s="85"/>
      <c r="S430" s="85"/>
      <c r="T430" s="85"/>
      <c r="W430" s="85"/>
      <c r="X430" s="85"/>
      <c r="Y430" s="85"/>
      <c r="AB430" s="85"/>
      <c r="AC430" s="85"/>
      <c r="AD430" s="85"/>
      <c r="AG430" s="85"/>
      <c r="AH430" s="85"/>
      <c r="AI430" s="85"/>
    </row>
    <row r="431" spans="18:35" x14ac:dyDescent="0.2">
      <c r="R431" s="85"/>
      <c r="S431" s="85"/>
      <c r="T431" s="85"/>
      <c r="W431" s="85"/>
      <c r="X431" s="85"/>
      <c r="Y431" s="85"/>
      <c r="AB431" s="85"/>
      <c r="AC431" s="85"/>
      <c r="AD431" s="85"/>
      <c r="AG431" s="85"/>
      <c r="AH431" s="85"/>
      <c r="AI431" s="85"/>
    </row>
    <row r="432" spans="18:35" x14ac:dyDescent="0.2">
      <c r="R432" s="85"/>
      <c r="S432" s="85"/>
      <c r="T432" s="85"/>
      <c r="W432" s="85"/>
      <c r="X432" s="85"/>
      <c r="Y432" s="85"/>
      <c r="AB432" s="85"/>
      <c r="AC432" s="85"/>
      <c r="AD432" s="85"/>
      <c r="AG432" s="85"/>
      <c r="AH432" s="85"/>
      <c r="AI432" s="85"/>
    </row>
    <row r="433" spans="18:35" x14ac:dyDescent="0.2">
      <c r="R433" s="85"/>
      <c r="S433" s="85"/>
      <c r="T433" s="85"/>
      <c r="W433" s="85"/>
      <c r="X433" s="85"/>
      <c r="Y433" s="85"/>
      <c r="AB433" s="85"/>
      <c r="AC433" s="85"/>
      <c r="AD433" s="85"/>
      <c r="AG433" s="85"/>
      <c r="AH433" s="85"/>
      <c r="AI433" s="85"/>
    </row>
    <row r="434" spans="18:35" x14ac:dyDescent="0.2">
      <c r="R434" s="85"/>
      <c r="S434" s="85"/>
      <c r="T434" s="85"/>
      <c r="W434" s="85"/>
      <c r="X434" s="85"/>
      <c r="Y434" s="85"/>
      <c r="AB434" s="85"/>
      <c r="AC434" s="85"/>
      <c r="AD434" s="85"/>
      <c r="AG434" s="85"/>
      <c r="AH434" s="85"/>
      <c r="AI434" s="85"/>
    </row>
    <row r="435" spans="18:35" x14ac:dyDescent="0.2">
      <c r="R435" s="85"/>
      <c r="S435" s="85"/>
      <c r="T435" s="85"/>
      <c r="W435" s="85"/>
      <c r="X435" s="85"/>
      <c r="Y435" s="85"/>
      <c r="AB435" s="85"/>
      <c r="AC435" s="85"/>
      <c r="AD435" s="85"/>
      <c r="AG435" s="85"/>
      <c r="AH435" s="85"/>
      <c r="AI435" s="85"/>
    </row>
    <row r="436" spans="18:35" x14ac:dyDescent="0.2">
      <c r="R436" s="85"/>
      <c r="S436" s="85"/>
      <c r="T436" s="85"/>
      <c r="W436" s="85"/>
      <c r="X436" s="85"/>
      <c r="Y436" s="85"/>
      <c r="AB436" s="85"/>
      <c r="AC436" s="85"/>
      <c r="AD436" s="85"/>
      <c r="AG436" s="85"/>
      <c r="AH436" s="85"/>
      <c r="AI436" s="85"/>
    </row>
    <row r="437" spans="18:35" x14ac:dyDescent="0.2">
      <c r="R437" s="85"/>
      <c r="S437" s="85"/>
      <c r="T437" s="85"/>
      <c r="W437" s="85"/>
      <c r="X437" s="85"/>
      <c r="Y437" s="85"/>
      <c r="AB437" s="85"/>
      <c r="AC437" s="85"/>
      <c r="AD437" s="85"/>
      <c r="AG437" s="85"/>
      <c r="AH437" s="85"/>
      <c r="AI437" s="85"/>
    </row>
    <row r="438" spans="18:35" x14ac:dyDescent="0.2">
      <c r="R438" s="85"/>
      <c r="S438" s="85"/>
      <c r="T438" s="85"/>
      <c r="W438" s="85"/>
      <c r="X438" s="85"/>
      <c r="Y438" s="85"/>
      <c r="AB438" s="85"/>
      <c r="AC438" s="85"/>
      <c r="AD438" s="85"/>
      <c r="AG438" s="85"/>
      <c r="AH438" s="85"/>
      <c r="AI438" s="85"/>
    </row>
    <row r="439" spans="18:35" x14ac:dyDescent="0.2">
      <c r="R439" s="85"/>
      <c r="S439" s="85"/>
      <c r="T439" s="85"/>
      <c r="W439" s="85"/>
      <c r="X439" s="85"/>
      <c r="Y439" s="85"/>
      <c r="AB439" s="85"/>
      <c r="AC439" s="85"/>
      <c r="AD439" s="85"/>
      <c r="AG439" s="85"/>
      <c r="AH439" s="85"/>
      <c r="AI439" s="85"/>
    </row>
    <row r="440" spans="18:35" x14ac:dyDescent="0.2">
      <c r="R440" s="85"/>
      <c r="S440" s="85"/>
      <c r="T440" s="85"/>
      <c r="W440" s="85"/>
      <c r="X440" s="85"/>
      <c r="Y440" s="85"/>
      <c r="AB440" s="85"/>
      <c r="AC440" s="85"/>
      <c r="AD440" s="85"/>
      <c r="AG440" s="85"/>
      <c r="AH440" s="85"/>
      <c r="AI440" s="85"/>
    </row>
    <row r="441" spans="18:35" x14ac:dyDescent="0.2">
      <c r="R441" s="85"/>
      <c r="S441" s="85"/>
      <c r="T441" s="85"/>
      <c r="W441" s="85"/>
      <c r="X441" s="85"/>
      <c r="Y441" s="85"/>
      <c r="AB441" s="85"/>
      <c r="AC441" s="85"/>
      <c r="AD441" s="85"/>
      <c r="AG441" s="85"/>
      <c r="AH441" s="85"/>
      <c r="AI441" s="85"/>
    </row>
    <row r="442" spans="18:35" x14ac:dyDescent="0.2">
      <c r="R442" s="85"/>
      <c r="S442" s="85"/>
      <c r="T442" s="85"/>
      <c r="W442" s="85"/>
      <c r="X442" s="85"/>
      <c r="Y442" s="85"/>
      <c r="AB442" s="85"/>
      <c r="AC442" s="85"/>
      <c r="AD442" s="85"/>
      <c r="AG442" s="85"/>
      <c r="AH442" s="85"/>
      <c r="AI442" s="85"/>
    </row>
    <row r="443" spans="18:35" x14ac:dyDescent="0.2">
      <c r="R443" s="85"/>
      <c r="S443" s="85"/>
      <c r="T443" s="85"/>
      <c r="W443" s="85"/>
      <c r="X443" s="85"/>
      <c r="Y443" s="85"/>
      <c r="AB443" s="85"/>
      <c r="AC443" s="85"/>
      <c r="AD443" s="85"/>
      <c r="AG443" s="85"/>
      <c r="AH443" s="85"/>
      <c r="AI443" s="85"/>
    </row>
    <row r="444" spans="18:35" x14ac:dyDescent="0.2">
      <c r="R444" s="85"/>
      <c r="S444" s="85"/>
      <c r="T444" s="85"/>
      <c r="W444" s="85"/>
      <c r="X444" s="85"/>
      <c r="Y444" s="85"/>
      <c r="AB444" s="85"/>
      <c r="AC444" s="85"/>
      <c r="AD444" s="85"/>
      <c r="AG444" s="85"/>
      <c r="AH444" s="85"/>
      <c r="AI444" s="85"/>
    </row>
    <row r="445" spans="18:35" x14ac:dyDescent="0.2">
      <c r="R445" s="85"/>
      <c r="S445" s="85"/>
      <c r="T445" s="85"/>
      <c r="W445" s="85"/>
      <c r="X445" s="85"/>
      <c r="Y445" s="85"/>
      <c r="AB445" s="85"/>
      <c r="AC445" s="85"/>
      <c r="AD445" s="85"/>
      <c r="AG445" s="85"/>
      <c r="AH445" s="85"/>
      <c r="AI445" s="85"/>
    </row>
    <row r="446" spans="18:35" x14ac:dyDescent="0.2">
      <c r="R446" s="85"/>
      <c r="S446" s="85"/>
      <c r="T446" s="85"/>
      <c r="W446" s="85"/>
      <c r="X446" s="85"/>
      <c r="Y446" s="85"/>
      <c r="AB446" s="85"/>
      <c r="AC446" s="85"/>
      <c r="AD446" s="85"/>
      <c r="AG446" s="85"/>
      <c r="AH446" s="85"/>
      <c r="AI446" s="85"/>
    </row>
    <row r="447" spans="18:35" x14ac:dyDescent="0.2">
      <c r="R447" s="85"/>
      <c r="S447" s="85"/>
      <c r="T447" s="85"/>
      <c r="W447" s="85"/>
      <c r="X447" s="85"/>
      <c r="Y447" s="85"/>
      <c r="AB447" s="85"/>
      <c r="AC447" s="85"/>
      <c r="AD447" s="85"/>
      <c r="AG447" s="85"/>
      <c r="AH447" s="85"/>
      <c r="AI447" s="85"/>
    </row>
    <row r="448" spans="18:35" x14ac:dyDescent="0.2">
      <c r="R448" s="85"/>
      <c r="S448" s="85"/>
      <c r="T448" s="85"/>
      <c r="W448" s="85"/>
      <c r="X448" s="85"/>
      <c r="Y448" s="85"/>
      <c r="AB448" s="85"/>
      <c r="AC448" s="85"/>
      <c r="AD448" s="85"/>
      <c r="AG448" s="85"/>
      <c r="AH448" s="85"/>
      <c r="AI448" s="85"/>
    </row>
    <row r="449" spans="18:35" x14ac:dyDescent="0.2">
      <c r="R449" s="85"/>
      <c r="S449" s="85"/>
      <c r="T449" s="85"/>
      <c r="W449" s="85"/>
      <c r="X449" s="85"/>
      <c r="Y449" s="85"/>
      <c r="AB449" s="85"/>
      <c r="AC449" s="85"/>
      <c r="AD449" s="85"/>
      <c r="AG449" s="85"/>
      <c r="AH449" s="85"/>
      <c r="AI449" s="85"/>
    </row>
    <row r="450" spans="18:35" x14ac:dyDescent="0.2">
      <c r="R450" s="85"/>
      <c r="S450" s="85"/>
      <c r="T450" s="85"/>
      <c r="W450" s="85"/>
      <c r="X450" s="85"/>
      <c r="Y450" s="85"/>
      <c r="AB450" s="85"/>
      <c r="AC450" s="85"/>
      <c r="AD450" s="85"/>
      <c r="AG450" s="85"/>
      <c r="AH450" s="85"/>
      <c r="AI450" s="85"/>
    </row>
    <row r="451" spans="18:35" x14ac:dyDescent="0.2">
      <c r="R451" s="85"/>
      <c r="S451" s="85"/>
      <c r="T451" s="85"/>
      <c r="W451" s="85"/>
      <c r="X451" s="85"/>
      <c r="Y451" s="85"/>
      <c r="AB451" s="85"/>
      <c r="AC451" s="85"/>
      <c r="AD451" s="85"/>
      <c r="AG451" s="85"/>
      <c r="AH451" s="85"/>
      <c r="AI451" s="85"/>
    </row>
    <row r="452" spans="18:35" x14ac:dyDescent="0.2">
      <c r="R452" s="85"/>
      <c r="S452" s="85"/>
      <c r="T452" s="85"/>
      <c r="W452" s="85"/>
      <c r="X452" s="85"/>
      <c r="Y452" s="85"/>
      <c r="AB452" s="85"/>
      <c r="AC452" s="85"/>
      <c r="AD452" s="85"/>
      <c r="AG452" s="85"/>
      <c r="AH452" s="85"/>
      <c r="AI452" s="85"/>
    </row>
    <row r="453" spans="18:35" x14ac:dyDescent="0.2">
      <c r="R453" s="85"/>
      <c r="S453" s="85"/>
      <c r="T453" s="85"/>
      <c r="W453" s="85"/>
      <c r="X453" s="85"/>
      <c r="Y453" s="85"/>
      <c r="AB453" s="85"/>
      <c r="AC453" s="85"/>
      <c r="AD453" s="85"/>
      <c r="AG453" s="85"/>
      <c r="AH453" s="85"/>
      <c r="AI453" s="85"/>
    </row>
    <row r="454" spans="18:35" x14ac:dyDescent="0.2">
      <c r="R454" s="85"/>
      <c r="S454" s="85"/>
      <c r="T454" s="85"/>
      <c r="W454" s="85"/>
      <c r="X454" s="85"/>
      <c r="Y454" s="85"/>
      <c r="AB454" s="85"/>
      <c r="AC454" s="85"/>
      <c r="AD454" s="85"/>
      <c r="AG454" s="85"/>
      <c r="AH454" s="85"/>
      <c r="AI454" s="85"/>
    </row>
    <row r="455" spans="18:35" x14ac:dyDescent="0.2">
      <c r="R455" s="85"/>
      <c r="S455" s="85"/>
      <c r="T455" s="85"/>
      <c r="W455" s="85"/>
      <c r="X455" s="85"/>
      <c r="Y455" s="85"/>
      <c r="AB455" s="85"/>
      <c r="AC455" s="85"/>
      <c r="AD455" s="85"/>
      <c r="AG455" s="85"/>
      <c r="AH455" s="85"/>
      <c r="AI455" s="85"/>
    </row>
    <row r="456" spans="18:35" x14ac:dyDescent="0.2">
      <c r="R456" s="85"/>
      <c r="S456" s="85"/>
      <c r="T456" s="85"/>
      <c r="W456" s="85"/>
      <c r="X456" s="85"/>
      <c r="Y456" s="85"/>
      <c r="AB456" s="85"/>
      <c r="AC456" s="85"/>
      <c r="AD456" s="85"/>
      <c r="AG456" s="85"/>
      <c r="AH456" s="85"/>
      <c r="AI456" s="85"/>
    </row>
    <row r="457" spans="18:35" x14ac:dyDescent="0.2">
      <c r="R457" s="85"/>
      <c r="S457" s="85"/>
      <c r="T457" s="85"/>
      <c r="W457" s="85"/>
      <c r="X457" s="85"/>
      <c r="Y457" s="85"/>
      <c r="AB457" s="85"/>
      <c r="AC457" s="85"/>
      <c r="AD457" s="85"/>
      <c r="AG457" s="85"/>
      <c r="AH457" s="85"/>
      <c r="AI457" s="85"/>
    </row>
    <row r="458" spans="18:35" x14ac:dyDescent="0.2">
      <c r="R458" s="85"/>
      <c r="S458" s="85"/>
      <c r="T458" s="85"/>
      <c r="W458" s="85"/>
      <c r="X458" s="85"/>
      <c r="Y458" s="85"/>
      <c r="AB458" s="85"/>
      <c r="AC458" s="85"/>
      <c r="AD458" s="85"/>
      <c r="AG458" s="85"/>
      <c r="AH458" s="85"/>
      <c r="AI458" s="85"/>
    </row>
    <row r="459" spans="18:35" x14ac:dyDescent="0.2">
      <c r="AG459" s="85"/>
      <c r="AH459" s="85"/>
      <c r="AI459" s="85"/>
    </row>
  </sheetData>
  <sheetProtection algorithmName="SHA-512" hashValue="dBywY4BO1U/klAmHKvw0V3Fmu4EQkT1PdqJSxtx6GtIek2jVRIsIWrcI5o/cjYxILAol14sq7PTfna6KbO2EHw==" saltValue="HAXvKz3tzxG7XY6Co8jV7w==" spinCount="100000" sheet="1" objects="1" scenarios="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390525</xdr:colOff>
                    <xdr:row>74</xdr:row>
                    <xdr:rowOff>9525</xdr:rowOff>
                  </from>
                  <to>
                    <xdr:col>3</xdr:col>
                    <xdr:colOff>9525</xdr:colOff>
                    <xdr:row>77</xdr:row>
                    <xdr:rowOff>19050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1695450</xdr:colOff>
                    <xdr:row>0</xdr:row>
                    <xdr:rowOff>447675</xdr:rowOff>
                  </from>
                  <to>
                    <xdr:col>16</xdr:col>
                    <xdr:colOff>2076450</xdr:colOff>
                    <xdr:row>1</xdr:row>
                    <xdr:rowOff>28575</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390525</xdr:colOff>
                    <xdr:row>74</xdr:row>
                    <xdr:rowOff>9525</xdr:rowOff>
                  </from>
                  <to>
                    <xdr:col>3</xdr:col>
                    <xdr:colOff>9525</xdr:colOff>
                    <xdr:row>77</xdr:row>
                    <xdr:rowOff>19050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161925</xdr:rowOff>
                  </from>
                  <to>
                    <xdr:col>5</xdr:col>
                    <xdr:colOff>180975</xdr:colOff>
                    <xdr:row>61</xdr:row>
                    <xdr:rowOff>9525</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180975</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180975</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180975</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180975</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9525</xdr:colOff>
                    <xdr:row>23</xdr:row>
                    <xdr:rowOff>0</xdr:rowOff>
                  </from>
                  <to>
                    <xdr:col>1</xdr:col>
                    <xdr:colOff>523875</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171450</xdr:rowOff>
                  </from>
                  <to>
                    <xdr:col>6</xdr:col>
                    <xdr:colOff>0</xdr:colOff>
                    <xdr:row>4</xdr:row>
                    <xdr:rowOff>238125</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19050</xdr:colOff>
                    <xdr:row>106</xdr:row>
                    <xdr:rowOff>0</xdr:rowOff>
                  </from>
                  <to>
                    <xdr:col>2</xdr:col>
                    <xdr:colOff>200025</xdr:colOff>
                    <xdr:row>107</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zoomScale="85" zoomScaleNormal="85" workbookViewId="0">
      <selection activeCell="A36" sqref="A36"/>
    </sheetView>
  </sheetViews>
  <sheetFormatPr defaultRowHeight="12.75" x14ac:dyDescent="0.2"/>
  <cols>
    <col min="1" max="1" width="8.7109375" style="310" bestFit="1" customWidth="1"/>
    <col min="2" max="2" width="14.85546875" style="310" customWidth="1"/>
    <col min="3" max="3" width="16.140625" style="310" bestFit="1" customWidth="1"/>
    <col min="4" max="4" width="20.140625" style="310" customWidth="1"/>
    <col min="5" max="5" width="17.28515625" style="310" customWidth="1"/>
    <col min="6" max="6" width="20.5703125" style="310" bestFit="1" customWidth="1"/>
    <col min="7" max="7" width="9.7109375" style="310" customWidth="1"/>
    <col min="8" max="8" width="16.140625" style="310" customWidth="1"/>
    <col min="9" max="9" width="18.7109375" style="310" customWidth="1"/>
    <col min="10" max="10" width="12.7109375" style="310" customWidth="1"/>
    <col min="11" max="11" width="17.140625" style="310" customWidth="1"/>
    <col min="12" max="12" width="13.85546875" style="310" customWidth="1"/>
    <col min="13" max="13" width="9.140625" style="311"/>
    <col min="14" max="16" width="9.140625" style="310"/>
    <col min="17" max="17" width="4.85546875" style="310" customWidth="1"/>
    <col min="18" max="256" width="9.140625" style="310"/>
    <col min="257" max="257" width="8.7109375" style="310" bestFit="1" customWidth="1"/>
    <col min="258" max="258" width="13.28515625" style="310" customWidth="1"/>
    <col min="259" max="259" width="16.140625" style="310" bestFit="1" customWidth="1"/>
    <col min="260" max="260" width="23.5703125" style="310" customWidth="1"/>
    <col min="261" max="261" width="17.28515625" style="310" customWidth="1"/>
    <col min="262" max="262" width="20.5703125" style="310" bestFit="1" customWidth="1"/>
    <col min="263" max="263" width="17.140625" style="310" customWidth="1"/>
    <col min="264" max="264" width="21.85546875" style="310" bestFit="1" customWidth="1"/>
    <col min="265" max="265" width="17.140625" style="310" bestFit="1" customWidth="1"/>
    <col min="266" max="266" width="18.140625" style="310" bestFit="1" customWidth="1"/>
    <col min="267" max="267" width="26.42578125" style="310" customWidth="1"/>
    <col min="268" max="512" width="9.140625" style="310"/>
    <col min="513" max="513" width="8.7109375" style="310" bestFit="1" customWidth="1"/>
    <col min="514" max="514" width="13.28515625" style="310" customWidth="1"/>
    <col min="515" max="515" width="16.140625" style="310" bestFit="1" customWidth="1"/>
    <col min="516" max="516" width="23.5703125" style="310" customWidth="1"/>
    <col min="517" max="517" width="17.28515625" style="310" customWidth="1"/>
    <col min="518" max="518" width="20.5703125" style="310" bestFit="1" customWidth="1"/>
    <col min="519" max="519" width="17.140625" style="310" customWidth="1"/>
    <col min="520" max="520" width="21.85546875" style="310" bestFit="1" customWidth="1"/>
    <col min="521" max="521" width="17.140625" style="310" bestFit="1" customWidth="1"/>
    <col min="522" max="522" width="18.140625" style="310" bestFit="1" customWidth="1"/>
    <col min="523" max="523" width="26.42578125" style="310" customWidth="1"/>
    <col min="524" max="768" width="9.140625" style="310"/>
    <col min="769" max="769" width="8.7109375" style="310" bestFit="1" customWidth="1"/>
    <col min="770" max="770" width="13.28515625" style="310" customWidth="1"/>
    <col min="771" max="771" width="16.140625" style="310" bestFit="1" customWidth="1"/>
    <col min="772" max="772" width="23.5703125" style="310" customWidth="1"/>
    <col min="773" max="773" width="17.28515625" style="310" customWidth="1"/>
    <col min="774" max="774" width="20.5703125" style="310" bestFit="1" customWidth="1"/>
    <col min="775" max="775" width="17.140625" style="310" customWidth="1"/>
    <col min="776" max="776" width="21.85546875" style="310" bestFit="1" customWidth="1"/>
    <col min="777" max="777" width="17.140625" style="310" bestFit="1" customWidth="1"/>
    <col min="778" max="778" width="18.140625" style="310" bestFit="1" customWidth="1"/>
    <col min="779" max="779" width="26.42578125" style="310" customWidth="1"/>
    <col min="780" max="1024" width="9.140625" style="310"/>
    <col min="1025" max="1025" width="8.7109375" style="310" bestFit="1" customWidth="1"/>
    <col min="1026" max="1026" width="13.28515625" style="310" customWidth="1"/>
    <col min="1027" max="1027" width="16.140625" style="310" bestFit="1" customWidth="1"/>
    <col min="1028" max="1028" width="23.5703125" style="310" customWidth="1"/>
    <col min="1029" max="1029" width="17.28515625" style="310" customWidth="1"/>
    <col min="1030" max="1030" width="20.5703125" style="310" bestFit="1" customWidth="1"/>
    <col min="1031" max="1031" width="17.140625" style="310" customWidth="1"/>
    <col min="1032" max="1032" width="21.85546875" style="310" bestFit="1" customWidth="1"/>
    <col min="1033" max="1033" width="17.140625" style="310" bestFit="1" customWidth="1"/>
    <col min="1034" max="1034" width="18.140625" style="310" bestFit="1" customWidth="1"/>
    <col min="1035" max="1035" width="26.42578125" style="310" customWidth="1"/>
    <col min="1036" max="1280" width="9.140625" style="310"/>
    <col min="1281" max="1281" width="8.7109375" style="310" bestFit="1" customWidth="1"/>
    <col min="1282" max="1282" width="13.28515625" style="310" customWidth="1"/>
    <col min="1283" max="1283" width="16.140625" style="310" bestFit="1" customWidth="1"/>
    <col min="1284" max="1284" width="23.5703125" style="310" customWidth="1"/>
    <col min="1285" max="1285" width="17.28515625" style="310" customWidth="1"/>
    <col min="1286" max="1286" width="20.5703125" style="310" bestFit="1" customWidth="1"/>
    <col min="1287" max="1287" width="17.140625" style="310" customWidth="1"/>
    <col min="1288" max="1288" width="21.85546875" style="310" bestFit="1" customWidth="1"/>
    <col min="1289" max="1289" width="17.140625" style="310" bestFit="1" customWidth="1"/>
    <col min="1290" max="1290" width="18.140625" style="310" bestFit="1" customWidth="1"/>
    <col min="1291" max="1291" width="26.42578125" style="310" customWidth="1"/>
    <col min="1292" max="1536" width="9.140625" style="310"/>
    <col min="1537" max="1537" width="8.7109375" style="310" bestFit="1" customWidth="1"/>
    <col min="1538" max="1538" width="13.28515625" style="310" customWidth="1"/>
    <col min="1539" max="1539" width="16.140625" style="310" bestFit="1" customWidth="1"/>
    <col min="1540" max="1540" width="23.5703125" style="310" customWidth="1"/>
    <col min="1541" max="1541" width="17.28515625" style="310" customWidth="1"/>
    <col min="1542" max="1542" width="20.5703125" style="310" bestFit="1" customWidth="1"/>
    <col min="1543" max="1543" width="17.140625" style="310" customWidth="1"/>
    <col min="1544" max="1544" width="21.85546875" style="310" bestFit="1" customWidth="1"/>
    <col min="1545" max="1545" width="17.140625" style="310" bestFit="1" customWidth="1"/>
    <col min="1546" max="1546" width="18.140625" style="310" bestFit="1" customWidth="1"/>
    <col min="1547" max="1547" width="26.42578125" style="310" customWidth="1"/>
    <col min="1548" max="1792" width="9.140625" style="310"/>
    <col min="1793" max="1793" width="8.7109375" style="310" bestFit="1" customWidth="1"/>
    <col min="1794" max="1794" width="13.28515625" style="310" customWidth="1"/>
    <col min="1795" max="1795" width="16.140625" style="310" bestFit="1" customWidth="1"/>
    <col min="1796" max="1796" width="23.5703125" style="310" customWidth="1"/>
    <col min="1797" max="1797" width="17.28515625" style="310" customWidth="1"/>
    <col min="1798" max="1798" width="20.5703125" style="310" bestFit="1" customWidth="1"/>
    <col min="1799" max="1799" width="17.140625" style="310" customWidth="1"/>
    <col min="1800" max="1800" width="21.85546875" style="310" bestFit="1" customWidth="1"/>
    <col min="1801" max="1801" width="17.140625" style="310" bestFit="1" customWidth="1"/>
    <col min="1802" max="1802" width="18.140625" style="310" bestFit="1" customWidth="1"/>
    <col min="1803" max="1803" width="26.42578125" style="310" customWidth="1"/>
    <col min="1804" max="2048" width="9.140625" style="310"/>
    <col min="2049" max="2049" width="8.7109375" style="310" bestFit="1" customWidth="1"/>
    <col min="2050" max="2050" width="13.28515625" style="310" customWidth="1"/>
    <col min="2051" max="2051" width="16.140625" style="310" bestFit="1" customWidth="1"/>
    <col min="2052" max="2052" width="23.5703125" style="310" customWidth="1"/>
    <col min="2053" max="2053" width="17.28515625" style="310" customWidth="1"/>
    <col min="2054" max="2054" width="20.5703125" style="310" bestFit="1" customWidth="1"/>
    <col min="2055" max="2055" width="17.140625" style="310" customWidth="1"/>
    <col min="2056" max="2056" width="21.85546875" style="310" bestFit="1" customWidth="1"/>
    <col min="2057" max="2057" width="17.140625" style="310" bestFit="1" customWidth="1"/>
    <col min="2058" max="2058" width="18.140625" style="310" bestFit="1" customWidth="1"/>
    <col min="2059" max="2059" width="26.42578125" style="310" customWidth="1"/>
    <col min="2060" max="2304" width="9.140625" style="310"/>
    <col min="2305" max="2305" width="8.7109375" style="310" bestFit="1" customWidth="1"/>
    <col min="2306" max="2306" width="13.28515625" style="310" customWidth="1"/>
    <col min="2307" max="2307" width="16.140625" style="310" bestFit="1" customWidth="1"/>
    <col min="2308" max="2308" width="23.5703125" style="310" customWidth="1"/>
    <col min="2309" max="2309" width="17.28515625" style="310" customWidth="1"/>
    <col min="2310" max="2310" width="20.5703125" style="310" bestFit="1" customWidth="1"/>
    <col min="2311" max="2311" width="17.140625" style="310" customWidth="1"/>
    <col min="2312" max="2312" width="21.85546875" style="310" bestFit="1" customWidth="1"/>
    <col min="2313" max="2313" width="17.140625" style="310" bestFit="1" customWidth="1"/>
    <col min="2314" max="2314" width="18.140625" style="310" bestFit="1" customWidth="1"/>
    <col min="2315" max="2315" width="26.42578125" style="310" customWidth="1"/>
    <col min="2316" max="2560" width="9.140625" style="310"/>
    <col min="2561" max="2561" width="8.7109375" style="310" bestFit="1" customWidth="1"/>
    <col min="2562" max="2562" width="13.28515625" style="310" customWidth="1"/>
    <col min="2563" max="2563" width="16.140625" style="310" bestFit="1" customWidth="1"/>
    <col min="2564" max="2564" width="23.5703125" style="310" customWidth="1"/>
    <col min="2565" max="2565" width="17.28515625" style="310" customWidth="1"/>
    <col min="2566" max="2566" width="20.5703125" style="310" bestFit="1" customWidth="1"/>
    <col min="2567" max="2567" width="17.140625" style="310" customWidth="1"/>
    <col min="2568" max="2568" width="21.85546875" style="310" bestFit="1" customWidth="1"/>
    <col min="2569" max="2569" width="17.140625" style="310" bestFit="1" customWidth="1"/>
    <col min="2570" max="2570" width="18.140625" style="310" bestFit="1" customWidth="1"/>
    <col min="2571" max="2571" width="26.42578125" style="310" customWidth="1"/>
    <col min="2572" max="2816" width="9.140625" style="310"/>
    <col min="2817" max="2817" width="8.7109375" style="310" bestFit="1" customWidth="1"/>
    <col min="2818" max="2818" width="13.28515625" style="310" customWidth="1"/>
    <col min="2819" max="2819" width="16.140625" style="310" bestFit="1" customWidth="1"/>
    <col min="2820" max="2820" width="23.5703125" style="310" customWidth="1"/>
    <col min="2821" max="2821" width="17.28515625" style="310" customWidth="1"/>
    <col min="2822" max="2822" width="20.5703125" style="310" bestFit="1" customWidth="1"/>
    <col min="2823" max="2823" width="17.140625" style="310" customWidth="1"/>
    <col min="2824" max="2824" width="21.85546875" style="310" bestFit="1" customWidth="1"/>
    <col min="2825" max="2825" width="17.140625" style="310" bestFit="1" customWidth="1"/>
    <col min="2826" max="2826" width="18.140625" style="310" bestFit="1" customWidth="1"/>
    <col min="2827" max="2827" width="26.42578125" style="310" customWidth="1"/>
    <col min="2828" max="3072" width="9.140625" style="310"/>
    <col min="3073" max="3073" width="8.7109375" style="310" bestFit="1" customWidth="1"/>
    <col min="3074" max="3074" width="13.28515625" style="310" customWidth="1"/>
    <col min="3075" max="3075" width="16.140625" style="310" bestFit="1" customWidth="1"/>
    <col min="3076" max="3076" width="23.5703125" style="310" customWidth="1"/>
    <col min="3077" max="3077" width="17.28515625" style="310" customWidth="1"/>
    <col min="3078" max="3078" width="20.5703125" style="310" bestFit="1" customWidth="1"/>
    <col min="3079" max="3079" width="17.140625" style="310" customWidth="1"/>
    <col min="3080" max="3080" width="21.85546875" style="310" bestFit="1" customWidth="1"/>
    <col min="3081" max="3081" width="17.140625" style="310" bestFit="1" customWidth="1"/>
    <col min="3082" max="3082" width="18.140625" style="310" bestFit="1" customWidth="1"/>
    <col min="3083" max="3083" width="26.42578125" style="310" customWidth="1"/>
    <col min="3084" max="3328" width="9.140625" style="310"/>
    <col min="3329" max="3329" width="8.7109375" style="310" bestFit="1" customWidth="1"/>
    <col min="3330" max="3330" width="13.28515625" style="310" customWidth="1"/>
    <col min="3331" max="3331" width="16.140625" style="310" bestFit="1" customWidth="1"/>
    <col min="3332" max="3332" width="23.5703125" style="310" customWidth="1"/>
    <col min="3333" max="3333" width="17.28515625" style="310" customWidth="1"/>
    <col min="3334" max="3334" width="20.5703125" style="310" bestFit="1" customWidth="1"/>
    <col min="3335" max="3335" width="17.140625" style="310" customWidth="1"/>
    <col min="3336" max="3336" width="21.85546875" style="310" bestFit="1" customWidth="1"/>
    <col min="3337" max="3337" width="17.140625" style="310" bestFit="1" customWidth="1"/>
    <col min="3338" max="3338" width="18.140625" style="310" bestFit="1" customWidth="1"/>
    <col min="3339" max="3339" width="26.42578125" style="310" customWidth="1"/>
    <col min="3340" max="3584" width="9.140625" style="310"/>
    <col min="3585" max="3585" width="8.7109375" style="310" bestFit="1" customWidth="1"/>
    <col min="3586" max="3586" width="13.28515625" style="310" customWidth="1"/>
    <col min="3587" max="3587" width="16.140625" style="310" bestFit="1" customWidth="1"/>
    <col min="3588" max="3588" width="23.5703125" style="310" customWidth="1"/>
    <col min="3589" max="3589" width="17.28515625" style="310" customWidth="1"/>
    <col min="3590" max="3590" width="20.5703125" style="310" bestFit="1" customWidth="1"/>
    <col min="3591" max="3591" width="17.140625" style="310" customWidth="1"/>
    <col min="3592" max="3592" width="21.85546875" style="310" bestFit="1" customWidth="1"/>
    <col min="3593" max="3593" width="17.140625" style="310" bestFit="1" customWidth="1"/>
    <col min="3594" max="3594" width="18.140625" style="310" bestFit="1" customWidth="1"/>
    <col min="3595" max="3595" width="26.42578125" style="310" customWidth="1"/>
    <col min="3596" max="3840" width="9.140625" style="310"/>
    <col min="3841" max="3841" width="8.7109375" style="310" bestFit="1" customWidth="1"/>
    <col min="3842" max="3842" width="13.28515625" style="310" customWidth="1"/>
    <col min="3843" max="3843" width="16.140625" style="310" bestFit="1" customWidth="1"/>
    <col min="3844" max="3844" width="23.5703125" style="310" customWidth="1"/>
    <col min="3845" max="3845" width="17.28515625" style="310" customWidth="1"/>
    <col min="3846" max="3846" width="20.5703125" style="310" bestFit="1" customWidth="1"/>
    <col min="3847" max="3847" width="17.140625" style="310" customWidth="1"/>
    <col min="3848" max="3848" width="21.85546875" style="310" bestFit="1" customWidth="1"/>
    <col min="3849" max="3849" width="17.140625" style="310" bestFit="1" customWidth="1"/>
    <col min="3850" max="3850" width="18.140625" style="310" bestFit="1" customWidth="1"/>
    <col min="3851" max="3851" width="26.42578125" style="310" customWidth="1"/>
    <col min="3852" max="4096" width="9.140625" style="310"/>
    <col min="4097" max="4097" width="8.7109375" style="310" bestFit="1" customWidth="1"/>
    <col min="4098" max="4098" width="13.28515625" style="310" customWidth="1"/>
    <col min="4099" max="4099" width="16.140625" style="310" bestFit="1" customWidth="1"/>
    <col min="4100" max="4100" width="23.5703125" style="310" customWidth="1"/>
    <col min="4101" max="4101" width="17.28515625" style="310" customWidth="1"/>
    <col min="4102" max="4102" width="20.5703125" style="310" bestFit="1" customWidth="1"/>
    <col min="4103" max="4103" width="17.140625" style="310" customWidth="1"/>
    <col min="4104" max="4104" width="21.85546875" style="310" bestFit="1" customWidth="1"/>
    <col min="4105" max="4105" width="17.140625" style="310" bestFit="1" customWidth="1"/>
    <col min="4106" max="4106" width="18.140625" style="310" bestFit="1" customWidth="1"/>
    <col min="4107" max="4107" width="26.42578125" style="310" customWidth="1"/>
    <col min="4108" max="4352" width="9.140625" style="310"/>
    <col min="4353" max="4353" width="8.7109375" style="310" bestFit="1" customWidth="1"/>
    <col min="4354" max="4354" width="13.28515625" style="310" customWidth="1"/>
    <col min="4355" max="4355" width="16.140625" style="310" bestFit="1" customWidth="1"/>
    <col min="4356" max="4356" width="23.5703125" style="310" customWidth="1"/>
    <col min="4357" max="4357" width="17.28515625" style="310" customWidth="1"/>
    <col min="4358" max="4358" width="20.5703125" style="310" bestFit="1" customWidth="1"/>
    <col min="4359" max="4359" width="17.140625" style="310" customWidth="1"/>
    <col min="4360" max="4360" width="21.85546875" style="310" bestFit="1" customWidth="1"/>
    <col min="4361" max="4361" width="17.140625" style="310" bestFit="1" customWidth="1"/>
    <col min="4362" max="4362" width="18.140625" style="310" bestFit="1" customWidth="1"/>
    <col min="4363" max="4363" width="26.42578125" style="310" customWidth="1"/>
    <col min="4364" max="4608" width="9.140625" style="310"/>
    <col min="4609" max="4609" width="8.7109375" style="310" bestFit="1" customWidth="1"/>
    <col min="4610" max="4610" width="13.28515625" style="310" customWidth="1"/>
    <col min="4611" max="4611" width="16.140625" style="310" bestFit="1" customWidth="1"/>
    <col min="4612" max="4612" width="23.5703125" style="310" customWidth="1"/>
    <col min="4613" max="4613" width="17.28515625" style="310" customWidth="1"/>
    <col min="4614" max="4614" width="20.5703125" style="310" bestFit="1" customWidth="1"/>
    <col min="4615" max="4615" width="17.140625" style="310" customWidth="1"/>
    <col min="4616" max="4616" width="21.85546875" style="310" bestFit="1" customWidth="1"/>
    <col min="4617" max="4617" width="17.140625" style="310" bestFit="1" customWidth="1"/>
    <col min="4618" max="4618" width="18.140625" style="310" bestFit="1" customWidth="1"/>
    <col min="4619" max="4619" width="26.42578125" style="310" customWidth="1"/>
    <col min="4620" max="4864" width="9.140625" style="310"/>
    <col min="4865" max="4865" width="8.7109375" style="310" bestFit="1" customWidth="1"/>
    <col min="4866" max="4866" width="13.28515625" style="310" customWidth="1"/>
    <col min="4867" max="4867" width="16.140625" style="310" bestFit="1" customWidth="1"/>
    <col min="4868" max="4868" width="23.5703125" style="310" customWidth="1"/>
    <col min="4869" max="4869" width="17.28515625" style="310" customWidth="1"/>
    <col min="4870" max="4870" width="20.5703125" style="310" bestFit="1" customWidth="1"/>
    <col min="4871" max="4871" width="17.140625" style="310" customWidth="1"/>
    <col min="4872" max="4872" width="21.85546875" style="310" bestFit="1" customWidth="1"/>
    <col min="4873" max="4873" width="17.140625" style="310" bestFit="1" customWidth="1"/>
    <col min="4874" max="4874" width="18.140625" style="310" bestFit="1" customWidth="1"/>
    <col min="4875" max="4875" width="26.42578125" style="310" customWidth="1"/>
    <col min="4876" max="5120" width="9.140625" style="310"/>
    <col min="5121" max="5121" width="8.7109375" style="310" bestFit="1" customWidth="1"/>
    <col min="5122" max="5122" width="13.28515625" style="310" customWidth="1"/>
    <col min="5123" max="5123" width="16.140625" style="310" bestFit="1" customWidth="1"/>
    <col min="5124" max="5124" width="23.5703125" style="310" customWidth="1"/>
    <col min="5125" max="5125" width="17.28515625" style="310" customWidth="1"/>
    <col min="5126" max="5126" width="20.5703125" style="310" bestFit="1" customWidth="1"/>
    <col min="5127" max="5127" width="17.140625" style="310" customWidth="1"/>
    <col min="5128" max="5128" width="21.85546875" style="310" bestFit="1" customWidth="1"/>
    <col min="5129" max="5129" width="17.140625" style="310" bestFit="1" customWidth="1"/>
    <col min="5130" max="5130" width="18.140625" style="310" bestFit="1" customWidth="1"/>
    <col min="5131" max="5131" width="26.42578125" style="310" customWidth="1"/>
    <col min="5132" max="5376" width="9.140625" style="310"/>
    <col min="5377" max="5377" width="8.7109375" style="310" bestFit="1" customWidth="1"/>
    <col min="5378" max="5378" width="13.28515625" style="310" customWidth="1"/>
    <col min="5379" max="5379" width="16.140625" style="310" bestFit="1" customWidth="1"/>
    <col min="5380" max="5380" width="23.5703125" style="310" customWidth="1"/>
    <col min="5381" max="5381" width="17.28515625" style="310" customWidth="1"/>
    <col min="5382" max="5382" width="20.5703125" style="310" bestFit="1" customWidth="1"/>
    <col min="5383" max="5383" width="17.140625" style="310" customWidth="1"/>
    <col min="5384" max="5384" width="21.85546875" style="310" bestFit="1" customWidth="1"/>
    <col min="5385" max="5385" width="17.140625" style="310" bestFit="1" customWidth="1"/>
    <col min="5386" max="5386" width="18.140625" style="310" bestFit="1" customWidth="1"/>
    <col min="5387" max="5387" width="26.42578125" style="310" customWidth="1"/>
    <col min="5388" max="5632" width="9.140625" style="310"/>
    <col min="5633" max="5633" width="8.7109375" style="310" bestFit="1" customWidth="1"/>
    <col min="5634" max="5634" width="13.28515625" style="310" customWidth="1"/>
    <col min="5635" max="5635" width="16.140625" style="310" bestFit="1" customWidth="1"/>
    <col min="5636" max="5636" width="23.5703125" style="310" customWidth="1"/>
    <col min="5637" max="5637" width="17.28515625" style="310" customWidth="1"/>
    <col min="5638" max="5638" width="20.5703125" style="310" bestFit="1" customWidth="1"/>
    <col min="5639" max="5639" width="17.140625" style="310" customWidth="1"/>
    <col min="5640" max="5640" width="21.85546875" style="310" bestFit="1" customWidth="1"/>
    <col min="5641" max="5641" width="17.140625" style="310" bestFit="1" customWidth="1"/>
    <col min="5642" max="5642" width="18.140625" style="310" bestFit="1" customWidth="1"/>
    <col min="5643" max="5643" width="26.42578125" style="310" customWidth="1"/>
    <col min="5644" max="5888" width="9.140625" style="310"/>
    <col min="5889" max="5889" width="8.7109375" style="310" bestFit="1" customWidth="1"/>
    <col min="5890" max="5890" width="13.28515625" style="310" customWidth="1"/>
    <col min="5891" max="5891" width="16.140625" style="310" bestFit="1" customWidth="1"/>
    <col min="5892" max="5892" width="23.5703125" style="310" customWidth="1"/>
    <col min="5893" max="5893" width="17.28515625" style="310" customWidth="1"/>
    <col min="5894" max="5894" width="20.5703125" style="310" bestFit="1" customWidth="1"/>
    <col min="5895" max="5895" width="17.140625" style="310" customWidth="1"/>
    <col min="5896" max="5896" width="21.85546875" style="310" bestFit="1" customWidth="1"/>
    <col min="5897" max="5897" width="17.140625" style="310" bestFit="1" customWidth="1"/>
    <col min="5898" max="5898" width="18.140625" style="310" bestFit="1" customWidth="1"/>
    <col min="5899" max="5899" width="26.42578125" style="310" customWidth="1"/>
    <col min="5900" max="6144" width="9.140625" style="310"/>
    <col min="6145" max="6145" width="8.7109375" style="310" bestFit="1" customWidth="1"/>
    <col min="6146" max="6146" width="13.28515625" style="310" customWidth="1"/>
    <col min="6147" max="6147" width="16.140625" style="310" bestFit="1" customWidth="1"/>
    <col min="6148" max="6148" width="23.5703125" style="310" customWidth="1"/>
    <col min="6149" max="6149" width="17.28515625" style="310" customWidth="1"/>
    <col min="6150" max="6150" width="20.5703125" style="310" bestFit="1" customWidth="1"/>
    <col min="6151" max="6151" width="17.140625" style="310" customWidth="1"/>
    <col min="6152" max="6152" width="21.85546875" style="310" bestFit="1" customWidth="1"/>
    <col min="6153" max="6153" width="17.140625" style="310" bestFit="1" customWidth="1"/>
    <col min="6154" max="6154" width="18.140625" style="310" bestFit="1" customWidth="1"/>
    <col min="6155" max="6155" width="26.42578125" style="310" customWidth="1"/>
    <col min="6156" max="6400" width="9.140625" style="310"/>
    <col min="6401" max="6401" width="8.7109375" style="310" bestFit="1" customWidth="1"/>
    <col min="6402" max="6402" width="13.28515625" style="310" customWidth="1"/>
    <col min="6403" max="6403" width="16.140625" style="310" bestFit="1" customWidth="1"/>
    <col min="6404" max="6404" width="23.5703125" style="310" customWidth="1"/>
    <col min="6405" max="6405" width="17.28515625" style="310" customWidth="1"/>
    <col min="6406" max="6406" width="20.5703125" style="310" bestFit="1" customWidth="1"/>
    <col min="6407" max="6407" width="17.140625" style="310" customWidth="1"/>
    <col min="6408" max="6408" width="21.85546875" style="310" bestFit="1" customWidth="1"/>
    <col min="6409" max="6409" width="17.140625" style="310" bestFit="1" customWidth="1"/>
    <col min="6410" max="6410" width="18.140625" style="310" bestFit="1" customWidth="1"/>
    <col min="6411" max="6411" width="26.42578125" style="310" customWidth="1"/>
    <col min="6412" max="6656" width="9.140625" style="310"/>
    <col min="6657" max="6657" width="8.7109375" style="310" bestFit="1" customWidth="1"/>
    <col min="6658" max="6658" width="13.28515625" style="310" customWidth="1"/>
    <col min="6659" max="6659" width="16.140625" style="310" bestFit="1" customWidth="1"/>
    <col min="6660" max="6660" width="23.5703125" style="310" customWidth="1"/>
    <col min="6661" max="6661" width="17.28515625" style="310" customWidth="1"/>
    <col min="6662" max="6662" width="20.5703125" style="310" bestFit="1" customWidth="1"/>
    <col min="6663" max="6663" width="17.140625" style="310" customWidth="1"/>
    <col min="6664" max="6664" width="21.85546875" style="310" bestFit="1" customWidth="1"/>
    <col min="6665" max="6665" width="17.140625" style="310" bestFit="1" customWidth="1"/>
    <col min="6666" max="6666" width="18.140625" style="310" bestFit="1" customWidth="1"/>
    <col min="6667" max="6667" width="26.42578125" style="310" customWidth="1"/>
    <col min="6668" max="6912" width="9.140625" style="310"/>
    <col min="6913" max="6913" width="8.7109375" style="310" bestFit="1" customWidth="1"/>
    <col min="6914" max="6914" width="13.28515625" style="310" customWidth="1"/>
    <col min="6915" max="6915" width="16.140625" style="310" bestFit="1" customWidth="1"/>
    <col min="6916" max="6916" width="23.5703125" style="310" customWidth="1"/>
    <col min="6917" max="6917" width="17.28515625" style="310" customWidth="1"/>
    <col min="6918" max="6918" width="20.5703125" style="310" bestFit="1" customWidth="1"/>
    <col min="6919" max="6919" width="17.140625" style="310" customWidth="1"/>
    <col min="6920" max="6920" width="21.85546875" style="310" bestFit="1" customWidth="1"/>
    <col min="6921" max="6921" width="17.140625" style="310" bestFit="1" customWidth="1"/>
    <col min="6922" max="6922" width="18.140625" style="310" bestFit="1" customWidth="1"/>
    <col min="6923" max="6923" width="26.42578125" style="310" customWidth="1"/>
    <col min="6924" max="7168" width="9.140625" style="310"/>
    <col min="7169" max="7169" width="8.7109375" style="310" bestFit="1" customWidth="1"/>
    <col min="7170" max="7170" width="13.28515625" style="310" customWidth="1"/>
    <col min="7171" max="7171" width="16.140625" style="310" bestFit="1" customWidth="1"/>
    <col min="7172" max="7172" width="23.5703125" style="310" customWidth="1"/>
    <col min="7173" max="7173" width="17.28515625" style="310" customWidth="1"/>
    <col min="7174" max="7174" width="20.5703125" style="310" bestFit="1" customWidth="1"/>
    <col min="7175" max="7175" width="17.140625" style="310" customWidth="1"/>
    <col min="7176" max="7176" width="21.85546875" style="310" bestFit="1" customWidth="1"/>
    <col min="7177" max="7177" width="17.140625" style="310" bestFit="1" customWidth="1"/>
    <col min="7178" max="7178" width="18.140625" style="310" bestFit="1" customWidth="1"/>
    <col min="7179" max="7179" width="26.42578125" style="310" customWidth="1"/>
    <col min="7180" max="7424" width="9.140625" style="310"/>
    <col min="7425" max="7425" width="8.7109375" style="310" bestFit="1" customWidth="1"/>
    <col min="7426" max="7426" width="13.28515625" style="310" customWidth="1"/>
    <col min="7427" max="7427" width="16.140625" style="310" bestFit="1" customWidth="1"/>
    <col min="7428" max="7428" width="23.5703125" style="310" customWidth="1"/>
    <col min="7429" max="7429" width="17.28515625" style="310" customWidth="1"/>
    <col min="7430" max="7430" width="20.5703125" style="310" bestFit="1" customWidth="1"/>
    <col min="7431" max="7431" width="17.140625" style="310" customWidth="1"/>
    <col min="7432" max="7432" width="21.85546875" style="310" bestFit="1" customWidth="1"/>
    <col min="7433" max="7433" width="17.140625" style="310" bestFit="1" customWidth="1"/>
    <col min="7434" max="7434" width="18.140625" style="310" bestFit="1" customWidth="1"/>
    <col min="7435" max="7435" width="26.42578125" style="310" customWidth="1"/>
    <col min="7436" max="7680" width="9.140625" style="310"/>
    <col min="7681" max="7681" width="8.7109375" style="310" bestFit="1" customWidth="1"/>
    <col min="7682" max="7682" width="13.28515625" style="310" customWidth="1"/>
    <col min="7683" max="7683" width="16.140625" style="310" bestFit="1" customWidth="1"/>
    <col min="7684" max="7684" width="23.5703125" style="310" customWidth="1"/>
    <col min="7685" max="7685" width="17.28515625" style="310" customWidth="1"/>
    <col min="7686" max="7686" width="20.5703125" style="310" bestFit="1" customWidth="1"/>
    <col min="7687" max="7687" width="17.140625" style="310" customWidth="1"/>
    <col min="7688" max="7688" width="21.85546875" style="310" bestFit="1" customWidth="1"/>
    <col min="7689" max="7689" width="17.140625" style="310" bestFit="1" customWidth="1"/>
    <col min="7690" max="7690" width="18.140625" style="310" bestFit="1" customWidth="1"/>
    <col min="7691" max="7691" width="26.42578125" style="310" customWidth="1"/>
    <col min="7692" max="7936" width="9.140625" style="310"/>
    <col min="7937" max="7937" width="8.7109375" style="310" bestFit="1" customWidth="1"/>
    <col min="7938" max="7938" width="13.28515625" style="310" customWidth="1"/>
    <col min="7939" max="7939" width="16.140625" style="310" bestFit="1" customWidth="1"/>
    <col min="7940" max="7940" width="23.5703125" style="310" customWidth="1"/>
    <col min="7941" max="7941" width="17.28515625" style="310" customWidth="1"/>
    <col min="7942" max="7942" width="20.5703125" style="310" bestFit="1" customWidth="1"/>
    <col min="7943" max="7943" width="17.140625" style="310" customWidth="1"/>
    <col min="7944" max="7944" width="21.85546875" style="310" bestFit="1" customWidth="1"/>
    <col min="7945" max="7945" width="17.140625" style="310" bestFit="1" customWidth="1"/>
    <col min="7946" max="7946" width="18.140625" style="310" bestFit="1" customWidth="1"/>
    <col min="7947" max="7947" width="26.42578125" style="310" customWidth="1"/>
    <col min="7948" max="8192" width="9.140625" style="310"/>
    <col min="8193" max="8193" width="8.7109375" style="310" bestFit="1" customWidth="1"/>
    <col min="8194" max="8194" width="13.28515625" style="310" customWidth="1"/>
    <col min="8195" max="8195" width="16.140625" style="310" bestFit="1" customWidth="1"/>
    <col min="8196" max="8196" width="23.5703125" style="310" customWidth="1"/>
    <col min="8197" max="8197" width="17.28515625" style="310" customWidth="1"/>
    <col min="8198" max="8198" width="20.5703125" style="310" bestFit="1" customWidth="1"/>
    <col min="8199" max="8199" width="17.140625" style="310" customWidth="1"/>
    <col min="8200" max="8200" width="21.85546875" style="310" bestFit="1" customWidth="1"/>
    <col min="8201" max="8201" width="17.140625" style="310" bestFit="1" customWidth="1"/>
    <col min="8202" max="8202" width="18.140625" style="310" bestFit="1" customWidth="1"/>
    <col min="8203" max="8203" width="26.42578125" style="310" customWidth="1"/>
    <col min="8204" max="8448" width="9.140625" style="310"/>
    <col min="8449" max="8449" width="8.7109375" style="310" bestFit="1" customWidth="1"/>
    <col min="8450" max="8450" width="13.28515625" style="310" customWidth="1"/>
    <col min="8451" max="8451" width="16.140625" style="310" bestFit="1" customWidth="1"/>
    <col min="8452" max="8452" width="23.5703125" style="310" customWidth="1"/>
    <col min="8453" max="8453" width="17.28515625" style="310" customWidth="1"/>
    <col min="8454" max="8454" width="20.5703125" style="310" bestFit="1" customWidth="1"/>
    <col min="8455" max="8455" width="17.140625" style="310" customWidth="1"/>
    <col min="8456" max="8456" width="21.85546875" style="310" bestFit="1" customWidth="1"/>
    <col min="8457" max="8457" width="17.140625" style="310" bestFit="1" customWidth="1"/>
    <col min="8458" max="8458" width="18.140625" style="310" bestFit="1" customWidth="1"/>
    <col min="8459" max="8459" width="26.42578125" style="310" customWidth="1"/>
    <col min="8460" max="8704" width="9.140625" style="310"/>
    <col min="8705" max="8705" width="8.7109375" style="310" bestFit="1" customWidth="1"/>
    <col min="8706" max="8706" width="13.28515625" style="310" customWidth="1"/>
    <col min="8707" max="8707" width="16.140625" style="310" bestFit="1" customWidth="1"/>
    <col min="8708" max="8708" width="23.5703125" style="310" customWidth="1"/>
    <col min="8709" max="8709" width="17.28515625" style="310" customWidth="1"/>
    <col min="8710" max="8710" width="20.5703125" style="310" bestFit="1" customWidth="1"/>
    <col min="8711" max="8711" width="17.140625" style="310" customWidth="1"/>
    <col min="8712" max="8712" width="21.85546875" style="310" bestFit="1" customWidth="1"/>
    <col min="8713" max="8713" width="17.140625" style="310" bestFit="1" customWidth="1"/>
    <col min="8714" max="8714" width="18.140625" style="310" bestFit="1" customWidth="1"/>
    <col min="8715" max="8715" width="26.42578125" style="310" customWidth="1"/>
    <col min="8716" max="8960" width="9.140625" style="310"/>
    <col min="8961" max="8961" width="8.7109375" style="310" bestFit="1" customWidth="1"/>
    <col min="8962" max="8962" width="13.28515625" style="310" customWidth="1"/>
    <col min="8963" max="8963" width="16.140625" style="310" bestFit="1" customWidth="1"/>
    <col min="8964" max="8964" width="23.5703125" style="310" customWidth="1"/>
    <col min="8965" max="8965" width="17.28515625" style="310" customWidth="1"/>
    <col min="8966" max="8966" width="20.5703125" style="310" bestFit="1" customWidth="1"/>
    <col min="8967" max="8967" width="17.140625" style="310" customWidth="1"/>
    <col min="8968" max="8968" width="21.85546875" style="310" bestFit="1" customWidth="1"/>
    <col min="8969" max="8969" width="17.140625" style="310" bestFit="1" customWidth="1"/>
    <col min="8970" max="8970" width="18.140625" style="310" bestFit="1" customWidth="1"/>
    <col min="8971" max="8971" width="26.42578125" style="310" customWidth="1"/>
    <col min="8972" max="9216" width="9.140625" style="310"/>
    <col min="9217" max="9217" width="8.7109375" style="310" bestFit="1" customWidth="1"/>
    <col min="9218" max="9218" width="13.28515625" style="310" customWidth="1"/>
    <col min="9219" max="9219" width="16.140625" style="310" bestFit="1" customWidth="1"/>
    <col min="9220" max="9220" width="23.5703125" style="310" customWidth="1"/>
    <col min="9221" max="9221" width="17.28515625" style="310" customWidth="1"/>
    <col min="9222" max="9222" width="20.5703125" style="310" bestFit="1" customWidth="1"/>
    <col min="9223" max="9223" width="17.140625" style="310" customWidth="1"/>
    <col min="9224" max="9224" width="21.85546875" style="310" bestFit="1" customWidth="1"/>
    <col min="9225" max="9225" width="17.140625" style="310" bestFit="1" customWidth="1"/>
    <col min="9226" max="9226" width="18.140625" style="310" bestFit="1" customWidth="1"/>
    <col min="9227" max="9227" width="26.42578125" style="310" customWidth="1"/>
    <col min="9228" max="9472" width="9.140625" style="310"/>
    <col min="9473" max="9473" width="8.7109375" style="310" bestFit="1" customWidth="1"/>
    <col min="9474" max="9474" width="13.28515625" style="310" customWidth="1"/>
    <col min="9475" max="9475" width="16.140625" style="310" bestFit="1" customWidth="1"/>
    <col min="9476" max="9476" width="23.5703125" style="310" customWidth="1"/>
    <col min="9477" max="9477" width="17.28515625" style="310" customWidth="1"/>
    <col min="9478" max="9478" width="20.5703125" style="310" bestFit="1" customWidth="1"/>
    <col min="9479" max="9479" width="17.140625" style="310" customWidth="1"/>
    <col min="9480" max="9480" width="21.85546875" style="310" bestFit="1" customWidth="1"/>
    <col min="9481" max="9481" width="17.140625" style="310" bestFit="1" customWidth="1"/>
    <col min="9482" max="9482" width="18.140625" style="310" bestFit="1" customWidth="1"/>
    <col min="9483" max="9483" width="26.42578125" style="310" customWidth="1"/>
    <col min="9484" max="9728" width="9.140625" style="310"/>
    <col min="9729" max="9729" width="8.7109375" style="310" bestFit="1" customWidth="1"/>
    <col min="9730" max="9730" width="13.28515625" style="310" customWidth="1"/>
    <col min="9731" max="9731" width="16.140625" style="310" bestFit="1" customWidth="1"/>
    <col min="9732" max="9732" width="23.5703125" style="310" customWidth="1"/>
    <col min="9733" max="9733" width="17.28515625" style="310" customWidth="1"/>
    <col min="9734" max="9734" width="20.5703125" style="310" bestFit="1" customWidth="1"/>
    <col min="9735" max="9735" width="17.140625" style="310" customWidth="1"/>
    <col min="9736" max="9736" width="21.85546875" style="310" bestFit="1" customWidth="1"/>
    <col min="9737" max="9737" width="17.140625" style="310" bestFit="1" customWidth="1"/>
    <col min="9738" max="9738" width="18.140625" style="310" bestFit="1" customWidth="1"/>
    <col min="9739" max="9739" width="26.42578125" style="310" customWidth="1"/>
    <col min="9740" max="9984" width="9.140625" style="310"/>
    <col min="9985" max="9985" width="8.7109375" style="310" bestFit="1" customWidth="1"/>
    <col min="9986" max="9986" width="13.28515625" style="310" customWidth="1"/>
    <col min="9987" max="9987" width="16.140625" style="310" bestFit="1" customWidth="1"/>
    <col min="9988" max="9988" width="23.5703125" style="310" customWidth="1"/>
    <col min="9989" max="9989" width="17.28515625" style="310" customWidth="1"/>
    <col min="9990" max="9990" width="20.5703125" style="310" bestFit="1" customWidth="1"/>
    <col min="9991" max="9991" width="17.140625" style="310" customWidth="1"/>
    <col min="9992" max="9992" width="21.85546875" style="310" bestFit="1" customWidth="1"/>
    <col min="9993" max="9993" width="17.140625" style="310" bestFit="1" customWidth="1"/>
    <col min="9994" max="9994" width="18.140625" style="310" bestFit="1" customWidth="1"/>
    <col min="9995" max="9995" width="26.42578125" style="310" customWidth="1"/>
    <col min="9996" max="10240" width="9.140625" style="310"/>
    <col min="10241" max="10241" width="8.7109375" style="310" bestFit="1" customWidth="1"/>
    <col min="10242" max="10242" width="13.28515625" style="310" customWidth="1"/>
    <col min="10243" max="10243" width="16.140625" style="310" bestFit="1" customWidth="1"/>
    <col min="10244" max="10244" width="23.5703125" style="310" customWidth="1"/>
    <col min="10245" max="10245" width="17.28515625" style="310" customWidth="1"/>
    <col min="10246" max="10246" width="20.5703125" style="310" bestFit="1" customWidth="1"/>
    <col min="10247" max="10247" width="17.140625" style="310" customWidth="1"/>
    <col min="10248" max="10248" width="21.85546875" style="310" bestFit="1" customWidth="1"/>
    <col min="10249" max="10249" width="17.140625" style="310" bestFit="1" customWidth="1"/>
    <col min="10250" max="10250" width="18.140625" style="310" bestFit="1" customWidth="1"/>
    <col min="10251" max="10251" width="26.42578125" style="310" customWidth="1"/>
    <col min="10252" max="10496" width="9.140625" style="310"/>
    <col min="10497" max="10497" width="8.7109375" style="310" bestFit="1" customWidth="1"/>
    <col min="10498" max="10498" width="13.28515625" style="310" customWidth="1"/>
    <col min="10499" max="10499" width="16.140625" style="310" bestFit="1" customWidth="1"/>
    <col min="10500" max="10500" width="23.5703125" style="310" customWidth="1"/>
    <col min="10501" max="10501" width="17.28515625" style="310" customWidth="1"/>
    <col min="10502" max="10502" width="20.5703125" style="310" bestFit="1" customWidth="1"/>
    <col min="10503" max="10503" width="17.140625" style="310" customWidth="1"/>
    <col min="10504" max="10504" width="21.85546875" style="310" bestFit="1" customWidth="1"/>
    <col min="10505" max="10505" width="17.140625" style="310" bestFit="1" customWidth="1"/>
    <col min="10506" max="10506" width="18.140625" style="310" bestFit="1" customWidth="1"/>
    <col min="10507" max="10507" width="26.42578125" style="310" customWidth="1"/>
    <col min="10508" max="10752" width="9.140625" style="310"/>
    <col min="10753" max="10753" width="8.7109375" style="310" bestFit="1" customWidth="1"/>
    <col min="10754" max="10754" width="13.28515625" style="310" customWidth="1"/>
    <col min="10755" max="10755" width="16.140625" style="310" bestFit="1" customWidth="1"/>
    <col min="10756" max="10756" width="23.5703125" style="310" customWidth="1"/>
    <col min="10757" max="10757" width="17.28515625" style="310" customWidth="1"/>
    <col min="10758" max="10758" width="20.5703125" style="310" bestFit="1" customWidth="1"/>
    <col min="10759" max="10759" width="17.140625" style="310" customWidth="1"/>
    <col min="10760" max="10760" width="21.85546875" style="310" bestFit="1" customWidth="1"/>
    <col min="10761" max="10761" width="17.140625" style="310" bestFit="1" customWidth="1"/>
    <col min="10762" max="10762" width="18.140625" style="310" bestFit="1" customWidth="1"/>
    <col min="10763" max="10763" width="26.42578125" style="310" customWidth="1"/>
    <col min="10764" max="11008" width="9.140625" style="310"/>
    <col min="11009" max="11009" width="8.7109375" style="310" bestFit="1" customWidth="1"/>
    <col min="11010" max="11010" width="13.28515625" style="310" customWidth="1"/>
    <col min="11011" max="11011" width="16.140625" style="310" bestFit="1" customWidth="1"/>
    <col min="11012" max="11012" width="23.5703125" style="310" customWidth="1"/>
    <col min="11013" max="11013" width="17.28515625" style="310" customWidth="1"/>
    <col min="11014" max="11014" width="20.5703125" style="310" bestFit="1" customWidth="1"/>
    <col min="11015" max="11015" width="17.140625" style="310" customWidth="1"/>
    <col min="11016" max="11016" width="21.85546875" style="310" bestFit="1" customWidth="1"/>
    <col min="11017" max="11017" width="17.140625" style="310" bestFit="1" customWidth="1"/>
    <col min="11018" max="11018" width="18.140625" style="310" bestFit="1" customWidth="1"/>
    <col min="11019" max="11019" width="26.42578125" style="310" customWidth="1"/>
    <col min="11020" max="11264" width="9.140625" style="310"/>
    <col min="11265" max="11265" width="8.7109375" style="310" bestFit="1" customWidth="1"/>
    <col min="11266" max="11266" width="13.28515625" style="310" customWidth="1"/>
    <col min="11267" max="11267" width="16.140625" style="310" bestFit="1" customWidth="1"/>
    <col min="11268" max="11268" width="23.5703125" style="310" customWidth="1"/>
    <col min="11269" max="11269" width="17.28515625" style="310" customWidth="1"/>
    <col min="11270" max="11270" width="20.5703125" style="310" bestFit="1" customWidth="1"/>
    <col min="11271" max="11271" width="17.140625" style="310" customWidth="1"/>
    <col min="11272" max="11272" width="21.85546875" style="310" bestFit="1" customWidth="1"/>
    <col min="11273" max="11273" width="17.140625" style="310" bestFit="1" customWidth="1"/>
    <col min="11274" max="11274" width="18.140625" style="310" bestFit="1" customWidth="1"/>
    <col min="11275" max="11275" width="26.42578125" style="310" customWidth="1"/>
    <col min="11276" max="11520" width="9.140625" style="310"/>
    <col min="11521" max="11521" width="8.7109375" style="310" bestFit="1" customWidth="1"/>
    <col min="11522" max="11522" width="13.28515625" style="310" customWidth="1"/>
    <col min="11523" max="11523" width="16.140625" style="310" bestFit="1" customWidth="1"/>
    <col min="11524" max="11524" width="23.5703125" style="310" customWidth="1"/>
    <col min="11525" max="11525" width="17.28515625" style="310" customWidth="1"/>
    <col min="11526" max="11526" width="20.5703125" style="310" bestFit="1" customWidth="1"/>
    <col min="11527" max="11527" width="17.140625" style="310" customWidth="1"/>
    <col min="11528" max="11528" width="21.85546875" style="310" bestFit="1" customWidth="1"/>
    <col min="11529" max="11529" width="17.140625" style="310" bestFit="1" customWidth="1"/>
    <col min="11530" max="11530" width="18.140625" style="310" bestFit="1" customWidth="1"/>
    <col min="11531" max="11531" width="26.42578125" style="310" customWidth="1"/>
    <col min="11532" max="11776" width="9.140625" style="310"/>
    <col min="11777" max="11777" width="8.7109375" style="310" bestFit="1" customWidth="1"/>
    <col min="11778" max="11778" width="13.28515625" style="310" customWidth="1"/>
    <col min="11779" max="11779" width="16.140625" style="310" bestFit="1" customWidth="1"/>
    <col min="11780" max="11780" width="23.5703125" style="310" customWidth="1"/>
    <col min="11781" max="11781" width="17.28515625" style="310" customWidth="1"/>
    <col min="11782" max="11782" width="20.5703125" style="310" bestFit="1" customWidth="1"/>
    <col min="11783" max="11783" width="17.140625" style="310" customWidth="1"/>
    <col min="11784" max="11784" width="21.85546875" style="310" bestFit="1" customWidth="1"/>
    <col min="11785" max="11785" width="17.140625" style="310" bestFit="1" customWidth="1"/>
    <col min="11786" max="11786" width="18.140625" style="310" bestFit="1" customWidth="1"/>
    <col min="11787" max="11787" width="26.42578125" style="310" customWidth="1"/>
    <col min="11788" max="12032" width="9.140625" style="310"/>
    <col min="12033" max="12033" width="8.7109375" style="310" bestFit="1" customWidth="1"/>
    <col min="12034" max="12034" width="13.28515625" style="310" customWidth="1"/>
    <col min="12035" max="12035" width="16.140625" style="310" bestFit="1" customWidth="1"/>
    <col min="12036" max="12036" width="23.5703125" style="310" customWidth="1"/>
    <col min="12037" max="12037" width="17.28515625" style="310" customWidth="1"/>
    <col min="12038" max="12038" width="20.5703125" style="310" bestFit="1" customWidth="1"/>
    <col min="12039" max="12039" width="17.140625" style="310" customWidth="1"/>
    <col min="12040" max="12040" width="21.85546875" style="310" bestFit="1" customWidth="1"/>
    <col min="12041" max="12041" width="17.140625" style="310" bestFit="1" customWidth="1"/>
    <col min="12042" max="12042" width="18.140625" style="310" bestFit="1" customWidth="1"/>
    <col min="12043" max="12043" width="26.42578125" style="310" customWidth="1"/>
    <col min="12044" max="12288" width="9.140625" style="310"/>
    <col min="12289" max="12289" width="8.7109375" style="310" bestFit="1" customWidth="1"/>
    <col min="12290" max="12290" width="13.28515625" style="310" customWidth="1"/>
    <col min="12291" max="12291" width="16.140625" style="310" bestFit="1" customWidth="1"/>
    <col min="12292" max="12292" width="23.5703125" style="310" customWidth="1"/>
    <col min="12293" max="12293" width="17.28515625" style="310" customWidth="1"/>
    <col min="12294" max="12294" width="20.5703125" style="310" bestFit="1" customWidth="1"/>
    <col min="12295" max="12295" width="17.140625" style="310" customWidth="1"/>
    <col min="12296" max="12296" width="21.85546875" style="310" bestFit="1" customWidth="1"/>
    <col min="12297" max="12297" width="17.140625" style="310" bestFit="1" customWidth="1"/>
    <col min="12298" max="12298" width="18.140625" style="310" bestFit="1" customWidth="1"/>
    <col min="12299" max="12299" width="26.42578125" style="310" customWidth="1"/>
    <col min="12300" max="12544" width="9.140625" style="310"/>
    <col min="12545" max="12545" width="8.7109375" style="310" bestFit="1" customWidth="1"/>
    <col min="12546" max="12546" width="13.28515625" style="310" customWidth="1"/>
    <col min="12547" max="12547" width="16.140625" style="310" bestFit="1" customWidth="1"/>
    <col min="12548" max="12548" width="23.5703125" style="310" customWidth="1"/>
    <col min="12549" max="12549" width="17.28515625" style="310" customWidth="1"/>
    <col min="12550" max="12550" width="20.5703125" style="310" bestFit="1" customWidth="1"/>
    <col min="12551" max="12551" width="17.140625" style="310" customWidth="1"/>
    <col min="12552" max="12552" width="21.85546875" style="310" bestFit="1" customWidth="1"/>
    <col min="12553" max="12553" width="17.140625" style="310" bestFit="1" customWidth="1"/>
    <col min="12554" max="12554" width="18.140625" style="310" bestFit="1" customWidth="1"/>
    <col min="12555" max="12555" width="26.42578125" style="310" customWidth="1"/>
    <col min="12556" max="12800" width="9.140625" style="310"/>
    <col min="12801" max="12801" width="8.7109375" style="310" bestFit="1" customWidth="1"/>
    <col min="12802" max="12802" width="13.28515625" style="310" customWidth="1"/>
    <col min="12803" max="12803" width="16.140625" style="310" bestFit="1" customWidth="1"/>
    <col min="12804" max="12804" width="23.5703125" style="310" customWidth="1"/>
    <col min="12805" max="12805" width="17.28515625" style="310" customWidth="1"/>
    <col min="12806" max="12806" width="20.5703125" style="310" bestFit="1" customWidth="1"/>
    <col min="12807" max="12807" width="17.140625" style="310" customWidth="1"/>
    <col min="12808" max="12808" width="21.85546875" style="310" bestFit="1" customWidth="1"/>
    <col min="12809" max="12809" width="17.140625" style="310" bestFit="1" customWidth="1"/>
    <col min="12810" max="12810" width="18.140625" style="310" bestFit="1" customWidth="1"/>
    <col min="12811" max="12811" width="26.42578125" style="310" customWidth="1"/>
    <col min="12812" max="13056" width="9.140625" style="310"/>
    <col min="13057" max="13057" width="8.7109375" style="310" bestFit="1" customWidth="1"/>
    <col min="13058" max="13058" width="13.28515625" style="310" customWidth="1"/>
    <col min="13059" max="13059" width="16.140625" style="310" bestFit="1" customWidth="1"/>
    <col min="13060" max="13060" width="23.5703125" style="310" customWidth="1"/>
    <col min="13061" max="13061" width="17.28515625" style="310" customWidth="1"/>
    <col min="13062" max="13062" width="20.5703125" style="310" bestFit="1" customWidth="1"/>
    <col min="13063" max="13063" width="17.140625" style="310" customWidth="1"/>
    <col min="13064" max="13064" width="21.85546875" style="310" bestFit="1" customWidth="1"/>
    <col min="13065" max="13065" width="17.140625" style="310" bestFit="1" customWidth="1"/>
    <col min="13066" max="13066" width="18.140625" style="310" bestFit="1" customWidth="1"/>
    <col min="13067" max="13067" width="26.42578125" style="310" customWidth="1"/>
    <col min="13068" max="13312" width="9.140625" style="310"/>
    <col min="13313" max="13313" width="8.7109375" style="310" bestFit="1" customWidth="1"/>
    <col min="13314" max="13314" width="13.28515625" style="310" customWidth="1"/>
    <col min="13315" max="13315" width="16.140625" style="310" bestFit="1" customWidth="1"/>
    <col min="13316" max="13316" width="23.5703125" style="310" customWidth="1"/>
    <col min="13317" max="13317" width="17.28515625" style="310" customWidth="1"/>
    <col min="13318" max="13318" width="20.5703125" style="310" bestFit="1" customWidth="1"/>
    <col min="13319" max="13319" width="17.140625" style="310" customWidth="1"/>
    <col min="13320" max="13320" width="21.85546875" style="310" bestFit="1" customWidth="1"/>
    <col min="13321" max="13321" width="17.140625" style="310" bestFit="1" customWidth="1"/>
    <col min="13322" max="13322" width="18.140625" style="310" bestFit="1" customWidth="1"/>
    <col min="13323" max="13323" width="26.42578125" style="310" customWidth="1"/>
    <col min="13324" max="13568" width="9.140625" style="310"/>
    <col min="13569" max="13569" width="8.7109375" style="310" bestFit="1" customWidth="1"/>
    <col min="13570" max="13570" width="13.28515625" style="310" customWidth="1"/>
    <col min="13571" max="13571" width="16.140625" style="310" bestFit="1" customWidth="1"/>
    <col min="13572" max="13572" width="23.5703125" style="310" customWidth="1"/>
    <col min="13573" max="13573" width="17.28515625" style="310" customWidth="1"/>
    <col min="13574" max="13574" width="20.5703125" style="310" bestFit="1" customWidth="1"/>
    <col min="13575" max="13575" width="17.140625" style="310" customWidth="1"/>
    <col min="13576" max="13576" width="21.85546875" style="310" bestFit="1" customWidth="1"/>
    <col min="13577" max="13577" width="17.140625" style="310" bestFit="1" customWidth="1"/>
    <col min="13578" max="13578" width="18.140625" style="310" bestFit="1" customWidth="1"/>
    <col min="13579" max="13579" width="26.42578125" style="310" customWidth="1"/>
    <col min="13580" max="13824" width="9.140625" style="310"/>
    <col min="13825" max="13825" width="8.7109375" style="310" bestFit="1" customWidth="1"/>
    <col min="13826" max="13826" width="13.28515625" style="310" customWidth="1"/>
    <col min="13827" max="13827" width="16.140625" style="310" bestFit="1" customWidth="1"/>
    <col min="13828" max="13828" width="23.5703125" style="310" customWidth="1"/>
    <col min="13829" max="13829" width="17.28515625" style="310" customWidth="1"/>
    <col min="13830" max="13830" width="20.5703125" style="310" bestFit="1" customWidth="1"/>
    <col min="13831" max="13831" width="17.140625" style="310" customWidth="1"/>
    <col min="13832" max="13832" width="21.85546875" style="310" bestFit="1" customWidth="1"/>
    <col min="13833" max="13833" width="17.140625" style="310" bestFit="1" customWidth="1"/>
    <col min="13834" max="13834" width="18.140625" style="310" bestFit="1" customWidth="1"/>
    <col min="13835" max="13835" width="26.42578125" style="310" customWidth="1"/>
    <col min="13836" max="14080" width="9.140625" style="310"/>
    <col min="14081" max="14081" width="8.7109375" style="310" bestFit="1" customWidth="1"/>
    <col min="14082" max="14082" width="13.28515625" style="310" customWidth="1"/>
    <col min="14083" max="14083" width="16.140625" style="310" bestFit="1" customWidth="1"/>
    <col min="14084" max="14084" width="23.5703125" style="310" customWidth="1"/>
    <col min="14085" max="14085" width="17.28515625" style="310" customWidth="1"/>
    <col min="14086" max="14086" width="20.5703125" style="310" bestFit="1" customWidth="1"/>
    <col min="14087" max="14087" width="17.140625" style="310" customWidth="1"/>
    <col min="14088" max="14088" width="21.85546875" style="310" bestFit="1" customWidth="1"/>
    <col min="14089" max="14089" width="17.140625" style="310" bestFit="1" customWidth="1"/>
    <col min="14090" max="14090" width="18.140625" style="310" bestFit="1" customWidth="1"/>
    <col min="14091" max="14091" width="26.42578125" style="310" customWidth="1"/>
    <col min="14092" max="14336" width="9.140625" style="310"/>
    <col min="14337" max="14337" width="8.7109375" style="310" bestFit="1" customWidth="1"/>
    <col min="14338" max="14338" width="13.28515625" style="310" customWidth="1"/>
    <col min="14339" max="14339" width="16.140625" style="310" bestFit="1" customWidth="1"/>
    <col min="14340" max="14340" width="23.5703125" style="310" customWidth="1"/>
    <col min="14341" max="14341" width="17.28515625" style="310" customWidth="1"/>
    <col min="14342" max="14342" width="20.5703125" style="310" bestFit="1" customWidth="1"/>
    <col min="14343" max="14343" width="17.140625" style="310" customWidth="1"/>
    <col min="14344" max="14344" width="21.85546875" style="310" bestFit="1" customWidth="1"/>
    <col min="14345" max="14345" width="17.140625" style="310" bestFit="1" customWidth="1"/>
    <col min="14346" max="14346" width="18.140625" style="310" bestFit="1" customWidth="1"/>
    <col min="14347" max="14347" width="26.42578125" style="310" customWidth="1"/>
    <col min="14348" max="14592" width="9.140625" style="310"/>
    <col min="14593" max="14593" width="8.7109375" style="310" bestFit="1" customWidth="1"/>
    <col min="14594" max="14594" width="13.28515625" style="310" customWidth="1"/>
    <col min="14595" max="14595" width="16.140625" style="310" bestFit="1" customWidth="1"/>
    <col min="14596" max="14596" width="23.5703125" style="310" customWidth="1"/>
    <col min="14597" max="14597" width="17.28515625" style="310" customWidth="1"/>
    <col min="14598" max="14598" width="20.5703125" style="310" bestFit="1" customWidth="1"/>
    <col min="14599" max="14599" width="17.140625" style="310" customWidth="1"/>
    <col min="14600" max="14600" width="21.85546875" style="310" bestFit="1" customWidth="1"/>
    <col min="14601" max="14601" width="17.140625" style="310" bestFit="1" customWidth="1"/>
    <col min="14602" max="14602" width="18.140625" style="310" bestFit="1" customWidth="1"/>
    <col min="14603" max="14603" width="26.42578125" style="310" customWidth="1"/>
    <col min="14604" max="14848" width="9.140625" style="310"/>
    <col min="14849" max="14849" width="8.7109375" style="310" bestFit="1" customWidth="1"/>
    <col min="14850" max="14850" width="13.28515625" style="310" customWidth="1"/>
    <col min="14851" max="14851" width="16.140625" style="310" bestFit="1" customWidth="1"/>
    <col min="14852" max="14852" width="23.5703125" style="310" customWidth="1"/>
    <col min="14853" max="14853" width="17.28515625" style="310" customWidth="1"/>
    <col min="14854" max="14854" width="20.5703125" style="310" bestFit="1" customWidth="1"/>
    <col min="14855" max="14855" width="17.140625" style="310" customWidth="1"/>
    <col min="14856" max="14856" width="21.85546875" style="310" bestFit="1" customWidth="1"/>
    <col min="14857" max="14857" width="17.140625" style="310" bestFit="1" customWidth="1"/>
    <col min="14858" max="14858" width="18.140625" style="310" bestFit="1" customWidth="1"/>
    <col min="14859" max="14859" width="26.42578125" style="310" customWidth="1"/>
    <col min="14860" max="15104" width="9.140625" style="310"/>
    <col min="15105" max="15105" width="8.7109375" style="310" bestFit="1" customWidth="1"/>
    <col min="15106" max="15106" width="13.28515625" style="310" customWidth="1"/>
    <col min="15107" max="15107" width="16.140625" style="310" bestFit="1" customWidth="1"/>
    <col min="15108" max="15108" width="23.5703125" style="310" customWidth="1"/>
    <col min="15109" max="15109" width="17.28515625" style="310" customWidth="1"/>
    <col min="15110" max="15110" width="20.5703125" style="310" bestFit="1" customWidth="1"/>
    <col min="15111" max="15111" width="17.140625" style="310" customWidth="1"/>
    <col min="15112" max="15112" width="21.85546875" style="310" bestFit="1" customWidth="1"/>
    <col min="15113" max="15113" width="17.140625" style="310" bestFit="1" customWidth="1"/>
    <col min="15114" max="15114" width="18.140625" style="310" bestFit="1" customWidth="1"/>
    <col min="15115" max="15115" width="26.42578125" style="310" customWidth="1"/>
    <col min="15116" max="15360" width="9.140625" style="310"/>
    <col min="15361" max="15361" width="8.7109375" style="310" bestFit="1" customWidth="1"/>
    <col min="15362" max="15362" width="13.28515625" style="310" customWidth="1"/>
    <col min="15363" max="15363" width="16.140625" style="310" bestFit="1" customWidth="1"/>
    <col min="15364" max="15364" width="23.5703125" style="310" customWidth="1"/>
    <col min="15365" max="15365" width="17.28515625" style="310" customWidth="1"/>
    <col min="15366" max="15366" width="20.5703125" style="310" bestFit="1" customWidth="1"/>
    <col min="15367" max="15367" width="17.140625" style="310" customWidth="1"/>
    <col min="15368" max="15368" width="21.85546875" style="310" bestFit="1" customWidth="1"/>
    <col min="15369" max="15369" width="17.140625" style="310" bestFit="1" customWidth="1"/>
    <col min="15370" max="15370" width="18.140625" style="310" bestFit="1" customWidth="1"/>
    <col min="15371" max="15371" width="26.42578125" style="310" customWidth="1"/>
    <col min="15372" max="15616" width="9.140625" style="310"/>
    <col min="15617" max="15617" width="8.7109375" style="310" bestFit="1" customWidth="1"/>
    <col min="15618" max="15618" width="13.28515625" style="310" customWidth="1"/>
    <col min="15619" max="15619" width="16.140625" style="310" bestFit="1" customWidth="1"/>
    <col min="15620" max="15620" width="23.5703125" style="310" customWidth="1"/>
    <col min="15621" max="15621" width="17.28515625" style="310" customWidth="1"/>
    <col min="15622" max="15622" width="20.5703125" style="310" bestFit="1" customWidth="1"/>
    <col min="15623" max="15623" width="17.140625" style="310" customWidth="1"/>
    <col min="15624" max="15624" width="21.85546875" style="310" bestFit="1" customWidth="1"/>
    <col min="15625" max="15625" width="17.140625" style="310" bestFit="1" customWidth="1"/>
    <col min="15626" max="15626" width="18.140625" style="310" bestFit="1" customWidth="1"/>
    <col min="15627" max="15627" width="26.42578125" style="310" customWidth="1"/>
    <col min="15628" max="15872" width="9.140625" style="310"/>
    <col min="15873" max="15873" width="8.7109375" style="310" bestFit="1" customWidth="1"/>
    <col min="15874" max="15874" width="13.28515625" style="310" customWidth="1"/>
    <col min="15875" max="15875" width="16.140625" style="310" bestFit="1" customWidth="1"/>
    <col min="15876" max="15876" width="23.5703125" style="310" customWidth="1"/>
    <col min="15877" max="15877" width="17.28515625" style="310" customWidth="1"/>
    <col min="15878" max="15878" width="20.5703125" style="310" bestFit="1" customWidth="1"/>
    <col min="15879" max="15879" width="17.140625" style="310" customWidth="1"/>
    <col min="15880" max="15880" width="21.85546875" style="310" bestFit="1" customWidth="1"/>
    <col min="15881" max="15881" width="17.140625" style="310" bestFit="1" customWidth="1"/>
    <col min="15882" max="15882" width="18.140625" style="310" bestFit="1" customWidth="1"/>
    <col min="15883" max="15883" width="26.42578125" style="310" customWidth="1"/>
    <col min="15884" max="16128" width="9.140625" style="310"/>
    <col min="16129" max="16129" width="8.7109375" style="310" bestFit="1" customWidth="1"/>
    <col min="16130" max="16130" width="13.28515625" style="310" customWidth="1"/>
    <col min="16131" max="16131" width="16.140625" style="310" bestFit="1" customWidth="1"/>
    <col min="16132" max="16132" width="23.5703125" style="310" customWidth="1"/>
    <col min="16133" max="16133" width="17.28515625" style="310" customWidth="1"/>
    <col min="16134" max="16134" width="20.5703125" style="310" bestFit="1" customWidth="1"/>
    <col min="16135" max="16135" width="17.140625" style="310" customWidth="1"/>
    <col min="16136" max="16136" width="21.85546875" style="310" bestFit="1" customWidth="1"/>
    <col min="16137" max="16137" width="17.140625" style="310" bestFit="1" customWidth="1"/>
    <col min="16138" max="16138" width="18.140625" style="310" bestFit="1" customWidth="1"/>
    <col min="16139" max="16139" width="26.42578125" style="310" customWidth="1"/>
    <col min="16140" max="16384" width="9.140625" style="310"/>
  </cols>
  <sheetData>
    <row r="1" spans="13:13" s="346" customFormat="1" x14ac:dyDescent="0.2">
      <c r="M1" s="347"/>
    </row>
    <row r="2" spans="13:13" s="346" customFormat="1" x14ac:dyDescent="0.2">
      <c r="M2" s="347"/>
    </row>
    <row r="3" spans="13:13" s="346" customFormat="1" x14ac:dyDescent="0.2">
      <c r="M3" s="347"/>
    </row>
    <row r="4" spans="13:13" s="346" customFormat="1" x14ac:dyDescent="0.2">
      <c r="M4" s="347"/>
    </row>
    <row r="5" spans="13:13" s="346" customFormat="1" x14ac:dyDescent="0.2">
      <c r="M5" s="347"/>
    </row>
    <row r="6" spans="13:13" s="346" customFormat="1" x14ac:dyDescent="0.2">
      <c r="M6" s="347"/>
    </row>
    <row r="7" spans="13:13" s="346" customFormat="1" x14ac:dyDescent="0.2">
      <c r="M7" s="347"/>
    </row>
    <row r="8" spans="13:13" s="346" customFormat="1" x14ac:dyDescent="0.2">
      <c r="M8" s="347"/>
    </row>
    <row r="9" spans="13:13" s="346" customFormat="1" x14ac:dyDescent="0.2">
      <c r="M9" s="347"/>
    </row>
    <row r="10" spans="13:13" s="346" customFormat="1" x14ac:dyDescent="0.2">
      <c r="M10" s="347"/>
    </row>
    <row r="11" spans="13:13" s="346" customFormat="1" x14ac:dyDescent="0.2">
      <c r="M11" s="347"/>
    </row>
    <row r="12" spans="13:13" s="346" customFormat="1" x14ac:dyDescent="0.2">
      <c r="M12" s="347"/>
    </row>
    <row r="13" spans="13:13" s="346" customFormat="1" x14ac:dyDescent="0.2">
      <c r="M13" s="347"/>
    </row>
    <row r="14" spans="13:13" s="346" customFormat="1" x14ac:dyDescent="0.2">
      <c r="M14" s="347"/>
    </row>
    <row r="15" spans="13:13" s="346" customFormat="1" x14ac:dyDescent="0.2">
      <c r="M15" s="347"/>
    </row>
    <row r="16" spans="13:13" s="346" customFormat="1" x14ac:dyDescent="0.2">
      <c r="M16" s="347"/>
    </row>
    <row r="17" spans="13:13" s="346" customFormat="1" x14ac:dyDescent="0.2">
      <c r="M17" s="347"/>
    </row>
    <row r="18" spans="13:13" s="346" customFormat="1" x14ac:dyDescent="0.2">
      <c r="M18" s="347"/>
    </row>
    <row r="19" spans="13:13" s="346" customFormat="1" x14ac:dyDescent="0.2">
      <c r="M19" s="347"/>
    </row>
    <row r="20" spans="13:13" s="346" customFormat="1" x14ac:dyDescent="0.2">
      <c r="M20" s="347"/>
    </row>
    <row r="21" spans="13:13" s="346" customFormat="1" x14ac:dyDescent="0.2">
      <c r="M21" s="347"/>
    </row>
    <row r="22" spans="13:13" s="346" customFormat="1" x14ac:dyDescent="0.2">
      <c r="M22" s="347"/>
    </row>
    <row r="23" spans="13:13" s="346" customFormat="1" x14ac:dyDescent="0.2">
      <c r="M23" s="347"/>
    </row>
    <row r="24" spans="13:13" s="346" customFormat="1" x14ac:dyDescent="0.2">
      <c r="M24" s="347"/>
    </row>
    <row r="25" spans="13:13" s="346" customFormat="1" x14ac:dyDescent="0.2">
      <c r="M25" s="347"/>
    </row>
    <row r="26" spans="13:13" s="346" customFormat="1" x14ac:dyDescent="0.2">
      <c r="M26" s="347"/>
    </row>
    <row r="27" spans="13:13" s="346" customFormat="1" x14ac:dyDescent="0.2">
      <c r="M27" s="347"/>
    </row>
    <row r="28" spans="13:13" s="346" customFormat="1" x14ac:dyDescent="0.2">
      <c r="M28" s="347"/>
    </row>
    <row r="29" spans="13:13" s="346" customFormat="1" x14ac:dyDescent="0.2">
      <c r="M29" s="347"/>
    </row>
    <row r="30" spans="13:13" s="346" customFormat="1" x14ac:dyDescent="0.2">
      <c r="M30" s="347"/>
    </row>
    <row r="31" spans="13:13" s="346" customFormat="1" x14ac:dyDescent="0.2">
      <c r="M31" s="347"/>
    </row>
    <row r="32" spans="13:13" s="346" customFormat="1" x14ac:dyDescent="0.2">
      <c r="M32" s="347"/>
    </row>
    <row r="33" spans="1:19" s="346" customFormat="1" x14ac:dyDescent="0.2">
      <c r="M33" s="347"/>
    </row>
    <row r="34" spans="1:19" s="346" customFormat="1" ht="15.75" customHeight="1" x14ac:dyDescent="0.2">
      <c r="B34" s="346" t="s">
        <v>691</v>
      </c>
    </row>
    <row r="35" spans="1:19" s="346" customFormat="1" ht="24.75" customHeight="1" x14ac:dyDescent="0.25">
      <c r="A35" s="350" t="str">
        <f>"VIN = "&amp;Vin&amp;"V, VOUT = "&amp; Vout &amp;"V, IOUT = " &amp;Iout &amp; "A,  Fsw = " &amp; Fsw/1000 &amp;"kHz, Current Limit = "&amp;ROUNDUP(DC_Current_Limit_Setpoint,0)&amp;"A"</f>
        <v>VIN = 48V, VOUT = 24V, IOUT = 15A,  Fsw = 1000kHz, Current Limit = 18A</v>
      </c>
      <c r="Q35" s="456"/>
    </row>
    <row r="36" spans="1:19" ht="24.75" customHeight="1" thickBot="1" x14ac:dyDescent="0.25">
      <c r="A36" s="312" t="s">
        <v>701</v>
      </c>
      <c r="Q36" s="457"/>
    </row>
    <row r="37" spans="1:19" ht="18" customHeight="1" x14ac:dyDescent="0.2">
      <c r="A37" s="442" t="s">
        <v>506</v>
      </c>
      <c r="B37" s="443" t="s">
        <v>505</v>
      </c>
      <c r="C37" s="443" t="s">
        <v>8</v>
      </c>
      <c r="D37" s="536" t="s">
        <v>188</v>
      </c>
      <c r="E37" s="537"/>
      <c r="F37" s="537"/>
      <c r="G37" s="538"/>
      <c r="H37" s="443" t="s">
        <v>492</v>
      </c>
      <c r="I37" s="443" t="s">
        <v>302</v>
      </c>
      <c r="J37" s="443" t="s">
        <v>493</v>
      </c>
      <c r="K37" s="431" t="s">
        <v>666</v>
      </c>
      <c r="L37" s="432" t="s">
        <v>667</v>
      </c>
      <c r="M37" s="310"/>
      <c r="P37" s="464"/>
      <c r="Q37" s="471"/>
      <c r="R37" s="464"/>
      <c r="S37" s="464"/>
    </row>
    <row r="38" spans="1:19" s="317" customFormat="1" ht="17.100000000000001" customHeight="1" x14ac:dyDescent="0.2">
      <c r="A38" s="314">
        <v>1</v>
      </c>
      <c r="B38" s="315" t="s">
        <v>600</v>
      </c>
      <c r="C38" s="329">
        <v>0.1</v>
      </c>
      <c r="D38" s="554">
        <f t="shared" ref="D38:D47" si="0">C38</f>
        <v>0.1</v>
      </c>
      <c r="E38" s="555"/>
      <c r="F38" s="555"/>
      <c r="G38" s="330"/>
      <c r="H38" s="331"/>
      <c r="I38" s="316" t="s">
        <v>494</v>
      </c>
      <c r="J38" s="435" t="s">
        <v>494</v>
      </c>
      <c r="K38" s="439" t="str">
        <f>CHOOSE(Q38, 'Variable Management'!N69,'Variable Management'!N70,'Variable Management'!N71)</f>
        <v>1.6 x 0.8</v>
      </c>
      <c r="L38" s="433">
        <f>CHOOSE(Q38, 'Variable Management'!O69,'Variable Management'!O70,'Variable Management'!O71)</f>
        <v>1.3</v>
      </c>
      <c r="P38" s="455"/>
      <c r="Q38" s="458">
        <v>2</v>
      </c>
      <c r="R38" s="455"/>
      <c r="S38" s="455"/>
    </row>
    <row r="39" spans="1:19" s="317" customFormat="1" ht="17.100000000000001" customHeight="1" x14ac:dyDescent="0.2">
      <c r="A39" s="313">
        <v>1</v>
      </c>
      <c r="B39" s="332" t="s">
        <v>498</v>
      </c>
      <c r="C39" s="333">
        <f>'Design Regulator'!D75</f>
        <v>3900</v>
      </c>
      <c r="D39" s="556">
        <f t="shared" si="0"/>
        <v>3900</v>
      </c>
      <c r="E39" s="557"/>
      <c r="F39" s="557"/>
      <c r="G39" s="334"/>
      <c r="H39" s="335"/>
      <c r="I39" s="336" t="s">
        <v>494</v>
      </c>
      <c r="J39" s="436" t="s">
        <v>494</v>
      </c>
      <c r="K39" s="440" t="str">
        <f>CHOOSE(Q39, 'Variable Management'!N69,'Variable Management'!N70,'Variable Management'!N71)</f>
        <v>1.0 x 0.5</v>
      </c>
      <c r="L39" s="441">
        <f>CHOOSE(Q39, 'Variable Management'!O69,'Variable Management'!O70,'Variable Management'!O71)</f>
        <v>0.5</v>
      </c>
      <c r="P39" s="455"/>
      <c r="Q39" s="458">
        <v>1</v>
      </c>
      <c r="R39" s="455"/>
      <c r="S39" s="455"/>
    </row>
    <row r="40" spans="1:19" s="317" customFormat="1" ht="17.100000000000001" customHeight="1" x14ac:dyDescent="0.2">
      <c r="A40" s="313">
        <v>1</v>
      </c>
      <c r="B40" s="332" t="s">
        <v>499</v>
      </c>
      <c r="C40" s="333">
        <f>'Design Regulator'!D76</f>
        <v>68</v>
      </c>
      <c r="D40" s="558">
        <f t="shared" si="0"/>
        <v>68</v>
      </c>
      <c r="E40" s="559"/>
      <c r="F40" s="559"/>
      <c r="G40" s="334"/>
      <c r="H40" s="335"/>
      <c r="I40" s="336" t="s">
        <v>494</v>
      </c>
      <c r="J40" s="436" t="s">
        <v>494</v>
      </c>
      <c r="K40" s="440" t="str">
        <f>CHOOSE(Q40, 'Variable Management'!N69,'Variable Management'!N70,'Variable Management'!N71)</f>
        <v>1.0 x 0.5</v>
      </c>
      <c r="L40" s="441">
        <f>CHOOSE(Q40, 'Variable Management'!O69,'Variable Management'!O70,'Variable Management'!O71)</f>
        <v>0.5</v>
      </c>
      <c r="P40" s="455"/>
      <c r="Q40" s="458">
        <v>1</v>
      </c>
      <c r="R40" s="455"/>
      <c r="S40" s="455"/>
    </row>
    <row r="41" spans="1:19" s="317" customFormat="1" ht="17.100000000000001" customHeight="1" x14ac:dyDescent="0.2">
      <c r="A41" s="313">
        <v>1</v>
      </c>
      <c r="B41" s="332" t="s">
        <v>500</v>
      </c>
      <c r="C41" s="333">
        <f>'Design Regulator'!D78</f>
        <v>560</v>
      </c>
      <c r="D41" s="558">
        <f t="shared" si="0"/>
        <v>560</v>
      </c>
      <c r="E41" s="559"/>
      <c r="F41" s="559"/>
      <c r="G41" s="334"/>
      <c r="H41" s="335"/>
      <c r="I41" s="336" t="s">
        <v>494</v>
      </c>
      <c r="J41" s="436" t="s">
        <v>494</v>
      </c>
      <c r="K41" s="440" t="str">
        <f>CHOOSE(Q41, 'Variable Management'!N69,'Variable Management'!N70,'Variable Management'!N71)</f>
        <v>1.0 x 0.5</v>
      </c>
      <c r="L41" s="441">
        <f>CHOOSE(Q41, 'Variable Management'!O69,'Variable Management'!O70,'Variable Management'!O71)</f>
        <v>0.5</v>
      </c>
      <c r="P41" s="455"/>
      <c r="Q41" s="458">
        <v>1</v>
      </c>
      <c r="R41" s="455"/>
      <c r="S41" s="455"/>
    </row>
    <row r="42" spans="1:19" s="317" customFormat="1" ht="17.100000000000001" customHeight="1" x14ac:dyDescent="0.2">
      <c r="A42" s="324">
        <v>1</v>
      </c>
      <c r="B42" s="325" t="s">
        <v>709</v>
      </c>
      <c r="C42" s="340" t="str">
        <f>'Variable Management'!B270</f>
        <v>4.7pF</v>
      </c>
      <c r="D42" s="529" t="str">
        <f>"Capacitor, Ceramic, "&amp;'Variable Management'!B270&amp;", 100V, X7R, 20%"</f>
        <v>Capacitor, Ceramic, 4.7pF, 100V, X7R, 20%</v>
      </c>
      <c r="E42" s="530"/>
      <c r="F42" s="530"/>
      <c r="G42" s="337"/>
      <c r="H42" s="327"/>
      <c r="I42" s="328" t="s">
        <v>494</v>
      </c>
      <c r="J42" s="437" t="s">
        <v>494</v>
      </c>
      <c r="K42" s="439" t="str">
        <f>CHOOSE(Q42, 'Variable Management'!N69,'Variable Management'!N70,'Variable Management'!N71)</f>
        <v>1.6 x 0.8</v>
      </c>
      <c r="L42" s="433">
        <f>CHOOSE(RDSON_sense,CHOOSE(Q42,'Variable Management'!O69,'Variable Management'!O70,'Variable Management'!O71),0)</f>
        <v>1.3</v>
      </c>
      <c r="P42" s="455"/>
      <c r="Q42" s="458">
        <v>2</v>
      </c>
      <c r="R42" s="455"/>
      <c r="S42" s="455"/>
    </row>
    <row r="43" spans="1:19" s="317" customFormat="1" ht="17.100000000000001" customHeight="1" x14ac:dyDescent="0.2">
      <c r="A43" s="313">
        <f>ROUNDUP('Design Regulator'!E42/10,0)</f>
        <v>2</v>
      </c>
      <c r="B43" s="332" t="s">
        <v>501</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100V, X7S, 10%</v>
      </c>
      <c r="E43" s="523"/>
      <c r="F43" s="523"/>
      <c r="G43" s="334"/>
      <c r="H43" s="335"/>
      <c r="I43" s="336" t="s">
        <v>494</v>
      </c>
      <c r="J43" s="436" t="s">
        <v>494</v>
      </c>
      <c r="K43" s="440" t="str">
        <f>CHOOSE(Q43, 'Variable Management'!N69,'Variable Management'!N70,'Variable Management'!N71,'Variable Management'!N72,'Variable Management'!N73)</f>
        <v>3.2 x 2.5</v>
      </c>
      <c r="L43" s="441">
        <f>CHOOSE(Q43, 'Variable Management'!O69,'Variable Management'!O70,'Variable Management'!O71,'Variable Management'!O72,'Variable Management'!O73)*A43</f>
        <v>16</v>
      </c>
      <c r="P43" s="455"/>
      <c r="Q43" s="458">
        <v>5</v>
      </c>
      <c r="R43" s="455"/>
      <c r="S43" s="455"/>
    </row>
    <row r="44" spans="1:19" s="317" customFormat="1" ht="17.100000000000001" customHeight="1" x14ac:dyDescent="0.2">
      <c r="A44" s="313">
        <f>'Variable Management'!D242</f>
        <v>2</v>
      </c>
      <c r="B44" s="332" t="s">
        <v>502</v>
      </c>
      <c r="C44" s="339" t="str">
        <f>'Variable Management'!F243</f>
        <v>10µF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10µF, 50V, X7R, 10%</v>
      </c>
      <c r="E44" s="523"/>
      <c r="F44" s="523"/>
      <c r="G44" s="334"/>
      <c r="H44" s="335"/>
      <c r="I44" s="336" t="s">
        <v>494</v>
      </c>
      <c r="J44" s="436" t="s">
        <v>494</v>
      </c>
      <c r="K44" s="440" t="str">
        <f>CHOOSE(Q44, 'Variable Management'!N69,'Variable Management'!N70,'Variable Management'!N71,'Variable Management'!N72,'Variable Management'!N73)</f>
        <v>3.2 x 2.5</v>
      </c>
      <c r="L44" s="441">
        <f>CHOOSE(Q44, 'Variable Management'!O69,'Variable Management'!O70,'Variable Management'!O71,'Variable Management'!O72,'Variable Management'!O73)*A44</f>
        <v>16</v>
      </c>
      <c r="P44" s="455"/>
      <c r="Q44" s="458">
        <v>5</v>
      </c>
      <c r="R44" s="455"/>
      <c r="S44" s="455"/>
    </row>
    <row r="45" spans="1:19" s="317" customFormat="1" ht="17.100000000000001" customHeight="1" x14ac:dyDescent="0.2">
      <c r="A45" s="324">
        <v>1</v>
      </c>
      <c r="B45" s="325" t="s">
        <v>503</v>
      </c>
      <c r="C45" s="449">
        <f>'Design Regulator'!E50</f>
        <v>47</v>
      </c>
      <c r="D45" s="525">
        <f t="shared" ref="D45" si="1">C45</f>
        <v>47</v>
      </c>
      <c r="E45" s="526"/>
      <c r="F45" s="526"/>
      <c r="G45" s="337"/>
      <c r="H45" s="327"/>
      <c r="I45" s="328" t="s">
        <v>494</v>
      </c>
      <c r="J45" s="437" t="s">
        <v>494</v>
      </c>
      <c r="K45" s="450" t="str">
        <f>CHOOSE(Q45, 'Variable Management'!N69,'Variable Management'!N70,'Variable Management'!N71)</f>
        <v>1.6 x 0.8</v>
      </c>
      <c r="L45" s="451">
        <f>CHOOSE(Q45, 'Variable Management'!O69,'Variable Management'!O70,'Variable Management'!O71)</f>
        <v>1.3</v>
      </c>
      <c r="P45" s="455"/>
      <c r="Q45" s="458">
        <v>2</v>
      </c>
      <c r="R45" s="455"/>
      <c r="S45" s="455"/>
    </row>
    <row r="46" spans="1:19" s="317" customFormat="1" ht="17.100000000000001" customHeight="1" x14ac:dyDescent="0.2">
      <c r="A46" s="324">
        <v>1</v>
      </c>
      <c r="B46" s="325" t="s">
        <v>599</v>
      </c>
      <c r="C46" s="338">
        <v>2.2000000000000002</v>
      </c>
      <c r="D46" s="531">
        <f t="shared" si="0"/>
        <v>2.2000000000000002</v>
      </c>
      <c r="E46" s="532"/>
      <c r="F46" s="532"/>
      <c r="G46" s="337"/>
      <c r="H46" s="327"/>
      <c r="I46" s="328" t="s">
        <v>494</v>
      </c>
      <c r="J46" s="437" t="s">
        <v>494</v>
      </c>
      <c r="K46" s="439" t="str">
        <f>CHOOSE(Q46, 'Variable Management'!N69,'Variable Management'!N70,'Variable Management'!N71)</f>
        <v>2.0 x 1.25</v>
      </c>
      <c r="L46" s="433">
        <f>CHOOSE(Q46, 'Variable Management'!O69,'Variable Management'!O70,'Variable Management'!O71)</f>
        <v>2.5</v>
      </c>
      <c r="P46" s="455"/>
      <c r="Q46" s="458">
        <v>3</v>
      </c>
      <c r="R46" s="455"/>
      <c r="S46" s="455"/>
    </row>
    <row r="47" spans="1:19" s="317" customFormat="1" ht="17.100000000000001" customHeight="1" x14ac:dyDescent="0.2">
      <c r="A47" s="324">
        <v>1</v>
      </c>
      <c r="B47" s="325" t="s">
        <v>504</v>
      </c>
      <c r="C47" s="338">
        <v>0.1</v>
      </c>
      <c r="D47" s="527">
        <f t="shared" si="0"/>
        <v>0.1</v>
      </c>
      <c r="E47" s="528"/>
      <c r="F47" s="528"/>
      <c r="G47" s="337"/>
      <c r="H47" s="327"/>
      <c r="I47" s="328" t="s">
        <v>494</v>
      </c>
      <c r="J47" s="437" t="s">
        <v>494</v>
      </c>
      <c r="K47" s="439" t="str">
        <f>CHOOSE(Q47, 'Variable Management'!N69,'Variable Management'!N70,'Variable Management'!N71)</f>
        <v>1.6 x 0.8</v>
      </c>
      <c r="L47" s="433">
        <f>CHOOSE(Q47, 'Variable Management'!O69,'Variable Management'!O70,'Variable Management'!O71)</f>
        <v>1.3</v>
      </c>
      <c r="P47" s="455"/>
      <c r="Q47" s="458">
        <v>2</v>
      </c>
      <c r="R47" s="455"/>
      <c r="S47" s="455"/>
    </row>
    <row r="48" spans="1:19" s="317" customFormat="1" ht="17.100000000000001" customHeight="1" x14ac:dyDescent="0.2">
      <c r="A48" s="313">
        <v>1</v>
      </c>
      <c r="B48" s="332" t="s">
        <v>766</v>
      </c>
      <c r="C48" s="341">
        <f>'Design Regulator'!E17</f>
        <v>5.6</v>
      </c>
      <c r="D48" s="522" t="str">
        <f>"Inductor, "&amp;Lout2*1000000&amp;"µH, "&amp;Rdcr*1000&amp;"mΩ, &gt;"&amp;ROUNDUP(Ilsat,0)&amp;"A"</f>
        <v>Inductor, 5.6µH, 6mΩ, &gt;23A</v>
      </c>
      <c r="E48" s="523"/>
      <c r="F48" s="523"/>
      <c r="G48" s="524"/>
      <c r="H48" s="336"/>
      <c r="I48" s="336" t="s">
        <v>507</v>
      </c>
      <c r="J48" s="436" t="s">
        <v>507</v>
      </c>
      <c r="K48" s="440" t="str">
        <f>CHOOSE(Q48, 'Variable Management'!N78,'Variable Management'!N79,'Variable Management'!N80, 'Variable Management'!N81, 'Variable Management'!N82, 'Variable Management'!N83, 'Variable Management'!N84, 'Variable Management'!N85)</f>
        <v>10.0 x 10.0</v>
      </c>
      <c r="L48" s="441">
        <f>CHOOSE(Q48, 'Variable Management'!O78,'Variable Management'!O79,'Variable Management'!O80, 'Variable Management'!O81, 'Variable Management'!O82, 'Variable Management'!O83, 'Variable Management'!O84, 'Variable Management'!O85)</f>
        <v>100</v>
      </c>
      <c r="P48" s="455"/>
      <c r="Q48" s="458">
        <v>7</v>
      </c>
      <c r="R48" s="455"/>
      <c r="S48" s="455"/>
    </row>
    <row r="49" spans="1:19" s="317" customFormat="1" ht="17.100000000000001" customHeight="1" x14ac:dyDescent="0.2">
      <c r="A49" s="324">
        <f>R49</f>
        <v>1</v>
      </c>
      <c r="B49" s="325" t="s">
        <v>508</v>
      </c>
      <c r="C49" s="340" t="s">
        <v>495</v>
      </c>
      <c r="D49" s="545">
        <f>'Design Regulator'!E85</f>
        <v>52</v>
      </c>
      <c r="E49" s="546"/>
      <c r="F49" s="546"/>
      <c r="G49" s="547"/>
      <c r="H49" s="328"/>
      <c r="I49" s="328" t="str">
        <f>'Design Regulator'!E84</f>
        <v>CSD19538Q3A</v>
      </c>
      <c r="J49" s="437" t="s">
        <v>496</v>
      </c>
      <c r="K49" s="439" t="str">
        <f>CHOOSE(Q49, 'Variable Management'!N48,'Variable Management'!N49,'Variable Management'!N50,'Variable Management'!N51)</f>
        <v>5.0 x 6.0</v>
      </c>
      <c r="L49" s="433">
        <f>CHOOSE(Q49, 'Variable Management'!O48,'Variable Management'!O49,'Variable Management'!O50,'Variable Management'!O51)*R49</f>
        <v>30</v>
      </c>
      <c r="P49" s="455"/>
      <c r="Q49" s="458">
        <v>1</v>
      </c>
      <c r="R49" s="458">
        <v>1</v>
      </c>
      <c r="S49" s="455"/>
    </row>
    <row r="50" spans="1:19" s="317" customFormat="1" ht="17.100000000000001" customHeight="1" x14ac:dyDescent="0.2">
      <c r="A50" s="324">
        <f>R50</f>
        <v>1</v>
      </c>
      <c r="B50" s="325" t="s">
        <v>509</v>
      </c>
      <c r="C50" s="340" t="s">
        <v>495</v>
      </c>
      <c r="D50" s="545">
        <f>'Design Regulator'!E97</f>
        <v>10</v>
      </c>
      <c r="E50" s="546"/>
      <c r="F50" s="546"/>
      <c r="G50" s="547"/>
      <c r="H50" s="328"/>
      <c r="I50" s="328" t="str">
        <f>'Design Regulator'!E96</f>
        <v>NVMFS6B14NL</v>
      </c>
      <c r="J50" s="437" t="s">
        <v>496</v>
      </c>
      <c r="K50" s="439" t="str">
        <f>CHOOSE(Q50, 'Variable Management'!N48,'Variable Management'!N49,'Variable Management'!N50,'Variable Management'!N51)</f>
        <v>5.0 x 6.0</v>
      </c>
      <c r="L50" s="433">
        <f>CHOOSE(Q50, 'Variable Management'!O48,'Variable Management'!O49,'Variable Management'!O50,'Variable Management'!O51)*R50</f>
        <v>30</v>
      </c>
      <c r="P50" s="455"/>
      <c r="Q50" s="458">
        <v>1</v>
      </c>
      <c r="R50" s="458">
        <v>1</v>
      </c>
      <c r="S50" s="455"/>
    </row>
    <row r="51" spans="1:19" s="317" customFormat="1" ht="17.100000000000001" customHeight="1" x14ac:dyDescent="0.2">
      <c r="A51" s="324"/>
      <c r="B51" s="325"/>
      <c r="C51" s="340"/>
      <c r="D51" s="424"/>
      <c r="E51" s="425"/>
      <c r="F51" s="425"/>
      <c r="G51" s="426"/>
      <c r="H51" s="328"/>
      <c r="I51" s="328"/>
      <c r="J51" s="437"/>
      <c r="K51" s="439"/>
      <c r="L51" s="433"/>
      <c r="P51" s="455"/>
      <c r="Q51" s="458"/>
      <c r="R51" s="455"/>
      <c r="S51" s="455"/>
    </row>
    <row r="52" spans="1:19" s="317" customFormat="1" ht="17.100000000000001" customHeight="1" x14ac:dyDescent="0.2">
      <c r="A52" s="318">
        <v>1</v>
      </c>
      <c r="B52" s="319" t="s">
        <v>510</v>
      </c>
      <c r="C52" s="320">
        <f>'Design Regulator'!D74</f>
        <v>4.87</v>
      </c>
      <c r="D52" s="533">
        <f t="shared" ref="D52:D62" si="2">C52</f>
        <v>4.87</v>
      </c>
      <c r="E52" s="534"/>
      <c r="F52" s="534"/>
      <c r="G52" s="535"/>
      <c r="H52" s="321"/>
      <c r="I52" s="322" t="s">
        <v>494</v>
      </c>
      <c r="J52" s="438" t="s">
        <v>494</v>
      </c>
      <c r="K52" s="440" t="str">
        <f>CHOOSE(Q52, 'Variable Management'!N69,'Variable Management'!N70,'Variable Management'!N71)</f>
        <v>1.0 x 0.5</v>
      </c>
      <c r="L52" s="441">
        <f>CHOOSE(Q52, 'Variable Management'!O69,'Variable Management'!O70,'Variable Management'!O71)</f>
        <v>0.5</v>
      </c>
      <c r="P52" s="455"/>
      <c r="Q52" s="458">
        <v>1</v>
      </c>
      <c r="R52" s="455"/>
      <c r="S52" s="455"/>
    </row>
    <row r="53" spans="1:19" s="317" customFormat="1" ht="17.100000000000001" customHeight="1" x14ac:dyDescent="0.2">
      <c r="A53" s="318">
        <v>1</v>
      </c>
      <c r="B53" s="319" t="s">
        <v>511</v>
      </c>
      <c r="C53" s="323">
        <f>'Design Regulator'!D77</f>
        <v>36.5</v>
      </c>
      <c r="D53" s="519">
        <f t="shared" si="2"/>
        <v>36.5</v>
      </c>
      <c r="E53" s="520"/>
      <c r="F53" s="520"/>
      <c r="G53" s="521"/>
      <c r="H53" s="321"/>
      <c r="I53" s="322" t="s">
        <v>494</v>
      </c>
      <c r="J53" s="438" t="s">
        <v>494</v>
      </c>
      <c r="K53" s="440" t="str">
        <f>CHOOSE(Q52, 'Variable Management'!N69,'Variable Management'!N70,'Variable Management'!N71)</f>
        <v>1.0 x 0.5</v>
      </c>
      <c r="L53" s="441">
        <f>CHOOSE(Q53, 'Variable Management'!O69,'Variable Management'!O70,'Variable Management'!O71)</f>
        <v>0.5</v>
      </c>
      <c r="P53" s="455"/>
      <c r="Q53" s="458">
        <v>1</v>
      </c>
      <c r="R53" s="455"/>
      <c r="S53" s="455"/>
    </row>
    <row r="54" spans="1:19" s="317" customFormat="1" ht="17.100000000000001" customHeight="1" x14ac:dyDescent="0.2">
      <c r="A54" s="318">
        <v>1</v>
      </c>
      <c r="B54" s="319" t="s">
        <v>601</v>
      </c>
      <c r="C54" s="323">
        <f>'Design Regulator'!E26</f>
        <v>845</v>
      </c>
      <c r="D54" s="519">
        <f t="shared" si="2"/>
        <v>845</v>
      </c>
      <c r="E54" s="520"/>
      <c r="F54" s="520"/>
      <c r="G54" s="521"/>
      <c r="H54" s="321"/>
      <c r="I54" s="322" t="s">
        <v>494</v>
      </c>
      <c r="J54" s="438" t="s">
        <v>494</v>
      </c>
      <c r="K54" s="440" t="str">
        <f>CHOOSE(Q52, 'Variable Management'!N69,'Variable Management'!N70,'Variable Management'!N71)</f>
        <v>1.0 x 0.5</v>
      </c>
      <c r="L54" s="441">
        <f>CHOOSE(Q54, 'Variable Management'!O69,'Variable Management'!O70,'Variable Management'!O71)</f>
        <v>2.5</v>
      </c>
      <c r="P54" s="455"/>
      <c r="Q54" s="458">
        <v>3</v>
      </c>
      <c r="R54" s="455"/>
      <c r="S54" s="455"/>
    </row>
    <row r="55" spans="1:19" s="317" customFormat="1" ht="17.100000000000001" customHeight="1" x14ac:dyDescent="0.2">
      <c r="A55" s="318">
        <v>1</v>
      </c>
      <c r="B55" s="319" t="s">
        <v>602</v>
      </c>
      <c r="C55" s="320">
        <f>'Design Regulator'!E13</f>
        <v>10</v>
      </c>
      <c r="D55" s="533">
        <f t="shared" si="2"/>
        <v>10</v>
      </c>
      <c r="E55" s="534"/>
      <c r="F55" s="534"/>
      <c r="G55" s="535"/>
      <c r="H55" s="321"/>
      <c r="I55" s="322" t="s">
        <v>494</v>
      </c>
      <c r="J55" s="438" t="s">
        <v>494</v>
      </c>
      <c r="K55" s="440" t="str">
        <f>CHOOSE(Q55, 'Variable Management'!N69,'Variable Management'!N70,'Variable Management'!N71)</f>
        <v>1.0 x 0.5</v>
      </c>
      <c r="L55" s="441">
        <f>CHOOSE(Q55, 'Variable Management'!O69,'Variable Management'!O70,'Variable Management'!O71)</f>
        <v>0.5</v>
      </c>
      <c r="P55" s="455"/>
      <c r="Q55" s="458">
        <v>1</v>
      </c>
      <c r="R55" s="455"/>
      <c r="S55" s="455"/>
    </row>
    <row r="56" spans="1:19" s="317" customFormat="1" ht="17.100000000000001" customHeight="1" x14ac:dyDescent="0.2">
      <c r="A56" s="318">
        <v>1</v>
      </c>
      <c r="B56" s="319" t="s">
        <v>517</v>
      </c>
      <c r="C56" s="320">
        <f>'Design Regulator'!E63</f>
        <v>22.1</v>
      </c>
      <c r="D56" s="533">
        <f t="shared" si="2"/>
        <v>22.1</v>
      </c>
      <c r="E56" s="534"/>
      <c r="F56" s="534"/>
      <c r="G56" s="535"/>
      <c r="H56" s="321"/>
      <c r="I56" s="322" t="s">
        <v>494</v>
      </c>
      <c r="J56" s="438" t="s">
        <v>494</v>
      </c>
      <c r="K56" s="440" t="str">
        <f>CHOOSE(Q56, 'Variable Management'!N69,'Variable Management'!N70,'Variable Management'!N71)</f>
        <v>1.0 x 0.5</v>
      </c>
      <c r="L56" s="441">
        <f>CHOOSE(Q56, 'Variable Management'!O69,'Variable Management'!O70,'Variable Management'!O71)</f>
        <v>0.5</v>
      </c>
      <c r="P56" s="455"/>
      <c r="Q56" s="458">
        <v>1</v>
      </c>
      <c r="R56" s="455"/>
      <c r="S56" s="455"/>
    </row>
    <row r="57" spans="1:19" s="317" customFormat="1" ht="17.100000000000001" customHeight="1" x14ac:dyDescent="0.2">
      <c r="A57" s="318">
        <v>1</v>
      </c>
      <c r="B57" s="319" t="s">
        <v>518</v>
      </c>
      <c r="C57" s="320">
        <f>'Design Regulator'!E64</f>
        <v>0.76800000000000002</v>
      </c>
      <c r="D57" s="533">
        <f t="shared" si="2"/>
        <v>0.76800000000000002</v>
      </c>
      <c r="E57" s="534"/>
      <c r="F57" s="534"/>
      <c r="G57" s="535"/>
      <c r="H57" s="321"/>
      <c r="I57" s="322" t="s">
        <v>494</v>
      </c>
      <c r="J57" s="438" t="s">
        <v>494</v>
      </c>
      <c r="K57" s="440" t="str">
        <f>CHOOSE(Q57, 'Variable Management'!N69,'Variable Management'!N70,'Variable Management'!N71)</f>
        <v>1.0 x 0.5</v>
      </c>
      <c r="L57" s="441">
        <f>CHOOSE(Q57, 'Variable Management'!O69,'Variable Management'!O70,'Variable Management'!O71)</f>
        <v>0.5</v>
      </c>
      <c r="P57" s="455"/>
      <c r="Q57" s="458">
        <v>1</v>
      </c>
      <c r="R57" s="455"/>
      <c r="S57" s="455"/>
    </row>
    <row r="58" spans="1:19" s="317" customFormat="1" ht="17.100000000000001" customHeight="1" x14ac:dyDescent="0.2">
      <c r="A58" s="324">
        <v>1</v>
      </c>
      <c r="B58" s="325" t="s">
        <v>516</v>
      </c>
      <c r="C58" s="326">
        <v>20</v>
      </c>
      <c r="D58" s="542">
        <f t="shared" si="2"/>
        <v>20</v>
      </c>
      <c r="E58" s="543"/>
      <c r="F58" s="543"/>
      <c r="G58" s="544"/>
      <c r="H58" s="327"/>
      <c r="I58" s="328" t="s">
        <v>494</v>
      </c>
      <c r="J58" s="437" t="s">
        <v>494</v>
      </c>
      <c r="K58" s="439" t="str">
        <f>CHOOSE(Q58, 'Variable Management'!N69,'Variable Management'!N70,'Variable Management'!N71)</f>
        <v>1.0 x 0.5</v>
      </c>
      <c r="L58" s="433">
        <f>CHOOSE(Q58, 'Variable Management'!O69,'Variable Management'!O70,'Variable Management'!O71)</f>
        <v>0.5</v>
      </c>
      <c r="P58" s="455"/>
      <c r="Q58" s="458">
        <v>1</v>
      </c>
      <c r="R58" s="455"/>
      <c r="S58" s="455"/>
    </row>
    <row r="59" spans="1:19" s="317" customFormat="1" ht="17.100000000000001" customHeight="1" x14ac:dyDescent="0.2">
      <c r="A59" s="324">
        <v>1</v>
      </c>
      <c r="B59" s="325" t="s">
        <v>515</v>
      </c>
      <c r="C59" s="473">
        <f>'Design Regulator'!E24</f>
        <v>6</v>
      </c>
      <c r="D59" s="551">
        <f t="shared" si="2"/>
        <v>6</v>
      </c>
      <c r="E59" s="552"/>
      <c r="F59" s="552"/>
      <c r="G59" s="553"/>
      <c r="H59" s="472">
        <v>1206</v>
      </c>
      <c r="I59" s="328" t="s">
        <v>494</v>
      </c>
      <c r="J59" s="437" t="s">
        <v>494</v>
      </c>
      <c r="K59" s="439" t="s">
        <v>634</v>
      </c>
      <c r="L59" s="433">
        <f>CHOOSE(RDSON_sense, 0,5.1)</f>
        <v>0</v>
      </c>
      <c r="P59" s="455"/>
      <c r="Q59" s="458"/>
      <c r="R59" s="455"/>
      <c r="S59" s="455"/>
    </row>
    <row r="60" spans="1:19" s="317" customFormat="1" ht="17.100000000000001" customHeight="1" x14ac:dyDescent="0.2">
      <c r="A60" s="318">
        <v>1</v>
      </c>
      <c r="B60" s="319" t="s">
        <v>512</v>
      </c>
      <c r="C60" s="320">
        <f>'Design Regulator'!E53</f>
        <v>200</v>
      </c>
      <c r="D60" s="533">
        <f t="shared" si="2"/>
        <v>200</v>
      </c>
      <c r="E60" s="534"/>
      <c r="F60" s="534"/>
      <c r="G60" s="535"/>
      <c r="H60" s="321"/>
      <c r="I60" s="322" t="s">
        <v>494</v>
      </c>
      <c r="J60" s="438" t="s">
        <v>494</v>
      </c>
      <c r="K60" s="440" t="str">
        <f>CHOOSE(Q60, 'Variable Management'!N69,'Variable Management'!N70,'Variable Management'!N71)</f>
        <v>1.6 x 0.8</v>
      </c>
      <c r="L60" s="441">
        <f>CHOOSE(Q60, 'Variable Management'!O69,'Variable Management'!O70,'Variable Management'!O71)</f>
        <v>1.3</v>
      </c>
      <c r="P60" s="455"/>
      <c r="Q60" s="458">
        <v>2</v>
      </c>
      <c r="R60" s="455"/>
      <c r="S60" s="455"/>
    </row>
    <row r="61" spans="1:19" s="317" customFormat="1" ht="17.100000000000001" customHeight="1" x14ac:dyDescent="0.2">
      <c r="A61" s="318">
        <v>1</v>
      </c>
      <c r="B61" s="319" t="s">
        <v>513</v>
      </c>
      <c r="C61" s="320">
        <f>'Design Regulator'!E54</f>
        <v>8.25</v>
      </c>
      <c r="D61" s="533">
        <f t="shared" si="2"/>
        <v>8.25</v>
      </c>
      <c r="E61" s="534"/>
      <c r="F61" s="534"/>
      <c r="G61" s="535"/>
      <c r="H61" s="321"/>
      <c r="I61" s="322" t="s">
        <v>494</v>
      </c>
      <c r="J61" s="438" t="s">
        <v>494</v>
      </c>
      <c r="K61" s="440" t="str">
        <f>CHOOSE(Q61, 'Variable Management'!N69,'Variable Management'!N70,'Variable Management'!N71)</f>
        <v>1.0 x 0.5</v>
      </c>
      <c r="L61" s="441">
        <f>CHOOSE(Q61, 'Variable Management'!O69,'Variable Management'!O70,'Variable Management'!O71)</f>
        <v>0.5</v>
      </c>
      <c r="P61" s="455"/>
      <c r="Q61" s="458">
        <v>1</v>
      </c>
      <c r="R61" s="455"/>
      <c r="S61" s="455"/>
    </row>
    <row r="62" spans="1:19" s="317" customFormat="1" ht="17.100000000000001" customHeight="1" x14ac:dyDescent="0.2">
      <c r="A62" s="324">
        <v>1</v>
      </c>
      <c r="B62" s="325" t="s">
        <v>514</v>
      </c>
      <c r="C62" s="340">
        <v>2.2000000000000002</v>
      </c>
      <c r="D62" s="548">
        <f t="shared" si="2"/>
        <v>2.2000000000000002</v>
      </c>
      <c r="E62" s="549"/>
      <c r="F62" s="549"/>
      <c r="G62" s="550"/>
      <c r="H62" s="327"/>
      <c r="I62" s="328" t="s">
        <v>494</v>
      </c>
      <c r="J62" s="437" t="s">
        <v>494</v>
      </c>
      <c r="K62" s="439" t="str">
        <f>CHOOSE(Q62, 'Variable Management'!N69,'Variable Management'!N70,'Variable Management'!N71)</f>
        <v>1.0 x 0.5</v>
      </c>
      <c r="L62" s="433">
        <f>CHOOSE(Q62, 'Variable Management'!O69,'Variable Management'!O70,'Variable Management'!O71)</f>
        <v>0.5</v>
      </c>
      <c r="P62" s="455"/>
      <c r="Q62" s="458">
        <v>1</v>
      </c>
      <c r="R62" s="455"/>
      <c r="S62" s="455"/>
    </row>
    <row r="63" spans="1:19" s="317" customFormat="1" ht="17.100000000000001" customHeight="1" x14ac:dyDescent="0.2">
      <c r="A63" s="343">
        <v>1</v>
      </c>
      <c r="B63" s="344" t="s">
        <v>519</v>
      </c>
      <c r="C63" s="342" t="str">
        <f>CHOOSE(VARIANT, "LM5145", "LM5145-Q1", "LM25145", "LM5146", "LM5146-Q1")</f>
        <v>LM5146</v>
      </c>
      <c r="D63" s="539" t="str">
        <f>CHOOSE(VARIANT, "IC, LM5145, PWM Controller, 6V-75V Input", "IC, LM5145-Q1, PWM Controller, 6V-75V Input", "IC, LM25145, PWM Controller, 6V-42V Input", "IC, LM5146 PWM Controller, 5.5V-100V Input", "IC, LM5146-Q1, PWM Controller, 5.5V-100V Input")</f>
        <v>IC, LM5146 PWM Controller, 5.5V-100V Input</v>
      </c>
      <c r="E63" s="540"/>
      <c r="F63" s="540"/>
      <c r="G63" s="541"/>
      <c r="H63" s="345" t="s">
        <v>618</v>
      </c>
      <c r="I63" s="345" t="str">
        <f>CHOOSE(VARIANT, "LM5145RGYR", "LM5145QRGYRQ1", "LM25145RGYR", "LM5146RGYR", "LM5146QRGYRQ1",)</f>
        <v>LM5146RGYR</v>
      </c>
      <c r="J63" s="423" t="s">
        <v>496</v>
      </c>
      <c r="K63" s="439" t="s">
        <v>705</v>
      </c>
      <c r="L63" s="434">
        <v>15.75</v>
      </c>
      <c r="P63" s="455"/>
      <c r="Q63" s="458"/>
      <c r="R63" s="455"/>
      <c r="S63" s="455"/>
    </row>
    <row r="64" spans="1:19" x14ac:dyDescent="0.2">
      <c r="P64" s="464"/>
      <c r="Q64" s="465"/>
      <c r="R64" s="464"/>
      <c r="S64" s="464"/>
    </row>
    <row r="65" spans="1:15" ht="18.75" x14ac:dyDescent="0.25">
      <c r="I65" s="518" t="s">
        <v>668</v>
      </c>
      <c r="J65" s="518"/>
      <c r="K65" s="518"/>
      <c r="L65" s="444">
        <f>SUM(L38:L63)*1.25</f>
        <v>280.9375</v>
      </c>
      <c r="M65" s="445" t="s">
        <v>669</v>
      </c>
      <c r="N65" s="446">
        <f>L65/25.4/25.4</f>
        <v>0.43545399590799183</v>
      </c>
      <c r="O65" s="445" t="s">
        <v>670</v>
      </c>
    </row>
    <row r="66" spans="1:15" x14ac:dyDescent="0.2">
      <c r="A66" s="351" t="s">
        <v>537</v>
      </c>
    </row>
    <row r="67" spans="1:15" x14ac:dyDescent="0.2">
      <c r="A67" s="310" t="s">
        <v>536</v>
      </c>
    </row>
    <row r="68" spans="1:15" x14ac:dyDescent="0.2">
      <c r="A68" s="310" t="s">
        <v>704</v>
      </c>
    </row>
    <row r="455" spans="17:17" x14ac:dyDescent="0.2">
      <c r="Q455" s="310">
        <v>2</v>
      </c>
    </row>
  </sheetData>
  <sheetProtection algorithmName="SHA-512" hashValue="krwzp8ekoN0dSGTZZP6A75/wCRHduBqse/fAtGr5sWD/Gr0HghhzdmX50qS5gSIlnyq/Jke7EuYuVjiBhkRVvw==" saltValue="EgPEQVuZ+VJgMx0WOOXibA=="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200025</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200025</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200025</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200025</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200025</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200025</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200025</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200025</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200025</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200025</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200025</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200025</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200025</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200025</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200025</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200025</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200025</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200025</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200025</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200025</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200025</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200025</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200025</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1171575</xdr:colOff>
                    <xdr:row>48</xdr:row>
                    <xdr:rowOff>9525</xdr:rowOff>
                  </from>
                  <to>
                    <xdr:col>6</xdr:col>
                    <xdr:colOff>638175</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1171575</xdr:colOff>
                    <xdr:row>49</xdr:row>
                    <xdr:rowOff>0</xdr:rowOff>
                  </from>
                  <to>
                    <xdr:col>6</xdr:col>
                    <xdr:colOff>638175</xdr:colOff>
                    <xdr:row>49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85" zoomScaleNormal="85" zoomScaleSheetLayoutView="80" workbookViewId="0">
      <selection activeCell="AD89" sqref="AD89"/>
    </sheetView>
  </sheetViews>
  <sheetFormatPr defaultColWidth="9.140625" defaultRowHeight="12.75" x14ac:dyDescent="0.2"/>
  <cols>
    <col min="1" max="13" width="9.140625" style="492"/>
    <col min="14" max="14" width="11.85546875" style="492" customWidth="1"/>
    <col min="15" max="16" width="9.140625" style="492"/>
    <col min="17" max="17" width="15.7109375" style="492" customWidth="1"/>
    <col min="18" max="16384" width="9.140625" style="492"/>
  </cols>
  <sheetData>
    <row r="1" spans="1:23" s="491" customFormat="1" ht="47.25" customHeight="1" x14ac:dyDescent="0.2">
      <c r="A1" s="560" t="s">
        <v>740</v>
      </c>
      <c r="B1" s="561"/>
      <c r="C1" s="561"/>
      <c r="D1" s="561"/>
      <c r="E1" s="561"/>
      <c r="F1" s="561"/>
      <c r="G1" s="561"/>
      <c r="H1" s="561"/>
      <c r="I1" s="561"/>
      <c r="J1" s="561"/>
      <c r="K1" s="561"/>
      <c r="L1" s="561"/>
      <c r="M1" s="561"/>
      <c r="N1" s="561"/>
      <c r="O1" s="561"/>
      <c r="P1" s="561"/>
      <c r="Q1" s="561"/>
    </row>
    <row r="2" spans="1:23" ht="20.25" x14ac:dyDescent="0.3">
      <c r="M2" s="493"/>
      <c r="W2" s="493"/>
    </row>
    <row r="3" spans="1:23" ht="20.25" x14ac:dyDescent="0.3">
      <c r="B3" s="493" t="s">
        <v>737</v>
      </c>
    </row>
    <row r="5" spans="1:23" ht="20.25" x14ac:dyDescent="0.2">
      <c r="O5" s="494"/>
    </row>
    <row r="6" spans="1:23" ht="20.25" x14ac:dyDescent="0.2">
      <c r="O6" s="494"/>
    </row>
    <row r="31" spans="15:15" ht="20.25" x14ac:dyDescent="0.2">
      <c r="O31" s="495"/>
    </row>
    <row r="32" spans="15:15" ht="20.25" x14ac:dyDescent="0.2">
      <c r="O32" s="494"/>
    </row>
    <row r="46" spans="2:2" ht="20.25" x14ac:dyDescent="0.3">
      <c r="B46" s="493" t="s">
        <v>749</v>
      </c>
    </row>
    <row r="50" spans="15:25" ht="20.25" x14ac:dyDescent="0.2">
      <c r="O50" s="494" t="s">
        <v>750</v>
      </c>
    </row>
    <row r="51" spans="15:25" ht="20.25" x14ac:dyDescent="0.2">
      <c r="O51" s="494" t="s">
        <v>751</v>
      </c>
      <c r="Y51" s="492" t="s">
        <v>738</v>
      </c>
    </row>
    <row r="76" spans="15:15" ht="20.25" x14ac:dyDescent="0.2">
      <c r="O76" s="495" t="s">
        <v>752</v>
      </c>
    </row>
    <row r="77" spans="15:15" ht="20.25" x14ac:dyDescent="0.2">
      <c r="O77" s="494"/>
    </row>
    <row r="102" spans="15:15" ht="20.25" x14ac:dyDescent="0.2">
      <c r="O102" s="495" t="s">
        <v>753</v>
      </c>
    </row>
    <row r="129" spans="15:15" ht="20.25" x14ac:dyDescent="0.2">
      <c r="O129" s="494" t="s">
        <v>754</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95" activePane="bottomLeft" state="frozenSplit"/>
      <selection pane="bottomLeft" activeCell="B211" sqref="B211"/>
    </sheetView>
  </sheetViews>
  <sheetFormatPr defaultRowHeight="12.75" x14ac:dyDescent="0.2"/>
  <cols>
    <col min="1" max="1" width="35.140625" bestFit="1" customWidth="1"/>
    <col min="2" max="2" width="19.140625" customWidth="1"/>
    <col min="7" max="7" width="18.85546875" customWidth="1"/>
    <col min="9" max="10" width="12.42578125" bestFit="1" customWidth="1"/>
    <col min="12" max="12" width="19.85546875" customWidth="1"/>
    <col min="14" max="14" width="11.42578125" customWidth="1"/>
    <col min="17" max="17" width="10.5703125" customWidth="1"/>
    <col min="20" max="20" width="10.85546875" customWidth="1"/>
    <col min="21" max="21" width="10.5703125" customWidth="1"/>
  </cols>
  <sheetData>
    <row r="1" spans="1:22" ht="40.5" customHeight="1" x14ac:dyDescent="0.4">
      <c r="A1" s="563" t="s">
        <v>285</v>
      </c>
      <c r="B1" s="563"/>
      <c r="C1" s="563"/>
      <c r="D1" s="563"/>
      <c r="E1" s="563"/>
      <c r="F1" s="563"/>
      <c r="G1" s="563"/>
      <c r="H1" s="563"/>
    </row>
    <row r="2" spans="1:22" ht="12" customHeight="1" x14ac:dyDescent="0.2">
      <c r="A2" s="56"/>
      <c r="B2" s="56" t="s">
        <v>359</v>
      </c>
      <c r="C2" s="64"/>
      <c r="D2" s="56"/>
      <c r="E2" s="56"/>
      <c r="F2" s="56"/>
      <c r="G2" s="56"/>
      <c r="H2" s="56"/>
    </row>
    <row r="3" spans="1:22" ht="11.25" customHeight="1" x14ac:dyDescent="0.2">
      <c r="A3" s="56"/>
      <c r="B3" s="56" t="s">
        <v>419</v>
      </c>
      <c r="C3" s="65"/>
      <c r="D3" s="56"/>
      <c r="E3" s="56"/>
      <c r="F3" s="56"/>
      <c r="G3" s="56"/>
      <c r="H3" s="56"/>
    </row>
    <row r="4" spans="1:22" ht="11.25" customHeight="1" x14ac:dyDescent="0.2">
      <c r="A4" s="56"/>
      <c r="B4" s="56" t="s">
        <v>360</v>
      </c>
      <c r="C4" s="66"/>
      <c r="D4" s="56"/>
      <c r="E4" s="56"/>
      <c r="F4" s="56"/>
      <c r="G4" s="56"/>
      <c r="H4" s="56"/>
    </row>
    <row r="5" spans="1:22" x14ac:dyDescent="0.2">
      <c r="A5" s="2" t="s">
        <v>113</v>
      </c>
      <c r="B5" s="2" t="s">
        <v>8</v>
      </c>
      <c r="C5" s="2" t="s">
        <v>9</v>
      </c>
      <c r="D5" s="562" t="s">
        <v>13</v>
      </c>
      <c r="E5" s="562"/>
      <c r="F5" s="562"/>
      <c r="G5" s="562"/>
      <c r="H5" s="2" t="s">
        <v>38</v>
      </c>
    </row>
    <row r="6" spans="1:22" ht="16.5" thickBot="1" x14ac:dyDescent="0.3">
      <c r="A6" s="133" t="s">
        <v>287</v>
      </c>
      <c r="B6" s="2"/>
      <c r="C6" s="2"/>
      <c r="D6" s="56"/>
      <c r="E6" s="56"/>
      <c r="F6" s="56"/>
      <c r="G6" s="56"/>
      <c r="H6" s="2"/>
    </row>
    <row r="7" spans="1:22" x14ac:dyDescent="0.2">
      <c r="A7" s="134" t="s">
        <v>4</v>
      </c>
      <c r="B7" s="18">
        <f>'Design Regulator'!E7</f>
        <v>48</v>
      </c>
      <c r="C7" s="94" t="s">
        <v>0</v>
      </c>
      <c r="D7" s="94" t="s">
        <v>14</v>
      </c>
      <c r="E7" s="94"/>
      <c r="F7" s="94"/>
      <c r="G7" s="94"/>
      <c r="H7" s="95">
        <v>1</v>
      </c>
      <c r="U7" s="427" t="s">
        <v>744</v>
      </c>
      <c r="V7" s="499">
        <v>1</v>
      </c>
    </row>
    <row r="8" spans="1:22" x14ac:dyDescent="0.2">
      <c r="A8" s="388" t="s">
        <v>570</v>
      </c>
      <c r="B8" s="39">
        <f>'Design Regulator'!E6</f>
        <v>36</v>
      </c>
      <c r="C8" s="171" t="s">
        <v>0</v>
      </c>
      <c r="D8" s="171" t="s">
        <v>573</v>
      </c>
      <c r="H8" s="88"/>
      <c r="U8" s="427" t="s">
        <v>745</v>
      </c>
      <c r="V8" s="499">
        <v>2</v>
      </c>
    </row>
    <row r="9" spans="1:22" x14ac:dyDescent="0.2">
      <c r="A9" s="388" t="s">
        <v>569</v>
      </c>
      <c r="B9" s="39">
        <f>'Design Regulator'!E8</f>
        <v>85</v>
      </c>
      <c r="C9" s="171" t="s">
        <v>0</v>
      </c>
      <c r="D9" s="171" t="s">
        <v>574</v>
      </c>
      <c r="H9" s="88"/>
      <c r="U9" s="427" t="s">
        <v>746</v>
      </c>
      <c r="V9" s="499">
        <v>3</v>
      </c>
    </row>
    <row r="10" spans="1:22" x14ac:dyDescent="0.2">
      <c r="A10" s="87" t="s">
        <v>5</v>
      </c>
      <c r="B10" s="39">
        <f>'Design Regulator'!E9</f>
        <v>24</v>
      </c>
      <c r="C10" t="s">
        <v>0</v>
      </c>
      <c r="D10" t="s">
        <v>1</v>
      </c>
      <c r="H10" s="88">
        <v>1</v>
      </c>
      <c r="U10" s="427" t="s">
        <v>747</v>
      </c>
      <c r="V10" s="499">
        <v>4</v>
      </c>
    </row>
    <row r="11" spans="1:22" x14ac:dyDescent="0.2">
      <c r="A11" s="87" t="s">
        <v>6</v>
      </c>
      <c r="B11" s="39">
        <f>'Design Regulator'!E10</f>
        <v>15</v>
      </c>
      <c r="C11" t="s">
        <v>2</v>
      </c>
      <c r="D11" t="s">
        <v>15</v>
      </c>
      <c r="H11" s="88">
        <v>1</v>
      </c>
      <c r="U11" s="427" t="s">
        <v>736</v>
      </c>
      <c r="V11" s="499">
        <v>5</v>
      </c>
    </row>
    <row r="12" spans="1:22" x14ac:dyDescent="0.2">
      <c r="A12" s="89" t="s">
        <v>7</v>
      </c>
      <c r="B12" s="353">
        <f>IF(AND('Design Regulator'!E12&lt;='Design Regulator'!E11*1.5, 'Design Regulator'!E12&gt;='Design Regulator'!E11*0.8), 'Design Regulator'!E12*1000, 'Design Regulator'!E11*1000)</f>
        <v>1000000</v>
      </c>
      <c r="C12" s="171" t="s">
        <v>10</v>
      </c>
      <c r="D12" t="s">
        <v>16</v>
      </c>
      <c r="H12" s="88">
        <v>1</v>
      </c>
      <c r="T12" s="383" t="s">
        <v>741</v>
      </c>
      <c r="U12" s="500" t="str">
        <f>CHOOSE(VARIANT, "LM5145", "LM5145-Q1", "LM25145", "LM5146", "LM5146-Q1")</f>
        <v>LM5146</v>
      </c>
      <c r="V12" s="383">
        <v>4</v>
      </c>
    </row>
    <row r="13" spans="1:22" x14ac:dyDescent="0.2">
      <c r="A13" s="388" t="s">
        <v>702</v>
      </c>
      <c r="B13" s="353">
        <f>'Design Regulator'!E11*1000</f>
        <v>1000000</v>
      </c>
      <c r="C13" s="171" t="s">
        <v>10</v>
      </c>
      <c r="D13" s="171" t="s">
        <v>703</v>
      </c>
      <c r="H13" s="88"/>
      <c r="T13" s="383" t="s">
        <v>742</v>
      </c>
      <c r="U13" s="500">
        <f>CHOOSE(VARIANT, 75, 75, 42, 100, 100)</f>
        <v>100</v>
      </c>
      <c r="V13" t="s">
        <v>0</v>
      </c>
    </row>
    <row r="14" spans="1:22" x14ac:dyDescent="0.2">
      <c r="A14" s="89" t="s">
        <v>78</v>
      </c>
      <c r="B14" s="90">
        <v>0.8</v>
      </c>
      <c r="C14" t="s">
        <v>0</v>
      </c>
      <c r="D14" t="s">
        <v>79</v>
      </c>
      <c r="H14" s="88"/>
      <c r="T14" s="383" t="s">
        <v>748</v>
      </c>
      <c r="U14" s="500">
        <f>CHOOSE(VARIANT, 6, 6, 6, 5.5, 5.5)</f>
        <v>5.5</v>
      </c>
      <c r="V14" s="171" t="s">
        <v>0</v>
      </c>
    </row>
    <row r="15" spans="1:22" x14ac:dyDescent="0.2">
      <c r="A15" s="306" t="s">
        <v>568</v>
      </c>
      <c r="B15" s="166">
        <f>1/(B13*0.0000000001)</f>
        <v>10000</v>
      </c>
      <c r="C15" s="309" t="s">
        <v>208</v>
      </c>
      <c r="H15" s="88"/>
      <c r="T15" s="383" t="s">
        <v>743</v>
      </c>
      <c r="U15" s="500">
        <f>CHOOSE(VARIANT, 60, 60, 42, 60, 60)</f>
        <v>60</v>
      </c>
      <c r="V15" s="171" t="s">
        <v>0</v>
      </c>
    </row>
    <row r="16" spans="1:22" x14ac:dyDescent="0.2">
      <c r="A16" s="388"/>
      <c r="B16" s="63"/>
      <c r="C16" s="309"/>
      <c r="H16" s="88"/>
    </row>
    <row r="17" spans="1:22" x14ac:dyDescent="0.2">
      <c r="A17" s="388" t="s">
        <v>686</v>
      </c>
      <c r="B17" s="453">
        <f>B38/Fsw*1000000000</f>
        <v>287.30591442455841</v>
      </c>
      <c r="C17" s="171" t="s">
        <v>147</v>
      </c>
      <c r="H17" s="88"/>
    </row>
    <row r="18" spans="1:22" x14ac:dyDescent="0.2">
      <c r="A18" s="306" t="s">
        <v>685</v>
      </c>
      <c r="B18" s="454">
        <f>B37/Fsw*1000000000</f>
        <v>314.6734520780322</v>
      </c>
      <c r="C18" s="171" t="s">
        <v>147</v>
      </c>
      <c r="H18" s="88"/>
    </row>
    <row r="19" spans="1:22" ht="13.5" thickBot="1" x14ac:dyDescent="0.25">
      <c r="A19" s="91"/>
      <c r="B19" s="157"/>
      <c r="C19" s="92"/>
      <c r="D19" s="92"/>
      <c r="E19" s="92"/>
      <c r="F19" s="92"/>
      <c r="G19" s="92"/>
      <c r="H19" s="93"/>
      <c r="U19" s="427" t="s">
        <v>760</v>
      </c>
      <c r="V19" s="173">
        <v>1</v>
      </c>
    </row>
    <row r="20" spans="1:22" x14ac:dyDescent="0.2">
      <c r="U20" s="427" t="s">
        <v>755</v>
      </c>
      <c r="V20" s="173">
        <v>2</v>
      </c>
    </row>
    <row r="21" spans="1:22" x14ac:dyDescent="0.2">
      <c r="U21" s="501" t="s">
        <v>756</v>
      </c>
      <c r="V21" s="383">
        <v>1</v>
      </c>
    </row>
    <row r="22" spans="1:22" ht="16.5" thickBot="1" x14ac:dyDescent="0.3">
      <c r="A22" s="133" t="s">
        <v>112</v>
      </c>
    </row>
    <row r="23" spans="1:22" x14ac:dyDescent="0.2">
      <c r="A23" s="135" t="s">
        <v>19</v>
      </c>
      <c r="B23" s="389">
        <f>Vout/Vin</f>
        <v>0.5</v>
      </c>
      <c r="C23" s="94" t="s">
        <v>23</v>
      </c>
      <c r="D23" s="94" t="s">
        <v>17</v>
      </c>
      <c r="E23" s="94"/>
      <c r="F23" s="94"/>
      <c r="G23" s="94"/>
      <c r="H23" s="95">
        <v>1</v>
      </c>
    </row>
    <row r="24" spans="1:22" x14ac:dyDescent="0.2">
      <c r="A24" s="96" t="s">
        <v>20</v>
      </c>
      <c r="B24" s="391">
        <f>1-23:23</f>
        <v>0.5</v>
      </c>
      <c r="C24" t="s">
        <v>23</v>
      </c>
      <c r="D24" t="s">
        <v>18</v>
      </c>
      <c r="H24" s="88">
        <v>1</v>
      </c>
    </row>
    <row r="25" spans="1:22" x14ac:dyDescent="0.2">
      <c r="A25" s="392" t="s">
        <v>679</v>
      </c>
      <c r="B25" s="391">
        <f>Vout/Vinmin</f>
        <v>0.66666666666666663</v>
      </c>
      <c r="H25" s="88"/>
    </row>
    <row r="26" spans="1:22" x14ac:dyDescent="0.2">
      <c r="A26" s="392" t="s">
        <v>680</v>
      </c>
      <c r="B26" s="391">
        <f>1-B25</f>
        <v>0.33333333333333337</v>
      </c>
      <c r="H26" s="88"/>
    </row>
    <row r="27" spans="1:22" x14ac:dyDescent="0.2">
      <c r="A27" s="392" t="s">
        <v>572</v>
      </c>
      <c r="B27" s="391">
        <f>Vout/Vinmax</f>
        <v>0.28235294117647058</v>
      </c>
      <c r="H27" s="88"/>
    </row>
    <row r="28" spans="1:22" x14ac:dyDescent="0.2">
      <c r="A28" s="392" t="s">
        <v>571</v>
      </c>
      <c r="B28" s="391">
        <f>1-B27</f>
        <v>0.71764705882352942</v>
      </c>
      <c r="H28" s="88"/>
    </row>
    <row r="29" spans="1:22" x14ac:dyDescent="0.2">
      <c r="A29" s="392"/>
      <c r="B29" s="395"/>
      <c r="H29" s="88"/>
    </row>
    <row r="30" spans="1:22" x14ac:dyDescent="0.2">
      <c r="A30" s="96" t="s">
        <v>31</v>
      </c>
      <c r="B30" s="359">
        <f>(Vin-Vout)*_Don1/(Fsw*Iout*0.333)</f>
        <v>2.4024024024024026E-6</v>
      </c>
      <c r="C30" t="s">
        <v>24</v>
      </c>
      <c r="D30" t="s">
        <v>420</v>
      </c>
      <c r="H30" s="88">
        <v>1</v>
      </c>
    </row>
    <row r="31" spans="1:22" x14ac:dyDescent="0.2">
      <c r="A31" s="87" t="s">
        <v>32</v>
      </c>
      <c r="B31" s="114">
        <f>'Design Regulator'!E17/1000000</f>
        <v>5.5999999999999997E-6</v>
      </c>
      <c r="C31" t="s">
        <v>24</v>
      </c>
      <c r="D31" s="171" t="s">
        <v>539</v>
      </c>
      <c r="H31" s="88">
        <v>2</v>
      </c>
    </row>
    <row r="32" spans="1:22" x14ac:dyDescent="0.2">
      <c r="A32" s="87" t="s">
        <v>12</v>
      </c>
      <c r="B32" s="39">
        <f>'Design Regulator'!E18/1000</f>
        <v>6.0000000000000001E-3</v>
      </c>
      <c r="C32" s="309" t="s">
        <v>208</v>
      </c>
      <c r="D32" s="171" t="s">
        <v>418</v>
      </c>
      <c r="H32" s="88">
        <v>1</v>
      </c>
    </row>
    <row r="33" spans="1:18" x14ac:dyDescent="0.2">
      <c r="A33" s="387"/>
      <c r="C33" s="309"/>
      <c r="D33" s="171"/>
      <c r="H33" s="88"/>
    </row>
    <row r="34" spans="1:18" x14ac:dyDescent="0.2">
      <c r="A34" s="306" t="s">
        <v>21</v>
      </c>
      <c r="B34" s="452">
        <f>(Vout+(Rdcr+RdsonBot)*Iout)/(Vin+(RdsonBot-RdsonTop)*Iout)</f>
        <v>0.51171627612412918</v>
      </c>
      <c r="D34" s="2" t="s">
        <v>421</v>
      </c>
      <c r="H34" s="88">
        <v>2</v>
      </c>
    </row>
    <row r="35" spans="1:18" x14ac:dyDescent="0.2">
      <c r="A35" s="306" t="s">
        <v>22</v>
      </c>
      <c r="B35" s="452">
        <f>1-_Don2</f>
        <v>0.48828372387587082</v>
      </c>
      <c r="D35" s="2" t="s">
        <v>422</v>
      </c>
      <c r="H35" s="88">
        <v>2</v>
      </c>
    </row>
    <row r="36" spans="1:18" x14ac:dyDescent="0.2">
      <c r="A36" s="388" t="s">
        <v>681</v>
      </c>
      <c r="B36" s="452">
        <f>(Vout+(Rdcr+RdsonBot)*Iout)/(Vinmin+(RdsonBot-RdsonTop)*Iout)</f>
        <v>0.68532654792196779</v>
      </c>
      <c r="H36" s="88"/>
    </row>
    <row r="37" spans="1:18" x14ac:dyDescent="0.2">
      <c r="A37" s="388" t="s">
        <v>682</v>
      </c>
      <c r="B37" s="452">
        <f>1-B36</f>
        <v>0.31467345207803221</v>
      </c>
      <c r="H37" s="88"/>
    </row>
    <row r="38" spans="1:18" x14ac:dyDescent="0.2">
      <c r="A38" s="388" t="s">
        <v>683</v>
      </c>
      <c r="B38" s="452">
        <f>(Vout+(Rdcr+RdsonBot)*Iout)/(Vinmax+(RdsonBot-RdsonTop)*Iout)</f>
        <v>0.28730591442455844</v>
      </c>
      <c r="H38" s="88"/>
      <c r="L38" s="466" t="s">
        <v>730</v>
      </c>
      <c r="M38" s="467">
        <v>100</v>
      </c>
      <c r="N38" s="468">
        <v>1</v>
      </c>
    </row>
    <row r="39" spans="1:18" x14ac:dyDescent="0.2">
      <c r="A39" s="388" t="s">
        <v>684</v>
      </c>
      <c r="B39" s="452">
        <f>1-B38</f>
        <v>0.71269408557544156</v>
      </c>
      <c r="H39" s="88"/>
      <c r="L39" s="466" t="s">
        <v>620</v>
      </c>
      <c r="M39" s="467">
        <v>47</v>
      </c>
      <c r="N39" s="468">
        <v>2</v>
      </c>
    </row>
    <row r="40" spans="1:18" x14ac:dyDescent="0.2">
      <c r="A40" s="392"/>
      <c r="B40" s="1"/>
      <c r="H40" s="88"/>
      <c r="L40" s="466" t="s">
        <v>622</v>
      </c>
      <c r="M40" s="467">
        <v>22</v>
      </c>
      <c r="N40" s="468">
        <v>3</v>
      </c>
    </row>
    <row r="41" spans="1:18" x14ac:dyDescent="0.2">
      <c r="A41" s="87" t="s">
        <v>26</v>
      </c>
      <c r="B41" s="98">
        <f>'Design Regulator'!E31/1000</f>
        <v>0.1</v>
      </c>
      <c r="C41" t="s">
        <v>0</v>
      </c>
      <c r="D41" t="s">
        <v>27</v>
      </c>
      <c r="H41" s="88">
        <v>1</v>
      </c>
      <c r="L41" s="466" t="s">
        <v>624</v>
      </c>
      <c r="M41" s="467">
        <v>22</v>
      </c>
      <c r="N41" s="468">
        <v>4</v>
      </c>
    </row>
    <row r="42" spans="1:18" x14ac:dyDescent="0.2">
      <c r="A42" s="99" t="s">
        <v>33</v>
      </c>
      <c r="B42" s="390">
        <f>(Vin-Vout)*_Don2/(Fsw*Lout2)</f>
        <v>2.1930697548176967</v>
      </c>
      <c r="C42" t="s">
        <v>2</v>
      </c>
      <c r="D42" s="171" t="s">
        <v>540</v>
      </c>
      <c r="H42" s="88">
        <v>1</v>
      </c>
      <c r="L42" s="427" t="s">
        <v>649</v>
      </c>
      <c r="M42" s="467">
        <v>10</v>
      </c>
      <c r="N42" s="468">
        <v>5</v>
      </c>
    </row>
    <row r="43" spans="1:18" x14ac:dyDescent="0.2">
      <c r="A43" s="99" t="s">
        <v>410</v>
      </c>
      <c r="B43" s="390">
        <f>Rdcr*(1+0.0039*(F43-25))</f>
        <v>7.7549999999999997E-3</v>
      </c>
      <c r="C43" t="s">
        <v>25</v>
      </c>
      <c r="E43" t="s">
        <v>411</v>
      </c>
      <c r="F43">
        <v>100</v>
      </c>
      <c r="H43" s="88"/>
      <c r="L43" s="427" t="s">
        <v>650</v>
      </c>
      <c r="M43" s="467">
        <v>4.7</v>
      </c>
      <c r="N43" s="468">
        <v>6</v>
      </c>
    </row>
    <row r="44" spans="1:18" ht="13.5" thickBot="1" x14ac:dyDescent="0.25">
      <c r="A44" s="100" t="s">
        <v>355</v>
      </c>
      <c r="B44" s="101">
        <f>Lout2/Rdcr</f>
        <v>9.3333333333333332E-4</v>
      </c>
      <c r="C44" s="92" t="s">
        <v>265</v>
      </c>
      <c r="D44" s="92" t="s">
        <v>356</v>
      </c>
      <c r="E44" s="92"/>
      <c r="F44" s="92"/>
      <c r="G44" s="92"/>
      <c r="H44" s="93"/>
      <c r="L44" s="469" t="s">
        <v>706</v>
      </c>
      <c r="M44" s="470" t="str">
        <f>CHOOSE(N44,"100", "47","22","22","10", "4.7")</f>
        <v>10</v>
      </c>
      <c r="N44" s="383">
        <f>IF(Vout&lt;5, 1, IF(Vout&lt;=8, 2, IF(Vout&lt;=12, 3, IF(Vout&lt;=20, 4, IF(Vout&lt;=42, 5, 6)))))</f>
        <v>5</v>
      </c>
      <c r="Q44" s="430" t="s">
        <v>707</v>
      </c>
      <c r="R44" s="173">
        <v>1</v>
      </c>
    </row>
    <row r="45" spans="1:18" x14ac:dyDescent="0.2">
      <c r="A45" s="2"/>
      <c r="B45" s="1"/>
      <c r="Q45" s="430" t="s">
        <v>708</v>
      </c>
      <c r="R45" s="173">
        <v>2</v>
      </c>
    </row>
    <row r="46" spans="1:18" ht="16.5" thickBot="1" x14ac:dyDescent="0.3">
      <c r="A46" s="133" t="s">
        <v>275</v>
      </c>
      <c r="B46" s="1"/>
    </row>
    <row r="47" spans="1:18" x14ac:dyDescent="0.2">
      <c r="A47" s="136"/>
      <c r="B47" s="137"/>
      <c r="C47" s="94"/>
      <c r="D47" s="94"/>
      <c r="E47" s="94"/>
      <c r="F47" s="94"/>
      <c r="G47" s="94"/>
      <c r="H47" s="95"/>
    </row>
    <row r="48" spans="1:18" x14ac:dyDescent="0.2">
      <c r="A48" s="99"/>
      <c r="B48" s="165"/>
      <c r="H48" s="88"/>
      <c r="L48" s="430" t="s">
        <v>674</v>
      </c>
      <c r="M48" s="173">
        <v>1</v>
      </c>
      <c r="N48" s="430" t="s">
        <v>671</v>
      </c>
      <c r="O48" s="63">
        <v>30</v>
      </c>
    </row>
    <row r="49" spans="1:19" x14ac:dyDescent="0.2">
      <c r="A49" s="99" t="s">
        <v>603</v>
      </c>
      <c r="B49" s="165">
        <f>'Design Regulator'!E25</f>
        <v>18</v>
      </c>
      <c r="H49" s="88"/>
      <c r="L49" s="430" t="s">
        <v>675</v>
      </c>
      <c r="M49" s="173">
        <v>2</v>
      </c>
      <c r="N49" s="430" t="s">
        <v>672</v>
      </c>
      <c r="O49" s="63">
        <v>10.9</v>
      </c>
    </row>
    <row r="50" spans="1:19" x14ac:dyDescent="0.2">
      <c r="A50" s="87" t="s">
        <v>273</v>
      </c>
      <c r="B50" s="385">
        <f>'Design Regulator'!E25-Iripple1/2</f>
        <v>16.90346512259115</v>
      </c>
      <c r="C50" t="s">
        <v>2</v>
      </c>
      <c r="D50" s="171" t="s">
        <v>575</v>
      </c>
      <c r="H50" s="88"/>
      <c r="L50" s="430" t="s">
        <v>676</v>
      </c>
      <c r="M50" s="173">
        <v>3</v>
      </c>
      <c r="N50" s="430" t="s">
        <v>678</v>
      </c>
      <c r="O50" s="63">
        <v>66</v>
      </c>
    </row>
    <row r="51" spans="1:19" x14ac:dyDescent="0.2">
      <c r="A51" s="388" t="s">
        <v>598</v>
      </c>
      <c r="B51" s="394">
        <f>ROUND('Design Regulator'!E25+Iripple1/2,0)*1.2</f>
        <v>22.8</v>
      </c>
      <c r="C51" s="171" t="s">
        <v>2</v>
      </c>
      <c r="D51" s="171"/>
      <c r="H51" s="88"/>
      <c r="L51" s="430" t="s">
        <v>677</v>
      </c>
      <c r="M51" s="173">
        <v>4</v>
      </c>
      <c r="N51" s="430" t="s">
        <v>673</v>
      </c>
      <c r="O51" s="63">
        <v>150</v>
      </c>
    </row>
    <row r="52" spans="1:19" x14ac:dyDescent="0.2">
      <c r="A52" s="388"/>
      <c r="B52" s="400"/>
      <c r="C52" s="171"/>
      <c r="D52" s="171"/>
      <c r="H52" s="88"/>
      <c r="K52" s="428" t="s">
        <v>653</v>
      </c>
      <c r="L52" s="382" t="str">
        <f>CHOOSE(M52, L48, L49, L50, L51)</f>
        <v>SON 5 x 6</v>
      </c>
      <c r="M52" s="383">
        <v>1</v>
      </c>
    </row>
    <row r="53" spans="1:19" x14ac:dyDescent="0.2">
      <c r="A53" s="306" t="s">
        <v>584</v>
      </c>
      <c r="B53" s="102">
        <v>2.0000000000000001E-4</v>
      </c>
      <c r="C53" t="s">
        <v>2</v>
      </c>
      <c r="D53" s="171" t="s">
        <v>576</v>
      </c>
      <c r="H53" s="88"/>
    </row>
    <row r="54" spans="1:19" ht="15.75" x14ac:dyDescent="0.3">
      <c r="A54" s="388" t="s">
        <v>585</v>
      </c>
      <c r="B54" s="102">
        <v>1E-4</v>
      </c>
      <c r="C54" t="s">
        <v>2</v>
      </c>
      <c r="D54" s="171" t="s">
        <v>577</v>
      </c>
      <c r="H54" s="88"/>
      <c r="L54" s="171" t="s">
        <v>595</v>
      </c>
      <c r="M54" s="173">
        <v>1</v>
      </c>
    </row>
    <row r="55" spans="1:19" x14ac:dyDescent="0.2">
      <c r="A55" s="306" t="s">
        <v>586</v>
      </c>
      <c r="B55" s="386">
        <f>ILimit*RdsonBot/Ilim1</f>
        <v>845.17325612955756</v>
      </c>
      <c r="C55" s="309" t="s">
        <v>208</v>
      </c>
      <c r="D55" s="171" t="s">
        <v>580</v>
      </c>
      <c r="H55" s="88"/>
      <c r="L55" s="171" t="s">
        <v>596</v>
      </c>
      <c r="M55" s="173">
        <v>2</v>
      </c>
    </row>
    <row r="56" spans="1:19" x14ac:dyDescent="0.2">
      <c r="A56" s="306" t="s">
        <v>587</v>
      </c>
      <c r="B56" s="104">
        <f>'Standard Value Calculator'!S6</f>
        <v>845</v>
      </c>
      <c r="C56" s="309" t="s">
        <v>208</v>
      </c>
      <c r="D56" s="171" t="s">
        <v>579</v>
      </c>
      <c r="H56" s="88"/>
      <c r="K56" s="428" t="s">
        <v>652</v>
      </c>
      <c r="L56" s="382" t="str">
        <f>CHOOSE(RDSON_sense, L54,L55)</f>
        <v>RDS(on) sensing</v>
      </c>
      <c r="M56" s="383">
        <v>1</v>
      </c>
      <c r="N56" s="171" t="s">
        <v>567</v>
      </c>
    </row>
    <row r="57" spans="1:19" x14ac:dyDescent="0.2">
      <c r="H57" s="88"/>
      <c r="L57" s="383"/>
      <c r="M57" s="171"/>
    </row>
    <row r="58" spans="1:19" x14ac:dyDescent="0.2">
      <c r="A58" s="388" t="s">
        <v>578</v>
      </c>
      <c r="B58" s="393">
        <f>'Design Regulator'!E24/1000</f>
        <v>6.0000000000000001E-3</v>
      </c>
      <c r="C58" s="309" t="s">
        <v>208</v>
      </c>
      <c r="H58" s="88"/>
      <c r="J58" s="382"/>
      <c r="L58" s="383"/>
      <c r="M58" s="171"/>
    </row>
    <row r="59" spans="1:19" x14ac:dyDescent="0.2">
      <c r="A59" s="388" t="s">
        <v>583</v>
      </c>
      <c r="B59" s="104">
        <f>ILimit*Rshunt/Ilim2</f>
        <v>1014.2079073554689</v>
      </c>
      <c r="C59" s="309" t="s">
        <v>208</v>
      </c>
      <c r="H59" s="88"/>
      <c r="K59" s="427" t="s">
        <v>730</v>
      </c>
      <c r="L59" s="2" t="s">
        <v>619</v>
      </c>
      <c r="M59" s="173">
        <v>1</v>
      </c>
      <c r="Q59" s="427"/>
      <c r="R59" s="2"/>
      <c r="S59" s="173"/>
    </row>
    <row r="60" spans="1:19" x14ac:dyDescent="0.2">
      <c r="A60" s="306" t="s">
        <v>588</v>
      </c>
      <c r="B60" s="105">
        <f>'Standard Value Calculator'!S22</f>
        <v>1020</v>
      </c>
      <c r="C60" s="309" t="s">
        <v>208</v>
      </c>
      <c r="D60" s="171" t="s">
        <v>579</v>
      </c>
      <c r="H60" s="88"/>
      <c r="K60" s="427" t="s">
        <v>620</v>
      </c>
      <c r="L60" s="2" t="s">
        <v>621</v>
      </c>
      <c r="M60" s="173">
        <v>2</v>
      </c>
      <c r="Q60" s="427" t="s">
        <v>661</v>
      </c>
      <c r="R60" s="2" t="s">
        <v>621</v>
      </c>
      <c r="S60" s="173">
        <v>1</v>
      </c>
    </row>
    <row r="61" spans="1:19" x14ac:dyDescent="0.2">
      <c r="A61" s="388"/>
      <c r="B61" s="105"/>
      <c r="C61" s="309"/>
      <c r="D61" s="171"/>
      <c r="H61" s="88"/>
      <c r="K61" s="427" t="s">
        <v>622</v>
      </c>
      <c r="L61" s="2" t="s">
        <v>623</v>
      </c>
      <c r="M61" s="173">
        <v>3</v>
      </c>
      <c r="Q61" s="427" t="s">
        <v>662</v>
      </c>
      <c r="R61" s="2" t="s">
        <v>623</v>
      </c>
      <c r="S61" s="173">
        <v>2</v>
      </c>
    </row>
    <row r="62" spans="1:19" x14ac:dyDescent="0.2">
      <c r="A62" s="306" t="s">
        <v>582</v>
      </c>
      <c r="B62" s="393">
        <f>ROUND(((1-Don_Vinmax)*Iout)^2*Rshunt,2)</f>
        <v>0.7</v>
      </c>
      <c r="C62" s="171" t="s">
        <v>208</v>
      </c>
      <c r="H62" s="88"/>
      <c r="K62" s="427" t="s">
        <v>624</v>
      </c>
      <c r="L62" s="2" t="s">
        <v>625</v>
      </c>
      <c r="M62" s="173">
        <v>4</v>
      </c>
      <c r="Q62" s="427" t="s">
        <v>663</v>
      </c>
      <c r="R62" s="2" t="s">
        <v>625</v>
      </c>
      <c r="S62" s="173">
        <v>3</v>
      </c>
    </row>
    <row r="63" spans="1:19" x14ac:dyDescent="0.2">
      <c r="A63" s="388"/>
      <c r="B63" s="393"/>
      <c r="C63" s="171"/>
      <c r="H63" s="88"/>
      <c r="K63" s="427"/>
      <c r="L63" s="2"/>
      <c r="M63" s="173"/>
      <c r="Q63" s="427"/>
      <c r="R63" s="2"/>
      <c r="S63" s="173"/>
    </row>
    <row r="64" spans="1:19" x14ac:dyDescent="0.2">
      <c r="A64" s="87" t="s">
        <v>692</v>
      </c>
      <c r="B64" s="463">
        <f>0.000000006/Rilim_Rdson_ideal - 0.000000000002</f>
        <v>5.0991361315392281E-12</v>
      </c>
      <c r="C64" s="171" t="s">
        <v>34</v>
      </c>
      <c r="D64" t="s">
        <v>696</v>
      </c>
      <c r="H64" s="88"/>
      <c r="K64" s="427" t="s">
        <v>649</v>
      </c>
      <c r="L64" s="2" t="s">
        <v>626</v>
      </c>
      <c r="M64" s="173">
        <v>5</v>
      </c>
      <c r="Q64" s="427" t="s">
        <v>664</v>
      </c>
      <c r="R64" s="2" t="s">
        <v>626</v>
      </c>
      <c r="S64" s="173">
        <v>4</v>
      </c>
    </row>
    <row r="65" spans="1:19" x14ac:dyDescent="0.2">
      <c r="A65" s="87" t="s">
        <v>693</v>
      </c>
      <c r="B65" s="104">
        <f>'Standard Value Calculator'!S23</f>
        <v>4.7</v>
      </c>
      <c r="C65" s="171" t="s">
        <v>53</v>
      </c>
      <c r="H65" s="88"/>
      <c r="K65" s="427" t="s">
        <v>650</v>
      </c>
      <c r="L65" s="2" t="s">
        <v>651</v>
      </c>
      <c r="M65" s="173">
        <v>6</v>
      </c>
      <c r="Q65" s="427" t="s">
        <v>665</v>
      </c>
      <c r="R65" s="2" t="s">
        <v>651</v>
      </c>
      <c r="S65" s="173">
        <v>5</v>
      </c>
    </row>
    <row r="66" spans="1:19" ht="13.5" thickBot="1" x14ac:dyDescent="0.25">
      <c r="A66" s="91" t="s">
        <v>288</v>
      </c>
      <c r="B66" s="107" t="e">
        <f>Ics*Rset/Rdcr-Iripple1/2</f>
        <v>#NAME?</v>
      </c>
      <c r="C66" s="92" t="s">
        <v>2</v>
      </c>
      <c r="D66" s="175" t="s">
        <v>476</v>
      </c>
      <c r="E66" s="92"/>
      <c r="F66" s="92"/>
      <c r="G66" s="92"/>
      <c r="H66" s="93"/>
      <c r="K66" s="428" t="s">
        <v>627</v>
      </c>
      <c r="L66" s="382" t="str">
        <f>CHOOSE(M66,"6.3V","10V","16V","25V","50V","100V")</f>
        <v>50V</v>
      </c>
      <c r="M66" s="383">
        <f>IF(Vout&lt;5, 1, IF(Vout&lt;=8, 2, IF(Vout&lt;=12, 3, IF(Vout&lt;=20, 4,  IF(Vout&lt;=42, 5, 6)))))</f>
        <v>5</v>
      </c>
      <c r="Q66" s="428" t="s">
        <v>660</v>
      </c>
      <c r="R66" s="382" t="str">
        <f>CHOOSE(S66,"10V","16V","25V","50V","100V")</f>
        <v>100V</v>
      </c>
      <c r="S66" s="383">
        <f>IF(Vinmax&lt;=8,1,IF(Vinmax&lt;=12,2,IF(Vinmax&lt;=20,3,IF(Vinmax&lt;=42,4,5))))</f>
        <v>5</v>
      </c>
    </row>
    <row r="68" spans="1:19" ht="16.5" thickBot="1" x14ac:dyDescent="0.3">
      <c r="A68" s="133" t="s">
        <v>276</v>
      </c>
    </row>
    <row r="69" spans="1:19" x14ac:dyDescent="0.2">
      <c r="A69" s="134" t="s">
        <v>283</v>
      </c>
      <c r="B69" s="448">
        <f>Iripple1/SQRT(3)/2</f>
        <v>0.63308470664781191</v>
      </c>
      <c r="C69" s="174" t="s">
        <v>2</v>
      </c>
      <c r="D69" s="174" t="s">
        <v>477</v>
      </c>
      <c r="E69" s="94"/>
      <c r="F69" s="94"/>
      <c r="G69" s="94"/>
      <c r="H69" s="95"/>
      <c r="L69" s="429" t="s">
        <v>628</v>
      </c>
      <c r="M69" s="173">
        <v>1</v>
      </c>
      <c r="N69" s="171" t="s">
        <v>629</v>
      </c>
      <c r="O69" s="63">
        <v>0.5</v>
      </c>
    </row>
    <row r="70" spans="1:19" x14ac:dyDescent="0.2">
      <c r="A70" s="96" t="s">
        <v>29</v>
      </c>
      <c r="B70" s="97">
        <f>(Iripple1/(Vripple1*Fsw*8))</f>
        <v>2.7413371935221209E-6</v>
      </c>
      <c r="C70" t="s">
        <v>34</v>
      </c>
      <c r="D70" t="s">
        <v>28</v>
      </c>
      <c r="H70" s="88">
        <v>1</v>
      </c>
      <c r="L70" s="429" t="s">
        <v>497</v>
      </c>
      <c r="M70" s="173">
        <v>2</v>
      </c>
      <c r="N70" s="171" t="s">
        <v>630</v>
      </c>
      <c r="O70" s="63">
        <v>1.3</v>
      </c>
    </row>
    <row r="71" spans="1:19" x14ac:dyDescent="0.2">
      <c r="A71" s="87" t="s">
        <v>36</v>
      </c>
      <c r="B71" s="39">
        <f>'Design Regulator'!E33/1000000</f>
        <v>2.0000000000000002E-5</v>
      </c>
      <c r="C71" t="s">
        <v>34</v>
      </c>
      <c r="D71" t="s">
        <v>35</v>
      </c>
      <c r="H71" s="88">
        <v>1</v>
      </c>
      <c r="L71" s="429" t="s">
        <v>631</v>
      </c>
      <c r="M71" s="173">
        <v>3</v>
      </c>
      <c r="N71" s="171" t="s">
        <v>632</v>
      </c>
      <c r="O71" s="63">
        <v>2.5</v>
      </c>
    </row>
    <row r="72" spans="1:19" x14ac:dyDescent="0.2">
      <c r="A72" s="96" t="s">
        <v>114</v>
      </c>
      <c r="B72" s="391">
        <f>SQRT((Vripple1/Iripple1)^2-(1/(Fsw*Cout*8))^2)</f>
        <v>4.5167819946732302E-2</v>
      </c>
      <c r="C72" s="309" t="s">
        <v>208</v>
      </c>
      <c r="D72" s="171" t="s">
        <v>478</v>
      </c>
      <c r="H72" s="88">
        <v>1</v>
      </c>
      <c r="L72" s="429" t="s">
        <v>633</v>
      </c>
      <c r="M72" s="173">
        <v>4</v>
      </c>
      <c r="N72" s="171" t="s">
        <v>634</v>
      </c>
      <c r="O72" s="63">
        <v>5.0999999999999996</v>
      </c>
    </row>
    <row r="73" spans="1:19" x14ac:dyDescent="0.2">
      <c r="A73" s="87" t="s">
        <v>272</v>
      </c>
      <c r="B73" s="90">
        <f>'Design Regulator'!E35/1000</f>
        <v>1E-3</v>
      </c>
      <c r="C73" s="309" t="s">
        <v>208</v>
      </c>
      <c r="D73" s="171" t="s">
        <v>479</v>
      </c>
      <c r="H73" s="88">
        <v>1</v>
      </c>
      <c r="L73" s="429" t="s">
        <v>635</v>
      </c>
      <c r="M73" s="173">
        <v>5</v>
      </c>
      <c r="N73" s="171" t="s">
        <v>636</v>
      </c>
      <c r="O73" s="63">
        <v>8</v>
      </c>
    </row>
    <row r="74" spans="1:19" ht="13.5" thickBot="1" x14ac:dyDescent="0.25">
      <c r="A74" s="108" t="s">
        <v>362</v>
      </c>
      <c r="B74" s="447">
        <f>Iripple1*SQRT(CoutEsr^2+(1/(8*Fsw*Cout))^2)</f>
        <v>1.3881022842866792E-2</v>
      </c>
      <c r="C74" s="157" t="s">
        <v>75</v>
      </c>
      <c r="D74" s="92"/>
      <c r="E74" s="92"/>
      <c r="F74" s="92"/>
      <c r="G74" s="92"/>
      <c r="H74" s="93"/>
      <c r="K74" s="428" t="s">
        <v>637</v>
      </c>
      <c r="L74" s="382" t="str">
        <f>CHOOSE(M74,"0402","0603","0805","1206","1210")</f>
        <v>1210</v>
      </c>
      <c r="M74" s="383">
        <v>5</v>
      </c>
      <c r="N74" s="382" t="str">
        <f>CHOOSE(M74,N69,N70, N71,N72,N73)</f>
        <v>3.2 x 2.5</v>
      </c>
    </row>
    <row r="76" spans="1:19" ht="13.5" thickBot="1" x14ac:dyDescent="0.25"/>
    <row r="77" spans="1:19" ht="15.75" x14ac:dyDescent="0.25">
      <c r="A77" s="144" t="s">
        <v>277</v>
      </c>
      <c r="B77" s="145"/>
      <c r="C77" s="145"/>
      <c r="D77" s="145"/>
      <c r="E77" s="145"/>
      <c r="F77" s="145"/>
      <c r="G77" s="145"/>
      <c r="H77" s="146"/>
    </row>
    <row r="78" spans="1:19" x14ac:dyDescent="0.2">
      <c r="A78" s="147" t="s">
        <v>415</v>
      </c>
      <c r="B78" s="112">
        <f>'Design Regulator'!E40/1000</f>
        <v>0.48</v>
      </c>
      <c r="C78" t="s">
        <v>75</v>
      </c>
      <c r="H78" s="148"/>
      <c r="L78" s="171" t="s">
        <v>638</v>
      </c>
      <c r="M78" s="173">
        <v>1</v>
      </c>
      <c r="N78" s="430" t="s">
        <v>639</v>
      </c>
      <c r="O78" s="63">
        <v>9</v>
      </c>
    </row>
    <row r="79" spans="1:19" x14ac:dyDescent="0.2">
      <c r="A79" s="149" t="s">
        <v>282</v>
      </c>
      <c r="B79" s="168">
        <f>Iout*SQRT(_Don2*Doff2)</f>
        <v>7.4979406503786903</v>
      </c>
      <c r="C79" s="142" t="s">
        <v>2</v>
      </c>
      <c r="H79" s="148"/>
      <c r="L79" s="171" t="s">
        <v>640</v>
      </c>
      <c r="M79" s="173">
        <v>2</v>
      </c>
      <c r="N79" s="430" t="s">
        <v>641</v>
      </c>
      <c r="O79" s="63">
        <v>16</v>
      </c>
    </row>
    <row r="80" spans="1:19" x14ac:dyDescent="0.2">
      <c r="A80" s="149" t="s">
        <v>414</v>
      </c>
      <c r="B80" s="154">
        <f>Iout*_Don2*(1-_Don2)/(Vinripple1*Fsw)</f>
        <v>7.8082102773057238E-6</v>
      </c>
      <c r="C80" s="142" t="s">
        <v>34</v>
      </c>
      <c r="H80" s="148"/>
      <c r="L80" s="171" t="s">
        <v>642</v>
      </c>
      <c r="M80" s="173">
        <v>3</v>
      </c>
      <c r="N80" s="430" t="s">
        <v>643</v>
      </c>
      <c r="O80" s="63">
        <v>25</v>
      </c>
    </row>
    <row r="81" spans="1:15" x14ac:dyDescent="0.2">
      <c r="A81" s="149" t="s">
        <v>127</v>
      </c>
      <c r="B81" s="143">
        <f>'Design Regulator'!E42/1000000</f>
        <v>2.0000000000000002E-5</v>
      </c>
      <c r="C81" s="142" t="s">
        <v>34</v>
      </c>
      <c r="D81" t="s">
        <v>286</v>
      </c>
      <c r="H81" s="148"/>
      <c r="L81" s="171" t="s">
        <v>644</v>
      </c>
      <c r="M81" s="173">
        <v>4</v>
      </c>
      <c r="N81" s="430" t="s">
        <v>645</v>
      </c>
      <c r="O81" s="63">
        <v>36</v>
      </c>
    </row>
    <row r="82" spans="1:15" x14ac:dyDescent="0.2">
      <c r="A82" s="149" t="s">
        <v>416</v>
      </c>
      <c r="B82" s="155">
        <f>-(Iout*_Don2*(1-_Don2)/(Cin*Fsw)-Vinripple1)/(Iout+Iripple1/2)</f>
        <v>1.8178008843091117E-2</v>
      </c>
      <c r="C82" s="309" t="s">
        <v>208</v>
      </c>
      <c r="H82" s="148"/>
      <c r="L82" s="171" t="s">
        <v>646</v>
      </c>
      <c r="M82" s="173">
        <v>5</v>
      </c>
      <c r="N82" s="430" t="s">
        <v>647</v>
      </c>
      <c r="O82" s="63">
        <v>49</v>
      </c>
    </row>
    <row r="83" spans="1:15" x14ac:dyDescent="0.2">
      <c r="A83" s="149" t="s">
        <v>159</v>
      </c>
      <c r="B83" s="143">
        <f>'Design Regulator'!E44/1000</f>
        <v>2E-3</v>
      </c>
      <c r="C83" s="309" t="s">
        <v>208</v>
      </c>
      <c r="D83" s="171" t="s">
        <v>480</v>
      </c>
      <c r="H83" s="148"/>
      <c r="L83" s="171" t="s">
        <v>654</v>
      </c>
      <c r="M83" s="173">
        <v>6</v>
      </c>
      <c r="N83" s="430" t="s">
        <v>655</v>
      </c>
      <c r="O83" s="63">
        <v>64</v>
      </c>
    </row>
    <row r="84" spans="1:15" x14ac:dyDescent="0.2">
      <c r="A84" s="149" t="s">
        <v>417</v>
      </c>
      <c r="B84" s="169">
        <f>Iout*_Don2*(1-_Don2)/(Cin*Fsw)+(Iout +Iripple1/2)*RCinEsr</f>
        <v>0.21959011641015505</v>
      </c>
      <c r="C84" s="142" t="s">
        <v>75</v>
      </c>
      <c r="H84" s="148"/>
      <c r="L84" s="171" t="s">
        <v>656</v>
      </c>
      <c r="M84" s="173">
        <v>7</v>
      </c>
      <c r="N84" s="430" t="s">
        <v>657</v>
      </c>
      <c r="O84" s="63">
        <v>100</v>
      </c>
    </row>
    <row r="85" spans="1:15" ht="13.5" thickBot="1" x14ac:dyDescent="0.25">
      <c r="A85" s="150"/>
      <c r="B85" s="156">
        <f>Iout*_Don1*(1-_Don1)/(Cin*Fsw)</f>
        <v>0.1875</v>
      </c>
      <c r="C85" s="151"/>
      <c r="D85" s="152"/>
      <c r="E85" s="152"/>
      <c r="F85" s="152"/>
      <c r="G85" s="152"/>
      <c r="H85" s="153"/>
      <c r="L85" s="171" t="s">
        <v>658</v>
      </c>
      <c r="M85" s="173">
        <v>8</v>
      </c>
      <c r="N85" s="430" t="s">
        <v>659</v>
      </c>
      <c r="O85" s="63">
        <v>144</v>
      </c>
    </row>
    <row r="86" spans="1:15" x14ac:dyDescent="0.2">
      <c r="K86" s="428" t="s">
        <v>648</v>
      </c>
      <c r="L86" s="382" t="str">
        <f>CHOOSE(M86,L78,L79, L80, L81, L82, L83, L84, L85)</f>
        <v>12mm x 12mm</v>
      </c>
      <c r="M86" s="383">
        <v>8</v>
      </c>
      <c r="N86" s="382" t="str">
        <f>CHOOSE(M86,N78,N79, N80,N81,N82, N83, N84, N85)</f>
        <v>12.0 x 12.0</v>
      </c>
      <c r="O86" s="382"/>
    </row>
    <row r="87" spans="1:15" ht="16.5" thickBot="1" x14ac:dyDescent="0.3">
      <c r="A87" s="133" t="s">
        <v>289</v>
      </c>
    </row>
    <row r="88" spans="1:15" x14ac:dyDescent="0.2">
      <c r="A88" s="134" t="s">
        <v>291</v>
      </c>
      <c r="B88" s="18">
        <f>'Design Regulator'!E49/1000</f>
        <v>4.0000000000000001E-3</v>
      </c>
      <c r="C88" s="94" t="s">
        <v>265</v>
      </c>
      <c r="D88" s="94" t="s">
        <v>292</v>
      </c>
      <c r="E88" s="94"/>
      <c r="F88" s="94"/>
      <c r="G88" s="94"/>
      <c r="H88" s="95"/>
    </row>
    <row r="89" spans="1:15" x14ac:dyDescent="0.2">
      <c r="A89" s="87" t="s">
        <v>293</v>
      </c>
      <c r="B89" s="103">
        <f>Cout*Vout/Tss</f>
        <v>0.12000000000000001</v>
      </c>
      <c r="C89" t="s">
        <v>2</v>
      </c>
      <c r="D89" s="171" t="s">
        <v>439</v>
      </c>
      <c r="H89" s="88"/>
    </row>
    <row r="90" spans="1:15" x14ac:dyDescent="0.2">
      <c r="A90" s="87" t="s">
        <v>294</v>
      </c>
      <c r="B90" s="110">
        <f>0.00001*Tss/0.8</f>
        <v>4.9999999999999998E-8</v>
      </c>
      <c r="C90" t="s">
        <v>34</v>
      </c>
      <c r="H90" s="88"/>
    </row>
    <row r="91" spans="1:15" ht="13.5" thickBot="1" x14ac:dyDescent="0.25">
      <c r="A91" s="91" t="s">
        <v>310</v>
      </c>
      <c r="B91" s="109">
        <f>'Standard Value Calculator'!B4</f>
        <v>4.6999999999999997E-8</v>
      </c>
      <c r="C91" s="92" t="s">
        <v>34</v>
      </c>
      <c r="D91" s="92"/>
      <c r="E91" s="92"/>
      <c r="F91" s="92"/>
      <c r="G91" s="92"/>
      <c r="H91" s="93"/>
    </row>
    <row r="93" spans="1:15" ht="16.5" thickBot="1" x14ac:dyDescent="0.3">
      <c r="A93" s="133" t="s">
        <v>328</v>
      </c>
    </row>
    <row r="94" spans="1:15" x14ac:dyDescent="0.2">
      <c r="A94" s="305"/>
      <c r="B94" s="138"/>
      <c r="C94" s="174"/>
      <c r="D94" s="94"/>
      <c r="E94" s="94"/>
      <c r="F94" s="94"/>
      <c r="G94" s="94"/>
      <c r="H94" s="95"/>
    </row>
    <row r="95" spans="1:15" ht="15.75" x14ac:dyDescent="0.3">
      <c r="A95" s="306" t="s">
        <v>482</v>
      </c>
      <c r="B95" s="54">
        <f>'Design Regulator'!E51</f>
        <v>30</v>
      </c>
      <c r="C95" s="171" t="s">
        <v>0</v>
      </c>
      <c r="H95" s="88"/>
    </row>
    <row r="96" spans="1:15" ht="15.75" x14ac:dyDescent="0.3">
      <c r="A96" s="306" t="s">
        <v>483</v>
      </c>
      <c r="B96" s="54">
        <f>'Design Regulator'!E52</f>
        <v>28</v>
      </c>
      <c r="C96" s="171" t="s">
        <v>0</v>
      </c>
      <c r="H96" s="88"/>
    </row>
    <row r="97" spans="1:8" ht="15.75" x14ac:dyDescent="0.3">
      <c r="A97" s="306" t="s">
        <v>512</v>
      </c>
      <c r="B97" s="63">
        <f>(VINuvlo_off-VINuvlo_on*Vuvlo_off/Vuvlo_on)/(Iuvlo1*Vuvlo_off/Vuvlo_on-Iuvlo2)</f>
        <v>200</v>
      </c>
      <c r="C97" s="55" t="s">
        <v>489</v>
      </c>
      <c r="D97">
        <f>'Standard Value Calculator'!S16</f>
        <v>200</v>
      </c>
      <c r="E97" s="55" t="s">
        <v>489</v>
      </c>
      <c r="F97" s="54">
        <f>IF(Ruvlo1&lt;0,"N/A",D97)</f>
        <v>200</v>
      </c>
      <c r="G97" s="54" t="str">
        <f>IF(Ruvlo1&lt;0,"N/A",D97&amp;"kΩ")</f>
        <v>200kΩ</v>
      </c>
      <c r="H97" s="88"/>
    </row>
    <row r="98" spans="1:8" ht="15.75" customHeight="1" x14ac:dyDescent="0.3">
      <c r="A98" s="306" t="s">
        <v>513</v>
      </c>
      <c r="B98" s="307">
        <f>D97*Vuvlo_on/(VINuvlo_on-Vuvlo_on+Ruvlo1*Iuvlo1)</f>
        <v>8.3333333333333339</v>
      </c>
      <c r="C98" s="55" t="s">
        <v>489</v>
      </c>
      <c r="D98">
        <f>'Standard Value Calculator'!S17</f>
        <v>8.25</v>
      </c>
      <c r="E98" s="55" t="s">
        <v>489</v>
      </c>
      <c r="F98" s="54">
        <f>IF(F97="N/A","N/A",D98)</f>
        <v>8.25</v>
      </c>
      <c r="G98" s="54" t="str">
        <f>IF(G97="N/A","N/A",D98&amp;"kΩ")</f>
        <v>8.25kΩ</v>
      </c>
      <c r="H98" s="88"/>
    </row>
    <row r="99" spans="1:8" ht="15.75" customHeight="1" x14ac:dyDescent="0.2">
      <c r="A99" s="306"/>
      <c r="B99" s="307"/>
      <c r="C99" s="55"/>
      <c r="E99" s="55"/>
      <c r="H99" s="88"/>
    </row>
    <row r="100" spans="1:8" ht="15.75" customHeight="1" x14ac:dyDescent="0.3">
      <c r="A100" s="306" t="s">
        <v>490</v>
      </c>
      <c r="B100" s="307">
        <f>(D97+D98)/D98*Vuvlo_on-Iuvlo1*D97</f>
        <v>30.290909090909089</v>
      </c>
      <c r="C100" s="55"/>
      <c r="E100" s="55"/>
      <c r="H100" s="88"/>
    </row>
    <row r="101" spans="1:8" ht="15.75" customHeight="1" x14ac:dyDescent="0.3">
      <c r="A101" s="306" t="s">
        <v>491</v>
      </c>
      <c r="B101" s="307">
        <f>(D97+D98)/D98*Vuvlo_off-Iuvlo2*D97</f>
        <v>28.290909090909089</v>
      </c>
      <c r="C101" s="55"/>
      <c r="E101" s="55"/>
      <c r="H101" s="88"/>
    </row>
    <row r="102" spans="1:8" ht="15.75" customHeight="1" x14ac:dyDescent="0.2">
      <c r="A102" s="306"/>
      <c r="B102" s="307"/>
      <c r="C102" s="55"/>
      <c r="E102" s="55"/>
      <c r="H102" s="88"/>
    </row>
    <row r="103" spans="1:8" ht="15.75" customHeight="1" x14ac:dyDescent="0.2">
      <c r="A103" s="306"/>
      <c r="B103" s="54"/>
      <c r="H103" s="88"/>
    </row>
    <row r="104" spans="1:8" ht="15.75" customHeight="1" x14ac:dyDescent="0.2">
      <c r="A104" s="306" t="s">
        <v>484</v>
      </c>
      <c r="B104" s="54">
        <v>1.2</v>
      </c>
      <c r="H104" s="88"/>
    </row>
    <row r="105" spans="1:8" ht="15.75" customHeight="1" x14ac:dyDescent="0.2">
      <c r="A105" s="306" t="s">
        <v>485</v>
      </c>
      <c r="B105" s="54">
        <v>1.2</v>
      </c>
      <c r="H105" s="88"/>
    </row>
    <row r="106" spans="1:8" ht="15.75" customHeight="1" x14ac:dyDescent="0.2">
      <c r="A106" s="306" t="s">
        <v>485</v>
      </c>
      <c r="B106" s="54">
        <f>B104-B105</f>
        <v>0</v>
      </c>
      <c r="H106" s="88"/>
    </row>
    <row r="107" spans="1:8" ht="15.75" customHeight="1" x14ac:dyDescent="0.2">
      <c r="A107" s="306" t="s">
        <v>488</v>
      </c>
      <c r="B107" s="54">
        <v>0</v>
      </c>
      <c r="H107" s="88"/>
    </row>
    <row r="108" spans="1:8" ht="15.75" customHeight="1" x14ac:dyDescent="0.2">
      <c r="A108" s="306" t="s">
        <v>486</v>
      </c>
      <c r="B108" s="54">
        <v>0.01</v>
      </c>
      <c r="H108" s="88"/>
    </row>
    <row r="109" spans="1:8" ht="15.75" customHeight="1" x14ac:dyDescent="0.2">
      <c r="A109" s="306" t="s">
        <v>487</v>
      </c>
      <c r="B109" s="54">
        <f>B108-B107</f>
        <v>0.01</v>
      </c>
      <c r="H109" s="88"/>
    </row>
    <row r="110" spans="1:8" ht="15.75" customHeight="1" x14ac:dyDescent="0.2">
      <c r="A110" s="306"/>
      <c r="B110" s="54"/>
      <c r="H110" s="88"/>
    </row>
    <row r="111" spans="1:8" ht="15.75" customHeight="1" x14ac:dyDescent="0.3">
      <c r="A111" s="87" t="s">
        <v>330</v>
      </c>
      <c r="B111" s="54"/>
      <c r="C111" s="309" t="s">
        <v>208</v>
      </c>
      <c r="H111" s="88"/>
    </row>
    <row r="112" spans="1:8" ht="15.75" customHeight="1" x14ac:dyDescent="0.3">
      <c r="A112" s="87" t="s">
        <v>331</v>
      </c>
      <c r="B112" s="54"/>
      <c r="C112" s="309" t="s">
        <v>208</v>
      </c>
      <c r="H112" s="88"/>
    </row>
    <row r="113" spans="1:8" ht="15.75" customHeight="1" x14ac:dyDescent="0.2">
      <c r="A113" s="87" t="s">
        <v>305</v>
      </c>
      <c r="B113" s="54"/>
      <c r="C113" s="309" t="s">
        <v>208</v>
      </c>
      <c r="H113" s="88"/>
    </row>
    <row r="114" spans="1:8" ht="15.75" customHeight="1" x14ac:dyDescent="0.2">
      <c r="A114" s="87" t="s">
        <v>428</v>
      </c>
      <c r="B114" s="54" t="e">
        <f>80700/(Totp+273)*398</f>
        <v>#NAME?</v>
      </c>
      <c r="C114" s="309" t="s">
        <v>208</v>
      </c>
      <c r="H114" s="88"/>
    </row>
    <row r="115" spans="1:8" ht="15.75" customHeight="1" x14ac:dyDescent="0.2">
      <c r="A115" s="87"/>
      <c r="B115" s="54"/>
      <c r="H115" s="88"/>
    </row>
    <row r="116" spans="1:8" x14ac:dyDescent="0.2">
      <c r="A116" s="87"/>
      <c r="B116" s="54"/>
      <c r="H116" s="88"/>
    </row>
    <row r="117" spans="1:8" x14ac:dyDescent="0.2">
      <c r="A117" s="87" t="s">
        <v>332</v>
      </c>
      <c r="B117" s="54">
        <v>100</v>
      </c>
      <c r="C117" s="171" t="s">
        <v>53</v>
      </c>
      <c r="H117" s="88"/>
    </row>
    <row r="118" spans="1:8" x14ac:dyDescent="0.2">
      <c r="A118" s="87"/>
      <c r="B118" s="54"/>
      <c r="H118" s="88"/>
    </row>
    <row r="119" spans="1:8" ht="13.5" thickBot="1" x14ac:dyDescent="0.25">
      <c r="A119" s="91"/>
      <c r="B119" s="111"/>
      <c r="C119" s="92"/>
      <c r="D119" s="92"/>
      <c r="E119" s="92"/>
      <c r="F119" s="92"/>
      <c r="G119" s="92"/>
      <c r="H119" s="93"/>
    </row>
    <row r="120" spans="1:8" x14ac:dyDescent="0.2">
      <c r="B120" s="54"/>
    </row>
    <row r="121" spans="1:8" ht="16.5" thickBot="1" x14ac:dyDescent="0.3">
      <c r="A121" s="133" t="s">
        <v>329</v>
      </c>
    </row>
    <row r="122" spans="1:8" x14ac:dyDescent="0.2">
      <c r="A122" s="134" t="s">
        <v>81</v>
      </c>
      <c r="B122" s="355">
        <v>10000</v>
      </c>
      <c r="C122" s="94" t="s">
        <v>49</v>
      </c>
      <c r="D122" s="174" t="s">
        <v>431</v>
      </c>
      <c r="E122" s="94"/>
      <c r="F122" s="94"/>
      <c r="G122" s="94"/>
      <c r="H122" s="95"/>
    </row>
    <row r="123" spans="1:8" x14ac:dyDescent="0.2">
      <c r="A123" s="87" t="s">
        <v>82</v>
      </c>
      <c r="B123" s="90">
        <v>5000000</v>
      </c>
      <c r="C123" t="s">
        <v>10</v>
      </c>
      <c r="D123" s="171" t="s">
        <v>432</v>
      </c>
      <c r="H123" s="88"/>
    </row>
    <row r="124" spans="1:8" x14ac:dyDescent="0.2">
      <c r="A124" s="306" t="s">
        <v>541</v>
      </c>
      <c r="B124" s="140">
        <f>'Design Regulator'!E61*1000</f>
        <v>50000</v>
      </c>
      <c r="C124" s="171" t="s">
        <v>10</v>
      </c>
      <c r="H124" s="88"/>
    </row>
    <row r="125" spans="1:8" x14ac:dyDescent="0.2">
      <c r="A125" s="87" t="s">
        <v>51</v>
      </c>
      <c r="B125" s="141">
        <f>Fcross/Fo/15</f>
        <v>0.22130461604599341</v>
      </c>
      <c r="C125" t="s">
        <v>49</v>
      </c>
      <c r="D125" s="171" t="s">
        <v>438</v>
      </c>
      <c r="H125" s="88">
        <v>1</v>
      </c>
    </row>
    <row r="126" spans="1:8" x14ac:dyDescent="0.2">
      <c r="A126" s="87" t="s">
        <v>52</v>
      </c>
      <c r="B126" s="112">
        <f>'Design Regulator'!E63*1000</f>
        <v>22100</v>
      </c>
      <c r="C126" s="309" t="s">
        <v>208</v>
      </c>
      <c r="D126" t="s">
        <v>260</v>
      </c>
      <c r="H126" s="88">
        <v>1</v>
      </c>
    </row>
    <row r="127" spans="1:8" x14ac:dyDescent="0.2">
      <c r="A127" s="99" t="s">
        <v>77</v>
      </c>
      <c r="B127" s="357">
        <f>IF(Vout=Vref,100000000,Vref/((Vout-Vref)/_Rfb1))</f>
        <v>762.06896551724139</v>
      </c>
      <c r="C127" s="309" t="s">
        <v>208</v>
      </c>
      <c r="D127" s="171" t="s">
        <v>698</v>
      </c>
      <c r="H127" s="88"/>
    </row>
    <row r="128" spans="1:8" x14ac:dyDescent="0.2">
      <c r="A128" s="87" t="s">
        <v>271</v>
      </c>
      <c r="B128" s="103">
        <f>IF(Vout=Vref,"N/A",'Standard Value Calculator'!S11)</f>
        <v>768</v>
      </c>
      <c r="C128" s="309" t="s">
        <v>208</v>
      </c>
      <c r="D128" s="171" t="s">
        <v>697</v>
      </c>
      <c r="H128" s="88"/>
    </row>
    <row r="129" spans="1:8" x14ac:dyDescent="0.2">
      <c r="A129" s="387" t="s">
        <v>689</v>
      </c>
      <c r="B129" s="461">
        <f>0.8/Rfb2_u*(Rfb2_u+_Rfb1)</f>
        <v>23.820833333333333</v>
      </c>
      <c r="C129" t="s">
        <v>0</v>
      </c>
      <c r="D129" s="171" t="s">
        <v>690</v>
      </c>
      <c r="H129" s="88"/>
    </row>
    <row r="130" spans="1:8" x14ac:dyDescent="0.2">
      <c r="A130" s="387"/>
      <c r="C130" s="309"/>
      <c r="D130" s="171"/>
      <c r="H130" s="88"/>
    </row>
    <row r="131" spans="1:8" x14ac:dyDescent="0.2">
      <c r="A131" s="96" t="s">
        <v>74</v>
      </c>
      <c r="B131" s="391">
        <f>Vin/15</f>
        <v>3.2</v>
      </c>
      <c r="C131" t="s">
        <v>75</v>
      </c>
      <c r="D131" s="171" t="s">
        <v>555</v>
      </c>
      <c r="H131" s="88"/>
    </row>
    <row r="132" spans="1:8" x14ac:dyDescent="0.2">
      <c r="A132" s="96" t="s">
        <v>58</v>
      </c>
      <c r="B132" s="358">
        <f>Kmidband*_Rfb1</f>
        <v>4890.8320146164542</v>
      </c>
      <c r="C132" s="309" t="s">
        <v>208</v>
      </c>
      <c r="D132" s="171" t="s">
        <v>430</v>
      </c>
      <c r="H132" s="88">
        <v>1</v>
      </c>
    </row>
    <row r="133" spans="1:8" x14ac:dyDescent="0.2">
      <c r="A133" s="96" t="s">
        <v>54</v>
      </c>
      <c r="B133" s="359">
        <f>1/(Rcea1*('Design Regulator'!E67*1000)*2*Pi)</f>
        <v>3.6157207062364677E-9</v>
      </c>
      <c r="C133" t="s">
        <v>34</v>
      </c>
      <c r="D133" t="s">
        <v>261</v>
      </c>
      <c r="H133" s="88">
        <v>1</v>
      </c>
    </row>
    <row r="134" spans="1:8" x14ac:dyDescent="0.2">
      <c r="A134" s="96" t="s">
        <v>55</v>
      </c>
      <c r="B134" s="359">
        <f>1/((Rcea1*2*Pi*'Design Regulator'!E70*1000)-1/Cc1ea)</f>
        <v>6.627593962551569E-11</v>
      </c>
      <c r="C134" t="s">
        <v>34</v>
      </c>
      <c r="H134" s="88">
        <v>1</v>
      </c>
    </row>
    <row r="135" spans="1:8" x14ac:dyDescent="0.2">
      <c r="A135" s="96" t="s">
        <v>56</v>
      </c>
      <c r="B135" s="357">
        <f>(1/(1000*2*Pi*'Design Regulator'!E69))*_Rfb1/(1/('Design Regulator'!E68*1000*2*Pi)-(1/(1000*2*Pi*'Design Regulator'!E69)))</f>
        <v>36.162258418131984</v>
      </c>
      <c r="C135" s="309" t="s">
        <v>208</v>
      </c>
      <c r="H135" s="88">
        <v>1</v>
      </c>
    </row>
    <row r="136" spans="1:8" x14ac:dyDescent="0.2">
      <c r="A136" s="96" t="s">
        <v>57</v>
      </c>
      <c r="B136" s="359">
        <f>(1/(1000*2*Pi*'Design Regulator'!E69))/Rcea2</f>
        <v>5.5306280290204108E-10</v>
      </c>
      <c r="C136" t="s">
        <v>34</v>
      </c>
      <c r="H136" s="88">
        <v>1</v>
      </c>
    </row>
    <row r="137" spans="1:8" x14ac:dyDescent="0.2">
      <c r="A137" s="96"/>
      <c r="B137" s="1"/>
      <c r="H137" s="88"/>
    </row>
    <row r="138" spans="1:8" x14ac:dyDescent="0.2">
      <c r="A138" s="99" t="s">
        <v>382</v>
      </c>
      <c r="H138" s="88"/>
    </row>
    <row r="139" spans="1:8" x14ac:dyDescent="0.2">
      <c r="A139" s="87" t="s">
        <v>59</v>
      </c>
      <c r="B139" s="166">
        <f>'Design Regulator'!D74*1000</f>
        <v>4870</v>
      </c>
      <c r="C139" s="309" t="s">
        <v>208</v>
      </c>
      <c r="H139" s="88">
        <v>2</v>
      </c>
    </row>
    <row r="140" spans="1:8" x14ac:dyDescent="0.2">
      <c r="A140" s="87" t="s">
        <v>60</v>
      </c>
      <c r="B140" s="106">
        <f>'Design Regulator'!D75*0.000000000001</f>
        <v>3.9000000000000002E-9</v>
      </c>
      <c r="C140" t="s">
        <v>34</v>
      </c>
      <c r="H140" s="88">
        <v>2</v>
      </c>
    </row>
    <row r="141" spans="1:8" x14ac:dyDescent="0.2">
      <c r="A141" s="87" t="s">
        <v>61</v>
      </c>
      <c r="B141" s="106">
        <f>'Design Regulator'!D76*0.000000000001</f>
        <v>6.7999999999999998E-11</v>
      </c>
      <c r="C141" t="s">
        <v>34</v>
      </c>
      <c r="H141" s="88">
        <v>2</v>
      </c>
    </row>
    <row r="142" spans="1:8" x14ac:dyDescent="0.2">
      <c r="A142" s="87" t="s">
        <v>62</v>
      </c>
      <c r="B142" s="166">
        <f>'Design Regulator'!D77</f>
        <v>36.5</v>
      </c>
      <c r="C142" s="309" t="s">
        <v>208</v>
      </c>
      <c r="H142" s="88">
        <v>2</v>
      </c>
    </row>
    <row r="143" spans="1:8" x14ac:dyDescent="0.2">
      <c r="A143" s="87" t="s">
        <v>63</v>
      </c>
      <c r="B143" s="106">
        <f>'Design Regulator'!D78*0.000000000001</f>
        <v>5.6000000000000003E-10</v>
      </c>
      <c r="C143" t="s">
        <v>34</v>
      </c>
      <c r="H143" s="88">
        <v>2</v>
      </c>
    </row>
    <row r="144" spans="1:8" x14ac:dyDescent="0.2">
      <c r="A144" s="87"/>
      <c r="H144" s="88"/>
    </row>
    <row r="145" spans="1:8" x14ac:dyDescent="0.2">
      <c r="A145" s="99" t="s">
        <v>343</v>
      </c>
      <c r="D145">
        <f>Cout</f>
        <v>2.0000000000000002E-5</v>
      </c>
      <c r="E145">
        <f>CoutEsr</f>
        <v>1E-3</v>
      </c>
      <c r="H145" s="88"/>
    </row>
    <row r="146" spans="1:8" x14ac:dyDescent="0.2">
      <c r="A146" s="96" t="s">
        <v>39</v>
      </c>
      <c r="B146" s="420">
        <f>SQRT((Rfets+Rdcr+Ro)/(Cout*Lout2*(CoutEsr+Ro)))/(2*Pi)</f>
        <v>15062.195235189181</v>
      </c>
      <c r="C146" t="s">
        <v>10</v>
      </c>
      <c r="D146" t="s">
        <v>40</v>
      </c>
      <c r="H146" s="88"/>
    </row>
    <row r="147" spans="1:8" x14ac:dyDescent="0.2">
      <c r="A147" s="96" t="s">
        <v>42</v>
      </c>
      <c r="B147" s="421">
        <f>(Rfets+Rdcr+Ro)/(Lout2+Cout*(Rdcr+Rfets)*(CoutEsr+Ro)+Cout*CoutEsr*Ro)/(Fo*2*Pi)</f>
        <v>2.9135198099609161</v>
      </c>
      <c r="C147" t="s">
        <v>49</v>
      </c>
      <c r="D147" t="s">
        <v>43</v>
      </c>
      <c r="H147" s="88"/>
    </row>
    <row r="148" spans="1:8" x14ac:dyDescent="0.2">
      <c r="A148" s="96" t="s">
        <v>41</v>
      </c>
      <c r="B148" s="420">
        <f>1/(2*Pi*Cout*CoutEsr)</f>
        <v>7957747.1636878178</v>
      </c>
      <c r="C148" t="s">
        <v>10</v>
      </c>
      <c r="D148" s="171" t="s">
        <v>433</v>
      </c>
      <c r="H148" s="88"/>
    </row>
    <row r="149" spans="1:8" x14ac:dyDescent="0.2">
      <c r="A149" s="96" t="s">
        <v>64</v>
      </c>
      <c r="B149" s="420">
        <f>1/(2*Pi*Rcea1_u*Cc1ea_u)</f>
        <v>8379.6632061157452</v>
      </c>
      <c r="C149" t="s">
        <v>10</v>
      </c>
      <c r="D149" s="171" t="s">
        <v>543</v>
      </c>
      <c r="H149" s="88"/>
    </row>
    <row r="150" spans="1:8" x14ac:dyDescent="0.2">
      <c r="A150" s="96" t="s">
        <v>65</v>
      </c>
      <c r="B150" s="420">
        <f>1/(2*Pi*Cc3ea_u*(_Rfb1+Rcea2_u))</f>
        <v>12838.762037629866</v>
      </c>
      <c r="C150" t="s">
        <v>10</v>
      </c>
      <c r="D150" s="171" t="s">
        <v>543</v>
      </c>
      <c r="H150" s="88"/>
    </row>
    <row r="151" spans="1:8" x14ac:dyDescent="0.2">
      <c r="A151" s="96" t="s">
        <v>66</v>
      </c>
      <c r="B151" s="420">
        <f>1/(2*Pi*Rcea2_u*Cc3ea_u)</f>
        <v>7786445.3656436568</v>
      </c>
      <c r="C151" t="s">
        <v>10</v>
      </c>
      <c r="D151" t="s">
        <v>263</v>
      </c>
      <c r="H151" s="88"/>
    </row>
    <row r="152" spans="1:8" x14ac:dyDescent="0.2">
      <c r="A152" s="96" t="s">
        <v>67</v>
      </c>
      <c r="B152" s="420">
        <f>1/(2*Pi*Rcea1_u*(Cc1ea_u*Cc2ea_u/(Cc1ea_u+Cc2ea_u)))</f>
        <v>488977.99414510711</v>
      </c>
      <c r="C152" t="s">
        <v>10</v>
      </c>
      <c r="D152" t="s">
        <v>262</v>
      </c>
      <c r="H152" s="88"/>
    </row>
    <row r="153" spans="1:8" x14ac:dyDescent="0.2">
      <c r="A153" s="96" t="s">
        <v>80</v>
      </c>
      <c r="B153" s="421">
        <f>Vout/(Iout+Vref/_Rfb2)</f>
        <v>1.5998880319688034</v>
      </c>
      <c r="D153" s="171" t="s">
        <v>542</v>
      </c>
      <c r="H153" s="88"/>
    </row>
    <row r="154" spans="1:8" x14ac:dyDescent="0.2">
      <c r="A154" s="96" t="s">
        <v>70</v>
      </c>
      <c r="B154" s="421">
        <v>3.1415926500000002</v>
      </c>
      <c r="D154" t="s">
        <v>264</v>
      </c>
      <c r="H154" s="88"/>
    </row>
    <row r="155" spans="1:8" x14ac:dyDescent="0.2">
      <c r="A155" s="96" t="s">
        <v>327</v>
      </c>
      <c r="B155" s="1"/>
      <c r="H155" s="88"/>
    </row>
    <row r="156" spans="1:8" x14ac:dyDescent="0.2">
      <c r="A156" s="96" t="s">
        <v>336</v>
      </c>
      <c r="B156" s="1">
        <v>0</v>
      </c>
      <c r="C156" s="309" t="s">
        <v>208</v>
      </c>
      <c r="D156" s="171" t="s">
        <v>538</v>
      </c>
      <c r="G156">
        <f>_Don2*RdsonTop+Doff2*RdsonBot+B161*Vin^2*Fsw/2/(((Iripple1/SQRT(3))^2))</f>
        <v>3.624340108300673</v>
      </c>
      <c r="H156" s="88"/>
    </row>
    <row r="157" spans="1:8" x14ac:dyDescent="0.2">
      <c r="A157" s="87"/>
      <c r="H157" s="88"/>
    </row>
    <row r="158" spans="1:8" x14ac:dyDescent="0.2">
      <c r="A158" s="96" t="s">
        <v>339</v>
      </c>
      <c r="B158" s="2">
        <f>0.00000002*Fsw*0.6*4/Iripple1</f>
        <v>2.1887128712871285E-2</v>
      </c>
      <c r="D158" s="2"/>
      <c r="H158" s="88"/>
    </row>
    <row r="159" spans="1:8" x14ac:dyDescent="0.2">
      <c r="A159" s="96" t="s">
        <v>338</v>
      </c>
      <c r="B159" s="2">
        <f>_Don2*RdsonTop+Doff2*RdsonBot</f>
        <v>3.1492083597213422E-2</v>
      </c>
      <c r="D159" s="2"/>
      <c r="H159" s="88"/>
    </row>
    <row r="160" spans="1:8" x14ac:dyDescent="0.2">
      <c r="A160" s="96" t="s">
        <v>337</v>
      </c>
      <c r="B160" s="2">
        <f>B161*Vin^2*Fsw/2/(((Iripple1/SQRT(3))^2))</f>
        <v>3.5928480247034598</v>
      </c>
      <c r="D160" s="2"/>
      <c r="H160" s="88"/>
    </row>
    <row r="161" spans="1:8" ht="13.5" thickBot="1" x14ac:dyDescent="0.25">
      <c r="A161" s="108" t="s">
        <v>340</v>
      </c>
      <c r="B161" s="113">
        <v>5.0000000000000001E-9</v>
      </c>
      <c r="C161" s="92"/>
      <c r="D161" s="113"/>
      <c r="E161" s="92"/>
      <c r="F161" s="92"/>
      <c r="G161" s="92"/>
      <c r="H161" s="93"/>
    </row>
    <row r="162" spans="1:8" x14ac:dyDescent="0.2">
      <c r="A162" s="1"/>
      <c r="B162" s="60"/>
      <c r="D162" s="60"/>
    </row>
    <row r="163" spans="1:8" x14ac:dyDescent="0.2">
      <c r="A163" s="1"/>
      <c r="B163" s="60"/>
      <c r="D163" s="60"/>
    </row>
    <row r="164" spans="1:8" ht="16.5" thickBot="1" x14ac:dyDescent="0.3">
      <c r="A164" s="139" t="s">
        <v>361</v>
      </c>
    </row>
    <row r="165" spans="1:8" x14ac:dyDescent="0.2">
      <c r="A165" s="134"/>
      <c r="B165" s="94"/>
      <c r="C165" s="94"/>
      <c r="D165" s="94"/>
      <c r="E165" s="94"/>
      <c r="F165" s="94"/>
      <c r="G165" s="94"/>
      <c r="H165" s="95"/>
    </row>
    <row r="166" spans="1:8" x14ac:dyDescent="0.2">
      <c r="A166" s="99" t="s">
        <v>125</v>
      </c>
      <c r="H166" s="88"/>
    </row>
    <row r="167" spans="1:8" x14ac:dyDescent="0.2">
      <c r="A167" s="87" t="s">
        <v>156</v>
      </c>
      <c r="B167" s="39">
        <v>25</v>
      </c>
      <c r="D167" t="s">
        <v>175</v>
      </c>
      <c r="H167" s="88"/>
    </row>
    <row r="168" spans="1:8" ht="15.75" x14ac:dyDescent="0.25">
      <c r="A168" s="477" t="s">
        <v>128</v>
      </c>
      <c r="H168" s="88"/>
    </row>
    <row r="169" spans="1:8" x14ac:dyDescent="0.2">
      <c r="A169" s="87" t="s">
        <v>155</v>
      </c>
      <c r="B169" s="90">
        <f>4000/1000000</f>
        <v>4.0000000000000001E-3</v>
      </c>
      <c r="C169" s="171" t="s">
        <v>556</v>
      </c>
      <c r="D169" t="s">
        <v>176</v>
      </c>
      <c r="H169" s="88"/>
    </row>
    <row r="170" spans="1:8" x14ac:dyDescent="0.2">
      <c r="A170" s="87" t="s">
        <v>250</v>
      </c>
      <c r="B170" s="90">
        <v>20</v>
      </c>
      <c r="C170" s="171" t="s">
        <v>380</v>
      </c>
      <c r="D170" t="s">
        <v>251</v>
      </c>
      <c r="H170" s="88"/>
    </row>
    <row r="171" spans="1:8" x14ac:dyDescent="0.2">
      <c r="A171" s="87" t="s">
        <v>159</v>
      </c>
      <c r="B171" s="39">
        <f>RCinEsr</f>
        <v>2E-3</v>
      </c>
      <c r="C171" s="309" t="s">
        <v>208</v>
      </c>
      <c r="D171" t="s">
        <v>178</v>
      </c>
      <c r="H171" s="88"/>
    </row>
    <row r="172" spans="1:8" x14ac:dyDescent="0.2">
      <c r="A172" s="96" t="s">
        <v>268</v>
      </c>
      <c r="H172" s="88"/>
    </row>
    <row r="173" spans="1:8" x14ac:dyDescent="0.2">
      <c r="A173" s="306" t="s">
        <v>610</v>
      </c>
      <c r="B173" s="90">
        <v>7.5</v>
      </c>
      <c r="H173" s="88"/>
    </row>
    <row r="174" spans="1:8" x14ac:dyDescent="0.2">
      <c r="A174" s="99" t="s">
        <v>202</v>
      </c>
      <c r="H174" s="88"/>
    </row>
    <row r="175" spans="1:8" x14ac:dyDescent="0.2">
      <c r="A175" s="87" t="s">
        <v>132</v>
      </c>
      <c r="B175" s="90">
        <v>1</v>
      </c>
      <c r="C175" s="309" t="s">
        <v>208</v>
      </c>
      <c r="D175" t="s">
        <v>204</v>
      </c>
      <c r="H175" s="88"/>
    </row>
    <row r="176" spans="1:8" x14ac:dyDescent="0.2">
      <c r="A176" s="87" t="s">
        <v>239</v>
      </c>
      <c r="B176" s="90">
        <v>0.9</v>
      </c>
      <c r="C176" s="309" t="s">
        <v>208</v>
      </c>
      <c r="D176" t="s">
        <v>205</v>
      </c>
      <c r="H176" s="88"/>
    </row>
    <row r="177" spans="1:8" x14ac:dyDescent="0.2">
      <c r="A177" s="99" t="s">
        <v>203</v>
      </c>
      <c r="H177" s="88"/>
    </row>
    <row r="178" spans="1:8" x14ac:dyDescent="0.2">
      <c r="A178" s="87" t="s">
        <v>131</v>
      </c>
      <c r="B178" s="158">
        <v>1</v>
      </c>
      <c r="C178" s="309" t="s">
        <v>208</v>
      </c>
      <c r="D178" t="s">
        <v>204</v>
      </c>
      <c r="H178" s="88"/>
    </row>
    <row r="179" spans="1:8" x14ac:dyDescent="0.2">
      <c r="A179" s="87" t="s">
        <v>238</v>
      </c>
      <c r="B179" s="90">
        <v>0.9</v>
      </c>
      <c r="C179" s="309" t="s">
        <v>208</v>
      </c>
      <c r="D179" t="s">
        <v>205</v>
      </c>
      <c r="H179" s="88"/>
    </row>
    <row r="180" spans="1:8" x14ac:dyDescent="0.2">
      <c r="A180" s="99" t="s">
        <v>133</v>
      </c>
      <c r="D180" t="s">
        <v>199</v>
      </c>
      <c r="H180" s="88"/>
    </row>
    <row r="181" spans="1:8" x14ac:dyDescent="0.2">
      <c r="A181" s="87" t="s">
        <v>133</v>
      </c>
      <c r="B181" s="102">
        <v>2.9999999999999997E-8</v>
      </c>
      <c r="C181" t="s">
        <v>265</v>
      </c>
      <c r="D181" t="s">
        <v>179</v>
      </c>
      <c r="H181" s="88"/>
    </row>
    <row r="182" spans="1:8" x14ac:dyDescent="0.2">
      <c r="A182" s="99" t="s">
        <v>119</v>
      </c>
      <c r="H182" s="88"/>
    </row>
    <row r="183" spans="1:8" x14ac:dyDescent="0.2">
      <c r="A183" s="87" t="s">
        <v>249</v>
      </c>
      <c r="B183" s="90">
        <v>2E-3</v>
      </c>
      <c r="C183" t="s">
        <v>2</v>
      </c>
      <c r="D183" t="s">
        <v>259</v>
      </c>
      <c r="H183" s="88"/>
    </row>
    <row r="184" spans="1:8" ht="15.75" x14ac:dyDescent="0.25">
      <c r="A184" s="477" t="s">
        <v>129</v>
      </c>
      <c r="H184" s="88"/>
    </row>
    <row r="185" spans="1:8" x14ac:dyDescent="0.2">
      <c r="A185" s="87" t="s">
        <v>142</v>
      </c>
      <c r="B185" s="39">
        <f>'Design Regulator'!E85/1000</f>
        <v>5.1999999999999998E-2</v>
      </c>
      <c r="C185" s="309" t="s">
        <v>208</v>
      </c>
      <c r="D185" t="s">
        <v>194</v>
      </c>
      <c r="H185" s="88"/>
    </row>
    <row r="186" spans="1:8" x14ac:dyDescent="0.2">
      <c r="A186" s="87" t="s">
        <v>152</v>
      </c>
      <c r="B186" s="90">
        <f>4000/1000000</f>
        <v>4.0000000000000001E-3</v>
      </c>
      <c r="C186" s="171" t="s">
        <v>556</v>
      </c>
      <c r="D186" t="s">
        <v>193</v>
      </c>
      <c r="H186" s="88"/>
    </row>
    <row r="187" spans="1:8" x14ac:dyDescent="0.2">
      <c r="A187" s="87" t="s">
        <v>141</v>
      </c>
      <c r="B187" s="114">
        <f>'Design Regulator'!E86/1000000000</f>
        <v>3.2000000000000001E-9</v>
      </c>
      <c r="C187" t="s">
        <v>269</v>
      </c>
      <c r="D187" t="s">
        <v>180</v>
      </c>
      <c r="H187" s="88"/>
    </row>
    <row r="188" spans="1:8" x14ac:dyDescent="0.2">
      <c r="A188" s="87" t="s">
        <v>218</v>
      </c>
      <c r="B188" s="114">
        <f>'Design Regulator'!E87/1000000000</f>
        <v>8.0000000000000003E-10</v>
      </c>
      <c r="C188" t="s">
        <v>269</v>
      </c>
      <c r="D188" t="s">
        <v>219</v>
      </c>
      <c r="H188" s="88"/>
    </row>
    <row r="189" spans="1:8" x14ac:dyDescent="0.2">
      <c r="A189" s="87" t="s">
        <v>236</v>
      </c>
      <c r="B189" s="114">
        <f>'Design Regulator'!E88/1000000000</f>
        <v>1.6000000000000001E-9</v>
      </c>
      <c r="C189" t="s">
        <v>269</v>
      </c>
      <c r="D189" t="s">
        <v>713</v>
      </c>
      <c r="H189" s="88"/>
    </row>
    <row r="190" spans="1:8" x14ac:dyDescent="0.2">
      <c r="A190" s="388" t="s">
        <v>720</v>
      </c>
      <c r="B190" s="114">
        <f>'Design Regulator'!E89/1000000000000</f>
        <v>6.8999999999999994E-11</v>
      </c>
      <c r="C190" t="s">
        <v>34</v>
      </c>
      <c r="D190" t="s">
        <v>721</v>
      </c>
      <c r="H190" s="88"/>
    </row>
    <row r="191" spans="1:8" x14ac:dyDescent="0.2">
      <c r="A191" s="87" t="s">
        <v>168</v>
      </c>
      <c r="B191" s="39">
        <f>'Design Regulator'!E90</f>
        <v>4.5999999999999996</v>
      </c>
      <c r="C191" s="309" t="s">
        <v>208</v>
      </c>
      <c r="D191" t="s">
        <v>722</v>
      </c>
      <c r="H191" s="88"/>
    </row>
    <row r="192" spans="1:8" x14ac:dyDescent="0.2">
      <c r="A192" s="87" t="s">
        <v>140</v>
      </c>
      <c r="B192" s="39">
        <f>'Design Regulator'!E91</f>
        <v>45</v>
      </c>
      <c r="C192" t="s">
        <v>137</v>
      </c>
      <c r="D192" t="s">
        <v>182</v>
      </c>
      <c r="H192" s="88"/>
    </row>
    <row r="193" spans="1:10" x14ac:dyDescent="0.2">
      <c r="A193" s="87" t="s">
        <v>170</v>
      </c>
      <c r="B193" s="39">
        <f>'Design Regulator'!E92</f>
        <v>5</v>
      </c>
      <c r="C193" t="s">
        <v>0</v>
      </c>
      <c r="D193" t="s">
        <v>183</v>
      </c>
      <c r="H193" s="88"/>
    </row>
    <row r="194" spans="1:10" x14ac:dyDescent="0.2">
      <c r="A194" s="87" t="s">
        <v>235</v>
      </c>
      <c r="B194" s="103">
        <f>VthTop+Iout/GmTop</f>
        <v>5.333333333333333</v>
      </c>
      <c r="C194" t="s">
        <v>0</v>
      </c>
      <c r="D194" t="s">
        <v>266</v>
      </c>
      <c r="H194" s="88"/>
    </row>
    <row r="195" spans="1:10" x14ac:dyDescent="0.2">
      <c r="A195" s="87" t="s">
        <v>377</v>
      </c>
      <c r="B195" s="39">
        <f>'Design Regulator'!E93</f>
        <v>0.8</v>
      </c>
      <c r="C195" t="s">
        <v>0</v>
      </c>
      <c r="D195" t="s">
        <v>379</v>
      </c>
      <c r="H195" s="88"/>
    </row>
    <row r="196" spans="1:10" x14ac:dyDescent="0.2">
      <c r="A196" s="87" t="s">
        <v>161</v>
      </c>
      <c r="B196" s="39">
        <f>'Design Regulator'!E94</f>
        <v>55</v>
      </c>
      <c r="C196" s="171" t="s">
        <v>380</v>
      </c>
      <c r="D196" t="s">
        <v>184</v>
      </c>
      <c r="H196" s="88"/>
    </row>
    <row r="197" spans="1:10" ht="15.75" x14ac:dyDescent="0.25">
      <c r="A197" s="477" t="s">
        <v>130</v>
      </c>
      <c r="H197" s="88"/>
    </row>
    <row r="198" spans="1:10" x14ac:dyDescent="0.2">
      <c r="A198" s="87" t="s">
        <v>139</v>
      </c>
      <c r="B198" s="39">
        <f>'Design Regulator'!E97/1000</f>
        <v>0.01</v>
      </c>
      <c r="C198" s="309" t="s">
        <v>208</v>
      </c>
      <c r="D198" t="s">
        <v>192</v>
      </c>
      <c r="H198" s="88"/>
    </row>
    <row r="199" spans="1:10" x14ac:dyDescent="0.2">
      <c r="A199" s="87" t="s">
        <v>153</v>
      </c>
      <c r="B199" s="39">
        <f>4000/1000000</f>
        <v>4.0000000000000001E-3</v>
      </c>
      <c r="C199" s="171" t="s">
        <v>556</v>
      </c>
      <c r="D199" t="s">
        <v>185</v>
      </c>
      <c r="H199" s="88"/>
    </row>
    <row r="200" spans="1:10" x14ac:dyDescent="0.2">
      <c r="A200" s="87" t="s">
        <v>138</v>
      </c>
      <c r="B200" s="114">
        <f>'Design Regulator'!E98/1000000000</f>
        <v>1.3000000000000001E-8</v>
      </c>
      <c r="C200" t="s">
        <v>269</v>
      </c>
      <c r="D200" s="171" t="s">
        <v>716</v>
      </c>
      <c r="H200" s="88"/>
      <c r="J200">
        <f>RGateTop</f>
        <v>4.5999999999999996</v>
      </c>
    </row>
    <row r="201" spans="1:10" x14ac:dyDescent="0.2">
      <c r="A201" s="388" t="s">
        <v>714</v>
      </c>
      <c r="B201" s="114">
        <f>'Design Regulator'!E99/1000000000</f>
        <v>2E-8</v>
      </c>
      <c r="C201" t="s">
        <v>269</v>
      </c>
      <c r="D201" s="171" t="s">
        <v>715</v>
      </c>
      <c r="H201" s="88"/>
    </row>
    <row r="202" spans="1:10" x14ac:dyDescent="0.2">
      <c r="A202" s="388" t="s">
        <v>719</v>
      </c>
      <c r="B202" s="114">
        <f>'Design Regulator'!E100/1000000000000</f>
        <v>5.7999999999999996E-10</v>
      </c>
      <c r="C202" t="s">
        <v>34</v>
      </c>
      <c r="D202" s="171" t="s">
        <v>718</v>
      </c>
      <c r="H202" s="88"/>
    </row>
    <row r="203" spans="1:10" x14ac:dyDescent="0.2">
      <c r="A203" s="87" t="s">
        <v>169</v>
      </c>
      <c r="B203" s="39">
        <v>1</v>
      </c>
      <c r="C203" s="309" t="s">
        <v>208</v>
      </c>
      <c r="D203" t="s">
        <v>181</v>
      </c>
      <c r="H203" s="88"/>
    </row>
    <row r="204" spans="1:10" x14ac:dyDescent="0.2">
      <c r="A204" s="87" t="s">
        <v>144</v>
      </c>
      <c r="B204" s="39">
        <f>'Design Regulator'!E101</f>
        <v>0.9</v>
      </c>
      <c r="C204" t="s">
        <v>0</v>
      </c>
      <c r="D204" t="s">
        <v>186</v>
      </c>
      <c r="H204" s="88"/>
    </row>
    <row r="205" spans="1:10" x14ac:dyDescent="0.2">
      <c r="A205" s="87" t="s">
        <v>145</v>
      </c>
      <c r="B205" s="114">
        <f>'Design Regulator'!E102/1000000000</f>
        <v>4.9999999999999998E-8</v>
      </c>
      <c r="C205" t="s">
        <v>269</v>
      </c>
      <c r="D205" t="s">
        <v>196</v>
      </c>
      <c r="H205" s="88"/>
    </row>
    <row r="206" spans="1:10" x14ac:dyDescent="0.2">
      <c r="A206" s="87" t="s">
        <v>146</v>
      </c>
      <c r="B206" s="114">
        <v>4.0000000000000001E-8</v>
      </c>
      <c r="C206" t="s">
        <v>265</v>
      </c>
      <c r="D206" t="s">
        <v>187</v>
      </c>
      <c r="H206" s="88"/>
    </row>
    <row r="207" spans="1:10" x14ac:dyDescent="0.2">
      <c r="A207" s="87" t="s">
        <v>160</v>
      </c>
      <c r="B207" s="39">
        <f>'Design Regulator'!E103</f>
        <v>40</v>
      </c>
      <c r="C207" s="171" t="s">
        <v>380</v>
      </c>
      <c r="D207" t="s">
        <v>184</v>
      </c>
      <c r="H207" s="88"/>
    </row>
    <row r="208" spans="1:10" ht="15.75" x14ac:dyDescent="0.25">
      <c r="A208" s="477" t="s">
        <v>427</v>
      </c>
      <c r="B208" s="39"/>
      <c r="H208" s="88"/>
    </row>
    <row r="209" spans="1:8" x14ac:dyDescent="0.2">
      <c r="A209" s="87" t="s">
        <v>364</v>
      </c>
      <c r="B209" s="39">
        <f>'Design Regulator'!E105</f>
        <v>0</v>
      </c>
      <c r="C209" t="s">
        <v>0</v>
      </c>
      <c r="D209" t="s">
        <v>367</v>
      </c>
      <c r="H209" s="88"/>
    </row>
    <row r="210" spans="1:8" x14ac:dyDescent="0.2">
      <c r="A210" s="87" t="s">
        <v>365</v>
      </c>
      <c r="B210" s="39">
        <v>0</v>
      </c>
      <c r="C210" t="s">
        <v>269</v>
      </c>
      <c r="D210" t="s">
        <v>368</v>
      </c>
      <c r="H210" s="88"/>
    </row>
    <row r="211" spans="1:8" x14ac:dyDescent="0.2">
      <c r="A211" s="87" t="s">
        <v>366</v>
      </c>
      <c r="B211" s="39">
        <v>0</v>
      </c>
      <c r="C211" t="s">
        <v>2</v>
      </c>
      <c r="D211" t="s">
        <v>369</v>
      </c>
      <c r="H211" s="88"/>
    </row>
    <row r="212" spans="1:8" x14ac:dyDescent="0.2">
      <c r="A212" s="99" t="s">
        <v>209</v>
      </c>
      <c r="H212" s="88"/>
    </row>
    <row r="213" spans="1:8" x14ac:dyDescent="0.2">
      <c r="A213" s="87" t="s">
        <v>267</v>
      </c>
      <c r="B213" s="39">
        <v>30</v>
      </c>
      <c r="H213" s="88"/>
    </row>
    <row r="214" spans="1:8" x14ac:dyDescent="0.2">
      <c r="A214" s="99" t="s">
        <v>149</v>
      </c>
      <c r="H214" s="88"/>
    </row>
    <row r="215" spans="1:8" x14ac:dyDescent="0.2">
      <c r="A215" s="87" t="s">
        <v>129</v>
      </c>
      <c r="H215" s="88"/>
    </row>
    <row r="216" spans="1:8" x14ac:dyDescent="0.2">
      <c r="A216" s="87" t="s">
        <v>166</v>
      </c>
      <c r="B216" s="106">
        <f>(QgdTop+QgsTop/2)*(RdsonDRT+RGateTop)/(Vdd-VspTop)</f>
        <v>4.1353846153846152E-9</v>
      </c>
      <c r="C216" t="s">
        <v>265</v>
      </c>
      <c r="H216" s="88"/>
    </row>
    <row r="217" spans="1:8" x14ac:dyDescent="0.2">
      <c r="A217" s="87" t="s">
        <v>167</v>
      </c>
      <c r="B217" s="106">
        <f>(QgdTop+QgsTop/2)*(RdsonDRT+RGateTop)/(VspTop)</f>
        <v>1.6800000000000002E-9</v>
      </c>
      <c r="C217" t="s">
        <v>265</v>
      </c>
      <c r="H217" s="88"/>
    </row>
    <row r="218" spans="1:8" x14ac:dyDescent="0.2">
      <c r="A218" s="87"/>
      <c r="H218" s="88"/>
    </row>
    <row r="219" spans="1:8" x14ac:dyDescent="0.2">
      <c r="A219" s="87"/>
      <c r="H219" s="88"/>
    </row>
    <row r="220" spans="1:8" x14ac:dyDescent="0.2">
      <c r="A220" s="99" t="s">
        <v>391</v>
      </c>
      <c r="B220" s="2" t="s">
        <v>8</v>
      </c>
      <c r="C220" s="2" t="s">
        <v>148</v>
      </c>
      <c r="H220" s="88"/>
    </row>
    <row r="221" spans="1:8" x14ac:dyDescent="0.2">
      <c r="A221" s="89" t="s">
        <v>207</v>
      </c>
      <c r="B221" s="410">
        <f>'Power Calculations'!AN9</f>
        <v>0.2175</v>
      </c>
      <c r="C221" s="3" t="s">
        <v>208</v>
      </c>
      <c r="H221" s="88"/>
    </row>
    <row r="222" spans="1:8" x14ac:dyDescent="0.2">
      <c r="A222" s="89" t="s">
        <v>211</v>
      </c>
      <c r="B222" s="411">
        <f>B221*ThetaJaCtrl</f>
        <v>6.5250000000000004</v>
      </c>
      <c r="C222" s="171" t="s">
        <v>441</v>
      </c>
      <c r="H222" s="88"/>
    </row>
    <row r="223" spans="1:8" x14ac:dyDescent="0.2">
      <c r="A223" s="89" t="s">
        <v>387</v>
      </c>
      <c r="B223" s="413">
        <f>(QgBot+QgTop)*Fsw+Iq</f>
        <v>1.8200000000000001E-2</v>
      </c>
      <c r="C223" t="s">
        <v>2</v>
      </c>
      <c r="H223" s="88"/>
    </row>
    <row r="224" spans="1:8" x14ac:dyDescent="0.2">
      <c r="A224" s="89" t="s">
        <v>388</v>
      </c>
      <c r="B224" s="412">
        <f>QrrBot*Fsw</f>
        <v>4.9999999999999996E-2</v>
      </c>
      <c r="C224" t="s">
        <v>2</v>
      </c>
      <c r="H224" s="88"/>
    </row>
    <row r="225" spans="1:8" x14ac:dyDescent="0.2">
      <c r="A225" s="89" t="s">
        <v>389</v>
      </c>
      <c r="B225" s="412">
        <f>C225/Vin</f>
        <v>2.6253342245989309E-4</v>
      </c>
      <c r="C225">
        <f>Deadtime*Fsw*(Ipp/2)*(VsdTop+VsdBot)</f>
        <v>1.2601604278074868E-2</v>
      </c>
      <c r="H225" s="88"/>
    </row>
    <row r="226" spans="1:8" x14ac:dyDescent="0.2">
      <c r="A226" s="89" t="s">
        <v>392</v>
      </c>
      <c r="B226" s="412">
        <f>SUM(B223:B225)</f>
        <v>6.8462533422459892E-2</v>
      </c>
      <c r="C226" t="s">
        <v>2</v>
      </c>
      <c r="H226" s="88"/>
    </row>
    <row r="227" spans="1:8" x14ac:dyDescent="0.2">
      <c r="A227" s="87"/>
      <c r="H227" s="88"/>
    </row>
    <row r="228" spans="1:8" x14ac:dyDescent="0.2">
      <c r="A228" s="87"/>
      <c r="H228" s="88"/>
    </row>
    <row r="229" spans="1:8" x14ac:dyDescent="0.2">
      <c r="A229" s="87"/>
      <c r="H229" s="88"/>
    </row>
    <row r="230" spans="1:8" x14ac:dyDescent="0.2">
      <c r="A230" s="87"/>
      <c r="H230" s="88"/>
    </row>
    <row r="231" spans="1:8" x14ac:dyDescent="0.2">
      <c r="A231" s="87"/>
      <c r="H231" s="88"/>
    </row>
    <row r="232" spans="1:8" x14ac:dyDescent="0.2">
      <c r="A232" s="99" t="s">
        <v>150</v>
      </c>
      <c r="H232" s="88"/>
    </row>
    <row r="233" spans="1:8" x14ac:dyDescent="0.2">
      <c r="A233" s="87" t="s">
        <v>206</v>
      </c>
      <c r="H233" s="88"/>
    </row>
    <row r="234" spans="1:8" ht="13.5" thickBot="1" x14ac:dyDescent="0.25">
      <c r="A234" s="91" t="s">
        <v>207</v>
      </c>
      <c r="B234" s="92"/>
      <c r="C234" s="92"/>
      <c r="D234" s="92"/>
      <c r="E234" s="92"/>
      <c r="F234" s="92"/>
      <c r="G234" s="92"/>
      <c r="H234" s="93"/>
    </row>
    <row r="235" spans="1:8" x14ac:dyDescent="0.2">
      <c r="A235" s="1"/>
      <c r="B235" s="1"/>
    </row>
    <row r="236" spans="1:8" ht="21.75" customHeight="1" thickBot="1" x14ac:dyDescent="0.3">
      <c r="A236" s="133" t="s">
        <v>381</v>
      </c>
    </row>
    <row r="237" spans="1:8" x14ac:dyDescent="0.2">
      <c r="A237" s="134" t="str">
        <f>"RC1 = "&amp;'Design Regulator'!D74&amp;"kΩ"</f>
        <v>RC1 = 4.87kΩ</v>
      </c>
      <c r="B237" s="94" t="str">
        <f>'Design Regulator'!D74&amp;"kΩ"</f>
        <v>4.87kΩ</v>
      </c>
      <c r="C237" s="94"/>
      <c r="D237" s="94"/>
      <c r="E237" s="94"/>
      <c r="F237" s="94"/>
      <c r="G237" s="94"/>
      <c r="H237" s="95"/>
    </row>
    <row r="238" spans="1:8" x14ac:dyDescent="0.2">
      <c r="A238" s="87" t="str">
        <f>"LOUT = "&amp;'Design Regulator'!E17&amp;"uH"</f>
        <v>LOUT = 5.6uH</v>
      </c>
      <c r="B238" t="str">
        <f>'Design Regulator'!E17&amp;"µH"</f>
        <v>5.6µH</v>
      </c>
      <c r="H238" s="88"/>
    </row>
    <row r="239" spans="1:8" x14ac:dyDescent="0.2">
      <c r="A239" s="87" t="str">
        <f>"Rdcr = "&amp;'Design Regulator'!E18&amp;"mΩ"</f>
        <v>Rdcr = 6mΩ</v>
      </c>
      <c r="B239" t="str">
        <f>'Design Regulator'!E18&amp;"mΩ"</f>
        <v>6mΩ</v>
      </c>
      <c r="H239" s="88"/>
    </row>
    <row r="240" spans="1:8" x14ac:dyDescent="0.2">
      <c r="A240" s="387"/>
      <c r="H240" s="88"/>
    </row>
    <row r="241" spans="1:8" x14ac:dyDescent="0.2">
      <c r="A241" s="87" t="str">
        <f>"VOUT = "&amp;'Design Regulator'!E9&amp;"V"</f>
        <v>VOUT = 24V</v>
      </c>
      <c r="B241" t="str">
        <f>'Design Regulator'!E9&amp;"V"</f>
        <v>24V</v>
      </c>
      <c r="H241" s="88"/>
    </row>
    <row r="242" spans="1:8" x14ac:dyDescent="0.2">
      <c r="A242" s="87"/>
      <c r="C242" s="173" t="str">
        <f>M44</f>
        <v>10</v>
      </c>
      <c r="D242" s="173">
        <f>ROUNDUP('Design Regulator'!$E$33/C242,0)</f>
        <v>2</v>
      </c>
      <c r="H242" s="88"/>
    </row>
    <row r="243" spans="1:8" x14ac:dyDescent="0.2">
      <c r="A243" s="87" t="str">
        <f>"COUT = "&amp;'Design Regulator'!$E$33&amp;"uF"</f>
        <v>COUT = 20uF</v>
      </c>
      <c r="B243" t="str">
        <f>'Design Regulator'!$E$33&amp;"µF"</f>
        <v>20µF</v>
      </c>
      <c r="C243" s="173" t="str">
        <f>C242</f>
        <v>10</v>
      </c>
      <c r="D243" s="173" t="str">
        <f>IF(D242=1, "",B245)</f>
        <v xml:space="preserve">2 x </v>
      </c>
      <c r="E243" t="str">
        <f>D243&amp;C243&amp;"µF"</f>
        <v>2 x 10µF</v>
      </c>
      <c r="F243" t="str">
        <f>C243&amp;"µF"</f>
        <v>10µF</v>
      </c>
      <c r="G243" t="str">
        <f>L66</f>
        <v>50V</v>
      </c>
      <c r="H243" s="88"/>
    </row>
    <row r="244" spans="1:8" x14ac:dyDescent="0.2">
      <c r="A244" s="306" t="s">
        <v>527</v>
      </c>
      <c r="B244" t="str">
        <f>C242&amp;"µF"</f>
        <v>10µF</v>
      </c>
      <c r="H244" s="88"/>
    </row>
    <row r="245" spans="1:8" x14ac:dyDescent="0.2">
      <c r="A245" s="306" t="s">
        <v>528</v>
      </c>
      <c r="B245" s="173" t="str">
        <f>D242&amp;" x "</f>
        <v xml:space="preserve">2 x </v>
      </c>
      <c r="H245" s="88"/>
    </row>
    <row r="246" spans="1:8" x14ac:dyDescent="0.2">
      <c r="A246" s="388"/>
      <c r="H246" s="88"/>
    </row>
    <row r="247" spans="1:8" x14ac:dyDescent="0.2">
      <c r="A247" s="387"/>
      <c r="H247" s="88"/>
    </row>
    <row r="248" spans="1:8" x14ac:dyDescent="0.2">
      <c r="A248" s="87" t="s">
        <v>409</v>
      </c>
      <c r="B248" t="str">
        <f>Cin*1000000&amp;"µF"</f>
        <v>20µF</v>
      </c>
      <c r="H248" s="88"/>
    </row>
    <row r="249" spans="1:8" x14ac:dyDescent="0.2">
      <c r="A249" s="306" t="s">
        <v>526</v>
      </c>
      <c r="B249" t="str">
        <f>"4.7µF"</f>
        <v>4.7µF</v>
      </c>
      <c r="H249" s="88"/>
    </row>
    <row r="250" spans="1:8" x14ac:dyDescent="0.2">
      <c r="A250" s="306" t="s">
        <v>525</v>
      </c>
      <c r="B250" s="173" t="str">
        <f>ROUNDUP(Cin*1000000/4.7,0)&amp;" x "</f>
        <v xml:space="preserve">5 x </v>
      </c>
      <c r="E250" t="str">
        <f>B250&amp;B249</f>
        <v>5 x 4.7µF</v>
      </c>
      <c r="H250" s="88"/>
    </row>
    <row r="251" spans="1:8" x14ac:dyDescent="0.2">
      <c r="A251" s="388"/>
      <c r="B251" s="173"/>
      <c r="H251" s="88"/>
    </row>
    <row r="252" spans="1:8" x14ac:dyDescent="0.2">
      <c r="A252" s="306"/>
      <c r="B252" s="173"/>
      <c r="H252" s="88"/>
    </row>
    <row r="253" spans="1:8" x14ac:dyDescent="0.2">
      <c r="A253" s="87" t="str">
        <f>"RC1 = "&amp;Rcea1_u/1000&amp;"kΩ"</f>
        <v>RC1 = 4.87kΩ</v>
      </c>
      <c r="B253" t="str">
        <f>ROUND(Rcea1_u/1000,2)&amp;"kΩ"</f>
        <v>4.87kΩ</v>
      </c>
      <c r="H253" s="88"/>
    </row>
    <row r="254" spans="1:8" x14ac:dyDescent="0.2">
      <c r="A254" s="87" t="str">
        <f>"CC1 = "&amp;Cc1ea_u*10^9&amp;"nF"</f>
        <v>CC1 = 3.9nF</v>
      </c>
      <c r="B254" t="str">
        <f>ROUND(Cc1ea_u*10^9,1)&amp;"nF"</f>
        <v>3.9nF</v>
      </c>
      <c r="H254" s="88"/>
    </row>
    <row r="255" spans="1:8" x14ac:dyDescent="0.2">
      <c r="A255" s="87" t="str">
        <f>"CC2 = "&amp;Cc2ea_u*10^12&amp;"pF"</f>
        <v>CC2 = 68pF</v>
      </c>
      <c r="B255" t="str">
        <f>ROUND(Cc2ea_u*10^12,0)&amp;"pF"</f>
        <v>68pF</v>
      </c>
      <c r="H255" s="88"/>
    </row>
    <row r="256" spans="1:8" x14ac:dyDescent="0.2">
      <c r="A256" s="87" t="str">
        <f>"RC2 = "&amp;Rcea2_u&amp;"Ω"</f>
        <v>RC2 = 36.5Ω</v>
      </c>
      <c r="B256" t="str">
        <f>ROUND(Rcea2_u,2)&amp;"Ω"</f>
        <v>36.5Ω</v>
      </c>
      <c r="H256" s="88"/>
    </row>
    <row r="257" spans="1:8" x14ac:dyDescent="0.2">
      <c r="A257" s="87" t="str">
        <f>"CC3 = "&amp;Cc3ea_u*10^12&amp;"pF"</f>
        <v>CC3 = 560pF</v>
      </c>
      <c r="B257" t="str">
        <f>ROUND(Cc3ea_u*10^12,0)&amp;"pF"</f>
        <v>560pF</v>
      </c>
      <c r="H257" s="88"/>
    </row>
    <row r="258" spans="1:8" x14ac:dyDescent="0.2">
      <c r="A258" s="87" t="str">
        <f>"RFB1 = "&amp;'Design Regulator'!E63&amp;"kΩ"</f>
        <v>RFB1 = 22.1kΩ</v>
      </c>
      <c r="B258" t="str">
        <f>'Design Regulator'!E63&amp;"kΩ"</f>
        <v>22.1kΩ</v>
      </c>
      <c r="H258" s="88"/>
    </row>
    <row r="259" spans="1:8" x14ac:dyDescent="0.2">
      <c r="A259" s="87" t="str">
        <f>"RFB2 = "&amp;IF(Vout=Vref,"OPEN",'Design Regulator'!E64&amp;"kΩ")</f>
        <v>RFB2 = 0.768kΩ</v>
      </c>
      <c r="B259" t="str">
        <f>IF(Vout=Vref,"OPEN",Rfb2_u/1000&amp;"kΩ")</f>
        <v>0.768kΩ</v>
      </c>
      <c r="H259" s="88"/>
    </row>
    <row r="260" spans="1:8" x14ac:dyDescent="0.2">
      <c r="A260" s="87" t="str">
        <f>"Crossover Frequency = "&amp;ROUND('Bode Plots Calculations'!BK5,0)&amp;" kHz"</f>
        <v>Crossover Frequency = 61 kHz</v>
      </c>
      <c r="B260" t="str">
        <f>ROUND('Bode Plots Calculations'!BK5,0)&amp;" kHz"</f>
        <v>61 kHz</v>
      </c>
      <c r="C260" s="172">
        <f>'Bode Plots Calculations'!BK5</f>
        <v>61</v>
      </c>
      <c r="H260" s="88"/>
    </row>
    <row r="261" spans="1:8" x14ac:dyDescent="0.2">
      <c r="A261" s="87" t="str">
        <f>"Phase Margin = "&amp;ROUND('Bode Plots Calculations'!BK6,0)&amp;"°"</f>
        <v>Phase Margin = 63°</v>
      </c>
      <c r="B261" s="173" t="str">
        <f>ROUND('Bode Plots Calculations'!BK6,0)&amp;"°"</f>
        <v>63°</v>
      </c>
      <c r="D261" s="309"/>
      <c r="H261" s="88"/>
    </row>
    <row r="262" spans="1:8" x14ac:dyDescent="0.2">
      <c r="A262" s="387"/>
      <c r="B262" s="173"/>
      <c r="D262" s="309"/>
      <c r="H262" s="88"/>
    </row>
    <row r="263" spans="1:8" x14ac:dyDescent="0.2">
      <c r="A263" s="87"/>
      <c r="H263" s="88"/>
    </row>
    <row r="264" spans="1:8" x14ac:dyDescent="0.2">
      <c r="A264" s="87" t="str">
        <f>"Rilim(Rdson) = "&amp;Rilim_Rdson&amp;"Ω"</f>
        <v>Rilim(Rdson) = 845Ω</v>
      </c>
      <c r="B264" t="str">
        <f>IF(Rilim_Rdson&gt;999,Rilim_Rdson/1000&amp;"kΩ", Rilim_Rdson&amp;"Ω")</f>
        <v>845Ω</v>
      </c>
      <c r="C264">
        <f>IF(Rilim_Rdson&gt;999,Rilim_Rdson/1000, Rilim_Rdson)</f>
        <v>845</v>
      </c>
      <c r="H264" s="88"/>
    </row>
    <row r="265" spans="1:8" x14ac:dyDescent="0.2">
      <c r="A265" s="87" t="str">
        <f>"Rilim(shunt) = "&amp;Rilim_shunt&amp;"Ω"</f>
        <v>Rilim(shunt) = 1020Ω</v>
      </c>
      <c r="B265" t="str">
        <f>IF('Standard Value Calculator'!S22&gt;999, 'Standard Value Calculator'!S22/1000&amp;"kΩ", 'Standard Value Calculator'!S22&amp;"Ω")</f>
        <v>1.02kΩ</v>
      </c>
      <c r="C265">
        <f>IF('Standard Value Calculator'!S22&gt;999, 'Standard Value Calculator'!S22/1000, 'Standard Value Calculator'!S22)</f>
        <v>1.02</v>
      </c>
      <c r="H265" s="88"/>
    </row>
    <row r="266" spans="1:8" x14ac:dyDescent="0.2">
      <c r="A266" s="87" t="s">
        <v>692</v>
      </c>
      <c r="B266" t="str">
        <f>Cilim_ideal&amp;"pF"</f>
        <v>4.7pF</v>
      </c>
      <c r="C266" s="462">
        <f>Cilim_ideal</f>
        <v>4.7</v>
      </c>
      <c r="H266" s="88"/>
    </row>
    <row r="267" spans="1:8" x14ac:dyDescent="0.2">
      <c r="A267" s="387"/>
      <c r="H267" s="88"/>
    </row>
    <row r="268" spans="1:8" x14ac:dyDescent="0.2">
      <c r="A268" s="388" t="s">
        <v>594</v>
      </c>
      <c r="B268" t="str">
        <f>IF(RDSON_sense=1, 'Variable Management'!B264,'Variable Management'!B265)</f>
        <v>845Ω</v>
      </c>
      <c r="C268">
        <f>IF(RDSON_sense=1, 'Variable Management'!C264,'Variable Management'!C265)</f>
        <v>845</v>
      </c>
      <c r="H268" s="88"/>
    </row>
    <row r="269" spans="1:8" x14ac:dyDescent="0.2">
      <c r="A269" s="388" t="str">
        <f>IF(RDSON_sense=1, "", "Rs")</f>
        <v/>
      </c>
      <c r="B269" t="str">
        <f>IF(RDSON_sense=1, "", Rshunt*1000&amp;"mΩ")</f>
        <v/>
      </c>
      <c r="D269" t="s">
        <v>694</v>
      </c>
      <c r="H269" s="88"/>
    </row>
    <row r="270" spans="1:8" x14ac:dyDescent="0.2">
      <c r="A270" s="388" t="str">
        <f>IF(RDSON_sense=1, "Cilim", "")</f>
        <v>Cilim</v>
      </c>
      <c r="B270" t="str">
        <f>IF(RDSON_sense=1, IF(Cilim_ideal&lt;3.3, "N/A", Cilim_ideal&amp;"pF"), "")</f>
        <v>4.7pF</v>
      </c>
      <c r="C270" s="427" t="str">
        <f>IF(RDSON_sense=1, IF(Cilim_ideal&lt;3.3, "N/A", Cilim_ideal&amp;""), "")</f>
        <v>4.7</v>
      </c>
      <c r="D270" t="s">
        <v>695</v>
      </c>
      <c r="H270" s="88"/>
    </row>
    <row r="271" spans="1:8" x14ac:dyDescent="0.2">
      <c r="A271" s="387"/>
      <c r="H271" s="88"/>
    </row>
    <row r="272" spans="1:8" x14ac:dyDescent="0.2">
      <c r="A272" s="387"/>
      <c r="H272" s="88"/>
    </row>
    <row r="273" spans="1:8" x14ac:dyDescent="0.2">
      <c r="A273" s="87" t="s">
        <v>428</v>
      </c>
      <c r="B273" t="str">
        <f>'Standard Value Calculator'!S24/1000&amp;"kΩ"</f>
        <v>0kΩ</v>
      </c>
      <c r="C273">
        <f>'Standard Value Calculator'!S24/1000</f>
        <v>0</v>
      </c>
      <c r="H273" s="88"/>
    </row>
    <row r="274" spans="1:8" x14ac:dyDescent="0.2">
      <c r="A274" s="306" t="s">
        <v>520</v>
      </c>
      <c r="B274" s="171" t="s">
        <v>521</v>
      </c>
      <c r="H274" s="88"/>
    </row>
    <row r="275" spans="1:8" x14ac:dyDescent="0.2">
      <c r="A275" s="87" t="s">
        <v>295</v>
      </c>
      <c r="B275" t="str">
        <f>'Standard Value Calculator'!S4/1000&amp;"kΩ"</f>
        <v>10kΩ</v>
      </c>
      <c r="H275" s="88"/>
    </row>
    <row r="276" spans="1:8" x14ac:dyDescent="0.2">
      <c r="A276" s="87" t="s">
        <v>294</v>
      </c>
      <c r="B276" t="str">
        <f>'Standard Value Calculator'!B4*1000000000 &amp;"nF"</f>
        <v>47nF</v>
      </c>
      <c r="H276" s="88"/>
    </row>
    <row r="277" spans="1:8" x14ac:dyDescent="0.2">
      <c r="A277" s="306" t="s">
        <v>522</v>
      </c>
      <c r="B277" s="171" t="s">
        <v>557</v>
      </c>
      <c r="H277" s="88"/>
    </row>
    <row r="278" spans="1:8" x14ac:dyDescent="0.2">
      <c r="A278" s="87" t="s">
        <v>357</v>
      </c>
      <c r="B278" t="str">
        <f>IF(B47="y","","|")</f>
        <v>|</v>
      </c>
      <c r="H278" s="88"/>
    </row>
    <row r="279" spans="1:8" x14ac:dyDescent="0.2">
      <c r="A279" s="87" t="s">
        <v>384</v>
      </c>
      <c r="B279" t="str">
        <f>'Design Regulator'!$E$10&amp;"A"</f>
        <v>15A</v>
      </c>
      <c r="H279" s="88"/>
    </row>
    <row r="280" spans="1:8" x14ac:dyDescent="0.2">
      <c r="A280" s="87" t="s">
        <v>281</v>
      </c>
      <c r="B280" t="str">
        <f>Vin&amp;"V"</f>
        <v>48V</v>
      </c>
      <c r="H280" s="88"/>
    </row>
    <row r="281" spans="1:8" x14ac:dyDescent="0.2">
      <c r="A281" s="388" t="s">
        <v>700</v>
      </c>
      <c r="B281" t="str">
        <f>Vinmin&amp;"V to "&amp;Vinmax&amp;"V"</f>
        <v>36V to 85V</v>
      </c>
      <c r="H281" s="88"/>
    </row>
    <row r="282" spans="1:8" x14ac:dyDescent="0.2">
      <c r="A282" s="388"/>
      <c r="H282" s="88"/>
    </row>
    <row r="283" spans="1:8" x14ac:dyDescent="0.2">
      <c r="A283" s="87"/>
      <c r="H283" s="88"/>
    </row>
    <row r="284" spans="1:8" x14ac:dyDescent="0.2">
      <c r="A284" s="87" t="s">
        <v>393</v>
      </c>
      <c r="B284">
        <v>12</v>
      </c>
      <c r="H284" s="88"/>
    </row>
    <row r="285" spans="1:8" x14ac:dyDescent="0.2">
      <c r="A285" s="87" t="s">
        <v>394</v>
      </c>
      <c r="B285">
        <v>18</v>
      </c>
      <c r="H285" s="88"/>
    </row>
    <row r="286" spans="1:8" x14ac:dyDescent="0.2">
      <c r="A286" s="87" t="s">
        <v>395</v>
      </c>
      <c r="B286">
        <v>14</v>
      </c>
      <c r="H286" s="88"/>
    </row>
    <row r="287" spans="1:8" x14ac:dyDescent="0.2">
      <c r="A287" s="87" t="s">
        <v>396</v>
      </c>
      <c r="B287">
        <v>6</v>
      </c>
      <c r="H287" s="88"/>
    </row>
    <row r="288" spans="1:8" x14ac:dyDescent="0.2">
      <c r="A288" s="87" t="s">
        <v>397</v>
      </c>
      <c r="B288">
        <v>7</v>
      </c>
      <c r="H288" s="88"/>
    </row>
    <row r="289" spans="1:8" x14ac:dyDescent="0.2">
      <c r="A289" s="87" t="s">
        <v>398</v>
      </c>
      <c r="B289">
        <v>11</v>
      </c>
      <c r="H289" s="88"/>
    </row>
    <row r="290" spans="1:8" x14ac:dyDescent="0.2">
      <c r="A290" s="87" t="s">
        <v>399</v>
      </c>
      <c r="B290">
        <v>1</v>
      </c>
      <c r="H290" s="88"/>
    </row>
    <row r="291" spans="1:8" x14ac:dyDescent="0.2">
      <c r="A291" s="87" t="s">
        <v>400</v>
      </c>
      <c r="B291">
        <v>5</v>
      </c>
      <c r="H291" s="88"/>
    </row>
    <row r="292" spans="1:8" x14ac:dyDescent="0.2">
      <c r="A292" s="87" t="s">
        <v>401</v>
      </c>
      <c r="B292">
        <v>13</v>
      </c>
      <c r="H292" s="88"/>
    </row>
    <row r="293" spans="1:8" x14ac:dyDescent="0.2">
      <c r="A293" s="87" t="s">
        <v>402</v>
      </c>
      <c r="B293">
        <v>4</v>
      </c>
      <c r="H293" s="88"/>
    </row>
    <row r="294" spans="1:8" x14ac:dyDescent="0.2">
      <c r="A294" s="87" t="s">
        <v>403</v>
      </c>
      <c r="B294">
        <v>3</v>
      </c>
      <c r="H294" s="88"/>
    </row>
    <row r="295" spans="1:8" x14ac:dyDescent="0.2">
      <c r="A295" s="87" t="s">
        <v>404</v>
      </c>
      <c r="B295">
        <v>24</v>
      </c>
      <c r="H295" s="88"/>
    </row>
    <row r="296" spans="1:8" x14ac:dyDescent="0.2">
      <c r="A296" s="87" t="s">
        <v>405</v>
      </c>
      <c r="B296">
        <v>23</v>
      </c>
      <c r="H296" s="88"/>
    </row>
    <row r="297" spans="1:8" x14ac:dyDescent="0.2">
      <c r="A297" s="87" t="s">
        <v>406</v>
      </c>
      <c r="B297">
        <v>15</v>
      </c>
      <c r="H297" s="88"/>
    </row>
    <row r="298" spans="1:8" x14ac:dyDescent="0.2">
      <c r="A298" s="87" t="s">
        <v>407</v>
      </c>
      <c r="B298">
        <v>16</v>
      </c>
      <c r="H298" s="88"/>
    </row>
    <row r="299" spans="1:8" x14ac:dyDescent="0.2">
      <c r="A299" s="87" t="s">
        <v>408</v>
      </c>
      <c r="B299">
        <v>17</v>
      </c>
      <c r="H299" s="88"/>
    </row>
    <row r="300" spans="1:8" x14ac:dyDescent="0.2">
      <c r="A300" t="s">
        <v>426</v>
      </c>
      <c r="B300">
        <v>2</v>
      </c>
      <c r="H300" s="88"/>
    </row>
    <row r="301" spans="1:8" x14ac:dyDescent="0.2">
      <c r="A301" s="87" t="s">
        <v>423</v>
      </c>
      <c r="B301">
        <v>8</v>
      </c>
      <c r="H301" s="88"/>
    </row>
    <row r="302" spans="1:8" x14ac:dyDescent="0.2">
      <c r="A302" s="87" t="s">
        <v>424</v>
      </c>
      <c r="B302">
        <v>9</v>
      </c>
      <c r="H302" s="88"/>
    </row>
    <row r="303" spans="1:8" ht="13.5" thickBot="1" x14ac:dyDescent="0.25">
      <c r="A303" s="91" t="s">
        <v>425</v>
      </c>
      <c r="B303" s="92">
        <v>10</v>
      </c>
      <c r="C303" s="92"/>
      <c r="D303" s="92"/>
      <c r="E303" s="92"/>
      <c r="F303" s="92"/>
      <c r="G303" s="92"/>
      <c r="H303" s="93"/>
    </row>
    <row r="307" spans="1:2" x14ac:dyDescent="0.2">
      <c r="A307" s="167"/>
    </row>
    <row r="308" spans="1:2" x14ac:dyDescent="0.2">
      <c r="A308" s="460" t="s">
        <v>687</v>
      </c>
      <c r="B308" s="54" t="str">
        <f>ROUND('Power Calculations'!AU209*1,1)&amp;"%"</f>
        <v>105.7%</v>
      </c>
    </row>
    <row r="309" spans="1:2" x14ac:dyDescent="0.2">
      <c r="A309" s="460" t="s">
        <v>688</v>
      </c>
      <c r="B309" s="54" t="str">
        <f>ROUND('Power Calculations'!AU109*1,1)&amp;"%"</f>
        <v>95.7%</v>
      </c>
    </row>
    <row r="346" spans="1:1" x14ac:dyDescent="0.2">
      <c r="A346" t="s">
        <v>315</v>
      </c>
    </row>
    <row r="347" spans="1:1" x14ac:dyDescent="0.2">
      <c r="A347" t="s">
        <v>316</v>
      </c>
    </row>
    <row r="348" spans="1:1" x14ac:dyDescent="0.2">
      <c r="A348" t="s">
        <v>317</v>
      </c>
    </row>
    <row r="349" spans="1:1" x14ac:dyDescent="0.2">
      <c r="A349" t="s">
        <v>318</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219075</xdr:colOff>
                <xdr:row>10</xdr:row>
                <xdr:rowOff>114300</xdr:rowOff>
              </from>
              <to>
                <xdr:col>16</xdr:col>
                <xdr:colOff>28575</xdr:colOff>
                <xdr:row>31</xdr:row>
                <xdr:rowOff>123825</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2.75" x14ac:dyDescent="0.2"/>
  <cols>
    <col min="1" max="1" width="17.28515625" customWidth="1"/>
    <col min="2" max="2" width="12" bestFit="1" customWidth="1"/>
    <col min="3" max="5" width="12.42578125" bestFit="1" customWidth="1"/>
    <col min="8" max="8" width="12.42578125" bestFit="1" customWidth="1"/>
    <col min="14" max="14" width="11.85546875" customWidth="1"/>
    <col min="17" max="17" width="12.140625" customWidth="1"/>
    <col min="18" max="18" width="12.42578125" bestFit="1" customWidth="1"/>
    <col min="19" max="19" width="15.42578125" customWidth="1"/>
  </cols>
  <sheetData>
    <row r="2" spans="1:20" x14ac:dyDescent="0.2">
      <c r="A2" t="s">
        <v>306</v>
      </c>
      <c r="B2" t="s">
        <v>294</v>
      </c>
      <c r="C2" t="s">
        <v>54</v>
      </c>
      <c r="D2" t="s">
        <v>55</v>
      </c>
      <c r="E2" t="s">
        <v>57</v>
      </c>
      <c r="F2" t="s">
        <v>36</v>
      </c>
      <c r="G2" t="s">
        <v>127</v>
      </c>
      <c r="H2" t="s">
        <v>692</v>
      </c>
      <c r="I2" t="s">
        <v>320</v>
      </c>
      <c r="J2" t="s">
        <v>304</v>
      </c>
      <c r="K2" t="s">
        <v>324</v>
      </c>
      <c r="L2" t="s">
        <v>303</v>
      </c>
      <c r="M2" t="s">
        <v>314</v>
      </c>
      <c r="N2" t="s">
        <v>358</v>
      </c>
    </row>
    <row r="3" spans="1:20" x14ac:dyDescent="0.2">
      <c r="A3" t="s">
        <v>309</v>
      </c>
      <c r="B3">
        <f>Css</f>
        <v>4.9999999999999998E-8</v>
      </c>
      <c r="C3">
        <f>Cc1ea</f>
        <v>3.6157207062364677E-9</v>
      </c>
      <c r="D3">
        <f>Cc2ea</f>
        <v>6.627593962551569E-11</v>
      </c>
      <c r="E3">
        <f>Cc3ea</f>
        <v>5.5306280290204108E-10</v>
      </c>
      <c r="F3">
        <f>Cout</f>
        <v>2.0000000000000002E-5</v>
      </c>
      <c r="G3">
        <f>Cin</f>
        <v>2.0000000000000002E-5</v>
      </c>
      <c r="H3">
        <f>Cilim</f>
        <v>5.0991361315392281E-12</v>
      </c>
      <c r="I3">
        <f>Cdd</f>
        <v>0</v>
      </c>
      <c r="J3">
        <f>Csb</f>
        <v>0</v>
      </c>
      <c r="K3">
        <f>Csby</f>
        <v>100</v>
      </c>
      <c r="L3">
        <f>Cby</f>
        <v>0</v>
      </c>
      <c r="M3">
        <f>Cb</f>
        <v>0</v>
      </c>
      <c r="N3" t="e">
        <f>'Variable Management'!#REF!</f>
        <v>#REF!</v>
      </c>
      <c r="Q3" t="s">
        <v>311</v>
      </c>
      <c r="R3" t="s">
        <v>313</v>
      </c>
      <c r="S3" s="2" t="s">
        <v>308</v>
      </c>
    </row>
    <row r="4" spans="1:20" x14ac:dyDescent="0.2">
      <c r="A4" s="7" t="s">
        <v>308</v>
      </c>
      <c r="B4" s="7">
        <f>SUM(B6:B158)/1000000000000</f>
        <v>4.6999999999999997E-8</v>
      </c>
      <c r="C4" s="7">
        <f t="shared" ref="C4:H4" si="0">SUM(C6:C158)/1000000000000</f>
        <v>3.9000000000000002E-9</v>
      </c>
      <c r="D4" s="7">
        <f t="shared" si="0"/>
        <v>6.7999999999999998E-11</v>
      </c>
      <c r="E4" s="7">
        <f t="shared" si="0"/>
        <v>5.6000000000000003E-10</v>
      </c>
      <c r="F4" s="7">
        <f t="shared" si="0"/>
        <v>2.1999999999999999E-5</v>
      </c>
      <c r="G4" s="7">
        <f t="shared" si="0"/>
        <v>2.1999999999999999E-5</v>
      </c>
      <c r="H4" s="7">
        <f t="shared" si="0"/>
        <v>4.7000000000000006E-12</v>
      </c>
      <c r="I4" s="7">
        <f t="shared" ref="I4:N4" si="1">IF(I3="OPEN","OPEN",SUM(I6:I158)/1000000000000)</f>
        <v>0</v>
      </c>
      <c r="J4" s="7">
        <f t="shared" si="1"/>
        <v>0</v>
      </c>
      <c r="K4" s="7">
        <f t="shared" si="1"/>
        <v>0</v>
      </c>
      <c r="L4" s="7">
        <f t="shared" si="1"/>
        <v>0</v>
      </c>
      <c r="M4" s="7">
        <f t="shared" si="1"/>
        <v>0</v>
      </c>
      <c r="N4" s="7" t="e">
        <f t="shared" si="1"/>
        <v>#REF!</v>
      </c>
      <c r="Q4" t="s">
        <v>312</v>
      </c>
      <c r="R4">
        <f>Rfadj</f>
        <v>10000</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10000</v>
      </c>
      <c r="T4" s="55" t="s">
        <v>535</v>
      </c>
    </row>
    <row r="5" spans="1:20" x14ac:dyDescent="0.2">
      <c r="A5" t="s">
        <v>307</v>
      </c>
      <c r="Q5" s="171" t="s">
        <v>587</v>
      </c>
      <c r="R5">
        <f>Rilim_Rdson_ideal</f>
        <v>845.17325612955756</v>
      </c>
      <c r="S5" s="2">
        <f t="shared" si="2"/>
        <v>845</v>
      </c>
      <c r="T5" s="55" t="s">
        <v>535</v>
      </c>
    </row>
    <row r="6" spans="1:20" x14ac:dyDescent="0.2">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587</v>
      </c>
      <c r="R6">
        <f>Rilim_Rdson_ideal</f>
        <v>845.17325612955756</v>
      </c>
      <c r="S6" s="2">
        <f t="shared" si="2"/>
        <v>845</v>
      </c>
      <c r="T6" s="55" t="s">
        <v>535</v>
      </c>
    </row>
    <row r="7" spans="1:20" x14ac:dyDescent="0.2">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x14ac:dyDescent="0.2">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344</v>
      </c>
      <c r="R8">
        <f>Rcea1</f>
        <v>4890.8320146164542</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4870</v>
      </c>
      <c r="T8" s="55" t="s">
        <v>535</v>
      </c>
    </row>
    <row r="9" spans="1:20" x14ac:dyDescent="0.2">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345</v>
      </c>
      <c r="R9">
        <f>Rcea2</f>
        <v>36.162258418131984</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36.5</v>
      </c>
      <c r="T9" s="55" t="s">
        <v>535</v>
      </c>
    </row>
    <row r="10" spans="1:20" x14ac:dyDescent="0.2">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22100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22100</v>
      </c>
      <c r="T10" s="55" t="s">
        <v>535</v>
      </c>
    </row>
    <row r="11" spans="1:20" x14ac:dyDescent="0.2">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762.06896551724139</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768</v>
      </c>
      <c r="T11" s="55" t="s">
        <v>535</v>
      </c>
    </row>
    <row r="12" spans="1:20" x14ac:dyDescent="0.2">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315</v>
      </c>
      <c r="R12">
        <f>_Rs1</f>
        <v>4.7</v>
      </c>
      <c r="S12" s="2"/>
    </row>
    <row r="13" spans="1:20" x14ac:dyDescent="0.2">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316</v>
      </c>
      <c r="R13">
        <f>_Rs2</f>
        <v>5.0991361315392281E-12</v>
      </c>
      <c r="S13" s="2"/>
    </row>
    <row r="14" spans="1:20" x14ac:dyDescent="0.2">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317</v>
      </c>
      <c r="R14">
        <f>_Rs3</f>
        <v>0.7</v>
      </c>
      <c r="S14" s="2"/>
    </row>
    <row r="15" spans="1:20" x14ac:dyDescent="0.2">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x14ac:dyDescent="0.2">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523</v>
      </c>
      <c r="R16">
        <f>Ruvlo1</f>
        <v>200</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200</v>
      </c>
      <c r="T16" s="55" t="s">
        <v>489</v>
      </c>
    </row>
    <row r="17" spans="1:20" x14ac:dyDescent="0.2">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524</v>
      </c>
      <c r="R17">
        <f>Ruvlo2</f>
        <v>8.3333333333333339</v>
      </c>
      <c r="S17" s="2">
        <f t="shared" si="13"/>
        <v>8.25</v>
      </c>
      <c r="T17" s="55" t="s">
        <v>489</v>
      </c>
    </row>
    <row r="18" spans="1:20" x14ac:dyDescent="0.2">
      <c r="A18">
        <v>4.7</v>
      </c>
      <c r="B18">
        <f t="shared" si="11"/>
        <v>0</v>
      </c>
      <c r="C18">
        <f t="shared" si="12"/>
        <v>0</v>
      </c>
      <c r="D18">
        <f t="shared" si="3"/>
        <v>0</v>
      </c>
      <c r="E18">
        <f t="shared" si="4"/>
        <v>0</v>
      </c>
      <c r="F18">
        <f t="shared" si="5"/>
        <v>0</v>
      </c>
      <c r="G18">
        <f t="shared" si="6"/>
        <v>0</v>
      </c>
      <c r="H18">
        <f t="shared" si="7"/>
        <v>4.7</v>
      </c>
      <c r="I18">
        <f t="shared" si="7"/>
        <v>0</v>
      </c>
      <c r="J18">
        <f t="shared" si="7"/>
        <v>0</v>
      </c>
      <c r="K18">
        <f t="shared" si="7"/>
        <v>0</v>
      </c>
      <c r="L18">
        <f t="shared" si="8"/>
        <v>0</v>
      </c>
      <c r="M18">
        <f t="shared" si="9"/>
        <v>0</v>
      </c>
      <c r="N18" t="e">
        <f t="shared" si="10"/>
        <v>#REF!</v>
      </c>
      <c r="S18" s="2"/>
    </row>
    <row r="19" spans="1:20" x14ac:dyDescent="0.2">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x14ac:dyDescent="0.2">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x14ac:dyDescent="0.2">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588</v>
      </c>
      <c r="R22" s="407">
        <f>Rilim_shunt_ideal</f>
        <v>1014.2079073554689</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1020</v>
      </c>
      <c r="T22" s="55" t="s">
        <v>535</v>
      </c>
    </row>
    <row r="23" spans="1:20" x14ac:dyDescent="0.2">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692</v>
      </c>
      <c r="R23" s="40">
        <f>Cilim</f>
        <v>5.0991361315392281E-12</v>
      </c>
      <c r="S23" s="2">
        <f>H4*1000000000000</f>
        <v>4.7</v>
      </c>
      <c r="T23" t="s">
        <v>53</v>
      </c>
    </row>
    <row r="24" spans="1:20" x14ac:dyDescent="0.2">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x14ac:dyDescent="0.2">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3" t="s">
        <v>325</v>
      </c>
      <c r="R27" t="str">
        <f>S8/1000&amp;" kΩ"</f>
        <v>4.87 kΩ</v>
      </c>
      <c r="S27">
        <f>S8/1000</f>
        <v>4.87</v>
      </c>
      <c r="T27" s="55" t="s">
        <v>489</v>
      </c>
    </row>
    <row r="28" spans="1:20" x14ac:dyDescent="0.2">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321</v>
      </c>
      <c r="R28" t="str">
        <f>C4*1000000000000&amp;" pF"</f>
        <v>3900 pF</v>
      </c>
      <c r="S28">
        <f>C4*1000000000000</f>
        <v>3900</v>
      </c>
      <c r="T28" s="171" t="s">
        <v>53</v>
      </c>
    </row>
    <row r="29" spans="1:20" x14ac:dyDescent="0.2">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322</v>
      </c>
      <c r="R29" t="str">
        <f>D4*1000000000000&amp;" pF"</f>
        <v>68 pF</v>
      </c>
      <c r="S29">
        <f>D4*1000000000000</f>
        <v>68</v>
      </c>
      <c r="T29" s="171" t="s">
        <v>53</v>
      </c>
    </row>
    <row r="30" spans="1:20" x14ac:dyDescent="0.2">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326</v>
      </c>
      <c r="R30" t="str">
        <f>S9&amp;" Ω"</f>
        <v>36.5 Ω</v>
      </c>
      <c r="S30">
        <f>S9</f>
        <v>36.5</v>
      </c>
      <c r="T30" s="55" t="s">
        <v>535</v>
      </c>
    </row>
    <row r="31" spans="1:20" x14ac:dyDescent="0.2">
      <c r="A31">
        <v>56</v>
      </c>
      <c r="B31">
        <f t="shared" si="11"/>
        <v>0</v>
      </c>
      <c r="C31">
        <f t="shared" si="12"/>
        <v>0</v>
      </c>
      <c r="D31">
        <f t="shared" si="3"/>
        <v>68</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323</v>
      </c>
      <c r="R31" t="str">
        <f>E4*1000000000000&amp;" pF"</f>
        <v>560 pF</v>
      </c>
      <c r="S31">
        <f>E4*1000000000000</f>
        <v>560</v>
      </c>
      <c r="T31" s="171" t="s">
        <v>53</v>
      </c>
    </row>
    <row r="32" spans="1:20" x14ac:dyDescent="0.2">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
      <c r="A42">
        <f t="shared" si="14"/>
        <v>470</v>
      </c>
      <c r="B42">
        <f t="shared" si="11"/>
        <v>0</v>
      </c>
      <c r="C42">
        <f t="shared" si="17"/>
        <v>0</v>
      </c>
      <c r="D42">
        <f t="shared" si="3"/>
        <v>0</v>
      </c>
      <c r="E42">
        <f t="shared" si="4"/>
        <v>560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
      <c r="A52">
        <f t="shared" si="14"/>
        <v>3300</v>
      </c>
      <c r="B52">
        <f t="shared" si="11"/>
        <v>0</v>
      </c>
      <c r="C52">
        <f t="shared" si="17"/>
        <v>3900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
      <c r="A66">
        <f t="shared" si="14"/>
        <v>47000</v>
      </c>
      <c r="B66">
        <f t="shared" si="11"/>
        <v>47000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
      <c r="A70">
        <f t="shared" si="14"/>
        <v>100000</v>
      </c>
      <c r="B70">
        <f t="shared" si="11"/>
        <v>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
      <c r="A97">
        <f t="shared" si="14"/>
        <v>18000000</v>
      </c>
      <c r="B97">
        <f t="shared" si="22"/>
        <v>0</v>
      </c>
      <c r="C97">
        <f t="shared" si="23"/>
        <v>0</v>
      </c>
      <c r="D97">
        <f t="shared" si="23"/>
        <v>0</v>
      </c>
      <c r="E97">
        <f t="shared" si="23"/>
        <v>0</v>
      </c>
      <c r="F97">
        <f t="shared" si="23"/>
        <v>22000000</v>
      </c>
      <c r="G97">
        <f t="shared" si="24"/>
        <v>22000000</v>
      </c>
      <c r="H97">
        <f t="shared" si="25"/>
        <v>0</v>
      </c>
      <c r="I97">
        <f t="shared" si="26"/>
        <v>0</v>
      </c>
      <c r="J97">
        <f t="shared" si="27"/>
        <v>0</v>
      </c>
      <c r="K97">
        <f t="shared" si="18"/>
        <v>0</v>
      </c>
      <c r="L97">
        <f t="shared" si="18"/>
        <v>0</v>
      </c>
      <c r="M97">
        <f t="shared" si="20"/>
        <v>0</v>
      </c>
      <c r="N97" t="e">
        <f t="shared" si="21"/>
        <v>#REF!</v>
      </c>
    </row>
    <row r="98" spans="1:14" x14ac:dyDescent="0.2">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
      <c r="A106">
        <f t="shared" si="28"/>
        <v>100000000</v>
      </c>
      <c r="B106">
        <f t="shared" si="22"/>
        <v>0</v>
      </c>
      <c r="C106">
        <f t="shared" si="23"/>
        <v>0</v>
      </c>
      <c r="D106">
        <f t="shared" si="23"/>
        <v>0</v>
      </c>
      <c r="E106">
        <f t="shared" si="23"/>
        <v>0</v>
      </c>
      <c r="F106">
        <f t="shared" si="23"/>
        <v>0</v>
      </c>
      <c r="G106">
        <f t="shared" si="31"/>
        <v>0</v>
      </c>
      <c r="H106">
        <f t="shared" si="32"/>
        <v>0</v>
      </c>
      <c r="I106">
        <f t="shared" si="33"/>
        <v>0</v>
      </c>
      <c r="J106">
        <f t="shared" si="34"/>
        <v>0</v>
      </c>
      <c r="K106">
        <f t="shared" si="18"/>
        <v>0</v>
      </c>
      <c r="L106">
        <f t="shared" si="18"/>
        <v>0</v>
      </c>
      <c r="M106">
        <f t="shared" si="29"/>
        <v>0</v>
      </c>
      <c r="N106" t="e">
        <f t="shared" si="30"/>
        <v>#REF!</v>
      </c>
    </row>
    <row r="107" spans="1:14" x14ac:dyDescent="0.2">
      <c r="A107">
        <f t="shared" si="28"/>
        <v>120000000</v>
      </c>
      <c r="B107">
        <f t="shared" si="22"/>
        <v>0</v>
      </c>
      <c r="C107">
        <f t="shared" si="23"/>
        <v>0</v>
      </c>
      <c r="D107">
        <f t="shared" si="23"/>
        <v>0</v>
      </c>
      <c r="E107">
        <f t="shared" si="23"/>
        <v>0</v>
      </c>
      <c r="F107">
        <f t="shared" si="23"/>
        <v>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2.75" x14ac:dyDescent="0.2"/>
  <cols>
    <col min="1" max="1" width="10.42578125" customWidth="1"/>
    <col min="2" max="2" width="10" bestFit="1" customWidth="1"/>
    <col min="4" max="4" width="12.42578125" bestFit="1" customWidth="1"/>
    <col min="7" max="7" width="11.140625" customWidth="1"/>
    <col min="8" max="8" width="13.140625" bestFit="1" customWidth="1"/>
    <col min="13" max="14" width="12.42578125" bestFit="1" customWidth="1"/>
    <col min="16" max="16" width="12.42578125" bestFit="1" customWidth="1"/>
    <col min="18" max="18" width="13.140625" bestFit="1" customWidth="1"/>
    <col min="20" max="20" width="13.140625" bestFit="1" customWidth="1"/>
    <col min="22" max="22" width="13.140625" bestFit="1" customWidth="1"/>
    <col min="24" max="24" width="13.85546875" bestFit="1" customWidth="1"/>
    <col min="25" max="25" width="12.5703125" bestFit="1" customWidth="1"/>
    <col min="26" max="26" width="12.42578125" bestFit="1" customWidth="1"/>
    <col min="28" max="28" width="3.140625" style="6" customWidth="1"/>
    <col min="29" max="32" width="8.5703125" customWidth="1"/>
    <col min="33" max="33" width="13.140625" bestFit="1" customWidth="1"/>
    <col min="34" max="34" width="9.5703125" bestFit="1" customWidth="1"/>
    <col min="35" max="35" width="10" bestFit="1" customWidth="1"/>
    <col min="36" max="39" width="8.85546875" customWidth="1"/>
    <col min="43" max="43" width="12.42578125" bestFit="1" customWidth="1"/>
    <col min="45" max="46" width="12.42578125" bestFit="1" customWidth="1"/>
    <col min="47" max="47" width="13.140625" bestFit="1" customWidth="1"/>
    <col min="49" max="49" width="13.140625" bestFit="1" customWidth="1"/>
    <col min="50" max="50" width="11" bestFit="1" customWidth="1"/>
    <col min="54" max="54" width="12.42578125" customWidth="1"/>
    <col min="55" max="55" width="10.140625" customWidth="1"/>
    <col min="58" max="58" width="11" customWidth="1"/>
    <col min="59" max="59" width="13" customWidth="1"/>
    <col min="60" max="60" width="16.85546875" customWidth="1"/>
    <col min="62" max="62" width="12.28515625" customWidth="1"/>
    <col min="66" max="66" width="13.140625" bestFit="1" customWidth="1"/>
    <col min="72" max="72" width="10.5703125" customWidth="1"/>
  </cols>
  <sheetData>
    <row r="1" spans="1:81" ht="38.25" customHeight="1" x14ac:dyDescent="0.4">
      <c r="A1" s="564" t="s">
        <v>45</v>
      </c>
      <c r="B1" s="564"/>
      <c r="C1" s="564"/>
      <c r="D1" s="564"/>
      <c r="E1" s="564"/>
      <c r="F1" s="564"/>
      <c r="G1" s="564"/>
      <c r="AC1" s="8" t="s">
        <v>106</v>
      </c>
      <c r="AD1" s="5"/>
      <c r="AE1" s="5"/>
      <c r="AF1" s="5"/>
      <c r="AG1" s="5"/>
    </row>
    <row r="3" spans="1:81" x14ac:dyDescent="0.2">
      <c r="AT3">
        <f>AT9/10000000000000</f>
        <v>-7.5514408502591856E-5</v>
      </c>
      <c r="AU3">
        <f>AU9/10000000000000</f>
        <v>-4.0109461701004816E-2</v>
      </c>
    </row>
    <row r="4" spans="1:81" x14ac:dyDescent="0.2">
      <c r="AT4">
        <f>AT3*1000</f>
        <v>-7.5514408502591862E-2</v>
      </c>
      <c r="AU4">
        <f>AU3*1000</f>
        <v>-40.109461701004818</v>
      </c>
      <c r="BJ4" s="5" t="s">
        <v>111</v>
      </c>
      <c r="BK4" s="5"/>
    </row>
    <row r="5" spans="1:81" x14ac:dyDescent="0.2">
      <c r="AC5" t="s">
        <v>93</v>
      </c>
      <c r="AD5" t="s">
        <v>94</v>
      </c>
      <c r="AE5" t="s">
        <v>95</v>
      </c>
      <c r="AF5" t="s">
        <v>96</v>
      </c>
      <c r="AJ5" t="s">
        <v>93</v>
      </c>
      <c r="AK5" t="s">
        <v>94</v>
      </c>
      <c r="AL5" t="s">
        <v>95</v>
      </c>
      <c r="AM5" t="s">
        <v>96</v>
      </c>
      <c r="BJ5" t="s">
        <v>84</v>
      </c>
      <c r="BK5">
        <f>SUM(BJ9:BJ626)/1000</f>
        <v>61</v>
      </c>
    </row>
    <row r="6" spans="1:81" x14ac:dyDescent="0.2">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333</v>
      </c>
      <c r="BG6" s="5"/>
      <c r="BH6" s="5"/>
      <c r="BJ6" t="s">
        <v>85</v>
      </c>
      <c r="BK6" s="4">
        <f>SUM(BK10:BK627)</f>
        <v>63.109751417855151</v>
      </c>
      <c r="BM6" s="5" t="s">
        <v>334</v>
      </c>
      <c r="BN6" s="5"/>
      <c r="BU6" s="2"/>
    </row>
    <row r="7" spans="1:81" x14ac:dyDescent="0.2">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335</v>
      </c>
      <c r="BQ8" s="2"/>
      <c r="BR8" s="2"/>
      <c r="BS8" s="2"/>
      <c r="BT8" t="s">
        <v>341</v>
      </c>
      <c r="BY8" s="2"/>
      <c r="BZ8" s="2"/>
      <c r="CA8" s="2"/>
      <c r="CB8" s="2"/>
    </row>
    <row r="9" spans="1:81" x14ac:dyDescent="0.2">
      <c r="A9">
        <v>1</v>
      </c>
      <c r="B9">
        <f>A9/1000</f>
        <v>1E-3</v>
      </c>
      <c r="C9">
        <f t="shared" ref="C9:C72" si="0">SQRT((A9/Fesr)^2+1)</f>
        <v>1.000000000000008</v>
      </c>
      <c r="D9">
        <f t="shared" ref="D9:D72" si="1">ATAN(A9/Fesr)</f>
        <v>1.2566370599999936E-7</v>
      </c>
      <c r="F9">
        <f t="shared" ref="F9:F72" si="2">(Ro/(Ro+Rdcr))/SQRT((A9/(Q*Fo))^2+(1-(A9^2/Fo^2))^2)</f>
        <v>0.99626375360926422</v>
      </c>
      <c r="G9">
        <f t="shared" ref="G9:G72" si="3">-ATAN(A9*Fo/(Q*(Fo^2-A9^2)))</f>
        <v>-2.278734638012917E-5</v>
      </c>
      <c r="H9">
        <f t="shared" ref="H9:H72" si="4">IF(G9&gt;0,G9-Pi,G9)</f>
        <v>-2.278734638012917E-5</v>
      </c>
      <c r="J9">
        <f t="shared" ref="J9:J72" si="5">Vin/Vramp</f>
        <v>15</v>
      </c>
      <c r="M9">
        <f t="shared" ref="M9:M72" si="6">1/(2*Pi*_Rfb1*(Cc1ea_u+Cc2ea_u)*A9)</f>
        <v>1814.9146027240133</v>
      </c>
      <c r="N9">
        <f t="shared" ref="N9:N72" si="7">-Pi/2</f>
        <v>-1.5707963250000001</v>
      </c>
      <c r="O9">
        <f t="shared" ref="O9:O72" si="8">SQRT(1+(A9/Fz1_u)^2)</f>
        <v>1.0000000071206046</v>
      </c>
      <c r="P9">
        <f t="shared" ref="P9:P72" si="9">ATAN2(Fz1_u,A9)</f>
        <v>1.1933653783640116E-4</v>
      </c>
      <c r="Q9">
        <f t="shared" ref="Q9:Q72" si="10">SQRT(1+(A9/Fz2_u)^2)</f>
        <v>1.0000000030333582</v>
      </c>
      <c r="R9">
        <f t="shared" ref="R9:R72" si="11">ATAN2(Fz2_u,A9)</f>
        <v>7.788912942282158E-5</v>
      </c>
      <c r="S9">
        <f t="shared" ref="S9:S72" si="12">1/SQRT(1+(A9/Fp1_u)^2)</f>
        <v>0.99999999999999178</v>
      </c>
      <c r="T9">
        <f t="shared" ref="T9:T72" si="13">-ATAN2(Fp1_u,A9)</f>
        <v>-1.2842830753199931E-7</v>
      </c>
      <c r="U9">
        <f t="shared" ref="U9:U72" si="14">1/SQRT(1+(A9/Fp2_u)^2)</f>
        <v>0.99999999999790878</v>
      </c>
      <c r="V9">
        <f t="shared" ref="V9:V72" si="15">-ATAN2(Fp2_u,A9)</f>
        <v>-2.045081807304911E-6</v>
      </c>
      <c r="X9">
        <f>20*LOG(C9*J9*O9*Q9*F9*M9*S9*U9)</f>
        <v>88.666435767967272</v>
      </c>
      <c r="Y9">
        <f t="shared" ref="Y9:Y72" si="16">(180/Pi)*(D9+H9+N9+P9+R9+T9+V9)</f>
        <v>-89.990122753373299</v>
      </c>
      <c r="Z9">
        <f>Y9+180</f>
        <v>90.009877246626701</v>
      </c>
      <c r="AC9">
        <v>1</v>
      </c>
      <c r="AD9">
        <f t="shared" ref="AD9:AD72" si="17">Rcea1_u*Cc1ea_u*A9*2*Pi</f>
        <v>1.1933653840290001E-4</v>
      </c>
      <c r="AE9">
        <f t="shared" ref="AE9:AE72" si="18">-Rcea1_u*Cc1ea_u*Cc2ea_u*(A9*2*Pi)^2</f>
        <v>-5.0987323701527107E-14</v>
      </c>
      <c r="AF9">
        <f t="shared" ref="AF9:AF72" si="19">(Cc2ea_u+Cc1ea_u)*A9*2*Pi</f>
        <v>2.4931679270400003E-8</v>
      </c>
      <c r="AG9">
        <f>AC9*AE9/(AE9^2+AF9^2)+AD9*AF9/(AE9^2+AF9^2)</f>
        <v>4704.5148994177598</v>
      </c>
      <c r="AH9">
        <f>AD9*AE9/(AE9^2+AF9^2)-AC9*AF9/(AE9^2+AF9^2)</f>
        <v>-40109612.729821816</v>
      </c>
      <c r="AI9">
        <f>SQRT(AG9^2+AH9^2)</f>
        <v>40109613.005721517</v>
      </c>
      <c r="AJ9">
        <f t="shared" ref="AJ9:AJ72" si="20">_Rfb1</f>
        <v>22100</v>
      </c>
      <c r="AK9">
        <f t="shared" ref="AK9:AK72" si="21">_Rfb1*Rcea2_u*Cc3ea_u*A9*2*Pi</f>
        <v>2.8382655964572004E-3</v>
      </c>
      <c r="AL9">
        <v>1</v>
      </c>
      <c r="AM9">
        <f t="shared" ref="AM9:AM72" si="22">(_Rfb1+Rcea2_u)*Cc3ea_u*A9*2*Pi</f>
        <v>7.7889129580332005E-5</v>
      </c>
      <c r="AN9">
        <f>AJ9*AL9/(AL9^2+AM9^2)+AK9*AM9/(AL9^2+AM9^2)</f>
        <v>22099.999866146634</v>
      </c>
      <c r="AO9">
        <f>AK9*AL9/(AL9^2+AM9^2)-AJ9*AM9/(AL9^2+AM9^2)</f>
        <v>-1.718511487703158</v>
      </c>
      <c r="AP9" s="51">
        <f>SQRT(AN9^2+AO9^2)</f>
        <v>22099.999932962965</v>
      </c>
      <c r="AQ9">
        <f t="shared" ref="AQ9:AQ72" si="23">Eadcg/(1+(Eadcg*A9/GBP)^2)</f>
        <v>9999.9600001600011</v>
      </c>
      <c r="AR9">
        <f t="shared" ref="AR9:AR72" si="24">-(A9*Eadcg*Eadcg/GBP)/(1+(Eadcg*A9/GBP)^2)</f>
        <v>-19.99992000032</v>
      </c>
      <c r="AT9">
        <f>-AR9*AH9+AG9*AQ9</f>
        <v>-755144085.0259186</v>
      </c>
      <c r="AU9">
        <f>AQ9*AH9+AG9*AR9</f>
        <v>-401094617010.04816</v>
      </c>
      <c r="AV9">
        <f>ATAN2(AT9,AU9)</f>
        <v>-1.5726790326722071</v>
      </c>
      <c r="AW9">
        <f t="shared" ref="AW9:AW73" si="25">AG9-AH9*AO9/_Rfb2+AG9*AN9/_Rfb2+AN9-AO9*AR9+AQ9*AN9</f>
        <v>221071866.14469063</v>
      </c>
      <c r="AX9">
        <f t="shared" ref="AX9:AX73" si="26">AH9+AH9*AN9/_Rfb2+AG9*AO9/_Rfb2+AO9+AO9*AQ9+AN9*AR9</f>
        <v>-1203747570.4525576</v>
      </c>
      <c r="AY9">
        <f>ATAN2(AW9,AX9)</f>
        <v>-1.3891672873166936</v>
      </c>
      <c r="BA9">
        <f t="shared" ref="BA9:BA72" si="27">SQRT(AT9^2+AU9^2)/SQRT(AW9^2+AX9^2)</f>
        <v>327.72453021726659</v>
      </c>
      <c r="BB9" s="51">
        <f>20*LOG(BA9)</f>
        <v>50.31017899177855</v>
      </c>
      <c r="BC9">
        <f>AV9-AY9</f>
        <v>-0.18351174535551351</v>
      </c>
      <c r="BD9">
        <f t="shared" ref="BD9:BD72" si="28">BC9*180/Pi-180</f>
        <v>-190.51444851196493</v>
      </c>
      <c r="BF9">
        <f t="shared" ref="BF9:BF72" si="29">20*LOG(BA9*J9*F9*C9)</f>
        <v>73.799490772150122</v>
      </c>
      <c r="BG9">
        <f t="shared" ref="BG9:BG72" si="30">(180/Pi)*(D9+H9+BC9)</f>
        <v>-10.515746930740296</v>
      </c>
      <c r="BH9">
        <f>IF(BG9&gt;180,BG9-180,BG9+180)</f>
        <v>169.48425306925969</v>
      </c>
      <c r="BI9">
        <f>IF(BH9&gt;180,BH9-360,BH9)</f>
        <v>169.48425306925969</v>
      </c>
      <c r="BJ9">
        <f t="shared" ref="BJ9:BJ72" si="31">SUM((BF10&lt;0)*(BF9&gt;0))*A9</f>
        <v>0</v>
      </c>
      <c r="BK9">
        <f>IF(BJ9&gt;0,BI9,0)</f>
        <v>0</v>
      </c>
      <c r="BM9">
        <f>20*LOG(J9*F9*C9)</f>
        <v>23.489311780371565</v>
      </c>
      <c r="BN9">
        <f t="shared" ref="BN9:BN72" si="32">(H9+D9)*180/Pi</f>
        <v>-1.2984187753760023E-3</v>
      </c>
      <c r="BQ9" s="56">
        <f>20*LOG(BA9*7)</f>
        <v>67.212139792063695</v>
      </c>
      <c r="BR9" s="56"/>
      <c r="BS9" s="56"/>
      <c r="BT9" s="56" t="s">
        <v>44</v>
      </c>
      <c r="BU9" s="56" t="s">
        <v>68</v>
      </c>
      <c r="BV9" s="56" t="s">
        <v>69</v>
      </c>
      <c r="BW9" s="56"/>
      <c r="BY9" s="56"/>
      <c r="BZ9" s="56"/>
      <c r="CA9" s="56"/>
      <c r="CC9" s="56"/>
    </row>
    <row r="10" spans="1:81" x14ac:dyDescent="0.2">
      <c r="A10">
        <v>2</v>
      </c>
      <c r="B10">
        <f t="shared" ref="B10:B73" si="33">A10/1000</f>
        <v>2E-3</v>
      </c>
      <c r="C10">
        <f t="shared" si="0"/>
        <v>1.0000000000000315</v>
      </c>
      <c r="D10">
        <f t="shared" si="1"/>
        <v>2.5132741199999476E-7</v>
      </c>
      <c r="F10">
        <f t="shared" si="2"/>
        <v>0.99626376600732158</v>
      </c>
      <c r="G10">
        <f t="shared" si="3"/>
        <v>-4.5574693339247656E-5</v>
      </c>
      <c r="H10">
        <f t="shared" si="4"/>
        <v>-4.5574693339247656E-5</v>
      </c>
      <c r="J10">
        <f t="shared" si="5"/>
        <v>15</v>
      </c>
      <c r="M10">
        <f t="shared" si="6"/>
        <v>907.45730136200666</v>
      </c>
      <c r="N10">
        <f t="shared" si="7"/>
        <v>-1.5707963250000001</v>
      </c>
      <c r="O10">
        <f t="shared" si="8"/>
        <v>1.0000000284824184</v>
      </c>
      <c r="P10">
        <f t="shared" si="9"/>
        <v>2.3867307227380921E-4</v>
      </c>
      <c r="Q10">
        <f t="shared" si="10"/>
        <v>1.0000000121334329</v>
      </c>
      <c r="R10">
        <f t="shared" si="11"/>
        <v>1.5577825790058064E-4</v>
      </c>
      <c r="S10">
        <f t="shared" si="12"/>
        <v>0.99999999999996714</v>
      </c>
      <c r="T10">
        <f t="shared" si="13"/>
        <v>-2.5685661506399439E-7</v>
      </c>
      <c r="U10">
        <f t="shared" si="14"/>
        <v>0.99999999999163514</v>
      </c>
      <c r="V10">
        <f t="shared" si="15"/>
        <v>-4.0901636145927153E-6</v>
      </c>
      <c r="X10">
        <f t="shared" ref="X10:X73" si="34">20*LOG(C10*J10*O10*Q10*F10*M10*S10*U10)</f>
        <v>82.645836227313765</v>
      </c>
      <c r="Y10">
        <f t="shared" si="16"/>
        <v>-89.980245507028698</v>
      </c>
      <c r="Z10">
        <f t="shared" ref="Z10:Z73" si="35">Y10+180</f>
        <v>90.019754492971302</v>
      </c>
      <c r="AC10">
        <v>1</v>
      </c>
      <c r="AD10">
        <f t="shared" si="17"/>
        <v>2.3867307680580001E-4</v>
      </c>
      <c r="AE10">
        <f t="shared" si="18"/>
        <v>-2.0394929480610843E-13</v>
      </c>
      <c r="AF10">
        <f t="shared" si="19"/>
        <v>4.9863358540800007E-8</v>
      </c>
      <c r="AG10">
        <f t="shared" ref="AG10:AG73" si="36">AC10*AE10/(AE10^2+AF10^2)+AD10*AF10/(AE10^2+AF10^2)</f>
        <v>4704.5148993587318</v>
      </c>
      <c r="AH10">
        <f t="shared" ref="AH10:AH73" si="37">AD10*AE10/(AE10^2+AF10^2)-AC10*AF10/(AE10^2+AF10^2)</f>
        <v>-20054806.379342586</v>
      </c>
      <c r="AJ10">
        <f t="shared" si="20"/>
        <v>22100</v>
      </c>
      <c r="AK10">
        <f t="shared" si="21"/>
        <v>5.6765311929144009E-3</v>
      </c>
      <c r="AL10">
        <v>1</v>
      </c>
      <c r="AM10">
        <f t="shared" si="22"/>
        <v>1.5577825916066401E-4</v>
      </c>
      <c r="AN10">
        <f t="shared" ref="AN10:AN73" si="38">AJ10*AL10/(AL10^2+AM10^2)+AK10*AM10/(AL10^2+AM10^2)</f>
        <v>22099.999464586552</v>
      </c>
      <c r="AO10">
        <f t="shared" ref="AO10:AO73" si="39">AK10*AL10/(AL10^2+AM10^2)-AJ10*AM10/(AL10^2+AM10^2)</f>
        <v>-3.4370229128519854</v>
      </c>
      <c r="AQ10">
        <f t="shared" si="23"/>
        <v>9999.8400025599585</v>
      </c>
      <c r="AR10">
        <f t="shared" si="24"/>
        <v>-39.999360010239833</v>
      </c>
      <c r="AT10">
        <f t="shared" ref="AT10:AT21" si="40">-AR10*AH10+AG10*AQ10</f>
        <v>-755135024.01973176</v>
      </c>
      <c r="AU10">
        <f t="shared" ref="AU10:AU21" si="41">AQ10*AH10+AG10*AR10</f>
        <v>-200545043253.32977</v>
      </c>
      <c r="AV10">
        <f t="shared" ref="AV10:AV73" si="42">ATAN2(AT10,AU10)</f>
        <v>-1.5745617225531088</v>
      </c>
      <c r="AW10">
        <f t="shared" si="25"/>
        <v>221069107.07228342</v>
      </c>
      <c r="AX10">
        <f t="shared" si="26"/>
        <v>-602562557.45917308</v>
      </c>
      <c r="AY10">
        <f>ATAN2(AW10,AX10)</f>
        <v>-1.2191620965021477</v>
      </c>
      <c r="BA10">
        <f t="shared" si="27"/>
        <v>312.45758960896688</v>
      </c>
      <c r="BB10">
        <f t="shared" ref="BB10:BB73" si="43">20*LOG(BA10)</f>
        <v>49.895821563282645</v>
      </c>
      <c r="BC10">
        <f t="shared" ref="BC10:BC73" si="44">AV10-AY10</f>
        <v>-0.35539962605096109</v>
      </c>
      <c r="BD10">
        <f t="shared" si="28"/>
        <v>-200.36289863651578</v>
      </c>
      <c r="BF10">
        <f t="shared" si="29"/>
        <v>73.385133451746427</v>
      </c>
      <c r="BG10">
        <f t="shared" si="30"/>
        <v>-20.365495474099706</v>
      </c>
      <c r="BH10">
        <f t="shared" ref="BH10:BH73" si="45">IF(BG10&gt;180,BG10-180,BG10+180)</f>
        <v>159.6345045259003</v>
      </c>
      <c r="BI10">
        <f t="shared" ref="BI10:BI73" si="46">IF(BH10&gt;180,BH10-360,BH10)</f>
        <v>159.6345045259003</v>
      </c>
      <c r="BJ10">
        <f t="shared" si="31"/>
        <v>0</v>
      </c>
      <c r="BK10">
        <f t="shared" ref="BK10:BK73" si="47">IF(BJ10&gt;0,BI10,0)</f>
        <v>0</v>
      </c>
      <c r="BM10">
        <f t="shared" ref="BM10:BM73" si="48">20*LOG(J10*F10*C10)</f>
        <v>23.489311888463785</v>
      </c>
      <c r="BN10">
        <f t="shared" si="32"/>
        <v>-2.5968375839256494E-3</v>
      </c>
      <c r="BQ10" s="56">
        <f t="shared" ref="BQ10:BQ73" si="49">20*LOG(BA10*7)</f>
        <v>66.797782363567791</v>
      </c>
      <c r="BR10" s="57"/>
      <c r="BS10" s="57"/>
      <c r="BT10" s="57">
        <v>100</v>
      </c>
      <c r="BU10" s="57">
        <v>35.359299999999998</v>
      </c>
      <c r="BV10" s="57">
        <v>-267.66769999999997</v>
      </c>
      <c r="BW10" s="61"/>
      <c r="BY10" s="57"/>
      <c r="BZ10" s="57"/>
      <c r="CA10" s="57"/>
      <c r="CC10" s="57"/>
    </row>
    <row r="11" spans="1:81" x14ac:dyDescent="0.2">
      <c r="A11">
        <v>3</v>
      </c>
      <c r="B11">
        <f t="shared" si="33"/>
        <v>3.0000000000000001E-3</v>
      </c>
      <c r="C11">
        <f t="shared" si="0"/>
        <v>1.0000000000000711</v>
      </c>
      <c r="D11">
        <f t="shared" si="1"/>
        <v>3.7699111799998223E-7</v>
      </c>
      <c r="F11">
        <f t="shared" si="2"/>
        <v>0.99626378667075133</v>
      </c>
      <c r="G11">
        <f t="shared" si="3"/>
        <v>-6.8362041456344861E-5</v>
      </c>
      <c r="H11">
        <f t="shared" si="4"/>
        <v>-6.8362041456344861E-5</v>
      </c>
      <c r="J11">
        <f t="shared" si="5"/>
        <v>15</v>
      </c>
      <c r="M11">
        <f t="shared" si="6"/>
        <v>604.97153424133774</v>
      </c>
      <c r="N11">
        <f t="shared" si="7"/>
        <v>-1.5707963250000001</v>
      </c>
      <c r="O11">
        <f t="shared" si="8"/>
        <v>1.0000000640854403</v>
      </c>
      <c r="P11">
        <f t="shared" si="9"/>
        <v>3.5800959991323157E-4</v>
      </c>
      <c r="Q11">
        <f t="shared" si="10"/>
        <v>1.0000000273002239</v>
      </c>
      <c r="R11">
        <f t="shared" si="11"/>
        <v>2.3366738448821474E-4</v>
      </c>
      <c r="S11">
        <f t="shared" si="12"/>
        <v>0.99999999999992584</v>
      </c>
      <c r="T11">
        <f t="shared" si="13"/>
        <v>-3.8528492259598104E-7</v>
      </c>
      <c r="U11">
        <f t="shared" si="14"/>
        <v>0.9999999999811795</v>
      </c>
      <c r="V11">
        <f t="shared" si="15"/>
        <v>-6.1352454218463075E-6</v>
      </c>
      <c r="X11">
        <f t="shared" si="34"/>
        <v>79.124011667243636</v>
      </c>
      <c r="Y11">
        <f t="shared" si="16"/>
        <v>-89.970368261248211</v>
      </c>
      <c r="Z11">
        <f t="shared" si="35"/>
        <v>90.029631738751789</v>
      </c>
      <c r="AC11">
        <v>1</v>
      </c>
      <c r="AD11">
        <f t="shared" si="17"/>
        <v>3.5800961520870002E-4</v>
      </c>
      <c r="AE11">
        <f t="shared" si="18"/>
        <v>-4.5888591331374392E-13</v>
      </c>
      <c r="AF11">
        <f t="shared" si="19"/>
        <v>7.4795037811200017E-8</v>
      </c>
      <c r="AG11">
        <f t="shared" si="36"/>
        <v>4704.5148992603508</v>
      </c>
      <c r="AH11">
        <f t="shared" si="37"/>
        <v>-13369870.935596919</v>
      </c>
      <c r="AJ11">
        <f t="shared" si="20"/>
        <v>22100</v>
      </c>
      <c r="AK11">
        <f t="shared" si="21"/>
        <v>8.5147967893716009E-3</v>
      </c>
      <c r="AL11">
        <v>1</v>
      </c>
      <c r="AM11">
        <f t="shared" si="22"/>
        <v>2.3366738874099603E-4</v>
      </c>
      <c r="AN11">
        <f t="shared" si="38"/>
        <v>22099.998795319781</v>
      </c>
      <c r="AO11">
        <f t="shared" si="39"/>
        <v>-5.1555342128921602</v>
      </c>
      <c r="AQ11">
        <f t="shared" si="23"/>
        <v>9999.6400129595349</v>
      </c>
      <c r="AR11">
        <f t="shared" si="24"/>
        <v>-59.997840077757203</v>
      </c>
      <c r="AT11">
        <f t="shared" si="40"/>
        <v>-755119922.82598984</v>
      </c>
      <c r="AU11">
        <f t="shared" si="41"/>
        <v>-133694178636.43225</v>
      </c>
      <c r="AV11">
        <f t="shared" si="42"/>
        <v>-1.5764443804419603</v>
      </c>
      <c r="AW11">
        <f t="shared" si="25"/>
        <v>221064508.76542532</v>
      </c>
      <c r="AX11">
        <f t="shared" si="26"/>
        <v>-402473649.59485859</v>
      </c>
      <c r="AY11">
        <f t="shared" ref="AY11:AY74" si="50">ATAN2(AW11,AX11)</f>
        <v>-1.0685179347274578</v>
      </c>
      <c r="BA11">
        <f t="shared" si="27"/>
        <v>291.15746552219247</v>
      </c>
      <c r="BB11">
        <f t="shared" si="43"/>
        <v>49.282558605248774</v>
      </c>
      <c r="BC11">
        <f t="shared" si="44"/>
        <v>-0.50792644571450252</v>
      </c>
      <c r="BD11">
        <f t="shared" si="28"/>
        <v>-209.10204167577564</v>
      </c>
      <c r="BF11">
        <f t="shared" si="29"/>
        <v>72.77187067386626</v>
      </c>
      <c r="BG11">
        <f t="shared" si="30"/>
        <v>-29.105936932234464</v>
      </c>
      <c r="BH11">
        <f t="shared" si="45"/>
        <v>150.89406306776553</v>
      </c>
      <c r="BI11">
        <f t="shared" si="46"/>
        <v>150.89406306776553</v>
      </c>
      <c r="BJ11">
        <f t="shared" si="31"/>
        <v>0</v>
      </c>
      <c r="BK11">
        <f t="shared" si="47"/>
        <v>0</v>
      </c>
      <c r="BM11">
        <f t="shared" si="48"/>
        <v>23.489312068617494</v>
      </c>
      <c r="BN11">
        <f t="shared" si="32"/>
        <v>-3.8952564588225903E-3</v>
      </c>
      <c r="BQ11" s="56">
        <f t="shared" si="49"/>
        <v>66.184519405533905</v>
      </c>
      <c r="BR11" s="58"/>
      <c r="BS11" s="58"/>
      <c r="BT11" s="58">
        <v>102.32899999999999</v>
      </c>
      <c r="BU11" s="58">
        <v>34.936799999999998</v>
      </c>
      <c r="BV11" s="58">
        <v>-265.91489999999999</v>
      </c>
      <c r="BW11" s="61"/>
      <c r="BY11" s="58"/>
      <c r="BZ11" s="58"/>
      <c r="CA11" s="58"/>
      <c r="CC11" s="58"/>
    </row>
    <row r="12" spans="1:81" x14ac:dyDescent="0.2">
      <c r="A12">
        <v>4</v>
      </c>
      <c r="B12">
        <f t="shared" si="33"/>
        <v>4.0000000000000001E-3</v>
      </c>
      <c r="C12">
        <f t="shared" si="0"/>
        <v>1.0000000000001263</v>
      </c>
      <c r="D12">
        <f t="shared" si="1"/>
        <v>5.0265482399995775E-7</v>
      </c>
      <c r="F12">
        <f t="shared" si="2"/>
        <v>0.99626381559955446</v>
      </c>
      <c r="G12">
        <f t="shared" si="3"/>
        <v>-9.1149391310410213E-5</v>
      </c>
      <c r="H12">
        <f t="shared" si="4"/>
        <v>-9.1149391310410213E-5</v>
      </c>
      <c r="J12">
        <f t="shared" si="5"/>
        <v>15</v>
      </c>
      <c r="M12">
        <f t="shared" si="6"/>
        <v>453.72865068100333</v>
      </c>
      <c r="N12">
        <f t="shared" si="7"/>
        <v>-1.5707963250000001</v>
      </c>
      <c r="O12">
        <f t="shared" si="8"/>
        <v>1.0000001139296686</v>
      </c>
      <c r="P12">
        <f t="shared" si="9"/>
        <v>4.7734611735567695E-4</v>
      </c>
      <c r="Q12">
        <f t="shared" si="10"/>
        <v>1.0000000485337308</v>
      </c>
      <c r="R12">
        <f t="shared" si="11"/>
        <v>3.1155650824066158E-4</v>
      </c>
      <c r="S12">
        <f t="shared" si="12"/>
        <v>0.99999999999986811</v>
      </c>
      <c r="T12">
        <f t="shared" si="13"/>
        <v>-5.1371323012795489E-7</v>
      </c>
      <c r="U12">
        <f t="shared" si="14"/>
        <v>0.99999999996654099</v>
      </c>
      <c r="V12">
        <f t="shared" si="15"/>
        <v>-8.1803272290485789E-6</v>
      </c>
      <c r="X12">
        <f t="shared" si="34"/>
        <v>76.6252378045385</v>
      </c>
      <c r="Y12">
        <f t="shared" si="16"/>
        <v>-89.960491016313938</v>
      </c>
      <c r="Z12">
        <f t="shared" si="35"/>
        <v>90.039508983686062</v>
      </c>
      <c r="AC12">
        <v>1</v>
      </c>
      <c r="AD12">
        <f t="shared" si="17"/>
        <v>4.7734615361160002E-4</v>
      </c>
      <c r="AE12">
        <f t="shared" si="18"/>
        <v>-8.1579717922443371E-13</v>
      </c>
      <c r="AF12">
        <f t="shared" si="19"/>
        <v>9.9726717081600014E-8</v>
      </c>
      <c r="AG12">
        <f t="shared" si="36"/>
        <v>4704.5148991226197</v>
      </c>
      <c r="AH12">
        <f t="shared" si="37"/>
        <v>-10027403.218534647</v>
      </c>
      <c r="AJ12">
        <f t="shared" si="20"/>
        <v>22100</v>
      </c>
      <c r="AK12">
        <f t="shared" si="21"/>
        <v>1.1353062385828802E-2</v>
      </c>
      <c r="AL12">
        <v>1</v>
      </c>
      <c r="AM12">
        <f t="shared" si="22"/>
        <v>3.1155651832132802E-4</v>
      </c>
      <c r="AN12">
        <f t="shared" si="38"/>
        <v>22099.997858346371</v>
      </c>
      <c r="AO12">
        <f t="shared" si="39"/>
        <v>-6.8740453252693721</v>
      </c>
      <c r="AQ12">
        <f t="shared" si="23"/>
        <v>9999.3600409573774</v>
      </c>
      <c r="AR12">
        <f t="shared" si="24"/>
        <v>-79.994880327659018</v>
      </c>
      <c r="AT12">
        <f t="shared" si="40"/>
        <v>-755098782.16948664</v>
      </c>
      <c r="AU12">
        <f t="shared" si="41"/>
        <v>-100267991395.0891</v>
      </c>
      <c r="AV12">
        <f t="shared" si="42"/>
        <v>-1.5783269903446564</v>
      </c>
      <c r="AW12">
        <f t="shared" si="25"/>
        <v>221058071.44482839</v>
      </c>
      <c r="AX12">
        <f t="shared" si="26"/>
        <v>-302658740.42384672</v>
      </c>
      <c r="AY12">
        <f t="shared" si="50"/>
        <v>-0.93996601985926198</v>
      </c>
      <c r="BA12">
        <f t="shared" si="27"/>
        <v>267.53734263367579</v>
      </c>
      <c r="BB12">
        <f t="shared" si="43"/>
        <v>48.547688180817175</v>
      </c>
      <c r="BC12">
        <f t="shared" si="44"/>
        <v>-0.63836097048539442</v>
      </c>
      <c r="BD12">
        <f t="shared" si="28"/>
        <v>-216.5753894564819</v>
      </c>
      <c r="BF12">
        <f t="shared" si="29"/>
        <v>72.037000501649857</v>
      </c>
      <c r="BG12">
        <f t="shared" si="30"/>
        <v>-36.580583131915127</v>
      </c>
      <c r="BH12">
        <f t="shared" si="45"/>
        <v>143.41941686808488</v>
      </c>
      <c r="BI12">
        <f t="shared" si="46"/>
        <v>143.41941686808488</v>
      </c>
      <c r="BJ12">
        <f t="shared" si="31"/>
        <v>0</v>
      </c>
      <c r="BK12">
        <f t="shared" si="47"/>
        <v>0</v>
      </c>
      <c r="BM12">
        <f t="shared" si="48"/>
        <v>23.489312320832685</v>
      </c>
      <c r="BN12">
        <f t="shared" si="32"/>
        <v>-5.1936754332404765E-3</v>
      </c>
      <c r="BQ12" s="56">
        <f t="shared" si="49"/>
        <v>65.449648981102314</v>
      </c>
      <c r="BR12" s="57"/>
      <c r="BS12" s="57"/>
      <c r="BT12" s="57">
        <v>104.71299999999999</v>
      </c>
      <c r="BU12" s="57">
        <v>34.190800000000003</v>
      </c>
      <c r="BV12" s="57">
        <v>-264.93219999999997</v>
      </c>
      <c r="BW12" s="61"/>
      <c r="BY12" s="57"/>
      <c r="BZ12" s="57"/>
      <c r="CA12" s="57"/>
      <c r="CC12" s="57"/>
    </row>
    <row r="13" spans="1:81" x14ac:dyDescent="0.2">
      <c r="A13">
        <v>5</v>
      </c>
      <c r="B13">
        <f t="shared" si="33"/>
        <v>5.0000000000000001E-3</v>
      </c>
      <c r="C13">
        <f t="shared" si="0"/>
        <v>1.0000000000001974</v>
      </c>
      <c r="D13">
        <f t="shared" si="1"/>
        <v>6.2831852999991738E-7</v>
      </c>
      <c r="F13">
        <f t="shared" si="2"/>
        <v>0.99626385279373197</v>
      </c>
      <c r="G13">
        <f t="shared" si="3"/>
        <v>-1.1393674348043337E-4</v>
      </c>
      <c r="H13">
        <f t="shared" si="4"/>
        <v>-1.1393674348043337E-4</v>
      </c>
      <c r="J13">
        <f t="shared" si="5"/>
        <v>15</v>
      </c>
      <c r="M13">
        <f t="shared" si="6"/>
        <v>362.98292054480265</v>
      </c>
      <c r="N13">
        <f t="shared" si="7"/>
        <v>-1.5707963250000001</v>
      </c>
      <c r="O13">
        <f t="shared" si="8"/>
        <v>1.0000001780151015</v>
      </c>
      <c r="P13">
        <f t="shared" si="9"/>
        <v>5.9668262120215554E-4</v>
      </c>
      <c r="Q13">
        <f t="shared" si="10"/>
        <v>1.0000000758339536</v>
      </c>
      <c r="R13">
        <f t="shared" si="11"/>
        <v>3.8944562821285899E-4</v>
      </c>
      <c r="S13">
        <f t="shared" si="12"/>
        <v>0.99999999999979394</v>
      </c>
      <c r="T13">
        <f t="shared" si="13"/>
        <v>-6.421415376599119E-7</v>
      </c>
      <c r="U13">
        <f t="shared" si="14"/>
        <v>0.99999999994772049</v>
      </c>
      <c r="V13">
        <f t="shared" si="15"/>
        <v>-1.0225409036182425E-5</v>
      </c>
      <c r="X13">
        <f t="shared" si="34"/>
        <v>74.68703866225556</v>
      </c>
      <c r="Y13">
        <f t="shared" si="16"/>
        <v>-89.950613772507921</v>
      </c>
      <c r="Z13">
        <f t="shared" si="35"/>
        <v>90.049386227492079</v>
      </c>
      <c r="AC13">
        <v>1</v>
      </c>
      <c r="AD13">
        <f t="shared" si="17"/>
        <v>5.9668269201450003E-4</v>
      </c>
      <c r="AE13">
        <f t="shared" si="18"/>
        <v>-1.2746830925381777E-12</v>
      </c>
      <c r="AF13">
        <f t="shared" si="19"/>
        <v>1.2465839635200001E-7</v>
      </c>
      <c r="AG13">
        <f t="shared" si="36"/>
        <v>4704.5148989455356</v>
      </c>
      <c r="AH13">
        <f t="shared" si="37"/>
        <v>-8021922.5921457279</v>
      </c>
      <c r="AJ13">
        <f t="shared" si="20"/>
        <v>22100</v>
      </c>
      <c r="AK13">
        <f t="shared" si="21"/>
        <v>1.4191327982286003E-2</v>
      </c>
      <c r="AL13">
        <v>1</v>
      </c>
      <c r="AM13">
        <f t="shared" si="22"/>
        <v>3.8944564790166004E-4</v>
      </c>
      <c r="AN13">
        <f t="shared" si="38"/>
        <v>22099.996653666385</v>
      </c>
      <c r="AO13">
        <f t="shared" si="39"/>
        <v>-8.5925561874293379</v>
      </c>
      <c r="AQ13">
        <f t="shared" si="23"/>
        <v>9999.0000999900003</v>
      </c>
      <c r="AR13">
        <f t="shared" si="24"/>
        <v>-99.990000999900005</v>
      </c>
      <c r="AT13">
        <f t="shared" si="40"/>
        <v>-755071603.06481099</v>
      </c>
      <c r="AU13">
        <f t="shared" si="41"/>
        <v>-80211675205.42662</v>
      </c>
      <c r="AV13">
        <f t="shared" si="42"/>
        <v>-1.5802095362693958</v>
      </c>
      <c r="AW13">
        <f t="shared" si="25"/>
        <v>221049795.41945273</v>
      </c>
      <c r="AX13">
        <f t="shared" si="26"/>
        <v>-242953399.83422318</v>
      </c>
      <c r="AY13">
        <f t="shared" si="50"/>
        <v>-0.83256886503644456</v>
      </c>
      <c r="BA13">
        <f t="shared" si="27"/>
        <v>244.21228454683828</v>
      </c>
      <c r="BB13">
        <f t="shared" si="43"/>
        <v>47.755350127207322</v>
      </c>
      <c r="BC13">
        <f t="shared" si="44"/>
        <v>-0.74764067123295119</v>
      </c>
      <c r="BD13">
        <f t="shared" si="28"/>
        <v>-222.83665510292406</v>
      </c>
      <c r="BF13">
        <f t="shared" si="29"/>
        <v>71.244662772316701</v>
      </c>
      <c r="BG13">
        <f t="shared" si="30"/>
        <v>-42.843147197464404</v>
      </c>
      <c r="BH13">
        <f t="shared" si="45"/>
        <v>137.15685280253558</v>
      </c>
      <c r="BI13">
        <f t="shared" si="46"/>
        <v>137.15685280253558</v>
      </c>
      <c r="BJ13">
        <f t="shared" si="31"/>
        <v>0</v>
      </c>
      <c r="BK13">
        <f t="shared" si="47"/>
        <v>0</v>
      </c>
      <c r="BM13">
        <f t="shared" si="48"/>
        <v>23.489312645109376</v>
      </c>
      <c r="BN13">
        <f t="shared" si="32"/>
        <v>-6.492094540352971E-3</v>
      </c>
      <c r="BQ13" s="56">
        <f t="shared" si="49"/>
        <v>64.65731092749246</v>
      </c>
      <c r="BR13" s="58"/>
      <c r="BS13" s="58"/>
      <c r="BT13" s="58">
        <v>107.152</v>
      </c>
      <c r="BU13" s="58">
        <v>34.477699999999999</v>
      </c>
      <c r="BV13" s="58">
        <v>-262.3057</v>
      </c>
      <c r="BW13" s="61"/>
      <c r="BY13" s="58"/>
      <c r="BZ13" s="58"/>
      <c r="CA13" s="58"/>
      <c r="CC13" s="58"/>
    </row>
    <row r="14" spans="1:81" x14ac:dyDescent="0.2">
      <c r="A14">
        <v>6</v>
      </c>
      <c r="B14">
        <f t="shared" si="33"/>
        <v>6.0000000000000001E-3</v>
      </c>
      <c r="C14">
        <f t="shared" si="0"/>
        <v>1.0000000000002842</v>
      </c>
      <c r="D14">
        <f t="shared" si="1"/>
        <v>7.5398223599985732E-7</v>
      </c>
      <c r="F14">
        <f t="shared" si="2"/>
        <v>0.99626389825328598</v>
      </c>
      <c r="G14">
        <f t="shared" si="3"/>
        <v>-1.3672409854540408E-4</v>
      </c>
      <c r="H14">
        <f t="shared" si="4"/>
        <v>-1.3672409854540408E-4</v>
      </c>
      <c r="J14">
        <f t="shared" si="5"/>
        <v>15</v>
      </c>
      <c r="M14">
        <f t="shared" si="6"/>
        <v>302.48576712066887</v>
      </c>
      <c r="N14">
        <f t="shared" si="7"/>
        <v>-1.5707963250000001</v>
      </c>
      <c r="O14">
        <f t="shared" si="8"/>
        <v>1.0000002563417363</v>
      </c>
      <c r="P14">
        <f t="shared" si="9"/>
        <v>7.1601910805368029E-4</v>
      </c>
      <c r="Q14">
        <f t="shared" si="10"/>
        <v>1.0000001092008912</v>
      </c>
      <c r="R14">
        <f t="shared" si="11"/>
        <v>4.6733474345974523E-4</v>
      </c>
      <c r="S14">
        <f t="shared" si="12"/>
        <v>0.99999999999970313</v>
      </c>
      <c r="T14">
        <f t="shared" si="13"/>
        <v>-7.7056984519184774E-7</v>
      </c>
      <c r="U14">
        <f t="shared" si="14"/>
        <v>0.99999999992471755</v>
      </c>
      <c r="V14">
        <f t="shared" si="15"/>
        <v>-1.2270490843230738E-5</v>
      </c>
      <c r="X14">
        <f t="shared" si="34"/>
        <v>73.103415107598536</v>
      </c>
      <c r="Y14">
        <f t="shared" si="16"/>
        <v>-89.940736530112261</v>
      </c>
      <c r="Z14">
        <f t="shared" si="35"/>
        <v>90.059263469887739</v>
      </c>
      <c r="AC14">
        <v>1</v>
      </c>
      <c r="AD14">
        <f t="shared" si="17"/>
        <v>7.1601923041740003E-4</v>
      </c>
      <c r="AE14">
        <f t="shared" si="18"/>
        <v>-1.8355436532549757E-12</v>
      </c>
      <c r="AF14">
        <f t="shared" si="19"/>
        <v>1.4959007562240003E-7</v>
      </c>
      <c r="AG14">
        <f t="shared" si="36"/>
        <v>4704.5148987290986</v>
      </c>
      <c r="AH14">
        <f t="shared" si="37"/>
        <v>-6684935.5110934889</v>
      </c>
      <c r="AJ14">
        <f t="shared" si="20"/>
        <v>22100</v>
      </c>
      <c r="AK14">
        <f t="shared" si="21"/>
        <v>1.7029593578743202E-2</v>
      </c>
      <c r="AL14">
        <v>1</v>
      </c>
      <c r="AM14">
        <f t="shared" si="22"/>
        <v>4.6733477748199206E-4</v>
      </c>
      <c r="AN14">
        <f t="shared" si="38"/>
        <v>22099.995181279923</v>
      </c>
      <c r="AO14">
        <f t="shared" si="39"/>
        <v>-10.311066736817805</v>
      </c>
      <c r="AQ14">
        <f t="shared" si="23"/>
        <v>9998.5602073301452</v>
      </c>
      <c r="AR14">
        <f t="shared" si="24"/>
        <v>-119.98272248796174</v>
      </c>
      <c r="AT14">
        <f t="shared" si="40"/>
        <v>-755038386.81622624</v>
      </c>
      <c r="AU14">
        <f t="shared" si="41"/>
        <v>-66840294650.293098</v>
      </c>
      <c r="AV14">
        <f t="shared" si="42"/>
        <v>-1.5820920022274474</v>
      </c>
      <c r="AW14">
        <f t="shared" si="25"/>
        <v>221039681.08646917</v>
      </c>
      <c r="AX14">
        <f t="shared" si="26"/>
        <v>-203302810.43780458</v>
      </c>
      <c r="AY14">
        <f t="shared" si="50"/>
        <v>-0.74362400130162554</v>
      </c>
      <c r="BA14">
        <f t="shared" si="27"/>
        <v>222.57966720454377</v>
      </c>
      <c r="BB14">
        <f t="shared" si="43"/>
        <v>46.949709774619947</v>
      </c>
      <c r="BC14">
        <f t="shared" si="44"/>
        <v>-0.83846800092582185</v>
      </c>
      <c r="BD14">
        <f t="shared" si="28"/>
        <v>-228.04067776471527</v>
      </c>
      <c r="BF14">
        <f t="shared" si="29"/>
        <v>70.439022816067506</v>
      </c>
      <c r="BG14">
        <f t="shared" si="30"/>
        <v>-48.048468278528603</v>
      </c>
      <c r="BH14">
        <f t="shared" si="45"/>
        <v>131.95153172147138</v>
      </c>
      <c r="BI14">
        <f t="shared" si="46"/>
        <v>131.95153172147138</v>
      </c>
      <c r="BJ14">
        <f t="shared" si="31"/>
        <v>0</v>
      </c>
      <c r="BK14">
        <f t="shared" si="47"/>
        <v>0</v>
      </c>
      <c r="BM14">
        <f t="shared" si="48"/>
        <v>23.489313041447563</v>
      </c>
      <c r="BN14">
        <f t="shared" si="32"/>
        <v>-7.790513813333743E-3</v>
      </c>
      <c r="BQ14" s="56">
        <f t="shared" si="49"/>
        <v>63.851670574905071</v>
      </c>
      <c r="BR14" s="58"/>
      <c r="BS14" s="58"/>
      <c r="BT14" s="58">
        <v>109.648</v>
      </c>
      <c r="BU14" s="58">
        <v>34.114400000000003</v>
      </c>
      <c r="BV14" s="58">
        <v>-262.76620000000003</v>
      </c>
      <c r="BW14" s="61"/>
      <c r="BY14" s="58"/>
      <c r="BZ14" s="58"/>
      <c r="CA14" s="58"/>
      <c r="CC14" s="58"/>
    </row>
    <row r="15" spans="1:81" x14ac:dyDescent="0.2">
      <c r="A15">
        <v>7</v>
      </c>
      <c r="B15">
        <f t="shared" si="33"/>
        <v>7.0000000000000001E-3</v>
      </c>
      <c r="C15">
        <f t="shared" si="0"/>
        <v>1.0000000000003868</v>
      </c>
      <c r="D15">
        <f t="shared" si="1"/>
        <v>8.7964594199977322E-7</v>
      </c>
      <c r="F15">
        <f t="shared" si="2"/>
        <v>0.99626395197821849</v>
      </c>
      <c r="G15">
        <f t="shared" si="3"/>
        <v>-1.5951145708431244E-4</v>
      </c>
      <c r="H15">
        <f t="shared" si="4"/>
        <v>-1.5951145708431244E-4</v>
      </c>
      <c r="J15">
        <f t="shared" si="5"/>
        <v>15</v>
      </c>
      <c r="M15">
        <f t="shared" si="6"/>
        <v>259.27351467485903</v>
      </c>
      <c r="N15">
        <f t="shared" si="7"/>
        <v>-1.5707963250000001</v>
      </c>
      <c r="O15">
        <f t="shared" si="8"/>
        <v>1.0000003489095695</v>
      </c>
      <c r="P15">
        <f t="shared" si="9"/>
        <v>8.3535557451126655E-4</v>
      </c>
      <c r="Q15">
        <f t="shared" si="10"/>
        <v>1.0000001486345433</v>
      </c>
      <c r="R15">
        <f t="shared" si="11"/>
        <v>5.4522385303625877E-4</v>
      </c>
      <c r="S15">
        <f t="shared" si="12"/>
        <v>0.99999999999959588</v>
      </c>
      <c r="T15">
        <f t="shared" si="13"/>
        <v>-8.9899815272375806E-7</v>
      </c>
      <c r="U15">
        <f t="shared" si="14"/>
        <v>0.99999999989753219</v>
      </c>
      <c r="V15">
        <f t="shared" si="15"/>
        <v>-1.4315572650176413E-5</v>
      </c>
      <c r="X15">
        <f t="shared" si="34"/>
        <v>71.764480929698962</v>
      </c>
      <c r="Y15">
        <f t="shared" si="16"/>
        <v>-89.930859289409014</v>
      </c>
      <c r="Z15">
        <f t="shared" si="35"/>
        <v>90.069140710590986</v>
      </c>
      <c r="AC15">
        <v>1</v>
      </c>
      <c r="AD15">
        <f t="shared" si="17"/>
        <v>8.3535576882030004E-4</v>
      </c>
      <c r="AE15">
        <f t="shared" si="18"/>
        <v>-2.4983788613748282E-12</v>
      </c>
      <c r="AF15">
        <f t="shared" si="19"/>
        <v>1.7452175489280003E-7</v>
      </c>
      <c r="AG15">
        <f t="shared" si="36"/>
        <v>4704.5148984733123</v>
      </c>
      <c r="AH15">
        <f t="shared" si="37"/>
        <v>-5729944.7416622099</v>
      </c>
      <c r="AJ15">
        <f t="shared" si="20"/>
        <v>22100</v>
      </c>
      <c r="AK15">
        <f t="shared" si="21"/>
        <v>1.9867859175200401E-2</v>
      </c>
      <c r="AL15">
        <v>1</v>
      </c>
      <c r="AM15">
        <f t="shared" si="22"/>
        <v>5.4522390706232408E-4</v>
      </c>
      <c r="AN15">
        <f t="shared" si="38"/>
        <v>22099.993441187074</v>
      </c>
      <c r="AO15">
        <f t="shared" si="39"/>
        <v>-12.029576910880554</v>
      </c>
      <c r="AQ15">
        <f t="shared" si="23"/>
        <v>9998.0403840847193</v>
      </c>
      <c r="AR15">
        <f t="shared" si="24"/>
        <v>-139.97256537718607</v>
      </c>
      <c r="AT15">
        <f t="shared" si="40"/>
        <v>-754999135.01751292</v>
      </c>
      <c r="AU15">
        <f t="shared" si="41"/>
        <v>-57288877428.731857</v>
      </c>
      <c r="AV15">
        <f t="shared" si="42"/>
        <v>-1.5839743722339186</v>
      </c>
      <c r="AW15">
        <f t="shared" si="25"/>
        <v>221027728.93121129</v>
      </c>
      <c r="AX15">
        <f t="shared" si="26"/>
        <v>-175112044.19944766</v>
      </c>
      <c r="AY15">
        <f t="shared" si="50"/>
        <v>-0.67000529024299937</v>
      </c>
      <c r="BA15">
        <f t="shared" si="27"/>
        <v>203.17801154827589</v>
      </c>
      <c r="BB15">
        <f t="shared" si="43"/>
        <v>46.1575341135797</v>
      </c>
      <c r="BC15">
        <f t="shared" si="44"/>
        <v>-0.9139690819909192</v>
      </c>
      <c r="BD15">
        <f t="shared" si="28"/>
        <v>-232.36657106336349</v>
      </c>
      <c r="BF15">
        <f t="shared" si="29"/>
        <v>69.646847623426964</v>
      </c>
      <c r="BG15">
        <f t="shared" si="30"/>
        <v>-52.375659996648849</v>
      </c>
      <c r="BH15">
        <f t="shared" si="45"/>
        <v>127.62434000335115</v>
      </c>
      <c r="BI15">
        <f t="shared" si="46"/>
        <v>127.62434000335115</v>
      </c>
      <c r="BJ15">
        <f t="shared" si="31"/>
        <v>0</v>
      </c>
      <c r="BK15">
        <f t="shared" si="47"/>
        <v>0</v>
      </c>
      <c r="BM15">
        <f t="shared" si="48"/>
        <v>23.489313509847261</v>
      </c>
      <c r="BN15">
        <f t="shared" si="32"/>
        <v>-9.0889332853564819E-3</v>
      </c>
      <c r="BQ15" s="56">
        <f t="shared" si="49"/>
        <v>63.059494913864839</v>
      </c>
      <c r="BR15" s="58"/>
      <c r="BS15" s="58"/>
      <c r="BT15" s="58">
        <v>112.202</v>
      </c>
      <c r="BU15" s="58">
        <v>34.297699999999999</v>
      </c>
      <c r="BV15" s="58">
        <v>-267.01279999999997</v>
      </c>
      <c r="BW15" s="61"/>
      <c r="BY15" s="58"/>
      <c r="BZ15" s="58"/>
      <c r="CA15" s="58"/>
      <c r="CC15" s="58"/>
    </row>
    <row r="16" spans="1:81" x14ac:dyDescent="0.2">
      <c r="A16">
        <v>8</v>
      </c>
      <c r="B16">
        <f t="shared" si="33"/>
        <v>8.0000000000000002E-3</v>
      </c>
      <c r="C16">
        <f t="shared" si="0"/>
        <v>1.0000000000005054</v>
      </c>
      <c r="D16">
        <f t="shared" si="1"/>
        <v>1.0053096479996616E-6</v>
      </c>
      <c r="F16">
        <f t="shared" si="2"/>
        <v>0.99626401396853181</v>
      </c>
      <c r="G16">
        <f t="shared" si="3"/>
        <v>-1.8229881967614871E-4</v>
      </c>
      <c r="H16">
        <f t="shared" si="4"/>
        <v>-1.8229881967614871E-4</v>
      </c>
      <c r="J16">
        <f t="shared" si="5"/>
        <v>15</v>
      </c>
      <c r="M16">
        <f t="shared" si="6"/>
        <v>226.86432534050167</v>
      </c>
      <c r="N16">
        <f t="shared" si="7"/>
        <v>-1.5707963250000001</v>
      </c>
      <c r="O16">
        <f t="shared" si="8"/>
        <v>1.0000004557185969</v>
      </c>
      <c r="P16">
        <f t="shared" si="9"/>
        <v>9.5469201717593368E-4</v>
      </c>
      <c r="Q16">
        <f t="shared" si="10"/>
        <v>1.0000001941349095</v>
      </c>
      <c r="R16">
        <f t="shared" si="11"/>
        <v>6.2311295599733836E-4</v>
      </c>
      <c r="S16">
        <f t="shared" si="12"/>
        <v>0.9999999999994722</v>
      </c>
      <c r="T16">
        <f t="shared" si="13"/>
        <v>-1.0274264602556387E-6</v>
      </c>
      <c r="U16">
        <f t="shared" si="14"/>
        <v>0.99999999986616439</v>
      </c>
      <c r="V16">
        <f t="shared" si="15"/>
        <v>-1.6360654457002341E-5</v>
      </c>
      <c r="X16">
        <f t="shared" si="34"/>
        <v>70.60464385327505</v>
      </c>
      <c r="Y16">
        <f t="shared" si="16"/>
        <v>-89.920982050680237</v>
      </c>
      <c r="Z16">
        <f t="shared" si="35"/>
        <v>90.079017949319763</v>
      </c>
      <c r="AC16">
        <v>1</v>
      </c>
      <c r="AD16">
        <f t="shared" si="17"/>
        <v>9.5469230722320005E-4</v>
      </c>
      <c r="AE16">
        <f t="shared" si="18"/>
        <v>-3.2631887168977348E-12</v>
      </c>
      <c r="AF16">
        <f t="shared" si="19"/>
        <v>1.9945343416320003E-7</v>
      </c>
      <c r="AG16">
        <f t="shared" si="36"/>
        <v>4704.5148981781731</v>
      </c>
      <c r="AH16">
        <f t="shared" si="37"/>
        <v>-5013701.6669940306</v>
      </c>
      <c r="AJ16">
        <f t="shared" si="20"/>
        <v>22100</v>
      </c>
      <c r="AK16">
        <f t="shared" si="21"/>
        <v>2.2706124771657604E-2</v>
      </c>
      <c r="AL16">
        <v>1</v>
      </c>
      <c r="AM16">
        <f t="shared" si="22"/>
        <v>6.2311303664265604E-4</v>
      </c>
      <c r="AN16">
        <f t="shared" si="38"/>
        <v>22099.991433387982</v>
      </c>
      <c r="AO16">
        <f t="shared" si="39"/>
        <v>-13.74808664706341</v>
      </c>
      <c r="AQ16">
        <f t="shared" si="23"/>
        <v>9997.4406551922712</v>
      </c>
      <c r="AR16">
        <f t="shared" si="24"/>
        <v>-159.95905048307634</v>
      </c>
      <c r="AT16">
        <f t="shared" si="40"/>
        <v>-754953849.55177796</v>
      </c>
      <c r="AU16">
        <f t="shared" si="41"/>
        <v>-50124937408.347481</v>
      </c>
      <c r="AV16">
        <f t="shared" si="42"/>
        <v>-1.5858566303085211</v>
      </c>
      <c r="AW16">
        <f t="shared" si="25"/>
        <v>221013939.52711809</v>
      </c>
      <c r="AX16">
        <f t="shared" si="26"/>
        <v>-154083631.5950377</v>
      </c>
      <c r="AY16">
        <f t="shared" si="50"/>
        <v>-0.60882211000067132</v>
      </c>
      <c r="BA16">
        <f t="shared" si="27"/>
        <v>186.06638011018774</v>
      </c>
      <c r="BB16">
        <f t="shared" si="43"/>
        <v>45.393358171733873</v>
      </c>
      <c r="BC16">
        <f t="shared" si="44"/>
        <v>-0.97703452030784976</v>
      </c>
      <c r="BD16">
        <f t="shared" si="28"/>
        <v>-235.97995451619514</v>
      </c>
      <c r="BF16">
        <f t="shared" si="29"/>
        <v>68.882672222042359</v>
      </c>
      <c r="BG16">
        <f t="shared" si="30"/>
        <v>-55.990341869184725</v>
      </c>
      <c r="BH16">
        <f t="shared" si="45"/>
        <v>124.00965813081527</v>
      </c>
      <c r="BI16">
        <f t="shared" si="46"/>
        <v>124.00965813081527</v>
      </c>
      <c r="BJ16">
        <f t="shared" si="31"/>
        <v>0</v>
      </c>
      <c r="BK16">
        <f t="shared" si="47"/>
        <v>0</v>
      </c>
      <c r="BM16">
        <f t="shared" si="48"/>
        <v>23.489314050308483</v>
      </c>
      <c r="BN16">
        <f t="shared" si="32"/>
        <v>-1.0387352989594888E-2</v>
      </c>
      <c r="BQ16" s="56">
        <f t="shared" si="49"/>
        <v>62.295318972019011</v>
      </c>
      <c r="BR16" s="59"/>
      <c r="BS16" s="59"/>
      <c r="BT16" s="59">
        <v>114.815</v>
      </c>
      <c r="BU16" s="59">
        <v>33.346499999999999</v>
      </c>
      <c r="BV16" s="59">
        <v>-266.20479999999998</v>
      </c>
      <c r="BW16" s="61"/>
      <c r="BY16" s="59"/>
      <c r="BZ16" s="59"/>
      <c r="CA16" s="59"/>
      <c r="CC16" s="59"/>
    </row>
    <row r="17" spans="1:81" x14ac:dyDescent="0.2">
      <c r="A17">
        <v>9</v>
      </c>
      <c r="B17">
        <f t="shared" si="33"/>
        <v>8.9999999999999993E-3</v>
      </c>
      <c r="C17">
        <f t="shared" si="0"/>
        <v>1.0000000000006395</v>
      </c>
      <c r="D17">
        <f t="shared" si="1"/>
        <v>1.130973353999518E-6</v>
      </c>
      <c r="F17">
        <f t="shared" si="2"/>
        <v>0.99626408422422896</v>
      </c>
      <c r="G17">
        <f t="shared" si="3"/>
        <v>-2.0508618689990351E-4</v>
      </c>
      <c r="H17">
        <f t="shared" si="4"/>
        <v>-2.0508618689990351E-4</v>
      </c>
      <c r="J17">
        <f t="shared" si="5"/>
        <v>15</v>
      </c>
      <c r="M17">
        <f t="shared" si="6"/>
        <v>201.65717808044596</v>
      </c>
      <c r="N17">
        <f t="shared" si="7"/>
        <v>-1.5707963250000001</v>
      </c>
      <c r="O17">
        <f t="shared" si="8"/>
        <v>1.0000005767688143</v>
      </c>
      <c r="P17">
        <f t="shared" si="9"/>
        <v>1.0740284326487045E-3</v>
      </c>
      <c r="Q17">
        <f t="shared" si="10"/>
        <v>1.0000002457019883</v>
      </c>
      <c r="R17">
        <f t="shared" si="11"/>
        <v>7.0100205139792383E-4</v>
      </c>
      <c r="S17">
        <f t="shared" si="12"/>
        <v>0.99999999999933209</v>
      </c>
      <c r="T17">
        <f t="shared" si="13"/>
        <v>-1.1558547677874854E-6</v>
      </c>
      <c r="U17">
        <f t="shared" si="14"/>
        <v>0.99999999983061438</v>
      </c>
      <c r="V17">
        <f t="shared" si="15"/>
        <v>-1.8405736263691417E-5</v>
      </c>
      <c r="X17">
        <f t="shared" si="34"/>
        <v>69.581595515874312</v>
      </c>
      <c r="Y17">
        <f t="shared" si="16"/>
        <v>-89.911104814208031</v>
      </c>
      <c r="Z17">
        <f t="shared" si="35"/>
        <v>90.088895185791969</v>
      </c>
      <c r="AC17">
        <v>1</v>
      </c>
      <c r="AD17">
        <f t="shared" si="17"/>
        <v>1.0740288456261001E-3</v>
      </c>
      <c r="AE17">
        <f t="shared" si="18"/>
        <v>-4.1299732198236954E-12</v>
      </c>
      <c r="AF17">
        <f t="shared" si="19"/>
        <v>2.2438511343360002E-7</v>
      </c>
      <c r="AG17">
        <f t="shared" si="36"/>
        <v>4704.514897843681</v>
      </c>
      <c r="AH17">
        <f t="shared" si="37"/>
        <v>-4456623.7221679157</v>
      </c>
      <c r="AJ17">
        <f t="shared" si="20"/>
        <v>22100</v>
      </c>
      <c r="AK17">
        <f t="shared" si="21"/>
        <v>2.5544390368114803E-2</v>
      </c>
      <c r="AL17">
        <v>1</v>
      </c>
      <c r="AM17">
        <f t="shared" si="22"/>
        <v>7.0100216622298801E-4</v>
      </c>
      <c r="AN17">
        <f t="shared" si="38"/>
        <v>22099.989157882781</v>
      </c>
      <c r="AO17">
        <f t="shared" si="39"/>
        <v>-15.466595882812264</v>
      </c>
      <c r="AQ17">
        <f t="shared" si="23"/>
        <v>9996.7610494199889</v>
      </c>
      <c r="AR17">
        <f t="shared" si="24"/>
        <v>-179.94169888955977</v>
      </c>
      <c r="AT17">
        <f t="shared" si="40"/>
        <v>-754902532.59122849</v>
      </c>
      <c r="AU17">
        <f t="shared" si="41"/>
        <v>-44552648976.092514</v>
      </c>
      <c r="AV17">
        <f t="shared" si="42"/>
        <v>-1.5877387604763376</v>
      </c>
      <c r="AW17">
        <f t="shared" si="25"/>
        <v>220998313.5356642</v>
      </c>
      <c r="AX17">
        <f t="shared" si="26"/>
        <v>-137830084.66473633</v>
      </c>
      <c r="AY17">
        <f t="shared" si="50"/>
        <v>-0.55764255562339315</v>
      </c>
      <c r="BA17">
        <f t="shared" si="27"/>
        <v>171.08081492343032</v>
      </c>
      <c r="BB17">
        <f t="shared" si="43"/>
        <v>44.664026206012288</v>
      </c>
      <c r="BC17">
        <f t="shared" si="44"/>
        <v>-1.0300962048529443</v>
      </c>
      <c r="BD17">
        <f t="shared" si="28"/>
        <v>-239.02016509795754</v>
      </c>
      <c r="BF17">
        <f t="shared" si="29"/>
        <v>68.153340868843514</v>
      </c>
      <c r="BG17">
        <f t="shared" si="30"/>
        <v>-59.03185087091677</v>
      </c>
      <c r="BH17">
        <f t="shared" si="45"/>
        <v>120.96814912908323</v>
      </c>
      <c r="BI17">
        <f t="shared" si="46"/>
        <v>120.96814912908323</v>
      </c>
      <c r="BJ17">
        <f t="shared" si="31"/>
        <v>0</v>
      </c>
      <c r="BK17">
        <f t="shared" si="47"/>
        <v>0</v>
      </c>
      <c r="BM17">
        <f t="shared" si="48"/>
        <v>23.489314662831227</v>
      </c>
      <c r="BN17">
        <f t="shared" si="32"/>
        <v>-1.1685772959222678E-2</v>
      </c>
      <c r="BQ17" s="56">
        <f t="shared" si="49"/>
        <v>61.565987006297426</v>
      </c>
      <c r="BR17" s="59"/>
      <c r="BS17" s="59"/>
      <c r="BT17" s="59">
        <v>117.49</v>
      </c>
      <c r="BU17" s="59">
        <v>33.0246</v>
      </c>
      <c r="BV17" s="59">
        <v>-264.9049</v>
      </c>
      <c r="BW17" s="61"/>
      <c r="BY17" s="59"/>
      <c r="BZ17" s="59"/>
      <c r="CA17" s="59"/>
      <c r="CC17" s="59"/>
    </row>
    <row r="18" spans="1:81" x14ac:dyDescent="0.2">
      <c r="A18">
        <v>10</v>
      </c>
      <c r="B18">
        <f t="shared" si="33"/>
        <v>0.01</v>
      </c>
      <c r="C18">
        <f t="shared" si="0"/>
        <v>1.0000000000007896</v>
      </c>
      <c r="D18">
        <f t="shared" si="1"/>
        <v>1.2566370599993386E-6</v>
      </c>
      <c r="F18">
        <f t="shared" si="2"/>
        <v>0.99626416274531338</v>
      </c>
      <c r="G18">
        <f t="shared" si="3"/>
        <v>-2.2787355933456797E-4</v>
      </c>
      <c r="H18">
        <f t="shared" si="4"/>
        <v>-2.2787355933456797E-4</v>
      </c>
      <c r="J18">
        <f t="shared" si="5"/>
        <v>15</v>
      </c>
      <c r="M18">
        <f t="shared" si="6"/>
        <v>181.49146027240133</v>
      </c>
      <c r="N18">
        <f t="shared" si="7"/>
        <v>-1.5707963250000001</v>
      </c>
      <c r="O18">
        <f t="shared" si="8"/>
        <v>1.0000007120602163</v>
      </c>
      <c r="P18">
        <f t="shared" si="9"/>
        <v>1.1933648175306069E-3</v>
      </c>
      <c r="Q18">
        <f t="shared" si="10"/>
        <v>1.0000003033357794</v>
      </c>
      <c r="R18">
        <f t="shared" si="11"/>
        <v>7.7889113829295465E-4</v>
      </c>
      <c r="S18">
        <f t="shared" si="12"/>
        <v>0.99999999999917533</v>
      </c>
      <c r="T18">
        <f t="shared" si="13"/>
        <v>-1.2842830753192944E-6</v>
      </c>
      <c r="U18">
        <f t="shared" si="14"/>
        <v>0.99999999979088194</v>
      </c>
      <c r="V18">
        <f t="shared" si="15"/>
        <v>-2.0450818070226533E-5</v>
      </c>
      <c r="X18">
        <f t="shared" si="34"/>
        <v>68.666448064624674</v>
      </c>
      <c r="Y18">
        <f t="shared" si="16"/>
        <v>-89.901227580274409</v>
      </c>
      <c r="Z18">
        <f t="shared" si="35"/>
        <v>90.098772419725591</v>
      </c>
      <c r="AC18">
        <v>1</v>
      </c>
      <c r="AD18">
        <f t="shared" si="17"/>
        <v>1.1933653840290001E-3</v>
      </c>
      <c r="AE18">
        <f t="shared" si="18"/>
        <v>-5.0987323701527109E-12</v>
      </c>
      <c r="AF18">
        <f t="shared" si="19"/>
        <v>2.4931679270400002E-7</v>
      </c>
      <c r="AG18">
        <f t="shared" si="36"/>
        <v>4704.5148974698368</v>
      </c>
      <c r="AH18">
        <f t="shared" si="37"/>
        <v>-4010961.3682312481</v>
      </c>
      <c r="AJ18">
        <f t="shared" si="20"/>
        <v>22100</v>
      </c>
      <c r="AK18">
        <f t="shared" si="21"/>
        <v>2.8382655964572005E-2</v>
      </c>
      <c r="AL18">
        <v>1</v>
      </c>
      <c r="AM18">
        <f t="shared" si="22"/>
        <v>7.7889129580332008E-4</v>
      </c>
      <c r="AN18">
        <f t="shared" si="38"/>
        <v>22099.986614671641</v>
      </c>
      <c r="AO18">
        <f t="shared" si="39"/>
        <v>-17.185104555573051</v>
      </c>
      <c r="AQ18">
        <f t="shared" si="23"/>
        <v>9996.0015993602556</v>
      </c>
      <c r="AR18">
        <f t="shared" si="24"/>
        <v>-199.92003198720514</v>
      </c>
      <c r="AT18">
        <f t="shared" si="40"/>
        <v>-754845186.59691262</v>
      </c>
      <c r="AU18">
        <f t="shared" si="41"/>
        <v>-40094516778.580536</v>
      </c>
      <c r="AV18">
        <f t="shared" si="42"/>
        <v>-1.5896207467685866</v>
      </c>
      <c r="AW18">
        <f t="shared" si="25"/>
        <v>220980851.70628139</v>
      </c>
      <c r="AX18">
        <f t="shared" si="26"/>
        <v>-124918906.23480919</v>
      </c>
      <c r="AY18">
        <f t="shared" si="50"/>
        <v>-0.51450853678395525</v>
      </c>
      <c r="BA18">
        <f t="shared" si="27"/>
        <v>157.97682100375587</v>
      </c>
      <c r="BB18">
        <f t="shared" si="43"/>
        <v>43.971867403819054</v>
      </c>
      <c r="BC18">
        <f t="shared" si="44"/>
        <v>-1.0751122099846313</v>
      </c>
      <c r="BD18">
        <f t="shared" si="28"/>
        <v>-241.59939220548966</v>
      </c>
      <c r="BF18">
        <f t="shared" si="29"/>
        <v>67.461182751234574</v>
      </c>
      <c r="BG18">
        <f t="shared" si="30"/>
        <v>-61.612376398717082</v>
      </c>
      <c r="BH18">
        <f t="shared" si="45"/>
        <v>118.38762360128291</v>
      </c>
      <c r="BI18">
        <f t="shared" si="46"/>
        <v>118.38762360128291</v>
      </c>
      <c r="BJ18">
        <f t="shared" si="31"/>
        <v>0</v>
      </c>
      <c r="BK18">
        <f t="shared" si="47"/>
        <v>0</v>
      </c>
      <c r="BM18">
        <f t="shared" si="48"/>
        <v>23.489315347415523</v>
      </c>
      <c r="BN18">
        <f t="shared" si="32"/>
        <v>-1.2984193227413603E-2</v>
      </c>
      <c r="BQ18" s="56">
        <f t="shared" si="49"/>
        <v>60.873828204104186</v>
      </c>
      <c r="BR18" s="59"/>
      <c r="BS18" s="59"/>
      <c r="BT18" s="59">
        <v>120.226</v>
      </c>
      <c r="BU18" s="59">
        <v>33.735999999999997</v>
      </c>
      <c r="BV18" s="59">
        <v>-269.98079999999999</v>
      </c>
      <c r="BW18" s="61"/>
      <c r="BY18" s="59"/>
      <c r="BZ18" s="59"/>
      <c r="CA18" s="59"/>
      <c r="CC18" s="59"/>
    </row>
    <row r="19" spans="1:81" x14ac:dyDescent="0.2">
      <c r="A19">
        <f>A10*10</f>
        <v>20</v>
      </c>
      <c r="B19">
        <f t="shared" si="33"/>
        <v>0.02</v>
      </c>
      <c r="C19">
        <f t="shared" si="0"/>
        <v>1.0000000000031584</v>
      </c>
      <c r="D19">
        <f t="shared" si="1"/>
        <v>2.5132741199947084E-6</v>
      </c>
      <c r="F19">
        <f t="shared" si="2"/>
        <v>0.99626540255344265</v>
      </c>
      <c r="G19">
        <f t="shared" si="3"/>
        <v>-4.5574769765962706E-4</v>
      </c>
      <c r="H19">
        <f t="shared" si="4"/>
        <v>-4.5574769765962706E-4</v>
      </c>
      <c r="J19">
        <f t="shared" si="5"/>
        <v>15</v>
      </c>
      <c r="M19">
        <f t="shared" si="6"/>
        <v>90.745730136200663</v>
      </c>
      <c r="N19">
        <f t="shared" si="7"/>
        <v>-1.5707963250000001</v>
      </c>
      <c r="O19">
        <f t="shared" si="8"/>
        <v>1.0000028482378234</v>
      </c>
      <c r="P19">
        <f t="shared" si="9"/>
        <v>2.3867262360824709E-3</v>
      </c>
      <c r="Q19">
        <f t="shared" si="10"/>
        <v>1.0000012133425653</v>
      </c>
      <c r="R19">
        <f t="shared" si="11"/>
        <v>1.5577813315250932E-3</v>
      </c>
      <c r="S19">
        <f t="shared" si="12"/>
        <v>0.99999999999670131</v>
      </c>
      <c r="T19">
        <f t="shared" si="13"/>
        <v>-2.568566150634352E-6</v>
      </c>
      <c r="U19">
        <f t="shared" si="14"/>
        <v>0.99999999916352822</v>
      </c>
      <c r="V19">
        <f t="shared" si="15"/>
        <v>-4.090163612334653E-5</v>
      </c>
      <c r="X19">
        <f t="shared" si="34"/>
        <v>62.645885413888784</v>
      </c>
      <c r="Y19">
        <f t="shared" si="16"/>
        <v>-89.802455442616704</v>
      </c>
      <c r="Z19">
        <f t="shared" si="35"/>
        <v>90.197544557383296</v>
      </c>
      <c r="AC19">
        <v>1</v>
      </c>
      <c r="AD19">
        <f t="shared" si="17"/>
        <v>2.3867307680580001E-3</v>
      </c>
      <c r="AE19">
        <f t="shared" si="18"/>
        <v>-2.0394929480610844E-11</v>
      </c>
      <c r="AF19">
        <f t="shared" si="19"/>
        <v>4.9863358540800004E-7</v>
      </c>
      <c r="AG19">
        <f t="shared" si="36"/>
        <v>4704.5148915670452</v>
      </c>
      <c r="AH19">
        <f t="shared" si="37"/>
        <v>-2005480.8284323909</v>
      </c>
      <c r="AJ19">
        <f t="shared" si="20"/>
        <v>22100</v>
      </c>
      <c r="AK19">
        <f t="shared" si="21"/>
        <v>5.6765311929144011E-2</v>
      </c>
      <c r="AL19">
        <v>1</v>
      </c>
      <c r="AM19">
        <f t="shared" si="22"/>
        <v>1.5577825916066402E-3</v>
      </c>
      <c r="AN19">
        <f t="shared" si="38"/>
        <v>22099.946458784023</v>
      </c>
      <c r="AO19">
        <f t="shared" si="39"/>
        <v>-34.370146557003416</v>
      </c>
      <c r="AQ19">
        <f t="shared" si="23"/>
        <v>9984.0255591054301</v>
      </c>
      <c r="AR19">
        <f t="shared" si="24"/>
        <v>-399.36102236421721</v>
      </c>
      <c r="AT19">
        <f t="shared" si="40"/>
        <v>-753940877.05399942</v>
      </c>
      <c r="AU19">
        <f t="shared" si="41"/>
        <v>-20024650649.241745</v>
      </c>
      <c r="AV19">
        <f t="shared" si="42"/>
        <v>-1.6084291893182274</v>
      </c>
      <c r="AW19">
        <f t="shared" si="25"/>
        <v>220705489.87921044</v>
      </c>
      <c r="AX19">
        <f t="shared" si="26"/>
        <v>-69333540.135093004</v>
      </c>
      <c r="AY19">
        <f t="shared" si="50"/>
        <v>-0.30438287121747382</v>
      </c>
      <c r="BA19">
        <f t="shared" si="27"/>
        <v>86.620841566242007</v>
      </c>
      <c r="BB19">
        <f t="shared" si="43"/>
        <v>38.75244797619316</v>
      </c>
      <c r="BC19">
        <f t="shared" si="44"/>
        <v>-1.3040463181007536</v>
      </c>
      <c r="BD19">
        <f t="shared" si="28"/>
        <v>-254.71635040212345</v>
      </c>
      <c r="BF19">
        <f t="shared" si="29"/>
        <v>62.241774132840597</v>
      </c>
      <c r="BG19">
        <f t="shared" si="30"/>
        <v>-74.742318821752008</v>
      </c>
      <c r="BH19">
        <f t="shared" si="45"/>
        <v>105.25768117824799</v>
      </c>
      <c r="BI19">
        <f t="shared" si="46"/>
        <v>105.25768117824799</v>
      </c>
      <c r="BJ19">
        <f t="shared" si="31"/>
        <v>0</v>
      </c>
      <c r="BK19">
        <f t="shared" si="47"/>
        <v>0</v>
      </c>
      <c r="BM19">
        <f t="shared" si="48"/>
        <v>23.489326156647437</v>
      </c>
      <c r="BN19">
        <f t="shared" si="32"/>
        <v>-2.5968419628538988E-2</v>
      </c>
      <c r="BQ19" s="56">
        <f t="shared" si="49"/>
        <v>55.654408776478306</v>
      </c>
      <c r="BR19" s="59"/>
      <c r="BS19" s="59"/>
      <c r="BT19" s="59">
        <v>123.027</v>
      </c>
      <c r="BU19" s="59">
        <v>32.764899999999997</v>
      </c>
      <c r="BV19" s="59">
        <v>-265.73410000000001</v>
      </c>
      <c r="BW19" s="61"/>
      <c r="BY19" s="59"/>
      <c r="BZ19" s="59"/>
      <c r="CA19" s="59"/>
      <c r="CC19" s="59"/>
    </row>
    <row r="20" spans="1:81" x14ac:dyDescent="0.2">
      <c r="A20">
        <f t="shared" ref="A20:A36" si="51">A11*10</f>
        <v>30</v>
      </c>
      <c r="B20">
        <f t="shared" si="33"/>
        <v>0.03</v>
      </c>
      <c r="C20">
        <f t="shared" si="0"/>
        <v>1.0000000000071061</v>
      </c>
      <c r="D20">
        <f t="shared" si="1"/>
        <v>3.7699111799821412E-6</v>
      </c>
      <c r="F20">
        <f t="shared" si="2"/>
        <v>0.99626746890673945</v>
      </c>
      <c r="G20">
        <f t="shared" si="3"/>
        <v>-6.8362299397037025E-4</v>
      </c>
      <c r="H20">
        <f t="shared" si="4"/>
        <v>-6.8362299397037025E-4</v>
      </c>
      <c r="J20">
        <f t="shared" si="5"/>
        <v>15</v>
      </c>
      <c r="M20">
        <f t="shared" si="6"/>
        <v>60.497153424133778</v>
      </c>
      <c r="N20">
        <f t="shared" si="7"/>
        <v>-1.5707963250000001</v>
      </c>
      <c r="O20">
        <f t="shared" si="8"/>
        <v>1.0000064085236944</v>
      </c>
      <c r="P20">
        <f t="shared" si="9"/>
        <v>3.5800808567349358E-3</v>
      </c>
      <c r="Q20">
        <f t="shared" si="10"/>
        <v>1.0000027300187015</v>
      </c>
      <c r="R20">
        <f t="shared" si="11"/>
        <v>2.3366696346424792E-3</v>
      </c>
      <c r="S20">
        <f t="shared" si="12"/>
        <v>0.99999999999257794</v>
      </c>
      <c r="T20">
        <f t="shared" si="13"/>
        <v>-3.8528492259409366E-6</v>
      </c>
      <c r="U20">
        <f t="shared" si="14"/>
        <v>0.99999999811793816</v>
      </c>
      <c r="V20">
        <f t="shared" si="15"/>
        <v>-6.1352454142253458E-5</v>
      </c>
      <c r="X20">
        <f t="shared" si="34"/>
        <v>59.124122336832599</v>
      </c>
      <c r="Y20">
        <f t="shared" si="16"/>
        <v>-89.703683869091222</v>
      </c>
      <c r="Z20">
        <f t="shared" si="35"/>
        <v>90.296316130908778</v>
      </c>
      <c r="AC20">
        <v>1</v>
      </c>
      <c r="AD20">
        <f t="shared" si="17"/>
        <v>3.5800961520869997E-3</v>
      </c>
      <c r="AE20">
        <f t="shared" si="18"/>
        <v>-4.5888591331374399E-11</v>
      </c>
      <c r="AF20">
        <f t="shared" si="19"/>
        <v>7.4795037811200017E-7</v>
      </c>
      <c r="AG20">
        <f t="shared" si="36"/>
        <v>4704.5148817290574</v>
      </c>
      <c r="AH20">
        <f t="shared" si="37"/>
        <v>-1336987.3793068903</v>
      </c>
      <c r="AJ20">
        <f t="shared" si="20"/>
        <v>22100</v>
      </c>
      <c r="AK20">
        <f t="shared" si="21"/>
        <v>8.5147967893716009E-2</v>
      </c>
      <c r="AL20">
        <v>1</v>
      </c>
      <c r="AM20">
        <f t="shared" si="22"/>
        <v>2.3366738874099602E-3</v>
      </c>
      <c r="AN20">
        <f t="shared" si="38"/>
        <v>22099.879532629471</v>
      </c>
      <c r="AO20">
        <f t="shared" si="39"/>
        <v>-51.555063450907404</v>
      </c>
      <c r="AQ20">
        <f t="shared" si="23"/>
        <v>9964.1291351135915</v>
      </c>
      <c r="AR20">
        <f t="shared" si="24"/>
        <v>-597.8477481068154</v>
      </c>
      <c r="AT20">
        <f t="shared" si="40"/>
        <v>-752438500.1662451</v>
      </c>
      <c r="AU20">
        <f t="shared" si="41"/>
        <v>-13324727483.058929</v>
      </c>
      <c r="AV20">
        <f t="shared" si="42"/>
        <v>-1.6272057535135116</v>
      </c>
      <c r="AW20">
        <f t="shared" si="25"/>
        <v>220248016.91483957</v>
      </c>
      <c r="AX20">
        <f t="shared" si="26"/>
        <v>-53835844.373185523</v>
      </c>
      <c r="AY20">
        <f t="shared" si="50"/>
        <v>-0.23973214196803908</v>
      </c>
      <c r="BA20">
        <f t="shared" si="27"/>
        <v>58.862198967877895</v>
      </c>
      <c r="BB20">
        <f t="shared" si="43"/>
        <v>35.396729647890474</v>
      </c>
      <c r="BC20">
        <f t="shared" si="44"/>
        <v>-1.3874736115454724</v>
      </c>
      <c r="BD20">
        <f t="shared" si="28"/>
        <v>-259.4963822181673</v>
      </c>
      <c r="BF20">
        <f t="shared" si="29"/>
        <v>58.886073819950468</v>
      </c>
      <c r="BG20">
        <f t="shared" si="30"/>
        <v>-79.535334930544622</v>
      </c>
      <c r="BH20">
        <f t="shared" si="45"/>
        <v>100.46466506945538</v>
      </c>
      <c r="BI20">
        <f t="shared" si="46"/>
        <v>100.46466506945538</v>
      </c>
      <c r="BJ20">
        <f t="shared" si="31"/>
        <v>0</v>
      </c>
      <c r="BK20">
        <f t="shared" si="47"/>
        <v>0</v>
      </c>
      <c r="BM20">
        <f t="shared" si="48"/>
        <v>23.489344172059987</v>
      </c>
      <c r="BN20">
        <f t="shared" si="32"/>
        <v>-3.895271237735734E-2</v>
      </c>
      <c r="BQ20" s="56">
        <f t="shared" si="49"/>
        <v>52.298690448175613</v>
      </c>
      <c r="BR20" s="59"/>
      <c r="BS20" s="59"/>
      <c r="BT20" s="59">
        <v>125.893</v>
      </c>
      <c r="BU20" s="59">
        <v>32.247199999999999</v>
      </c>
      <c r="BV20" s="59">
        <v>-266.37110000000001</v>
      </c>
      <c r="BW20" s="61"/>
      <c r="BY20" s="59"/>
      <c r="BZ20" s="59"/>
      <c r="CA20" s="59"/>
      <c r="CC20" s="59"/>
    </row>
    <row r="21" spans="1:81" x14ac:dyDescent="0.2">
      <c r="A21">
        <f t="shared" si="51"/>
        <v>40</v>
      </c>
      <c r="B21">
        <f t="shared" si="33"/>
        <v>0.04</v>
      </c>
      <c r="C21">
        <f t="shared" si="0"/>
        <v>1.000000000012633</v>
      </c>
      <c r="D21">
        <f t="shared" si="1"/>
        <v>5.0265482399576667E-6</v>
      </c>
      <c r="F21">
        <f t="shared" si="2"/>
        <v>0.99627036181482587</v>
      </c>
      <c r="G21">
        <f t="shared" si="3"/>
        <v>-9.1150002727139357E-4</v>
      </c>
      <c r="H21">
        <f t="shared" si="4"/>
        <v>-9.1150002727139357E-4</v>
      </c>
      <c r="J21">
        <f t="shared" si="5"/>
        <v>15</v>
      </c>
      <c r="M21">
        <f t="shared" si="6"/>
        <v>45.372865068100332</v>
      </c>
      <c r="N21">
        <f t="shared" si="7"/>
        <v>-1.5707963250000001</v>
      </c>
      <c r="O21">
        <f t="shared" si="8"/>
        <v>1.0000113929026193</v>
      </c>
      <c r="P21">
        <f t="shared" si="9"/>
        <v>4.7734252806835142E-3</v>
      </c>
      <c r="Q21">
        <f t="shared" si="10"/>
        <v>1.0000048533614279</v>
      </c>
      <c r="R21">
        <f t="shared" si="11"/>
        <v>3.115555102604937E-3</v>
      </c>
      <c r="S21">
        <f t="shared" si="12"/>
        <v>0.99999999998680478</v>
      </c>
      <c r="T21">
        <f t="shared" si="13"/>
        <v>-5.1371323012348116E-6</v>
      </c>
      <c r="U21">
        <f t="shared" si="14"/>
        <v>0.99999999665411243</v>
      </c>
      <c r="V21">
        <f t="shared" si="15"/>
        <v>-8.180327210984078E-5</v>
      </c>
      <c r="X21">
        <f t="shared" si="34"/>
        <v>56.625434549964638</v>
      </c>
      <c r="Y21">
        <f t="shared" si="16"/>
        <v>-89.604913141755574</v>
      </c>
      <c r="Z21">
        <f t="shared" si="35"/>
        <v>90.395086858244426</v>
      </c>
      <c r="AC21">
        <v>1</v>
      </c>
      <c r="AD21">
        <f t="shared" si="17"/>
        <v>4.7734615361160002E-3</v>
      </c>
      <c r="AE21">
        <f t="shared" si="18"/>
        <v>-8.1579717922443374E-11</v>
      </c>
      <c r="AF21">
        <f t="shared" si="19"/>
        <v>9.9726717081600008E-7</v>
      </c>
      <c r="AG21">
        <f t="shared" si="36"/>
        <v>4704.5148679558779</v>
      </c>
      <c r="AH21">
        <f t="shared" si="37"/>
        <v>-1002740.7028497281</v>
      </c>
      <c r="AJ21">
        <f t="shared" si="20"/>
        <v>22100</v>
      </c>
      <c r="AK21">
        <f t="shared" si="21"/>
        <v>0.11353062385828802</v>
      </c>
      <c r="AL21">
        <v>1</v>
      </c>
      <c r="AM21">
        <f t="shared" si="22"/>
        <v>3.1155651832132803E-3</v>
      </c>
      <c r="AN21">
        <f t="shared" si="38"/>
        <v>22099.78583669521</v>
      </c>
      <c r="AO21">
        <f t="shared" si="39"/>
        <v>-68.73979268541926</v>
      </c>
      <c r="AQ21">
        <f t="shared" si="23"/>
        <v>9936.4069952305254</v>
      </c>
      <c r="AR21">
        <f t="shared" si="24"/>
        <v>-794.91255961844195</v>
      </c>
      <c r="AT21">
        <f t="shared" si="40"/>
        <v>-750345204.29275012</v>
      </c>
      <c r="AU21">
        <f t="shared" si="41"/>
        <v>-9967379412.153862</v>
      </c>
      <c r="AV21">
        <f t="shared" si="42"/>
        <v>-1.6459346904985601</v>
      </c>
      <c r="AW21">
        <f t="shared" si="25"/>
        <v>219610609.6125299</v>
      </c>
      <c r="AX21">
        <f t="shared" si="26"/>
        <v>-48332856.264130279</v>
      </c>
      <c r="AY21">
        <f t="shared" si="50"/>
        <v>-0.21663075077431515</v>
      </c>
      <c r="BA21">
        <f t="shared" si="27"/>
        <v>44.451211131475048</v>
      </c>
      <c r="BB21">
        <f t="shared" si="43"/>
        <v>32.9576719677898</v>
      </c>
      <c r="BC21">
        <f t="shared" si="44"/>
        <v>-1.4293039397242451</v>
      </c>
      <c r="BD21">
        <f t="shared" si="28"/>
        <v>-261.89308348119675</v>
      </c>
      <c r="BF21">
        <f t="shared" si="29"/>
        <v>56.447041361482029</v>
      </c>
      <c r="BG21">
        <f t="shared" si="30"/>
        <v>-81.945020585845128</v>
      </c>
      <c r="BH21">
        <f t="shared" si="45"/>
        <v>98.054979414154872</v>
      </c>
      <c r="BI21">
        <f t="shared" si="46"/>
        <v>98.054979414154872</v>
      </c>
      <c r="BJ21">
        <f t="shared" si="31"/>
        <v>0</v>
      </c>
      <c r="BK21">
        <f t="shared" si="47"/>
        <v>0</v>
      </c>
      <c r="BM21">
        <f t="shared" si="48"/>
        <v>23.489369393692229</v>
      </c>
      <c r="BN21">
        <f t="shared" si="32"/>
        <v>-5.1937104648388598E-2</v>
      </c>
      <c r="BQ21" s="56">
        <f t="shared" si="49"/>
        <v>49.859632768074931</v>
      </c>
      <c r="BR21" s="59"/>
      <c r="BS21" s="59"/>
      <c r="BT21" s="59">
        <v>128.82499999999999</v>
      </c>
      <c r="BU21" s="59">
        <v>32.3142</v>
      </c>
      <c r="BV21" s="59">
        <v>-268.05959999999999</v>
      </c>
      <c r="BW21" s="61"/>
      <c r="BY21" s="59"/>
      <c r="BZ21" s="59"/>
      <c r="CA21" s="59"/>
      <c r="CC21" s="59"/>
    </row>
    <row r="22" spans="1:81" x14ac:dyDescent="0.2">
      <c r="A22">
        <f t="shared" si="51"/>
        <v>50</v>
      </c>
      <c r="B22">
        <f t="shared" si="33"/>
        <v>0.05</v>
      </c>
      <c r="C22">
        <f t="shared" si="0"/>
        <v>1.0000000000197393</v>
      </c>
      <c r="D22">
        <f t="shared" si="1"/>
        <v>6.2831852999173184E-6</v>
      </c>
      <c r="F22">
        <f t="shared" si="2"/>
        <v>0.99627408129117301</v>
      </c>
      <c r="G22">
        <f t="shared" si="3"/>
        <v>-1.1393793765813987E-3</v>
      </c>
      <c r="H22">
        <f t="shared" si="4"/>
        <v>-1.1393793765813987E-3</v>
      </c>
      <c r="J22">
        <f t="shared" si="5"/>
        <v>15</v>
      </c>
      <c r="M22">
        <f t="shared" si="6"/>
        <v>36.298292054480271</v>
      </c>
      <c r="N22">
        <f t="shared" si="7"/>
        <v>-1.5707963250000001</v>
      </c>
      <c r="O22">
        <f t="shared" si="8"/>
        <v>1.0000178013533034</v>
      </c>
      <c r="P22">
        <f t="shared" si="9"/>
        <v>5.9667561092979675E-3</v>
      </c>
      <c r="Q22">
        <f t="shared" si="10"/>
        <v>1.0000075833668798</v>
      </c>
      <c r="R22">
        <f t="shared" si="11"/>
        <v>3.8944367903929297E-3</v>
      </c>
      <c r="S22">
        <f t="shared" si="12"/>
        <v>0.99999999997938271</v>
      </c>
      <c r="T22">
        <f t="shared" si="13"/>
        <v>-6.42141537651174E-6</v>
      </c>
      <c r="U22">
        <f t="shared" si="14"/>
        <v>0.99999999477205059</v>
      </c>
      <c r="V22">
        <f t="shared" si="15"/>
        <v>-1.0225409000900196E-4</v>
      </c>
      <c r="X22">
        <f t="shared" si="34"/>
        <v>54.687346075959773</v>
      </c>
      <c r="Y22">
        <f t="shared" si="16"/>
        <v>-89.506143542656829</v>
      </c>
      <c r="Z22">
        <f t="shared" si="35"/>
        <v>90.493856457343171</v>
      </c>
      <c r="AC22">
        <v>1</v>
      </c>
      <c r="AD22">
        <f t="shared" si="17"/>
        <v>5.9668269201450007E-3</v>
      </c>
      <c r="AE22">
        <f t="shared" si="18"/>
        <v>-1.2746830925381776E-10</v>
      </c>
      <c r="AF22">
        <f t="shared" si="19"/>
        <v>1.2465839635200003E-6</v>
      </c>
      <c r="AG22">
        <f t="shared" si="36"/>
        <v>4704.5148502475031</v>
      </c>
      <c r="AH22">
        <f t="shared" si="37"/>
        <v>-802192.73545990058</v>
      </c>
      <c r="AJ22">
        <f t="shared" si="20"/>
        <v>22100</v>
      </c>
      <c r="AK22">
        <f t="shared" si="21"/>
        <v>0.14191327982286001</v>
      </c>
      <c r="AL22">
        <v>1</v>
      </c>
      <c r="AM22">
        <f t="shared" si="22"/>
        <v>3.8944564790166004E-3</v>
      </c>
      <c r="AN22">
        <f t="shared" si="38"/>
        <v>22099.66537166333</v>
      </c>
      <c r="AO22">
        <f t="shared" si="39"/>
        <v>-85.924271710950208</v>
      </c>
      <c r="AQ22">
        <f t="shared" si="23"/>
        <v>9900.9900990099013</v>
      </c>
      <c r="AR22">
        <f t="shared" si="24"/>
        <v>-990.09900990099004</v>
      </c>
      <c r="AT22">
        <f t="shared" ref="AT22:AT85" si="52">-AR22*AH22+AG22*AQ22</f>
        <v>-747670878.17566884</v>
      </c>
      <c r="AU22">
        <f t="shared" ref="AU22:AU85" si="53">AQ22*AH22+AG22*AR22</f>
        <v>-7947160266.7814388</v>
      </c>
      <c r="AV22">
        <f t="shared" si="42"/>
        <v>-1.6646004772667695</v>
      </c>
      <c r="AW22">
        <f t="shared" si="25"/>
        <v>218796279.26582143</v>
      </c>
      <c r="AX22">
        <f t="shared" si="26"/>
        <v>-46797638.348480657</v>
      </c>
      <c r="AY22">
        <f t="shared" si="50"/>
        <v>-0.21071191125052341</v>
      </c>
      <c r="BA22">
        <f t="shared" si="27"/>
        <v>35.675670341229079</v>
      </c>
      <c r="BB22">
        <f t="shared" si="43"/>
        <v>31.047442844009325</v>
      </c>
      <c r="BC22">
        <f t="shared" si="44"/>
        <v>-1.4538885660162462</v>
      </c>
      <c r="BD22">
        <f t="shared" si="28"/>
        <v>-263.30167881024431</v>
      </c>
      <c r="BF22">
        <f t="shared" si="29"/>
        <v>54.536844665608164</v>
      </c>
      <c r="BG22">
        <f t="shared" si="30"/>
        <v>-83.366600439861273</v>
      </c>
      <c r="BH22">
        <f t="shared" si="45"/>
        <v>96.633399560138727</v>
      </c>
      <c r="BI22">
        <f t="shared" si="46"/>
        <v>96.633399560138727</v>
      </c>
      <c r="BJ22">
        <f t="shared" si="31"/>
        <v>0</v>
      </c>
      <c r="BK22">
        <f t="shared" si="47"/>
        <v>0</v>
      </c>
      <c r="BM22">
        <f t="shared" si="48"/>
        <v>23.48940182159884</v>
      </c>
      <c r="BN22">
        <f t="shared" si="32"/>
        <v>-6.4921629616960894E-2</v>
      </c>
      <c r="BQ22" s="56">
        <f t="shared" si="49"/>
        <v>47.949403644294463</v>
      </c>
      <c r="BR22" s="59"/>
      <c r="BS22" s="59"/>
      <c r="BT22" s="59">
        <v>131.82599999999999</v>
      </c>
      <c r="BU22" s="59">
        <v>32.155799999999999</v>
      </c>
      <c r="BV22" s="59">
        <v>-263.3605</v>
      </c>
      <c r="BW22" s="61"/>
      <c r="BY22" s="59"/>
      <c r="BZ22" s="59"/>
      <c r="CA22" s="59"/>
      <c r="CC22" s="59"/>
    </row>
    <row r="23" spans="1:81" x14ac:dyDescent="0.2">
      <c r="A23">
        <f t="shared" si="51"/>
        <v>60</v>
      </c>
      <c r="B23">
        <f t="shared" si="33"/>
        <v>0.06</v>
      </c>
      <c r="C23">
        <f t="shared" si="0"/>
        <v>1.0000000000284244</v>
      </c>
      <c r="D23">
        <f t="shared" si="1"/>
        <v>7.539822359857125E-6</v>
      </c>
      <c r="F23">
        <f t="shared" si="2"/>
        <v>0.9962786273531008</v>
      </c>
      <c r="G23">
        <f t="shared" si="3"/>
        <v>-1.3672616209378953E-3</v>
      </c>
      <c r="H23">
        <f t="shared" si="4"/>
        <v>-1.3672616209378953E-3</v>
      </c>
      <c r="J23">
        <f t="shared" si="5"/>
        <v>15</v>
      </c>
      <c r="M23">
        <f t="shared" si="6"/>
        <v>30.248576712066889</v>
      </c>
      <c r="N23">
        <f t="shared" si="7"/>
        <v>-1.5707963250000001</v>
      </c>
      <c r="O23">
        <f t="shared" si="8"/>
        <v>1.0000256338483693</v>
      </c>
      <c r="P23">
        <f t="shared" si="9"/>
        <v>7.1600699441803769E-3</v>
      </c>
      <c r="Q23">
        <f t="shared" si="10"/>
        <v>1.0000109200300886</v>
      </c>
      <c r="R23">
        <f t="shared" si="11"/>
        <v>4.67331375301444E-3</v>
      </c>
      <c r="S23">
        <f t="shared" si="12"/>
        <v>0.99999999997031108</v>
      </c>
      <c r="T23">
        <f t="shared" si="13"/>
        <v>-7.7056984517674866E-6</v>
      </c>
      <c r="U23">
        <f t="shared" si="14"/>
        <v>0.99999999247175297</v>
      </c>
      <c r="V23">
        <f t="shared" si="15"/>
        <v>-1.2270490782263047E-4</v>
      </c>
      <c r="X23">
        <f t="shared" si="34"/>
        <v>53.103857781530138</v>
      </c>
      <c r="Y23">
        <f t="shared" si="16"/>
        <v>-89.407375353828385</v>
      </c>
      <c r="Z23">
        <f t="shared" si="35"/>
        <v>90.592624646171615</v>
      </c>
      <c r="AC23">
        <v>1</v>
      </c>
      <c r="AD23">
        <f t="shared" si="17"/>
        <v>7.1601923041739995E-3</v>
      </c>
      <c r="AE23">
        <f t="shared" si="18"/>
        <v>-1.835543653254976E-10</v>
      </c>
      <c r="AF23">
        <f t="shared" si="19"/>
        <v>1.4959007562240003E-6</v>
      </c>
      <c r="AG23">
        <f t="shared" si="36"/>
        <v>4704.5148286039321</v>
      </c>
      <c r="AH23">
        <f t="shared" si="37"/>
        <v>-668494.1226037395</v>
      </c>
      <c r="AJ23">
        <f t="shared" si="20"/>
        <v>22100</v>
      </c>
      <c r="AK23">
        <f t="shared" si="21"/>
        <v>0.17029593578743202</v>
      </c>
      <c r="AL23">
        <v>1</v>
      </c>
      <c r="AM23">
        <f t="shared" si="22"/>
        <v>4.6733477748199205E-3</v>
      </c>
      <c r="AN23">
        <f t="shared" si="38"/>
        <v>22099.5181384108</v>
      </c>
      <c r="AO23">
        <f t="shared" si="39"/>
        <v>-103.10843798094714</v>
      </c>
      <c r="AQ23">
        <f t="shared" si="23"/>
        <v>9858.0441640378558</v>
      </c>
      <c r="AR23">
        <f t="shared" si="24"/>
        <v>-1182.9652996845425</v>
      </c>
      <c r="AT23">
        <f t="shared" si="52"/>
        <v>-744428035.13253939</v>
      </c>
      <c r="AU23">
        <f t="shared" si="53"/>
        <v>-6595609861.8214912</v>
      </c>
      <c r="AV23">
        <f t="shared" si="42"/>
        <v>-1.6831878877768771</v>
      </c>
      <c r="AW23">
        <f t="shared" si="25"/>
        <v>217808836.39698526</v>
      </c>
      <c r="AX23">
        <f t="shared" si="26"/>
        <v>-47214551.249771148</v>
      </c>
      <c r="AY23">
        <f t="shared" si="50"/>
        <v>-0.21346790908062677</v>
      </c>
      <c r="BA23">
        <f t="shared" si="27"/>
        <v>29.782220247265425</v>
      </c>
      <c r="BB23">
        <f t="shared" si="43"/>
        <v>29.479141420501207</v>
      </c>
      <c r="BC23">
        <f t="shared" si="44"/>
        <v>-1.4697199786962503</v>
      </c>
      <c r="BD23">
        <f t="shared" si="28"/>
        <v>-264.20875194157492</v>
      </c>
      <c r="BF23">
        <f t="shared" si="29"/>
        <v>52.968582876351306</v>
      </c>
      <c r="BG23">
        <f t="shared" si="30"/>
        <v>-84.286658262034408</v>
      </c>
      <c r="BH23">
        <f t="shared" si="45"/>
        <v>95.713341737965592</v>
      </c>
      <c r="BI23">
        <f t="shared" si="46"/>
        <v>95.713341737965592</v>
      </c>
      <c r="BJ23">
        <f t="shared" si="31"/>
        <v>0</v>
      </c>
      <c r="BK23">
        <f t="shared" si="47"/>
        <v>0</v>
      </c>
      <c r="BM23">
        <f t="shared" si="48"/>
        <v>23.489441455850091</v>
      </c>
      <c r="BN23">
        <f t="shared" si="32"/>
        <v>-7.7906320459479955E-2</v>
      </c>
      <c r="BQ23" s="56">
        <f t="shared" si="49"/>
        <v>46.381102220786346</v>
      </c>
      <c r="BR23" s="58"/>
      <c r="BS23" s="58"/>
      <c r="BT23" s="58">
        <v>134.89599999999999</v>
      </c>
      <c r="BU23" s="58">
        <v>32.875300000000003</v>
      </c>
      <c r="BV23" s="58">
        <v>-269.46539999999999</v>
      </c>
      <c r="BW23" s="61"/>
      <c r="BY23" s="58"/>
      <c r="BZ23" s="58"/>
      <c r="CA23" s="58"/>
      <c r="CC23" s="58"/>
    </row>
    <row r="24" spans="1:81" x14ac:dyDescent="0.2">
      <c r="A24">
        <f t="shared" si="51"/>
        <v>70</v>
      </c>
      <c r="B24">
        <f t="shared" si="33"/>
        <v>7.0000000000000007E-2</v>
      </c>
      <c r="C24">
        <f t="shared" si="0"/>
        <v>1.0000000000386888</v>
      </c>
      <c r="D24">
        <f t="shared" si="1"/>
        <v>8.796459419773119E-6</v>
      </c>
      <c r="F24">
        <f t="shared" si="2"/>
        <v>0.99628400002177908</v>
      </c>
      <c r="G24">
        <f t="shared" si="3"/>
        <v>-1.5951473394019014E-3</v>
      </c>
      <c r="H24">
        <f t="shared" si="4"/>
        <v>-1.5951473394019014E-3</v>
      </c>
      <c r="J24">
        <f t="shared" si="5"/>
        <v>15</v>
      </c>
      <c r="M24">
        <f t="shared" si="6"/>
        <v>25.927351467485906</v>
      </c>
      <c r="N24">
        <f t="shared" si="7"/>
        <v>-1.5707963250000001</v>
      </c>
      <c r="O24">
        <f t="shared" si="8"/>
        <v>1.0000348903543568</v>
      </c>
      <c r="P24">
        <f t="shared" si="9"/>
        <v>8.353363387223204E-3</v>
      </c>
      <c r="Q24">
        <f t="shared" si="10"/>
        <v>1.0000148633449821</v>
      </c>
      <c r="R24">
        <f t="shared" si="11"/>
        <v>5.4521850455118478E-3</v>
      </c>
      <c r="S24">
        <f t="shared" si="12"/>
        <v>0.9999999999595901</v>
      </c>
      <c r="T24">
        <f t="shared" si="13"/>
        <v>-8.9899815269978129E-6</v>
      </c>
      <c r="U24">
        <f t="shared" si="14"/>
        <v>0.99999998975321913</v>
      </c>
      <c r="V24">
        <f t="shared" si="15"/>
        <v>-1.4315572553361976E-4</v>
      </c>
      <c r="X24">
        <f t="shared" si="34"/>
        <v>51.765083455206529</v>
      </c>
      <c r="Y24">
        <f t="shared" si="16"/>
        <v>-89.308608857286231</v>
      </c>
      <c r="Z24">
        <f t="shared" si="35"/>
        <v>90.691391142713769</v>
      </c>
      <c r="AC24">
        <v>1</v>
      </c>
      <c r="AD24">
        <f t="shared" si="17"/>
        <v>8.3535576882029991E-3</v>
      </c>
      <c r="AE24">
        <f t="shared" si="18"/>
        <v>-2.4983788613748287E-10</v>
      </c>
      <c r="AF24">
        <f t="shared" si="19"/>
        <v>1.7452175489280001E-6</v>
      </c>
      <c r="AG24">
        <f t="shared" si="36"/>
        <v>4704.5148030251685</v>
      </c>
      <c r="AH24">
        <f t="shared" si="37"/>
        <v>-572995.14090967306</v>
      </c>
      <c r="AJ24">
        <f t="shared" si="20"/>
        <v>22100</v>
      </c>
      <c r="AK24">
        <f t="shared" si="21"/>
        <v>0.19867859175200406</v>
      </c>
      <c r="AL24">
        <v>1</v>
      </c>
      <c r="AM24">
        <f t="shared" si="22"/>
        <v>5.4522390706232401E-3</v>
      </c>
      <c r="AN24">
        <f t="shared" si="38"/>
        <v>22099.344138009412</v>
      </c>
      <c r="AO24">
        <f t="shared" si="39"/>
        <v>-120.29222895265157</v>
      </c>
      <c r="AQ24">
        <f t="shared" si="23"/>
        <v>9807.7677520596299</v>
      </c>
      <c r="AR24">
        <f t="shared" si="24"/>
        <v>-1373.0874852883483</v>
      </c>
      <c r="AT24">
        <f t="shared" si="52"/>
        <v>-740631668.53990829</v>
      </c>
      <c r="AU24">
        <f t="shared" si="53"/>
        <v>-5626262975.5011425</v>
      </c>
      <c r="AV24">
        <f t="shared" si="42"/>
        <v>-1.7016820606152783</v>
      </c>
      <c r="AW24">
        <f t="shared" si="25"/>
        <v>216652846.74927545</v>
      </c>
      <c r="AX24">
        <f t="shared" si="26"/>
        <v>-48714355.099156082</v>
      </c>
      <c r="AY24">
        <f t="shared" si="50"/>
        <v>-0.22117150087791659</v>
      </c>
      <c r="BA24">
        <f t="shared" si="27"/>
        <v>25.555027990215681</v>
      </c>
      <c r="BB24">
        <f t="shared" si="43"/>
        <v>28.149527219415063</v>
      </c>
      <c r="BC24">
        <f t="shared" si="44"/>
        <v>-1.4805105597373616</v>
      </c>
      <c r="BD24">
        <f t="shared" si="28"/>
        <v>-264.82700669443096</v>
      </c>
      <c r="BF24">
        <f t="shared" si="29"/>
        <v>51.639015515946987</v>
      </c>
      <c r="BG24">
        <f t="shared" si="30"/>
        <v>-84.917897904784638</v>
      </c>
      <c r="BH24">
        <f t="shared" si="45"/>
        <v>95.082102095215362</v>
      </c>
      <c r="BI24">
        <f t="shared" si="46"/>
        <v>95.082102095215362</v>
      </c>
      <c r="BJ24">
        <f t="shared" si="31"/>
        <v>0</v>
      </c>
      <c r="BK24">
        <f t="shared" si="47"/>
        <v>0</v>
      </c>
      <c r="BM24">
        <f t="shared" si="48"/>
        <v>23.489488296531924</v>
      </c>
      <c r="BN24">
        <f t="shared" si="32"/>
        <v>-9.0891210353698487E-2</v>
      </c>
      <c r="BQ24" s="56">
        <f t="shared" si="49"/>
        <v>45.051488019700201</v>
      </c>
      <c r="BR24" s="58"/>
      <c r="BS24" s="58"/>
      <c r="BT24" s="58">
        <v>138.03800000000001</v>
      </c>
      <c r="BU24" s="58">
        <v>32.538699999999999</v>
      </c>
      <c r="BV24" s="58">
        <v>-267.95069999999998</v>
      </c>
      <c r="BW24" s="61"/>
      <c r="BY24" s="58"/>
      <c r="BZ24" s="58"/>
      <c r="CA24" s="58"/>
      <c r="CC24" s="58"/>
    </row>
    <row r="25" spans="1:81" x14ac:dyDescent="0.2">
      <c r="A25">
        <f t="shared" si="51"/>
        <v>80</v>
      </c>
      <c r="B25">
        <f t="shared" si="33"/>
        <v>0.08</v>
      </c>
      <c r="C25">
        <f t="shared" si="0"/>
        <v>1.0000000000505325</v>
      </c>
      <c r="D25">
        <f t="shared" si="1"/>
        <v>1.005309647966133E-5</v>
      </c>
      <c r="F25">
        <f t="shared" si="2"/>
        <v>0.99629019932222662</v>
      </c>
      <c r="G25">
        <f t="shared" si="3"/>
        <v>-1.8230371110626498E-3</v>
      </c>
      <c r="H25">
        <f t="shared" si="4"/>
        <v>-1.8230371110626498E-3</v>
      </c>
      <c r="J25">
        <f t="shared" si="5"/>
        <v>15</v>
      </c>
      <c r="M25">
        <f t="shared" si="6"/>
        <v>22.686432534050166</v>
      </c>
      <c r="N25">
        <f t="shared" si="7"/>
        <v>-1.5707963250000001</v>
      </c>
      <c r="O25">
        <f t="shared" si="8"/>
        <v>1.0000455708317233</v>
      </c>
      <c r="P25">
        <f t="shared" si="9"/>
        <v>9.5466330406673398E-3</v>
      </c>
      <c r="Q25">
        <f t="shared" si="10"/>
        <v>1.0000194133043836</v>
      </c>
      <c r="R25">
        <f t="shared" si="11"/>
        <v>6.2310497229688113E-3</v>
      </c>
      <c r="S25">
        <f t="shared" si="12"/>
        <v>0.99999999994721978</v>
      </c>
      <c r="T25">
        <f t="shared" si="13"/>
        <v>-1.0274264602198485E-5</v>
      </c>
      <c r="U25">
        <f t="shared" si="14"/>
        <v>0.99999998661644951</v>
      </c>
      <c r="V25">
        <f t="shared" si="15"/>
        <v>-1.6360654312486334E-4</v>
      </c>
      <c r="X25">
        <f t="shared" si="34"/>
        <v>50.605430820997228</v>
      </c>
      <c r="Y25">
        <f t="shared" si="16"/>
        <v>-89.209844335025849</v>
      </c>
      <c r="Z25">
        <f t="shared" si="35"/>
        <v>90.790155664974151</v>
      </c>
      <c r="AC25">
        <v>1</v>
      </c>
      <c r="AD25">
        <f t="shared" si="17"/>
        <v>9.5469230722320005E-3</v>
      </c>
      <c r="AE25">
        <f t="shared" si="18"/>
        <v>-3.263188716897735E-10</v>
      </c>
      <c r="AF25">
        <f t="shared" si="19"/>
        <v>1.9945343416320002E-6</v>
      </c>
      <c r="AG25">
        <f t="shared" si="36"/>
        <v>4704.5147735112096</v>
      </c>
      <c r="AH25">
        <f t="shared" si="37"/>
        <v>-501370.92869191465</v>
      </c>
      <c r="AJ25">
        <f t="shared" si="20"/>
        <v>22100</v>
      </c>
      <c r="AK25">
        <f t="shared" si="21"/>
        <v>0.22706124771657604</v>
      </c>
      <c r="AL25">
        <v>1</v>
      </c>
      <c r="AM25">
        <f t="shared" si="22"/>
        <v>6.2311303664265606E-3</v>
      </c>
      <c r="AN25">
        <f t="shared" si="38"/>
        <v>22099.143371725808</v>
      </c>
      <c r="AO25">
        <f t="shared" si="39"/>
        <v>-137.47558208785836</v>
      </c>
      <c r="AQ25">
        <f t="shared" si="23"/>
        <v>9750.3900156006239</v>
      </c>
      <c r="AR25">
        <f t="shared" si="24"/>
        <v>-1560.0624024960998</v>
      </c>
      <c r="AT25">
        <f t="shared" si="52"/>
        <v>-736299081.68091977</v>
      </c>
      <c r="AU25">
        <f t="shared" si="53"/>
        <v>-4895901433.8501987</v>
      </c>
      <c r="AV25">
        <f t="shared" si="42"/>
        <v>-1.7200685624837555</v>
      </c>
      <c r="AW25">
        <f t="shared" si="25"/>
        <v>215333579.47256488</v>
      </c>
      <c r="AX25">
        <f t="shared" si="26"/>
        <v>-50858033.682927825</v>
      </c>
      <c r="AY25">
        <f t="shared" si="50"/>
        <v>-0.23193232539277769</v>
      </c>
      <c r="BA25">
        <f t="shared" si="27"/>
        <v>22.376406016530012</v>
      </c>
      <c r="BB25">
        <f t="shared" si="43"/>
        <v>26.995806672863615</v>
      </c>
      <c r="BC25">
        <f t="shared" si="44"/>
        <v>-1.4881362370909779</v>
      </c>
      <c r="BD25">
        <f t="shared" si="28"/>
        <v>-265.26392582322092</v>
      </c>
      <c r="BF25">
        <f t="shared" si="29"/>
        <v>50.485349016609469</v>
      </c>
      <c r="BG25">
        <f t="shared" si="30"/>
        <v>-85.367802155699891</v>
      </c>
      <c r="BH25">
        <f t="shared" si="45"/>
        <v>94.632197844300109</v>
      </c>
      <c r="BI25">
        <f t="shared" si="46"/>
        <v>94.632197844300109</v>
      </c>
      <c r="BJ25">
        <f t="shared" si="31"/>
        <v>0</v>
      </c>
      <c r="BK25">
        <f t="shared" si="47"/>
        <v>0</v>
      </c>
      <c r="BM25">
        <f t="shared" si="48"/>
        <v>23.489542343745853</v>
      </c>
      <c r="BN25">
        <f t="shared" si="32"/>
        <v>-0.10387633247898574</v>
      </c>
      <c r="BQ25" s="56">
        <f t="shared" si="49"/>
        <v>43.897767473148754</v>
      </c>
      <c r="BR25" s="58"/>
      <c r="BS25" s="58"/>
      <c r="BT25" s="58">
        <v>141.25399999999999</v>
      </c>
      <c r="BU25" s="58">
        <v>32.377000000000002</v>
      </c>
      <c r="BV25" s="58">
        <v>-263.11430000000001</v>
      </c>
      <c r="BW25" s="61"/>
      <c r="BY25" s="58"/>
      <c r="BZ25" s="58"/>
      <c r="CA25" s="58"/>
      <c r="CC25" s="58"/>
    </row>
    <row r="26" spans="1:81" x14ac:dyDescent="0.2">
      <c r="A26">
        <f t="shared" si="51"/>
        <v>90</v>
      </c>
      <c r="B26">
        <f t="shared" si="33"/>
        <v>0.09</v>
      </c>
      <c r="C26">
        <f t="shared" si="0"/>
        <v>1.0000000000639551</v>
      </c>
      <c r="D26">
        <f t="shared" si="1"/>
        <v>1.1309733539517793E-5</v>
      </c>
      <c r="F26">
        <f t="shared" si="2"/>
        <v>0.99629722528331222</v>
      </c>
      <c r="G26">
        <f t="shared" si="3"/>
        <v>-2.0509315150422881E-3</v>
      </c>
      <c r="H26">
        <f t="shared" si="4"/>
        <v>-2.0509315150422881E-3</v>
      </c>
      <c r="J26">
        <f t="shared" si="5"/>
        <v>15</v>
      </c>
      <c r="M26">
        <f t="shared" si="6"/>
        <v>20.16571780804459</v>
      </c>
      <c r="N26">
        <f t="shared" si="7"/>
        <v>-1.5707963250000001</v>
      </c>
      <c r="O26">
        <f t="shared" si="8"/>
        <v>1.0000576752348453</v>
      </c>
      <c r="P26">
        <f t="shared" si="9"/>
        <v>1.0739875507160141E-2</v>
      </c>
      <c r="Q26">
        <f t="shared" si="10"/>
        <v>1.0000245699000125</v>
      </c>
      <c r="R26">
        <f t="shared" si="11"/>
        <v>7.0099068405171383E-3</v>
      </c>
      <c r="S26">
        <f t="shared" si="12"/>
        <v>0.9999999999332001</v>
      </c>
      <c r="T26">
        <f t="shared" si="13"/>
        <v>-1.1558547677365263E-5</v>
      </c>
      <c r="U26">
        <f t="shared" si="14"/>
        <v>0.99999998306144422</v>
      </c>
      <c r="V26">
        <f t="shared" si="15"/>
        <v>-1.8405736057925464E-4</v>
      </c>
      <c r="X26">
        <f t="shared" si="34"/>
        <v>49.582591515630618</v>
      </c>
      <c r="Y26">
        <f t="shared" si="16"/>
        <v>-89.111082069018337</v>
      </c>
      <c r="Z26">
        <f t="shared" si="35"/>
        <v>90.888917930981663</v>
      </c>
      <c r="AC26">
        <v>1</v>
      </c>
      <c r="AD26">
        <f t="shared" si="17"/>
        <v>1.0740288456261E-2</v>
      </c>
      <c r="AE26">
        <f t="shared" si="18"/>
        <v>-4.1299732198236949E-10</v>
      </c>
      <c r="AF26">
        <f t="shared" si="19"/>
        <v>2.2438511343360004E-6</v>
      </c>
      <c r="AG26">
        <f t="shared" si="36"/>
        <v>4704.5147400620581</v>
      </c>
      <c r="AH26">
        <f t="shared" si="37"/>
        <v>-445663.22945836117</v>
      </c>
      <c r="AJ26">
        <f t="shared" si="20"/>
        <v>22100</v>
      </c>
      <c r="AK26">
        <f t="shared" si="21"/>
        <v>0.25544390368114805</v>
      </c>
      <c r="AL26">
        <v>1</v>
      </c>
      <c r="AM26">
        <f t="shared" si="22"/>
        <v>7.0100216622298811E-3</v>
      </c>
      <c r="AN26">
        <f t="shared" si="38"/>
        <v>22098.915841021433</v>
      </c>
      <c r="AO26">
        <f t="shared" si="39"/>
        <v>-154.65843485367415</v>
      </c>
      <c r="AQ26">
        <f t="shared" si="23"/>
        <v>9686.1681518791174</v>
      </c>
      <c r="AR26">
        <f t="shared" si="24"/>
        <v>-1743.510267338241</v>
      </c>
      <c r="AT26">
        <f t="shared" si="52"/>
        <v>-731449695.49053609</v>
      </c>
      <c r="AU26">
        <f t="shared" si="53"/>
        <v>-4324971349.3953152</v>
      </c>
      <c r="AV26">
        <f t="shared" si="42"/>
        <v>-1.7383334468795131</v>
      </c>
      <c r="AW26">
        <f t="shared" si="25"/>
        <v>213856948.57842273</v>
      </c>
      <c r="AX26">
        <f t="shared" si="26"/>
        <v>-53398106.550337143</v>
      </c>
      <c r="AY26">
        <f t="shared" si="50"/>
        <v>-0.24468760367383474</v>
      </c>
      <c r="BA26">
        <f t="shared" si="27"/>
        <v>19.899893305428339</v>
      </c>
      <c r="BB26">
        <f t="shared" si="43"/>
        <v>25.977014958357007</v>
      </c>
      <c r="BC26">
        <f t="shared" si="44"/>
        <v>-1.4936458432056783</v>
      </c>
      <c r="BD26">
        <f t="shared" si="28"/>
        <v>-265.57960300073341</v>
      </c>
      <c r="BF26">
        <f t="shared" si="29"/>
        <v>49.466618555966051</v>
      </c>
      <c r="BG26">
        <f t="shared" si="30"/>
        <v>-85.696464720750015</v>
      </c>
      <c r="BH26">
        <f t="shared" si="45"/>
        <v>94.303535279249985</v>
      </c>
      <c r="BI26">
        <f t="shared" si="46"/>
        <v>94.303535279249985</v>
      </c>
      <c r="BJ26">
        <f t="shared" si="31"/>
        <v>0</v>
      </c>
      <c r="BK26">
        <f t="shared" si="47"/>
        <v>0</v>
      </c>
      <c r="BM26">
        <f t="shared" si="48"/>
        <v>23.48960359760904</v>
      </c>
      <c r="BN26">
        <f t="shared" si="32"/>
        <v>-0.11686172001659688</v>
      </c>
      <c r="BQ26" s="56">
        <f t="shared" si="49"/>
        <v>42.878975758642142</v>
      </c>
      <c r="BR26" s="58"/>
      <c r="BS26" s="58"/>
      <c r="BT26" s="58">
        <v>144.54400000000001</v>
      </c>
      <c r="BU26" s="58">
        <v>31.499099999999999</v>
      </c>
      <c r="BV26" s="58">
        <v>-266.2885</v>
      </c>
      <c r="BW26" s="61"/>
      <c r="BY26" s="58"/>
      <c r="BZ26" s="58"/>
      <c r="CA26" s="58"/>
      <c r="CC26" s="58"/>
    </row>
    <row r="27" spans="1:81" x14ac:dyDescent="0.2">
      <c r="A27">
        <f t="shared" si="51"/>
        <v>100</v>
      </c>
      <c r="B27">
        <f t="shared" si="33"/>
        <v>0.1</v>
      </c>
      <c r="C27">
        <f t="shared" si="0"/>
        <v>1.0000000000789568</v>
      </c>
      <c r="D27">
        <f t="shared" si="1"/>
        <v>1.2566370599338536E-5</v>
      </c>
      <c r="F27">
        <f t="shared" si="2"/>
        <v>0.99630507793775469</v>
      </c>
      <c r="G27">
        <f t="shared" si="3"/>
        <v>-2.2788311305005833E-3</v>
      </c>
      <c r="H27">
        <f t="shared" si="4"/>
        <v>-2.2788311305005833E-3</v>
      </c>
      <c r="J27">
        <f t="shared" si="5"/>
        <v>15</v>
      </c>
      <c r="M27">
        <f t="shared" si="6"/>
        <v>18.149146027240135</v>
      </c>
      <c r="N27">
        <f t="shared" si="7"/>
        <v>-1.5707963250000001</v>
      </c>
      <c r="O27">
        <f t="shared" si="8"/>
        <v>1.0000712035120198</v>
      </c>
      <c r="P27">
        <f t="shared" si="9"/>
        <v>1.1933087389813446E-2</v>
      </c>
      <c r="Q27">
        <f t="shared" si="10"/>
        <v>1.0000303331224847</v>
      </c>
      <c r="R27">
        <f t="shared" si="11"/>
        <v>7.7887554533436713E-3</v>
      </c>
      <c r="S27">
        <f t="shared" si="12"/>
        <v>0.99999999991753086</v>
      </c>
      <c r="T27">
        <f t="shared" si="13"/>
        <v>-1.2842830752493912E-5</v>
      </c>
      <c r="U27">
        <f t="shared" si="14"/>
        <v>0.9999999790882026</v>
      </c>
      <c r="V27">
        <f t="shared" si="15"/>
        <v>-2.0450817787968711E-4</v>
      </c>
      <c r="X27">
        <f t="shared" si="34"/>
        <v>48.667677685306366</v>
      </c>
      <c r="Y27">
        <f t="shared" si="16"/>
        <v>-89.012322341207323</v>
      </c>
      <c r="Z27">
        <f t="shared" si="35"/>
        <v>90.987677658792677</v>
      </c>
      <c r="AC27">
        <v>1</v>
      </c>
      <c r="AD27">
        <f t="shared" si="17"/>
        <v>1.1933653840290001E-2</v>
      </c>
      <c r="AE27">
        <f t="shared" si="18"/>
        <v>-5.0987323701527104E-10</v>
      </c>
      <c r="AF27">
        <f t="shared" si="19"/>
        <v>2.4931679270400006E-6</v>
      </c>
      <c r="AG27">
        <f t="shared" si="36"/>
        <v>4704.5147026777122</v>
      </c>
      <c r="AH27">
        <f t="shared" si="37"/>
        <v>-401097.08931374998</v>
      </c>
      <c r="AJ27">
        <f t="shared" si="20"/>
        <v>22100</v>
      </c>
      <c r="AK27">
        <f t="shared" si="21"/>
        <v>0.28382655964572001</v>
      </c>
      <c r="AL27">
        <v>1</v>
      </c>
      <c r="AM27">
        <f t="shared" si="22"/>
        <v>7.7889129580332008E-3</v>
      </c>
      <c r="AN27">
        <f t="shared" si="38"/>
        <v>22098.661547552489</v>
      </c>
      <c r="AO27">
        <f t="shared" si="39"/>
        <v>-171.84072472327586</v>
      </c>
      <c r="AQ27">
        <f t="shared" si="23"/>
        <v>9615.3846153846152</v>
      </c>
      <c r="AR27">
        <f t="shared" si="24"/>
        <v>-1923.0769230769231</v>
      </c>
      <c r="AT27">
        <f t="shared" si="52"/>
        <v>-726104838.07761812</v>
      </c>
      <c r="AU27">
        <f t="shared" si="53"/>
        <v>-3865749925.521976</v>
      </c>
      <c r="AV27">
        <f t="shared" si="42"/>
        <v>-1.7564633074328435</v>
      </c>
      <c r="AW27">
        <f t="shared" si="25"/>
        <v>212229448.84593138</v>
      </c>
      <c r="AX27">
        <f t="shared" si="26"/>
        <v>-56183181.603028387</v>
      </c>
      <c r="AY27">
        <f t="shared" si="50"/>
        <v>-0.25879201945811553</v>
      </c>
      <c r="BA27">
        <f t="shared" si="27"/>
        <v>17.916315606652557</v>
      </c>
      <c r="BB27">
        <f t="shared" si="43"/>
        <v>25.064974083959811</v>
      </c>
      <c r="BC27">
        <f t="shared" si="44"/>
        <v>-1.497671287974728</v>
      </c>
      <c r="BD27">
        <f t="shared" si="28"/>
        <v>-265.81024399692654</v>
      </c>
      <c r="BF27">
        <f t="shared" si="29"/>
        <v>48.554646142214075</v>
      </c>
      <c r="BG27">
        <f t="shared" si="30"/>
        <v>-85.940091403076465</v>
      </c>
      <c r="BH27">
        <f t="shared" si="45"/>
        <v>94.059908596923535</v>
      </c>
      <c r="BI27">
        <f t="shared" si="46"/>
        <v>94.059908596923535</v>
      </c>
      <c r="BJ27">
        <f t="shared" si="31"/>
        <v>0</v>
      </c>
      <c r="BK27">
        <f t="shared" si="47"/>
        <v>0</v>
      </c>
      <c r="BM27">
        <f t="shared" si="48"/>
        <v>23.489672058254261</v>
      </c>
      <c r="BN27">
        <f t="shared" si="32"/>
        <v>-0.12984740614994247</v>
      </c>
      <c r="BQ27" s="56">
        <f t="shared" si="49"/>
        <v>41.966934884244949</v>
      </c>
      <c r="BR27" s="58"/>
      <c r="BS27" s="58"/>
      <c r="BT27" s="58">
        <v>147.911</v>
      </c>
      <c r="BU27" s="58">
        <v>31.4819</v>
      </c>
      <c r="BV27" s="58">
        <v>-266.34629999999999</v>
      </c>
      <c r="BW27" s="61"/>
      <c r="BY27" s="58"/>
      <c r="BZ27" s="58"/>
      <c r="CA27" s="58"/>
      <c r="CC27" s="58"/>
    </row>
    <row r="28" spans="1:81" x14ac:dyDescent="0.2">
      <c r="A28">
        <f t="shared" si="51"/>
        <v>200</v>
      </c>
      <c r="B28">
        <f t="shared" si="33"/>
        <v>0.2</v>
      </c>
      <c r="C28">
        <f t="shared" si="0"/>
        <v>1.0000000003158274</v>
      </c>
      <c r="D28">
        <f t="shared" si="1"/>
        <v>2.513274119470827E-5</v>
      </c>
      <c r="F28">
        <f t="shared" si="2"/>
        <v>0.99642908256863139</v>
      </c>
      <c r="G28">
        <f t="shared" si="3"/>
        <v>-4.5582413678774128E-3</v>
      </c>
      <c r="H28">
        <f t="shared" si="4"/>
        <v>-4.5582413678774128E-3</v>
      </c>
      <c r="J28">
        <f t="shared" si="5"/>
        <v>15</v>
      </c>
      <c r="M28">
        <f t="shared" si="6"/>
        <v>9.0745730136200677</v>
      </c>
      <c r="N28">
        <f t="shared" si="7"/>
        <v>-1.5707963250000001</v>
      </c>
      <c r="O28">
        <f t="shared" si="8"/>
        <v>1.0002847836370998</v>
      </c>
      <c r="P28">
        <f t="shared" si="9"/>
        <v>2.386277723791554E-2</v>
      </c>
      <c r="Q28">
        <f t="shared" si="10"/>
        <v>1.0001213269700189</v>
      </c>
      <c r="R28">
        <f t="shared" si="11"/>
        <v>1.5576566016122589E-2</v>
      </c>
      <c r="S28">
        <f t="shared" si="12"/>
        <v>0.99999999967012343</v>
      </c>
      <c r="T28">
        <f t="shared" si="13"/>
        <v>-2.5685661500751273E-5</v>
      </c>
      <c r="U28">
        <f t="shared" si="14"/>
        <v>0.99999991635281849</v>
      </c>
      <c r="V28">
        <f t="shared" si="15"/>
        <v>-4.0901633865284129E-4</v>
      </c>
      <c r="X28">
        <f t="shared" si="34"/>
        <v>42.650803350661846</v>
      </c>
      <c r="Y28">
        <f t="shared" si="16"/>
        <v>-88.024926664856949</v>
      </c>
      <c r="Z28">
        <f t="shared" si="35"/>
        <v>91.975073335143051</v>
      </c>
      <c r="AC28">
        <v>1</v>
      </c>
      <c r="AD28">
        <f t="shared" si="17"/>
        <v>2.3867307680580003E-2</v>
      </c>
      <c r="AE28">
        <f t="shared" si="18"/>
        <v>-2.0394929480610842E-9</v>
      </c>
      <c r="AF28">
        <f t="shared" si="19"/>
        <v>4.9863358540800013E-6</v>
      </c>
      <c r="AG28">
        <f t="shared" si="36"/>
        <v>4704.5141123986441</v>
      </c>
      <c r="AH28">
        <f t="shared" si="37"/>
        <v>-200549.98782424818</v>
      </c>
      <c r="AJ28">
        <f t="shared" si="20"/>
        <v>22100</v>
      </c>
      <c r="AK28">
        <f t="shared" si="21"/>
        <v>0.56765311929144002</v>
      </c>
      <c r="AL28">
        <v>1</v>
      </c>
      <c r="AM28">
        <f t="shared" si="22"/>
        <v>1.5577825916066402E-2</v>
      </c>
      <c r="AN28">
        <f t="shared" si="38"/>
        <v>22094.647164374928</v>
      </c>
      <c r="AO28">
        <f t="shared" si="39"/>
        <v>-343.61891408425134</v>
      </c>
      <c r="AQ28">
        <f t="shared" si="23"/>
        <v>8620.689655172413</v>
      </c>
      <c r="AR28">
        <f t="shared" si="24"/>
        <v>-3448.2758620689651</v>
      </c>
      <c r="AT28">
        <f t="shared" si="52"/>
        <v>-650995526.01121223</v>
      </c>
      <c r="AU28">
        <f t="shared" si="53"/>
        <v>-1745101667.8379967</v>
      </c>
      <c r="AV28">
        <f t="shared" si="42"/>
        <v>-1.9278489430079986</v>
      </c>
      <c r="AW28">
        <f t="shared" si="25"/>
        <v>189358971.94260916</v>
      </c>
      <c r="AX28">
        <f t="shared" si="26"/>
        <v>-85168226.367572516</v>
      </c>
      <c r="AY28">
        <f t="shared" si="50"/>
        <v>-0.42266370249884699</v>
      </c>
      <c r="BA28">
        <f t="shared" si="27"/>
        <v>8.9706072163946047</v>
      </c>
      <c r="BB28">
        <f t="shared" si="43"/>
        <v>19.056436824770508</v>
      </c>
      <c r="BC28">
        <f t="shared" si="44"/>
        <v>-1.5051852405091517</v>
      </c>
      <c r="BD28">
        <f t="shared" si="28"/>
        <v>-266.24076176510255</v>
      </c>
      <c r="BF28">
        <f t="shared" si="29"/>
        <v>42.547189902872873</v>
      </c>
      <c r="BG28">
        <f t="shared" si="30"/>
        <v>-86.500489757782617</v>
      </c>
      <c r="BH28">
        <f t="shared" si="45"/>
        <v>93.499510242217383</v>
      </c>
      <c r="BI28">
        <f t="shared" si="46"/>
        <v>93.499510242217383</v>
      </c>
      <c r="BJ28">
        <f t="shared" si="31"/>
        <v>0</v>
      </c>
      <c r="BK28">
        <f t="shared" si="47"/>
        <v>0</v>
      </c>
      <c r="BM28">
        <f t="shared" si="48"/>
        <v>23.490753078102365</v>
      </c>
      <c r="BN28">
        <f t="shared" si="32"/>
        <v>-0.25972799268004615</v>
      </c>
      <c r="BQ28" s="56">
        <f t="shared" si="49"/>
        <v>35.958397625055639</v>
      </c>
      <c r="BR28" s="58"/>
      <c r="BS28" s="58"/>
      <c r="BT28" s="58">
        <v>151.35599999999999</v>
      </c>
      <c r="BU28" s="58">
        <v>31.0519</v>
      </c>
      <c r="BV28" s="58">
        <v>-267.0283</v>
      </c>
      <c r="BW28" s="61"/>
      <c r="BY28" s="58"/>
      <c r="BZ28" s="58"/>
      <c r="CA28" s="58"/>
      <c r="CC28" s="58"/>
    </row>
    <row r="29" spans="1:81" x14ac:dyDescent="0.2">
      <c r="A29">
        <f t="shared" si="51"/>
        <v>300</v>
      </c>
      <c r="B29">
        <f t="shared" si="33"/>
        <v>0.3</v>
      </c>
      <c r="C29">
        <f t="shared" si="0"/>
        <v>1.0000000007106116</v>
      </c>
      <c r="D29">
        <f t="shared" si="1"/>
        <v>3.7699111782140394E-5</v>
      </c>
      <c r="F29">
        <f t="shared" si="2"/>
        <v>0.99663582113190197</v>
      </c>
      <c r="G29">
        <f t="shared" si="3"/>
        <v>-6.8388102894273578E-3</v>
      </c>
      <c r="H29">
        <f t="shared" si="4"/>
        <v>-6.8388102894273578E-3</v>
      </c>
      <c r="J29">
        <f t="shared" si="5"/>
        <v>15</v>
      </c>
      <c r="M29">
        <f t="shared" si="6"/>
        <v>6.0497153424133785</v>
      </c>
      <c r="N29">
        <f t="shared" si="7"/>
        <v>-1.5707963250000001</v>
      </c>
      <c r="O29">
        <f t="shared" si="8"/>
        <v>1.000640649207206</v>
      </c>
      <c r="P29">
        <f t="shared" si="9"/>
        <v>3.5785677803025231E-2</v>
      </c>
      <c r="Q29">
        <f t="shared" si="10"/>
        <v>1.0002729649878628</v>
      </c>
      <c r="R29">
        <f t="shared" si="11"/>
        <v>2.3362487485365995E-2</v>
      </c>
      <c r="S29">
        <f t="shared" si="12"/>
        <v>0.99999999925777772</v>
      </c>
      <c r="T29">
        <f t="shared" si="13"/>
        <v>-3.8528492240535538E-5</v>
      </c>
      <c r="U29">
        <f t="shared" si="14"/>
        <v>0.99999981179387121</v>
      </c>
      <c r="V29">
        <f t="shared" si="15"/>
        <v>-6.1352446521293832E-4</v>
      </c>
      <c r="X29">
        <f t="shared" si="34"/>
        <v>39.135185648910543</v>
      </c>
      <c r="Y29">
        <f t="shared" si="16"/>
        <v>-87.038094608607949</v>
      </c>
      <c r="Z29">
        <f t="shared" si="35"/>
        <v>92.961905391392051</v>
      </c>
      <c r="AC29">
        <v>1</v>
      </c>
      <c r="AD29">
        <f t="shared" si="17"/>
        <v>3.5800961520869999E-2</v>
      </c>
      <c r="AE29">
        <f t="shared" si="18"/>
        <v>-4.5888591331374388E-9</v>
      </c>
      <c r="AF29">
        <f t="shared" si="19"/>
        <v>7.479503781120001E-6</v>
      </c>
      <c r="AG29">
        <f t="shared" si="36"/>
        <v>4704.5131286005262</v>
      </c>
      <c r="AH29">
        <f t="shared" si="37"/>
        <v>-133701.59540159913</v>
      </c>
      <c r="AJ29">
        <f t="shared" si="20"/>
        <v>22100</v>
      </c>
      <c r="AK29">
        <f t="shared" si="21"/>
        <v>0.85147967893716003</v>
      </c>
      <c r="AL29">
        <v>1</v>
      </c>
      <c r="AM29">
        <f t="shared" si="22"/>
        <v>2.33667388740996E-2</v>
      </c>
      <c r="AN29">
        <f t="shared" si="38"/>
        <v>22087.959771190264</v>
      </c>
      <c r="AO29">
        <f t="shared" si="39"/>
        <v>-515.27210855608246</v>
      </c>
      <c r="AQ29">
        <f t="shared" si="23"/>
        <v>7352.9411764705892</v>
      </c>
      <c r="AR29">
        <f t="shared" si="24"/>
        <v>-4411.7647058823532</v>
      </c>
      <c r="AT29">
        <f t="shared" si="52"/>
        <v>-555267971.41440403</v>
      </c>
      <c r="AU29">
        <f t="shared" si="53"/>
        <v>-1003855171.1673491</v>
      </c>
      <c r="AV29">
        <f t="shared" si="42"/>
        <v>-2.0760436737276682</v>
      </c>
      <c r="AW29">
        <f t="shared" si="25"/>
        <v>160210956.43909356</v>
      </c>
      <c r="AX29">
        <f t="shared" si="26"/>
        <v>-105248278.52885222</v>
      </c>
      <c r="AY29">
        <f t="shared" si="50"/>
        <v>-0.58123541101096443</v>
      </c>
      <c r="BA29">
        <f t="shared" si="27"/>
        <v>5.9846418711815792</v>
      </c>
      <c r="BB29">
        <f t="shared" si="43"/>
        <v>15.540763335372505</v>
      </c>
      <c r="BC29">
        <f t="shared" si="44"/>
        <v>-1.4948082627167039</v>
      </c>
      <c r="BD29">
        <f t="shared" si="28"/>
        <v>-265.64620473281497</v>
      </c>
      <c r="BF29">
        <f t="shared" si="29"/>
        <v>39.033318373626564</v>
      </c>
      <c r="BG29">
        <f t="shared" si="30"/>
        <v>-86.03587969973853</v>
      </c>
      <c r="BH29">
        <f t="shared" si="45"/>
        <v>93.96412030026147</v>
      </c>
      <c r="BI29">
        <f t="shared" si="46"/>
        <v>93.96412030026147</v>
      </c>
      <c r="BJ29">
        <f t="shared" si="31"/>
        <v>0</v>
      </c>
      <c r="BK29">
        <f t="shared" si="47"/>
        <v>0</v>
      </c>
      <c r="BM29">
        <f t="shared" si="48"/>
        <v>23.492555038254057</v>
      </c>
      <c r="BN29">
        <f t="shared" si="32"/>
        <v>-0.38967496692358861</v>
      </c>
      <c r="BQ29" s="56">
        <f t="shared" si="49"/>
        <v>32.442724135657642</v>
      </c>
      <c r="BR29" s="58"/>
      <c r="BS29" s="58"/>
      <c r="BT29" s="58">
        <v>154.88200000000001</v>
      </c>
      <c r="BU29" s="58">
        <v>31.248699999999999</v>
      </c>
      <c r="BV29" s="58">
        <v>-260.69729999999998</v>
      </c>
      <c r="BW29" s="61"/>
      <c r="BY29" s="58"/>
      <c r="BZ29" s="58"/>
      <c r="CA29" s="58"/>
      <c r="CC29" s="58"/>
    </row>
    <row r="30" spans="1:81" x14ac:dyDescent="0.2">
      <c r="A30">
        <f t="shared" si="51"/>
        <v>400</v>
      </c>
      <c r="B30">
        <f t="shared" si="33"/>
        <v>0.4</v>
      </c>
      <c r="C30">
        <f t="shared" si="0"/>
        <v>1.0000000012633092</v>
      </c>
      <c r="D30">
        <f t="shared" si="1"/>
        <v>5.0265482357666112E-5</v>
      </c>
      <c r="F30">
        <f t="shared" si="2"/>
        <v>0.99692538996760172</v>
      </c>
      <c r="G30">
        <f t="shared" si="3"/>
        <v>-9.1211184140546145E-3</v>
      </c>
      <c r="H30">
        <f t="shared" si="4"/>
        <v>-9.1211184140546145E-3</v>
      </c>
      <c r="J30">
        <f t="shared" si="5"/>
        <v>15</v>
      </c>
      <c r="M30">
        <f t="shared" si="6"/>
        <v>4.5372865068100339</v>
      </c>
      <c r="N30">
        <f t="shared" si="7"/>
        <v>-1.5707963250000001</v>
      </c>
      <c r="O30">
        <f t="shared" si="8"/>
        <v>1.0011386484916451</v>
      </c>
      <c r="P30">
        <f t="shared" si="9"/>
        <v>4.7698408919987535E-2</v>
      </c>
      <c r="Q30">
        <f t="shared" si="10"/>
        <v>1.0004852196015117</v>
      </c>
      <c r="R30">
        <f t="shared" si="11"/>
        <v>3.1145577032040676E-2</v>
      </c>
      <c r="S30">
        <f t="shared" si="12"/>
        <v>0.99999999868049372</v>
      </c>
      <c r="T30">
        <f t="shared" si="13"/>
        <v>-5.1371322967610155E-5</v>
      </c>
      <c r="U30">
        <f t="shared" si="14"/>
        <v>0.99999966541140006</v>
      </c>
      <c r="V30">
        <f t="shared" si="15"/>
        <v>-8.1803254045347083E-4</v>
      </c>
      <c r="X30">
        <f t="shared" si="34"/>
        <v>36.645097575107684</v>
      </c>
      <c r="Y30">
        <f t="shared" si="16"/>
        <v>-86.052107122085403</v>
      </c>
      <c r="Z30">
        <f t="shared" si="35"/>
        <v>93.947892877914597</v>
      </c>
      <c r="AC30">
        <v>1</v>
      </c>
      <c r="AD30">
        <f t="shared" si="17"/>
        <v>4.7734615361160006E-2</v>
      </c>
      <c r="AE30">
        <f t="shared" si="18"/>
        <v>-8.1579717922443366E-9</v>
      </c>
      <c r="AF30">
        <f t="shared" si="19"/>
        <v>9.9726717081600025E-6</v>
      </c>
      <c r="AG30">
        <f t="shared" si="36"/>
        <v>4704.5117512838542</v>
      </c>
      <c r="AH30">
        <f t="shared" si="37"/>
        <v>-100277.88024505966</v>
      </c>
      <c r="AJ30">
        <f t="shared" si="20"/>
        <v>22100</v>
      </c>
      <c r="AK30">
        <f t="shared" si="21"/>
        <v>1.13530623858288</v>
      </c>
      <c r="AL30">
        <v>1</v>
      </c>
      <c r="AM30">
        <f t="shared" si="22"/>
        <v>3.1155651832132803E-2</v>
      </c>
      <c r="AN30">
        <f t="shared" si="38"/>
        <v>22078.604229969304</v>
      </c>
      <c r="AO30">
        <f t="shared" si="39"/>
        <v>-686.73800008979538</v>
      </c>
      <c r="AQ30">
        <f t="shared" si="23"/>
        <v>6097.5609756097556</v>
      </c>
      <c r="AR30">
        <f t="shared" si="24"/>
        <v>-4878.0487804878048</v>
      </c>
      <c r="AT30">
        <f t="shared" si="52"/>
        <v>-460474344.17538947</v>
      </c>
      <c r="AU30">
        <f t="shared" si="53"/>
        <v>-634399327.11028492</v>
      </c>
      <c r="AV30">
        <f t="shared" si="42"/>
        <v>-2.1986568926389154</v>
      </c>
      <c r="AW30">
        <f t="shared" si="25"/>
        <v>131348410.60531259</v>
      </c>
      <c r="AX30">
        <f t="shared" si="26"/>
        <v>-114898382.49057046</v>
      </c>
      <c r="AY30">
        <f t="shared" si="50"/>
        <v>-0.7186942562255596</v>
      </c>
      <c r="BA30">
        <f t="shared" si="27"/>
        <v>4.4919835297838198</v>
      </c>
      <c r="BB30">
        <f t="shared" si="43"/>
        <v>13.048763104339088</v>
      </c>
      <c r="BC30">
        <f t="shared" si="44"/>
        <v>-1.4799626364133558</v>
      </c>
      <c r="BD30">
        <f t="shared" si="28"/>
        <v>-264.79561300043275</v>
      </c>
      <c r="BF30">
        <f t="shared" si="29"/>
        <v>36.543841433815317</v>
      </c>
      <c r="BG30">
        <f t="shared" si="30"/>
        <v>-85.315334590596734</v>
      </c>
      <c r="BH30">
        <f t="shared" si="45"/>
        <v>94.684665409403266</v>
      </c>
      <c r="BI30">
        <f t="shared" si="46"/>
        <v>94.684665409403266</v>
      </c>
      <c r="BJ30">
        <f t="shared" si="31"/>
        <v>0</v>
      </c>
      <c r="BK30">
        <f t="shared" si="47"/>
        <v>0</v>
      </c>
      <c r="BM30">
        <f t="shared" si="48"/>
        <v>23.495078329476229</v>
      </c>
      <c r="BN30">
        <f t="shared" si="32"/>
        <v>-0.51972159016397323</v>
      </c>
      <c r="BQ30" s="56">
        <f t="shared" si="49"/>
        <v>29.950723904624223</v>
      </c>
      <c r="BR30" s="58"/>
      <c r="BS30" s="58"/>
      <c r="BT30" s="58">
        <v>158.489</v>
      </c>
      <c r="BU30" s="58">
        <v>31.003699999999998</v>
      </c>
      <c r="BV30" s="58">
        <v>-259.86900000000003</v>
      </c>
      <c r="BW30" s="61"/>
      <c r="BY30" s="58"/>
      <c r="BZ30" s="58"/>
      <c r="CA30" s="58"/>
      <c r="CC30" s="58"/>
    </row>
    <row r="31" spans="1:81" x14ac:dyDescent="0.2">
      <c r="A31">
        <f t="shared" si="51"/>
        <v>500</v>
      </c>
      <c r="B31">
        <f t="shared" si="33"/>
        <v>0.5</v>
      </c>
      <c r="C31">
        <f t="shared" si="0"/>
        <v>1.0000000019739208</v>
      </c>
      <c r="D31">
        <f t="shared" si="1"/>
        <v>6.2831852917316617E-5</v>
      </c>
      <c r="F31">
        <f t="shared" si="2"/>
        <v>0.99729792409655293</v>
      </c>
      <c r="G31">
        <f t="shared" si="3"/>
        <v>-1.1405747674991577E-2</v>
      </c>
      <c r="H31">
        <f t="shared" si="4"/>
        <v>-1.1405747674991577E-2</v>
      </c>
      <c r="J31">
        <f t="shared" si="5"/>
        <v>15</v>
      </c>
      <c r="M31">
        <f t="shared" si="6"/>
        <v>3.6298292054480266</v>
      </c>
      <c r="N31">
        <f t="shared" si="7"/>
        <v>-1.5707963250000001</v>
      </c>
      <c r="O31">
        <f t="shared" si="8"/>
        <v>1.0017785695199797</v>
      </c>
      <c r="P31">
        <f t="shared" si="9"/>
        <v>5.9597607726196669E-2</v>
      </c>
      <c r="Q31">
        <f t="shared" si="10"/>
        <v>1.0007580522417472</v>
      </c>
      <c r="R31">
        <f t="shared" si="11"/>
        <v>3.8924893884897956E-2</v>
      </c>
      <c r="S31">
        <f t="shared" si="12"/>
        <v>0.99999999793827121</v>
      </c>
      <c r="T31">
        <f t="shared" si="13"/>
        <v>-6.4214153677738577E-5</v>
      </c>
      <c r="U31">
        <f t="shared" si="14"/>
        <v>0.99999947720546012</v>
      </c>
      <c r="V31">
        <f t="shared" si="15"/>
        <v>-1.0225405472679577E-3</v>
      </c>
      <c r="X31">
        <f t="shared" si="34"/>
        <v>34.718059353496031</v>
      </c>
      <c r="Y31">
        <f t="shared" si="16"/>
        <v>-85.06724412668413</v>
      </c>
      <c r="Z31">
        <f t="shared" si="35"/>
        <v>94.93275587331587</v>
      </c>
      <c r="AC31">
        <v>1</v>
      </c>
      <c r="AD31">
        <f t="shared" si="17"/>
        <v>5.9668269201450005E-2</v>
      </c>
      <c r="AE31">
        <f t="shared" si="18"/>
        <v>-1.2746830925381775E-8</v>
      </c>
      <c r="AF31">
        <f t="shared" si="19"/>
        <v>1.2465839635200001E-5</v>
      </c>
      <c r="AG31">
        <f t="shared" si="36"/>
        <v>4704.5099804493166</v>
      </c>
      <c r="AH31">
        <f t="shared" si="37"/>
        <v>-80224.035994288046</v>
      </c>
      <c r="AJ31">
        <f t="shared" si="20"/>
        <v>22100</v>
      </c>
      <c r="AK31">
        <f t="shared" si="21"/>
        <v>1.4191327982286002</v>
      </c>
      <c r="AL31">
        <v>1</v>
      </c>
      <c r="AM31">
        <f t="shared" si="22"/>
        <v>3.8944564790166003E-2</v>
      </c>
      <c r="AN31">
        <f t="shared" si="38"/>
        <v>22066.587335100659</v>
      </c>
      <c r="AO31">
        <f t="shared" si="39"/>
        <v>-857.95450737145563</v>
      </c>
      <c r="AQ31">
        <f t="shared" si="23"/>
        <v>5000</v>
      </c>
      <c r="AR31">
        <f t="shared" si="24"/>
        <v>-5000</v>
      </c>
      <c r="AT31">
        <f t="shared" si="52"/>
        <v>-377597630.06919366</v>
      </c>
      <c r="AU31">
        <f t="shared" si="53"/>
        <v>-424642729.87368685</v>
      </c>
      <c r="AV31">
        <f t="shared" si="42"/>
        <v>-2.2976194230134164</v>
      </c>
      <c r="AW31">
        <f t="shared" si="25"/>
        <v>106115841.72035418</v>
      </c>
      <c r="AX31">
        <f t="shared" si="26"/>
        <v>-117032067.29396461</v>
      </c>
      <c r="AY31">
        <f t="shared" si="50"/>
        <v>-0.8342784341575098</v>
      </c>
      <c r="BA31">
        <f t="shared" si="27"/>
        <v>3.5969808025019994</v>
      </c>
      <c r="BB31">
        <f t="shared" si="43"/>
        <v>11.118762398907354</v>
      </c>
      <c r="BC31">
        <f t="shared" si="44"/>
        <v>-1.4633409888559066</v>
      </c>
      <c r="BD31">
        <f t="shared" si="28"/>
        <v>-263.8432627457488</v>
      </c>
      <c r="BF31">
        <f t="shared" si="29"/>
        <v>34.617085898069213</v>
      </c>
      <c r="BG31">
        <f t="shared" si="30"/>
        <v>-84.493163950468414</v>
      </c>
      <c r="BH31">
        <f t="shared" si="45"/>
        <v>95.506836049531586</v>
      </c>
      <c r="BI31">
        <f t="shared" si="46"/>
        <v>95.506836049531586</v>
      </c>
      <c r="BJ31">
        <f t="shared" si="31"/>
        <v>0</v>
      </c>
      <c r="BK31">
        <f t="shared" si="47"/>
        <v>0</v>
      </c>
      <c r="BM31">
        <f t="shared" si="48"/>
        <v>23.498323499161859</v>
      </c>
      <c r="BN31">
        <f t="shared" si="32"/>
        <v>-0.64990120471964019</v>
      </c>
      <c r="BQ31" s="56">
        <f t="shared" si="49"/>
        <v>28.020723199192492</v>
      </c>
      <c r="BR31" s="58"/>
      <c r="BS31" s="58"/>
      <c r="BT31" s="58">
        <v>162.18100000000001</v>
      </c>
      <c r="BU31" s="58">
        <v>30.429300000000001</v>
      </c>
      <c r="BV31" s="58">
        <v>-262.39859999999999</v>
      </c>
      <c r="BW31" s="61"/>
      <c r="BY31" s="58"/>
      <c r="BZ31" s="58"/>
      <c r="CA31" s="58"/>
      <c r="CC31" s="58"/>
    </row>
    <row r="32" spans="1:81" x14ac:dyDescent="0.2">
      <c r="A32">
        <f t="shared" si="51"/>
        <v>600</v>
      </c>
      <c r="B32">
        <f t="shared" si="33"/>
        <v>0.6</v>
      </c>
      <c r="C32">
        <f t="shared" si="0"/>
        <v>1.0000000028424461</v>
      </c>
      <c r="D32">
        <f t="shared" si="1"/>
        <v>7.5398223457123098E-5</v>
      </c>
      <c r="F32">
        <f t="shared" si="2"/>
        <v>0.99775359736544977</v>
      </c>
      <c r="G32">
        <f t="shared" si="3"/>
        <v>-1.3693281894826048E-2</v>
      </c>
      <c r="H32">
        <f t="shared" si="4"/>
        <v>-1.3693281894826048E-2</v>
      </c>
      <c r="J32">
        <f t="shared" si="5"/>
        <v>15</v>
      </c>
      <c r="M32">
        <f t="shared" si="6"/>
        <v>3.0248576712066892</v>
      </c>
      <c r="N32">
        <f t="shared" si="7"/>
        <v>-1.5707963250000001</v>
      </c>
      <c r="O32">
        <f t="shared" si="8"/>
        <v>1.002560140531866</v>
      </c>
      <c r="P32">
        <f t="shared" si="9"/>
        <v>7.1479934314599758E-2</v>
      </c>
      <c r="Q32">
        <f t="shared" si="10"/>
        <v>1.001091413379638</v>
      </c>
      <c r="R32">
        <f t="shared" si="11"/>
        <v>4.6699500010586349E-2</v>
      </c>
      <c r="S32">
        <f t="shared" si="12"/>
        <v>0.99999999703111064</v>
      </c>
      <c r="T32">
        <f t="shared" si="13"/>
        <v>-7.705698436668425E-5</v>
      </c>
      <c r="U32">
        <f t="shared" si="14"/>
        <v>0.99999924717612243</v>
      </c>
      <c r="V32">
        <f t="shared" si="15"/>
        <v>-1.2270484685499518E-3</v>
      </c>
      <c r="X32">
        <f t="shared" si="34"/>
        <v>33.148066986902293</v>
      </c>
      <c r="Y32">
        <f t="shared" si="16"/>
        <v>-84.083784179924763</v>
      </c>
      <c r="Z32">
        <f t="shared" si="35"/>
        <v>95.916215820075237</v>
      </c>
      <c r="AC32">
        <v>1</v>
      </c>
      <c r="AD32">
        <f t="shared" si="17"/>
        <v>7.1601923041739998E-2</v>
      </c>
      <c r="AE32">
        <f t="shared" si="18"/>
        <v>-1.8355436532549755E-8</v>
      </c>
      <c r="AF32">
        <f t="shared" si="19"/>
        <v>1.4959007562240002E-5</v>
      </c>
      <c r="AG32">
        <f t="shared" si="36"/>
        <v>4704.5078160978019</v>
      </c>
      <c r="AH32">
        <f t="shared" si="37"/>
        <v>-66855.127195676047</v>
      </c>
      <c r="AJ32">
        <f t="shared" si="20"/>
        <v>22100</v>
      </c>
      <c r="AK32">
        <f t="shared" si="21"/>
        <v>1.7029593578743201</v>
      </c>
      <c r="AL32">
        <v>1</v>
      </c>
      <c r="AM32">
        <f t="shared" si="22"/>
        <v>4.6733477748199199E-2</v>
      </c>
      <c r="AN32">
        <f t="shared" si="38"/>
        <v>22051.917801070471</v>
      </c>
      <c r="AO32">
        <f t="shared" si="39"/>
        <v>-1028.8598505035704</v>
      </c>
      <c r="AQ32">
        <f t="shared" si="23"/>
        <v>4098.3606557377052</v>
      </c>
      <c r="AR32">
        <f t="shared" si="24"/>
        <v>-4918.0327868852464</v>
      </c>
      <c r="AT32">
        <f t="shared" si="52"/>
        <v>-309514937.78161252</v>
      </c>
      <c r="AU32">
        <f t="shared" si="53"/>
        <v>-297133346.61882544</v>
      </c>
      <c r="AV32">
        <f t="shared" si="42"/>
        <v>-2.3766014915470404</v>
      </c>
      <c r="AW32">
        <f t="shared" si="25"/>
        <v>85389375.868965104</v>
      </c>
      <c r="AX32">
        <f t="shared" si="26"/>
        <v>-114677509.48759738</v>
      </c>
      <c r="AY32">
        <f t="shared" si="50"/>
        <v>-0.93075736752194227</v>
      </c>
      <c r="BA32">
        <f t="shared" si="27"/>
        <v>3.000874140406498</v>
      </c>
      <c r="BB32">
        <f t="shared" si="43"/>
        <v>9.5449556214381648</v>
      </c>
      <c r="BC32">
        <f t="shared" si="44"/>
        <v>-1.4458441240250981</v>
      </c>
      <c r="BD32">
        <f t="shared" si="28"/>
        <v>-262.84076623508702</v>
      </c>
      <c r="BF32">
        <f t="shared" si="29"/>
        <v>33.047246873087765</v>
      </c>
      <c r="BG32">
        <f t="shared" si="30"/>
        <v>-83.621013496248167</v>
      </c>
      <c r="BH32">
        <f t="shared" si="45"/>
        <v>96.378986503751833</v>
      </c>
      <c r="BI32">
        <f t="shared" si="46"/>
        <v>96.378986503751833</v>
      </c>
      <c r="BJ32">
        <f t="shared" si="31"/>
        <v>0</v>
      </c>
      <c r="BK32">
        <f t="shared" si="47"/>
        <v>0</v>
      </c>
      <c r="BM32">
        <f t="shared" si="48"/>
        <v>23.502291251649602</v>
      </c>
      <c r="BN32">
        <f t="shared" si="32"/>
        <v>-0.78024726116112042</v>
      </c>
      <c r="BQ32" s="56">
        <f t="shared" si="49"/>
        <v>26.446916421723301</v>
      </c>
      <c r="BR32" s="58"/>
      <c r="BS32" s="58"/>
      <c r="BT32" s="58">
        <v>165.959</v>
      </c>
      <c r="BU32" s="58">
        <v>29.9194</v>
      </c>
      <c r="BV32" s="58">
        <v>-264.8295</v>
      </c>
      <c r="BW32" s="61"/>
      <c r="BY32" s="58"/>
      <c r="BZ32" s="58"/>
      <c r="CA32" s="58"/>
      <c r="CC32" s="58"/>
    </row>
    <row r="33" spans="1:81" x14ac:dyDescent="0.2">
      <c r="A33">
        <f t="shared" si="51"/>
        <v>700</v>
      </c>
      <c r="B33">
        <f t="shared" si="33"/>
        <v>0.7</v>
      </c>
      <c r="C33">
        <f t="shared" si="0"/>
        <v>1.0000000038688848</v>
      </c>
      <c r="D33">
        <f t="shared" si="1"/>
        <v>8.7964593973116758E-5</v>
      </c>
      <c r="F33">
        <f t="shared" si="2"/>
        <v>0.99829262263383589</v>
      </c>
      <c r="G33">
        <f t="shared" si="3"/>
        <v>-1.5984307263613017E-2</v>
      </c>
      <c r="H33">
        <f t="shared" si="4"/>
        <v>-1.5984307263613017E-2</v>
      </c>
      <c r="J33">
        <f t="shared" si="5"/>
        <v>15</v>
      </c>
      <c r="M33">
        <f t="shared" si="6"/>
        <v>2.5927351467485904</v>
      </c>
      <c r="N33">
        <f t="shared" si="7"/>
        <v>-1.5707963250000001</v>
      </c>
      <c r="O33">
        <f t="shared" si="8"/>
        <v>1.0034830305515952</v>
      </c>
      <c r="P33">
        <f t="shared" si="9"/>
        <v>8.3342077289713545E-2</v>
      </c>
      <c r="Q33">
        <f t="shared" si="10"/>
        <v>1.0014852425714136</v>
      </c>
      <c r="R33">
        <f t="shared" si="11"/>
        <v>5.4468460788804809E-2</v>
      </c>
      <c r="S33">
        <f t="shared" si="12"/>
        <v>0.99999999595901157</v>
      </c>
      <c r="T33">
        <f t="shared" si="13"/>
        <v>-8.9899815030210613E-5</v>
      </c>
      <c r="U33">
        <f t="shared" si="14"/>
        <v>0.99999897532347315</v>
      </c>
      <c r="V33">
        <f t="shared" si="15"/>
        <v>-1.4315562871930487E-3</v>
      </c>
      <c r="X33">
        <f t="shared" si="34"/>
        <v>31.825228349227753</v>
      </c>
      <c r="Y33">
        <f t="shared" si="16"/>
        <v>-83.102004145827777</v>
      </c>
      <c r="Z33">
        <f t="shared" si="35"/>
        <v>96.897995854172223</v>
      </c>
      <c r="AC33">
        <v>1</v>
      </c>
      <c r="AD33">
        <f t="shared" si="17"/>
        <v>8.3535576882030005E-2</v>
      </c>
      <c r="AE33">
        <f t="shared" si="18"/>
        <v>-2.4983788613748284E-8</v>
      </c>
      <c r="AF33">
        <f t="shared" si="19"/>
        <v>1.7452175489280004E-5</v>
      </c>
      <c r="AG33">
        <f t="shared" si="36"/>
        <v>4704.5052582303997</v>
      </c>
      <c r="AH33">
        <f t="shared" si="37"/>
        <v>-57306.181511825045</v>
      </c>
      <c r="AJ33">
        <f t="shared" si="20"/>
        <v>22100</v>
      </c>
      <c r="AK33">
        <f t="shared" si="21"/>
        <v>1.9867859175200402</v>
      </c>
      <c r="AL33">
        <v>1</v>
      </c>
      <c r="AM33">
        <f t="shared" si="22"/>
        <v>5.452239070623241E-2</v>
      </c>
      <c r="AN33">
        <f t="shared" si="38"/>
        <v>22034.606246693791</v>
      </c>
      <c r="AO33">
        <f t="shared" si="39"/>
        <v>-1199.3926249227081</v>
      </c>
      <c r="AQ33">
        <f t="shared" si="23"/>
        <v>3378.3783783783783</v>
      </c>
      <c r="AR33">
        <f t="shared" si="24"/>
        <v>-4729.72972972973</v>
      </c>
      <c r="AT33">
        <f t="shared" si="52"/>
        <v>-255149151.54839414</v>
      </c>
      <c r="AU33">
        <f t="shared" si="53"/>
        <v>-215853002.95049864</v>
      </c>
      <c r="AV33">
        <f t="shared" si="42"/>
        <v>-2.4394326466044514</v>
      </c>
      <c r="AW33">
        <f t="shared" si="25"/>
        <v>68841008.316198707</v>
      </c>
      <c r="AX33">
        <f t="shared" si="26"/>
        <v>-109992605.95707221</v>
      </c>
      <c r="AY33">
        <f t="shared" si="50"/>
        <v>-1.0115720560016981</v>
      </c>
      <c r="BA33">
        <f t="shared" si="27"/>
        <v>2.5755850811523433</v>
      </c>
      <c r="BB33">
        <f t="shared" si="43"/>
        <v>8.217518016303746</v>
      </c>
      <c r="BC33">
        <f t="shared" si="44"/>
        <v>-1.4278605906027533</v>
      </c>
      <c r="BD33">
        <f t="shared" si="28"/>
        <v>-261.81038566807683</v>
      </c>
      <c r="BF33">
        <f t="shared" si="29"/>
        <v>31.724500464938806</v>
      </c>
      <c r="BG33">
        <f t="shared" si="30"/>
        <v>-82.721179013781665</v>
      </c>
      <c r="BH33">
        <f t="shared" si="45"/>
        <v>97.278820986218335</v>
      </c>
      <c r="BI33">
        <f t="shared" si="46"/>
        <v>97.278820986218335</v>
      </c>
      <c r="BJ33">
        <f t="shared" si="31"/>
        <v>0</v>
      </c>
      <c r="BK33">
        <f t="shared" si="47"/>
        <v>0</v>
      </c>
      <c r="BM33">
        <f t="shared" si="48"/>
        <v>23.506982448635064</v>
      </c>
      <c r="BN33">
        <f t="shared" si="32"/>
        <v>-0.91079334570482318</v>
      </c>
      <c r="BQ33" s="56">
        <f t="shared" si="49"/>
        <v>25.119478816588881</v>
      </c>
      <c r="BR33" s="58"/>
      <c r="BS33" s="58"/>
      <c r="BT33" s="58">
        <v>169.82400000000001</v>
      </c>
      <c r="BU33" s="58">
        <v>29.808900000000001</v>
      </c>
      <c r="BV33" s="58">
        <v>-267.72770000000003</v>
      </c>
      <c r="BW33" s="61"/>
      <c r="BY33" s="58"/>
      <c r="BZ33" s="58"/>
      <c r="CA33" s="58"/>
      <c r="CC33" s="58"/>
    </row>
    <row r="34" spans="1:81" x14ac:dyDescent="0.2">
      <c r="A34">
        <f t="shared" si="51"/>
        <v>800</v>
      </c>
      <c r="B34">
        <f t="shared" si="33"/>
        <v>0.8</v>
      </c>
      <c r="C34">
        <f t="shared" si="0"/>
        <v>1.0000000050532374</v>
      </c>
      <c r="D34">
        <f t="shared" si="1"/>
        <v>1.0053096446132881E-4</v>
      </c>
      <c r="F34">
        <f t="shared" si="2"/>
        <v>0.99891525200331555</v>
      </c>
      <c r="G34">
        <f t="shared" si="3"/>
        <v>-1.8279412820857509E-2</v>
      </c>
      <c r="H34">
        <f t="shared" si="4"/>
        <v>-1.8279412820857509E-2</v>
      </c>
      <c r="J34">
        <f t="shared" si="5"/>
        <v>15</v>
      </c>
      <c r="M34">
        <f t="shared" si="6"/>
        <v>2.2686432534050169</v>
      </c>
      <c r="N34">
        <f t="shared" si="7"/>
        <v>-1.5707963250000001</v>
      </c>
      <c r="O34">
        <f t="shared" si="8"/>
        <v>1.0045468500845103</v>
      </c>
      <c r="P34">
        <f t="shared" si="9"/>
        <v>9.518075920384908E-2</v>
      </c>
      <c r="Q34">
        <f t="shared" si="10"/>
        <v>1.0019394685131136</v>
      </c>
      <c r="R34">
        <f t="shared" si="11"/>
        <v>6.223084568128829E-2</v>
      </c>
      <c r="S34">
        <f t="shared" si="12"/>
        <v>0.99999999472197443</v>
      </c>
      <c r="T34">
        <f t="shared" si="13"/>
        <v>-1.0274264566408115E-4</v>
      </c>
      <c r="U34">
        <f t="shared" si="14"/>
        <v>0.99999866164761531</v>
      </c>
      <c r="V34">
        <f t="shared" si="15"/>
        <v>-1.6360639860908961E-3</v>
      </c>
      <c r="X34">
        <f t="shared" si="34"/>
        <v>30.683944216919773</v>
      </c>
      <c r="Y34">
        <f t="shared" si="16"/>
        <v>-82.122178872726366</v>
      </c>
      <c r="Z34">
        <f t="shared" si="35"/>
        <v>97.877821127273634</v>
      </c>
      <c r="AC34">
        <v>1</v>
      </c>
      <c r="AD34">
        <f t="shared" si="17"/>
        <v>9.5469230722320012E-2</v>
      </c>
      <c r="AE34">
        <f t="shared" si="18"/>
        <v>-3.2631887168977347E-8</v>
      </c>
      <c r="AF34">
        <f t="shared" si="19"/>
        <v>1.9945343416320005E-5</v>
      </c>
      <c r="AG34">
        <f t="shared" si="36"/>
        <v>4704.5023068483915</v>
      </c>
      <c r="AH34">
        <f t="shared" si="37"/>
        <v>-50144.712773915009</v>
      </c>
      <c r="AJ34">
        <f t="shared" si="20"/>
        <v>22100</v>
      </c>
      <c r="AK34">
        <f t="shared" si="21"/>
        <v>2.2706124771657601</v>
      </c>
      <c r="AL34">
        <v>1</v>
      </c>
      <c r="AM34">
        <f t="shared" si="22"/>
        <v>6.2311303664265606E-2</v>
      </c>
      <c r="AN34">
        <f t="shared" si="38"/>
        <v>22014.665175950471</v>
      </c>
      <c r="AO34">
        <f t="shared" si="39"/>
        <v>-1369.4918743686173</v>
      </c>
      <c r="AQ34">
        <f t="shared" si="23"/>
        <v>2808.9887640449433</v>
      </c>
      <c r="AR34">
        <f t="shared" si="24"/>
        <v>-4494.3820224719093</v>
      </c>
      <c r="AT34">
        <f t="shared" si="52"/>
        <v>-212154601.49274048</v>
      </c>
      <c r="AU34">
        <f t="shared" si="53"/>
        <v>-161999765.35076523</v>
      </c>
      <c r="AV34">
        <f t="shared" si="42"/>
        <v>-2.4894486430284726</v>
      </c>
      <c r="AW34">
        <f t="shared" si="25"/>
        <v>55756436.799458727</v>
      </c>
      <c r="AX34">
        <f t="shared" si="26"/>
        <v>-104297752.78803752</v>
      </c>
      <c r="AY34">
        <f t="shared" si="50"/>
        <v>-1.0798618746108128</v>
      </c>
      <c r="BA34">
        <f t="shared" si="27"/>
        <v>2.257064095368817</v>
      </c>
      <c r="BB34">
        <f t="shared" si="43"/>
        <v>7.0708778441139151</v>
      </c>
      <c r="BC34">
        <f t="shared" si="44"/>
        <v>-1.4095867684176597</v>
      </c>
      <c r="BD34">
        <f t="shared" si="28"/>
        <v>-260.76337278010209</v>
      </c>
      <c r="BF34">
        <f t="shared" si="29"/>
        <v>30.583275953787961</v>
      </c>
      <c r="BG34">
        <f t="shared" si="30"/>
        <v>-81.80494598793068</v>
      </c>
      <c r="BH34">
        <f t="shared" si="45"/>
        <v>98.19505401206932</v>
      </c>
      <c r="BI34">
        <f t="shared" si="46"/>
        <v>98.19505401206932</v>
      </c>
      <c r="BJ34">
        <f t="shared" si="31"/>
        <v>0</v>
      </c>
      <c r="BK34">
        <f t="shared" si="47"/>
        <v>0</v>
      </c>
      <c r="BM34">
        <f t="shared" si="48"/>
        <v>23.512398109674045</v>
      </c>
      <c r="BN34">
        <f t="shared" si="32"/>
        <v>-1.0415732078286191</v>
      </c>
      <c r="BQ34" s="56">
        <f t="shared" si="49"/>
        <v>23.972838644399054</v>
      </c>
      <c r="BR34" s="58"/>
      <c r="BS34" s="58"/>
      <c r="BT34" s="58">
        <v>173.78</v>
      </c>
      <c r="BU34" s="58">
        <v>30.070900000000002</v>
      </c>
      <c r="BV34" s="58">
        <v>-269.952</v>
      </c>
      <c r="BW34" s="61"/>
      <c r="BY34" s="58"/>
      <c r="BZ34" s="58"/>
      <c r="CA34" s="58"/>
      <c r="CC34" s="58"/>
    </row>
    <row r="35" spans="1:81" x14ac:dyDescent="0.2">
      <c r="A35">
        <f t="shared" si="51"/>
        <v>900</v>
      </c>
      <c r="B35">
        <f t="shared" si="33"/>
        <v>0.9</v>
      </c>
      <c r="C35">
        <f t="shared" si="0"/>
        <v>1.0000000063955037</v>
      </c>
      <c r="D35">
        <f t="shared" si="1"/>
        <v>1.1309733491779042E-4</v>
      </c>
      <c r="F35">
        <f t="shared" si="2"/>
        <v>0.99962177708940314</v>
      </c>
      <c r="G35">
        <f t="shared" si="3"/>
        <v>-2.0579190942165093E-2</v>
      </c>
      <c r="H35">
        <f t="shared" si="4"/>
        <v>-2.0579190942165093E-2</v>
      </c>
      <c r="J35">
        <f t="shared" si="5"/>
        <v>15</v>
      </c>
      <c r="M35">
        <f t="shared" si="6"/>
        <v>2.0165717808044592</v>
      </c>
      <c r="N35">
        <f t="shared" si="7"/>
        <v>-1.5707963250000001</v>
      </c>
      <c r="O35">
        <f t="shared" si="8"/>
        <v>1.0057511519319127</v>
      </c>
      <c r="P35">
        <f t="shared" si="9"/>
        <v>0.10699274185167296</v>
      </c>
      <c r="Q35">
        <f t="shared" si="10"/>
        <v>1.0024540091049032</v>
      </c>
      <c r="R35">
        <f t="shared" si="11"/>
        <v>6.9985728893437932E-2</v>
      </c>
      <c r="S35">
        <f t="shared" si="12"/>
        <v>0.99999999331999878</v>
      </c>
      <c r="T35">
        <f t="shared" si="13"/>
        <v>-1.1558547626405929E-4</v>
      </c>
      <c r="U35">
        <f t="shared" si="14"/>
        <v>0.99999830614866625</v>
      </c>
      <c r="V35">
        <f t="shared" si="15"/>
        <v>-1.8405715481372017E-3</v>
      </c>
      <c r="X35">
        <f t="shared" si="34"/>
        <v>29.68189826703393</v>
      </c>
      <c r="Y35">
        <f t="shared" si="16"/>
        <v>-81.144580879884842</v>
      </c>
      <c r="Z35">
        <f t="shared" si="35"/>
        <v>98.855419120115158</v>
      </c>
      <c r="AC35">
        <v>1</v>
      </c>
      <c r="AD35">
        <f t="shared" si="17"/>
        <v>0.10740288456261</v>
      </c>
      <c r="AE35">
        <f t="shared" si="18"/>
        <v>-4.1299732198236957E-8</v>
      </c>
      <c r="AF35">
        <f t="shared" si="19"/>
        <v>2.2438511343360003E-5</v>
      </c>
      <c r="AG35">
        <f t="shared" si="36"/>
        <v>4704.4989619532589</v>
      </c>
      <c r="AH35">
        <f t="shared" si="37"/>
        <v>-44574.895332494183</v>
      </c>
      <c r="AJ35">
        <f t="shared" si="20"/>
        <v>22100</v>
      </c>
      <c r="AK35">
        <f t="shared" si="21"/>
        <v>2.5544390368114804</v>
      </c>
      <c r="AL35">
        <v>1</v>
      </c>
      <c r="AM35">
        <f t="shared" si="22"/>
        <v>7.0100216622298803E-2</v>
      </c>
      <c r="AN35">
        <f t="shared" si="38"/>
        <v>21992.108955490265</v>
      </c>
      <c r="AO35">
        <f t="shared" si="39"/>
        <v>-1539.0971627242536</v>
      </c>
      <c r="AQ35">
        <f t="shared" si="23"/>
        <v>2358.4905660377358</v>
      </c>
      <c r="AR35">
        <f t="shared" si="24"/>
        <v>-4245.2830188679245</v>
      </c>
      <c r="AT35">
        <f t="shared" si="52"/>
        <v>-178137529.80315161</v>
      </c>
      <c r="AU35">
        <f t="shared" si="53"/>
        <v>-125101399.67926897</v>
      </c>
      <c r="AV35">
        <f t="shared" si="42"/>
        <v>-2.5293419788939207</v>
      </c>
      <c r="AW35">
        <f t="shared" si="25"/>
        <v>45406714.695681192</v>
      </c>
      <c r="AX35">
        <f t="shared" si="26"/>
        <v>-98334649.382644013</v>
      </c>
      <c r="AY35">
        <f t="shared" si="50"/>
        <v>-1.1382083884599465</v>
      </c>
      <c r="BA35">
        <f t="shared" si="27"/>
        <v>2.0097246581419221</v>
      </c>
      <c r="BB35">
        <f t="shared" si="43"/>
        <v>6.0627312216366089</v>
      </c>
      <c r="BC35">
        <f t="shared" si="44"/>
        <v>-1.3911335904339741</v>
      </c>
      <c r="BD35">
        <f t="shared" si="28"/>
        <v>-259.70608356182504</v>
      </c>
      <c r="BF35">
        <f t="shared" si="29"/>
        <v>29.581270634414729</v>
      </c>
      <c r="BG35">
        <f t="shared" si="30"/>
        <v>-80.878704349979884</v>
      </c>
      <c r="BH35">
        <f t="shared" si="45"/>
        <v>99.121295650020116</v>
      </c>
      <c r="BI35">
        <f t="shared" si="46"/>
        <v>99.121295650020116</v>
      </c>
      <c r="BJ35">
        <f t="shared" si="31"/>
        <v>0</v>
      </c>
      <c r="BK35">
        <f t="shared" si="47"/>
        <v>0</v>
      </c>
      <c r="BM35">
        <f t="shared" si="48"/>
        <v>23.518539412778114</v>
      </c>
      <c r="BN35">
        <f t="shared" si="32"/>
        <v>-1.1726207881548596</v>
      </c>
      <c r="BQ35" s="56">
        <f t="shared" si="49"/>
        <v>22.964692021921746</v>
      </c>
      <c r="BR35" s="58"/>
      <c r="BS35" s="58"/>
      <c r="BT35" s="58">
        <v>177.828</v>
      </c>
      <c r="BU35" s="58">
        <v>29.720099999999999</v>
      </c>
      <c r="BV35" s="58">
        <v>-271.56010000000003</v>
      </c>
      <c r="BW35" s="61"/>
      <c r="BY35" s="58"/>
      <c r="BZ35" s="58"/>
      <c r="CA35" s="58"/>
      <c r="CC35" s="58"/>
    </row>
    <row r="36" spans="1:81" x14ac:dyDescent="0.2">
      <c r="A36">
        <f t="shared" si="51"/>
        <v>1000</v>
      </c>
      <c r="B36">
        <f t="shared" si="33"/>
        <v>1</v>
      </c>
      <c r="C36">
        <f t="shared" si="0"/>
        <v>1.0000000078956834</v>
      </c>
      <c r="D36">
        <f t="shared" si="1"/>
        <v>1.2566370533853281E-4</v>
      </c>
      <c r="F36">
        <f t="shared" si="2"/>
        <v>1.0004125293364994</v>
      </c>
      <c r="G36">
        <f t="shared" si="3"/>
        <v>-2.2884237831369326E-2</v>
      </c>
      <c r="H36">
        <f t="shared" si="4"/>
        <v>-2.2884237831369326E-2</v>
      </c>
      <c r="J36">
        <f t="shared" si="5"/>
        <v>15</v>
      </c>
      <c r="M36">
        <f t="shared" si="6"/>
        <v>1.8149146027240133</v>
      </c>
      <c r="N36">
        <f t="shared" si="7"/>
        <v>-1.5707963250000001</v>
      </c>
      <c r="O36">
        <f t="shared" si="8"/>
        <v>1.007095432120505</v>
      </c>
      <c r="P36">
        <f t="shared" si="9"/>
        <v>0.11877483140232842</v>
      </c>
      <c r="Q36">
        <f t="shared" si="10"/>
        <v>1.0030287715249158</v>
      </c>
      <c r="R36">
        <f t="shared" si="11"/>
        <v>7.7732190027433076E-2</v>
      </c>
      <c r="S36">
        <f t="shared" si="12"/>
        <v>0.99999999175308518</v>
      </c>
      <c r="T36">
        <f t="shared" si="13"/>
        <v>-1.2842830682590847E-4</v>
      </c>
      <c r="U36">
        <f t="shared" si="14"/>
        <v>0.99999790882676021</v>
      </c>
      <c r="V36">
        <f t="shared" si="15"/>
        <v>-2.045078956225741E-3</v>
      </c>
      <c r="X36">
        <f t="shared" si="34"/>
        <v>28.790193697699628</v>
      </c>
      <c r="Y36">
        <f t="shared" si="16"/>
        <v>-80.169480054225915</v>
      </c>
      <c r="Z36">
        <f t="shared" si="35"/>
        <v>99.830519945774085</v>
      </c>
      <c r="AC36">
        <v>1</v>
      </c>
      <c r="AD36">
        <f t="shared" si="17"/>
        <v>0.11933653840290001</v>
      </c>
      <c r="AE36">
        <f t="shared" si="18"/>
        <v>-5.0987323701527099E-8</v>
      </c>
      <c r="AF36">
        <f t="shared" si="19"/>
        <v>2.4931679270400001E-5</v>
      </c>
      <c r="AG36">
        <f t="shared" si="36"/>
        <v>4704.4952235466799</v>
      </c>
      <c r="AH36">
        <f t="shared" si="37"/>
        <v>-40119.233797794936</v>
      </c>
      <c r="AJ36">
        <f t="shared" si="20"/>
        <v>22100</v>
      </c>
      <c r="AK36">
        <f t="shared" si="21"/>
        <v>2.8382655964572003</v>
      </c>
      <c r="AL36">
        <v>1</v>
      </c>
      <c r="AM36">
        <f t="shared" si="22"/>
        <v>7.7889129580332006E-2</v>
      </c>
      <c r="AN36">
        <f t="shared" si="38"/>
        <v>21966.9537888821</v>
      </c>
      <c r="AO36">
        <f t="shared" si="39"/>
        <v>-1708.1486445509458</v>
      </c>
      <c r="AQ36">
        <f t="shared" si="23"/>
        <v>2000</v>
      </c>
      <c r="AR36">
        <f t="shared" si="24"/>
        <v>-4000</v>
      </c>
      <c r="AT36">
        <f t="shared" si="52"/>
        <v>-151067944.74408638</v>
      </c>
      <c r="AU36">
        <f t="shared" si="53"/>
        <v>-99056448.489776596</v>
      </c>
      <c r="AV36">
        <f t="shared" si="42"/>
        <v>-2.5612152921428843</v>
      </c>
      <c r="AW36">
        <f t="shared" si="25"/>
        <v>37173667.734363012</v>
      </c>
      <c r="AX36">
        <f t="shared" si="26"/>
        <v>-92492938.317054838</v>
      </c>
      <c r="AY36">
        <f t="shared" si="50"/>
        <v>-1.1886460572242508</v>
      </c>
      <c r="BA36">
        <f t="shared" si="27"/>
        <v>1.8122134907481378</v>
      </c>
      <c r="BB36">
        <f t="shared" si="43"/>
        <v>5.1641871824036398</v>
      </c>
      <c r="BC36">
        <f t="shared" si="44"/>
        <v>-1.3725692349186336</v>
      </c>
      <c r="BD36">
        <f t="shared" si="28"/>
        <v>-258.64242434020019</v>
      </c>
      <c r="BF36">
        <f t="shared" si="29"/>
        <v>28.689594877506476</v>
      </c>
      <c r="BG36">
        <f t="shared" si="30"/>
        <v>-79.94639458684739</v>
      </c>
      <c r="BH36">
        <f t="shared" si="45"/>
        <v>100.05360541315261</v>
      </c>
      <c r="BI36">
        <f t="shared" si="46"/>
        <v>100.05360541315261</v>
      </c>
      <c r="BJ36">
        <f t="shared" si="31"/>
        <v>0</v>
      </c>
      <c r="BK36">
        <f t="shared" si="47"/>
        <v>0</v>
      </c>
      <c r="BM36">
        <f t="shared" si="48"/>
        <v>23.525407695102839</v>
      </c>
      <c r="BN36">
        <f t="shared" si="32"/>
        <v>-1.3039702466472036</v>
      </c>
      <c r="BQ36" s="56">
        <f t="shared" si="49"/>
        <v>22.066147982688776</v>
      </c>
      <c r="BR36" s="58"/>
      <c r="BS36" s="58"/>
      <c r="BT36" s="58">
        <v>181.97</v>
      </c>
      <c r="BU36" s="58">
        <v>30.042100000000001</v>
      </c>
      <c r="BV36" s="58">
        <v>-268.84590000000003</v>
      </c>
      <c r="BW36" s="61"/>
      <c r="BY36" s="58"/>
      <c r="BZ36" s="58"/>
      <c r="CA36" s="58"/>
      <c r="CC36" s="58"/>
    </row>
    <row r="37" spans="1:81" x14ac:dyDescent="0.2">
      <c r="A37">
        <f>A36+500</f>
        <v>1500</v>
      </c>
      <c r="B37">
        <f t="shared" si="33"/>
        <v>1.5</v>
      </c>
      <c r="C37">
        <f t="shared" si="0"/>
        <v>1.0000000177652877</v>
      </c>
      <c r="D37">
        <f t="shared" si="1"/>
        <v>1.8849555676754819E-4</v>
      </c>
      <c r="F37">
        <f t="shared" si="2"/>
        <v>1.0056441355063388</v>
      </c>
      <c r="G37">
        <f t="shared" si="3"/>
        <v>-3.4509702338901646E-2</v>
      </c>
      <c r="H37">
        <f t="shared" si="4"/>
        <v>-3.4509702338901646E-2</v>
      </c>
      <c r="J37">
        <f t="shared" si="5"/>
        <v>15</v>
      </c>
      <c r="M37">
        <f t="shared" si="6"/>
        <v>1.2099430684826755</v>
      </c>
      <c r="N37">
        <f t="shared" si="7"/>
        <v>-1.5707963250000001</v>
      </c>
      <c r="O37">
        <f t="shared" si="8"/>
        <v>1.0158950345116715</v>
      </c>
      <c r="P37">
        <f t="shared" si="9"/>
        <v>0.17712881115269966</v>
      </c>
      <c r="Q37">
        <f t="shared" si="10"/>
        <v>1.0068019229919354</v>
      </c>
      <c r="R37">
        <f t="shared" si="11"/>
        <v>0.11630640851020388</v>
      </c>
      <c r="S37">
        <f t="shared" si="12"/>
        <v>0.99999998144444147</v>
      </c>
      <c r="T37">
        <f t="shared" si="13"/>
        <v>-1.9264245891494107E-4</v>
      </c>
      <c r="U37">
        <f t="shared" si="14"/>
        <v>0.99999529487865901</v>
      </c>
      <c r="V37">
        <f t="shared" si="15"/>
        <v>-3.0676130885900054E-3</v>
      </c>
      <c r="X37">
        <f t="shared" si="34"/>
        <v>25.421827010103904</v>
      </c>
      <c r="Y37">
        <f t="shared" si="16"/>
        <v>-75.340659515488866</v>
      </c>
      <c r="Z37">
        <f t="shared" si="35"/>
        <v>104.65934048451113</v>
      </c>
      <c r="AC37">
        <v>1</v>
      </c>
      <c r="AD37">
        <f t="shared" si="17"/>
        <v>0.17900480760435</v>
      </c>
      <c r="AE37">
        <f t="shared" si="18"/>
        <v>-1.1472147832843601E-7</v>
      </c>
      <c r="AF37">
        <f t="shared" si="19"/>
        <v>3.7397518905600009E-5</v>
      </c>
      <c r="AG37">
        <f t="shared" si="36"/>
        <v>4704.4706289146798</v>
      </c>
      <c r="AH37">
        <f t="shared" si="37"/>
        <v>-26754.17335441144</v>
      </c>
      <c r="AJ37">
        <f t="shared" si="20"/>
        <v>22100</v>
      </c>
      <c r="AK37">
        <f t="shared" si="21"/>
        <v>4.2573983946858007</v>
      </c>
      <c r="AL37">
        <v>1</v>
      </c>
      <c r="AM37">
        <f t="shared" si="22"/>
        <v>0.116833694370498</v>
      </c>
      <c r="AN37">
        <f t="shared" si="38"/>
        <v>21802.885574509568</v>
      </c>
      <c r="AO37">
        <f t="shared" si="39"/>
        <v>-2543.0542712125043</v>
      </c>
      <c r="AQ37">
        <f t="shared" si="23"/>
        <v>1000</v>
      </c>
      <c r="AR37">
        <f t="shared" si="24"/>
        <v>-3000</v>
      </c>
      <c r="AT37">
        <f t="shared" si="52"/>
        <v>-75558049.43431963</v>
      </c>
      <c r="AU37">
        <f t="shared" si="53"/>
        <v>-40867585.241155475</v>
      </c>
      <c r="AV37">
        <f t="shared" si="42"/>
        <v>-2.6457809011290414</v>
      </c>
      <c r="AW37">
        <f t="shared" si="25"/>
        <v>14245545.858237742</v>
      </c>
      <c r="AX37">
        <f t="shared" si="26"/>
        <v>-68762147.372954667</v>
      </c>
      <c r="AY37">
        <f t="shared" si="50"/>
        <v>-1.3665148580308397</v>
      </c>
      <c r="BA37">
        <f t="shared" si="27"/>
        <v>1.2232890348869352</v>
      </c>
      <c r="BB37">
        <f t="shared" si="43"/>
        <v>1.7505816579101865</v>
      </c>
      <c r="BC37">
        <f t="shared" si="44"/>
        <v>-1.2792660430982017</v>
      </c>
      <c r="BD37">
        <f t="shared" si="28"/>
        <v>-253.29654522768135</v>
      </c>
      <c r="BF37">
        <f t="shared" si="29"/>
        <v>25.321293499821472</v>
      </c>
      <c r="BG37">
        <f t="shared" si="30"/>
        <v>-75.263005526340407</v>
      </c>
      <c r="BH37">
        <f t="shared" si="45"/>
        <v>104.73699447365959</v>
      </c>
      <c r="BI37">
        <f t="shared" si="46"/>
        <v>104.73699447365959</v>
      </c>
      <c r="BJ37">
        <f t="shared" si="31"/>
        <v>0</v>
      </c>
      <c r="BK37">
        <f t="shared" si="47"/>
        <v>0</v>
      </c>
      <c r="BM37">
        <f t="shared" si="48"/>
        <v>23.570711841911283</v>
      </c>
      <c r="BN37">
        <f t="shared" si="32"/>
        <v>-1.9664602986590694</v>
      </c>
      <c r="BQ37" s="56">
        <f t="shared" si="49"/>
        <v>18.652542458195324</v>
      </c>
      <c r="BR37" s="58"/>
      <c r="BS37" s="58"/>
      <c r="BT37" s="58">
        <v>186.209</v>
      </c>
      <c r="BU37" s="58">
        <v>29.901800000000001</v>
      </c>
      <c r="BV37" s="58">
        <v>-265.37959999999998</v>
      </c>
      <c r="BW37" s="61"/>
      <c r="BY37" s="58"/>
      <c r="BZ37" s="58"/>
      <c r="CA37" s="58"/>
      <c r="CC37" s="58"/>
    </row>
    <row r="38" spans="1:81" x14ac:dyDescent="0.2">
      <c r="A38">
        <f t="shared" ref="A38:A101" si="54">A37+500</f>
        <v>2000</v>
      </c>
      <c r="B38">
        <f t="shared" si="33"/>
        <v>2</v>
      </c>
      <c r="C38">
        <f t="shared" si="0"/>
        <v>1.0000000315827335</v>
      </c>
      <c r="D38">
        <f t="shared" si="1"/>
        <v>2.5132740670826242E-4</v>
      </c>
      <c r="F38">
        <f t="shared" si="2"/>
        <v>1.013054795014932</v>
      </c>
      <c r="G38">
        <f t="shared" si="3"/>
        <v>-4.6359413302053093E-2</v>
      </c>
      <c r="H38">
        <f t="shared" si="4"/>
        <v>-4.6359413302053093E-2</v>
      </c>
      <c r="J38">
        <f t="shared" si="5"/>
        <v>15</v>
      </c>
      <c r="M38">
        <f t="shared" si="6"/>
        <v>0.90745730136200664</v>
      </c>
      <c r="N38">
        <f t="shared" si="7"/>
        <v>-1.5707963250000001</v>
      </c>
      <c r="O38">
        <f t="shared" si="8"/>
        <v>1.0280879522647599</v>
      </c>
      <c r="P38">
        <f t="shared" si="9"/>
        <v>0.23428994840517153</v>
      </c>
      <c r="Q38">
        <f t="shared" si="10"/>
        <v>1.0120607027382929</v>
      </c>
      <c r="R38">
        <f t="shared" si="11"/>
        <v>0.15453621061263723</v>
      </c>
      <c r="S38">
        <f t="shared" si="12"/>
        <v>0.99999996701234117</v>
      </c>
      <c r="T38">
        <f t="shared" si="13"/>
        <v>-2.5685660941526778E-4</v>
      </c>
      <c r="U38">
        <f t="shared" si="14"/>
        <v>0.99999163538575409</v>
      </c>
      <c r="V38">
        <f t="shared" si="15"/>
        <v>-4.0901408061310629E-3</v>
      </c>
      <c r="X38">
        <f t="shared" si="34"/>
        <v>23.135671867648551</v>
      </c>
      <c r="Y38">
        <f t="shared" si="16"/>
        <v>-70.612765430538815</v>
      </c>
      <c r="Z38">
        <f t="shared" si="35"/>
        <v>109.38723456946119</v>
      </c>
      <c r="AC38">
        <v>1</v>
      </c>
      <c r="AD38">
        <f t="shared" si="17"/>
        <v>0.23867307680580002</v>
      </c>
      <c r="AE38">
        <f t="shared" si="18"/>
        <v>-2.0394929480610839E-7</v>
      </c>
      <c r="AF38">
        <f t="shared" si="19"/>
        <v>4.9863358540800002E-5</v>
      </c>
      <c r="AG38">
        <f t="shared" si="36"/>
        <v>4704.4361968618987</v>
      </c>
      <c r="AH38">
        <f t="shared" si="37"/>
        <v>-20074.048273860033</v>
      </c>
      <c r="AJ38">
        <f t="shared" si="20"/>
        <v>22100</v>
      </c>
      <c r="AK38">
        <f t="shared" si="21"/>
        <v>5.6765311929144007</v>
      </c>
      <c r="AL38">
        <v>1</v>
      </c>
      <c r="AM38">
        <f t="shared" si="22"/>
        <v>0.15577825916066401</v>
      </c>
      <c r="AN38">
        <f t="shared" si="38"/>
        <v>21577.271522870855</v>
      </c>
      <c r="AO38">
        <f t="shared" si="39"/>
        <v>-3355.5932640768769</v>
      </c>
      <c r="AQ38">
        <f t="shared" si="23"/>
        <v>588.23529411764707</v>
      </c>
      <c r="AR38">
        <f t="shared" si="24"/>
        <v>-2352.9411764705883</v>
      </c>
      <c r="AT38">
        <f t="shared" si="52"/>
        <v>-44465739.352104843</v>
      </c>
      <c r="AU38">
        <f t="shared" si="53"/>
        <v>-22877525.330180958</v>
      </c>
      <c r="AV38">
        <f t="shared" si="42"/>
        <v>-2.6664141828638885</v>
      </c>
      <c r="AW38">
        <f t="shared" si="25"/>
        <v>4868091.1280658012</v>
      </c>
      <c r="AX38">
        <f t="shared" si="26"/>
        <v>-53356451.505572103</v>
      </c>
      <c r="AY38">
        <f t="shared" si="50"/>
        <v>-1.4798110687650445</v>
      </c>
      <c r="BA38">
        <f t="shared" si="27"/>
        <v>0.93332653038976587</v>
      </c>
      <c r="BB38">
        <f t="shared" si="43"/>
        <v>-0.59932777808356807</v>
      </c>
      <c r="BC38">
        <f t="shared" si="44"/>
        <v>-1.186603114098844</v>
      </c>
      <c r="BD38">
        <f t="shared" si="28"/>
        <v>-247.98735047263111</v>
      </c>
      <c r="BF38">
        <f t="shared" si="29"/>
        <v>23.035156407442873</v>
      </c>
      <c r="BG38">
        <f t="shared" si="30"/>
        <v>-70.62914919887973</v>
      </c>
      <c r="BH38">
        <f t="shared" si="45"/>
        <v>109.37085080112027</v>
      </c>
      <c r="BI38">
        <f t="shared" si="46"/>
        <v>109.37085080112027</v>
      </c>
      <c r="BJ38">
        <f t="shared" si="31"/>
        <v>0</v>
      </c>
      <c r="BK38">
        <f t="shared" si="47"/>
        <v>0</v>
      </c>
      <c r="BM38">
        <f t="shared" si="48"/>
        <v>23.634484185526439</v>
      </c>
      <c r="BN38">
        <f t="shared" si="32"/>
        <v>-2.6417987262486338</v>
      </c>
      <c r="BQ38" s="56">
        <f t="shared" si="49"/>
        <v>16.302633022201569</v>
      </c>
      <c r="BR38" s="58"/>
      <c r="BS38" s="58"/>
      <c r="BT38" s="58">
        <v>190.54599999999999</v>
      </c>
      <c r="BU38" s="58">
        <v>29.566700000000001</v>
      </c>
      <c r="BV38" s="58">
        <v>-265.89449999999999</v>
      </c>
      <c r="BW38" s="61"/>
      <c r="BY38" s="58"/>
      <c r="BZ38" s="58"/>
      <c r="CA38" s="58"/>
      <c r="CC38" s="58"/>
    </row>
    <row r="39" spans="1:81" x14ac:dyDescent="0.2">
      <c r="A39">
        <f t="shared" si="54"/>
        <v>2500</v>
      </c>
      <c r="B39">
        <f t="shared" si="33"/>
        <v>2.5</v>
      </c>
      <c r="C39">
        <f t="shared" si="0"/>
        <v>1.0000000493480208</v>
      </c>
      <c r="D39">
        <f t="shared" si="1"/>
        <v>3.1415925466457518E-4</v>
      </c>
      <c r="F39">
        <f t="shared" si="2"/>
        <v>1.0227337473678557</v>
      </c>
      <c r="G39">
        <f t="shared" si="3"/>
        <v>-5.8515360959359108E-2</v>
      </c>
      <c r="H39">
        <f t="shared" si="4"/>
        <v>-5.8515360959359108E-2</v>
      </c>
      <c r="J39">
        <f t="shared" si="5"/>
        <v>15</v>
      </c>
      <c r="M39">
        <f t="shared" si="6"/>
        <v>0.72596584108960538</v>
      </c>
      <c r="N39">
        <f t="shared" si="7"/>
        <v>-1.5707963250000001</v>
      </c>
      <c r="O39">
        <f t="shared" si="8"/>
        <v>1.0435552494896558</v>
      </c>
      <c r="P39">
        <f t="shared" si="9"/>
        <v>0.28993439975386426</v>
      </c>
      <c r="Q39">
        <f t="shared" si="10"/>
        <v>1.0187821053431327</v>
      </c>
      <c r="R39">
        <f t="shared" si="11"/>
        <v>0.19231624104391612</v>
      </c>
      <c r="S39">
        <f t="shared" si="12"/>
        <v>0.99999994845678475</v>
      </c>
      <c r="T39">
        <f t="shared" si="13"/>
        <v>-3.2107075779732003E-4</v>
      </c>
      <c r="U39">
        <f t="shared" si="14"/>
        <v>0.99998693038248132</v>
      </c>
      <c r="V39">
        <f t="shared" si="15"/>
        <v>-5.1126599706997128E-3</v>
      </c>
      <c r="X39">
        <f t="shared" si="34"/>
        <v>21.467222203360365</v>
      </c>
      <c r="Y39">
        <f t="shared" si="16"/>
        <v>-66.015086645422983</v>
      </c>
      <c r="Z39">
        <f t="shared" si="35"/>
        <v>113.98491335457702</v>
      </c>
      <c r="AC39">
        <v>1</v>
      </c>
      <c r="AD39">
        <f t="shared" si="17"/>
        <v>0.29834134600724999</v>
      </c>
      <c r="AE39">
        <f t="shared" si="18"/>
        <v>-3.1867077313454439E-7</v>
      </c>
      <c r="AF39">
        <f t="shared" si="19"/>
        <v>6.2329198176000017E-5</v>
      </c>
      <c r="AG39">
        <f t="shared" si="36"/>
        <v>4704.3919278203412</v>
      </c>
      <c r="AH39">
        <f t="shared" si="37"/>
        <v>-16067.897253945355</v>
      </c>
      <c r="AJ39">
        <f t="shared" si="20"/>
        <v>22100</v>
      </c>
      <c r="AK39">
        <f t="shared" si="21"/>
        <v>7.0956639911430006</v>
      </c>
      <c r="AL39">
        <v>1</v>
      </c>
      <c r="AM39">
        <f t="shared" si="22"/>
        <v>0.19472282395083002</v>
      </c>
      <c r="AN39">
        <f t="shared" si="38"/>
        <v>21293.978374603532</v>
      </c>
      <c r="AO39">
        <f t="shared" si="39"/>
        <v>-4139.3279382595611</v>
      </c>
      <c r="AQ39">
        <f t="shared" si="23"/>
        <v>384.61538461538464</v>
      </c>
      <c r="AR39">
        <f t="shared" si="24"/>
        <v>-1923.0769230769231</v>
      </c>
      <c r="AT39">
        <f t="shared" si="52"/>
        <v>-29090420.900733244</v>
      </c>
      <c r="AU39">
        <f t="shared" si="53"/>
        <v>-15226868.035787333</v>
      </c>
      <c r="AV39">
        <f t="shared" si="42"/>
        <v>-2.6593753539567477</v>
      </c>
      <c r="AW39">
        <f t="shared" si="25"/>
        <v>299919.70980758779</v>
      </c>
      <c r="AX39">
        <f t="shared" si="26"/>
        <v>-43036742.077951148</v>
      </c>
      <c r="AY39">
        <f t="shared" si="50"/>
        <v>-1.5638275173502161</v>
      </c>
      <c r="BA39">
        <f t="shared" si="27"/>
        <v>0.76292460920145189</v>
      </c>
      <c r="BB39">
        <f t="shared" si="43"/>
        <v>-2.3503675220422302</v>
      </c>
      <c r="BC39">
        <f t="shared" si="44"/>
        <v>-1.0955478366065317</v>
      </c>
      <c r="BD39">
        <f t="shared" si="28"/>
        <v>-242.77026736396766</v>
      </c>
      <c r="BF39">
        <f t="shared" si="29"/>
        <v>21.366709821591829</v>
      </c>
      <c r="BG39">
        <f t="shared" si="30"/>
        <v>-66.104950588046691</v>
      </c>
      <c r="BH39">
        <f t="shared" si="45"/>
        <v>113.89504941195331</v>
      </c>
      <c r="BI39">
        <f t="shared" si="46"/>
        <v>113.89504941195331</v>
      </c>
      <c r="BJ39">
        <f t="shared" si="31"/>
        <v>0</v>
      </c>
      <c r="BK39">
        <f t="shared" si="47"/>
        <v>0</v>
      </c>
      <c r="BM39">
        <f t="shared" si="48"/>
        <v>23.71707734363406</v>
      </c>
      <c r="BN39">
        <f t="shared" si="32"/>
        <v>-3.3346832240790403</v>
      </c>
      <c r="BQ39" s="56">
        <f t="shared" si="49"/>
        <v>14.551593278242906</v>
      </c>
      <c r="BR39" s="58"/>
      <c r="BS39" s="58"/>
      <c r="BT39" s="58">
        <v>194.98400000000001</v>
      </c>
      <c r="BU39" s="58">
        <v>29.685600000000001</v>
      </c>
      <c r="BV39" s="58">
        <v>-265.6327</v>
      </c>
      <c r="BW39" s="61"/>
      <c r="BY39" s="58"/>
      <c r="BZ39" s="58"/>
      <c r="CA39" s="58"/>
      <c r="CC39" s="58"/>
    </row>
    <row r="40" spans="1:81" x14ac:dyDescent="0.2">
      <c r="A40">
        <f t="shared" si="54"/>
        <v>3000</v>
      </c>
      <c r="B40">
        <f t="shared" si="33"/>
        <v>3</v>
      </c>
      <c r="C40">
        <f t="shared" si="0"/>
        <v>1.000000071061149</v>
      </c>
      <c r="D40">
        <f t="shared" si="1"/>
        <v>3.769911001403863E-4</v>
      </c>
      <c r="F40">
        <f t="shared" si="2"/>
        <v>1.0347999135793713</v>
      </c>
      <c r="G40">
        <f t="shared" si="3"/>
        <v>-7.1066132903183213E-2</v>
      </c>
      <c r="H40">
        <f t="shared" si="4"/>
        <v>-7.1066132903183213E-2</v>
      </c>
      <c r="J40">
        <f t="shared" si="5"/>
        <v>15</v>
      </c>
      <c r="M40">
        <f t="shared" si="6"/>
        <v>0.60497153424133776</v>
      </c>
      <c r="N40">
        <f t="shared" si="7"/>
        <v>-1.5707963250000001</v>
      </c>
      <c r="O40">
        <f t="shared" si="8"/>
        <v>1.0621538893125992</v>
      </c>
      <c r="P40">
        <f t="shared" si="9"/>
        <v>0.34379243779794433</v>
      </c>
      <c r="Q40">
        <f t="shared" si="10"/>
        <v>1.0269374121926982</v>
      </c>
      <c r="R40">
        <f t="shared" si="11"/>
        <v>0.22954871687441578</v>
      </c>
      <c r="S40">
        <f t="shared" si="12"/>
        <v>0.99999992577777252</v>
      </c>
      <c r="T40">
        <f t="shared" si="13"/>
        <v>-3.8528490353152955E-4</v>
      </c>
      <c r="U40">
        <f t="shared" si="14"/>
        <v>0.99998117991311319</v>
      </c>
      <c r="V40">
        <f t="shared" si="15"/>
        <v>-6.1351684442540596E-3</v>
      </c>
      <c r="X40">
        <f t="shared" si="34"/>
        <v>20.208116554832763</v>
      </c>
      <c r="Y40">
        <f t="shared" si="16"/>
        <v>-61.57375552369092</v>
      </c>
      <c r="Z40">
        <f t="shared" si="35"/>
        <v>118.42624447630908</v>
      </c>
      <c r="AA40">
        <f>20*LOG(7)</f>
        <v>16.901960800285135</v>
      </c>
      <c r="AC40">
        <v>1</v>
      </c>
      <c r="AD40">
        <f t="shared" si="17"/>
        <v>0.3580096152087</v>
      </c>
      <c r="AE40">
        <f t="shared" si="18"/>
        <v>-4.5888591331374402E-7</v>
      </c>
      <c r="AF40">
        <f t="shared" si="19"/>
        <v>7.4795037811200017E-5</v>
      </c>
      <c r="AG40">
        <f t="shared" si="36"/>
        <v>4704.3378223454174</v>
      </c>
      <c r="AH40">
        <f t="shared" si="37"/>
        <v>-13398.733173821289</v>
      </c>
      <c r="AJ40">
        <f t="shared" si="20"/>
        <v>22100</v>
      </c>
      <c r="AK40">
        <f t="shared" si="21"/>
        <v>8.5147967893716014</v>
      </c>
      <c r="AL40">
        <v>1</v>
      </c>
      <c r="AM40">
        <f t="shared" si="22"/>
        <v>0.23366738874099599</v>
      </c>
      <c r="AN40">
        <f t="shared" si="38"/>
        <v>20957.690337121327</v>
      </c>
      <c r="AO40">
        <f t="shared" si="39"/>
        <v>-4888.6139783281724</v>
      </c>
      <c r="AQ40">
        <f t="shared" si="23"/>
        <v>270.27027027027026</v>
      </c>
      <c r="AR40">
        <f t="shared" si="24"/>
        <v>-1621.6216216216217</v>
      </c>
      <c r="AT40">
        <f t="shared" si="52"/>
        <v>-20456232.762319542</v>
      </c>
      <c r="AU40">
        <f t="shared" si="53"/>
        <v>-11249935.164295619</v>
      </c>
      <c r="AV40">
        <f t="shared" si="42"/>
        <v>-2.6387867068214761</v>
      </c>
      <c r="AW40">
        <f t="shared" si="25"/>
        <v>-2194157.1228582524</v>
      </c>
      <c r="AX40">
        <f t="shared" si="26"/>
        <v>-35723635.243303105</v>
      </c>
      <c r="AY40">
        <f t="shared" si="50"/>
        <v>-1.6321395864078816</v>
      </c>
      <c r="BA40">
        <f t="shared" si="27"/>
        <v>0.6522774108635514</v>
      </c>
      <c r="BB40">
        <f t="shared" si="43"/>
        <v>-3.7113532269496159</v>
      </c>
      <c r="BC40">
        <f t="shared" si="44"/>
        <v>-1.0066471204135945</v>
      </c>
      <c r="BD40">
        <f t="shared" si="28"/>
        <v>-237.6766315246017</v>
      </c>
      <c r="BF40">
        <f t="shared" si="29"/>
        <v>20.107600246887117</v>
      </c>
      <c r="BG40">
        <f t="shared" si="30"/>
        <v>-61.726821011945866</v>
      </c>
      <c r="BH40">
        <f t="shared" si="45"/>
        <v>118.27317898805413</v>
      </c>
      <c r="BI40">
        <f t="shared" si="46"/>
        <v>118.27317898805413</v>
      </c>
      <c r="BJ40">
        <f t="shared" si="31"/>
        <v>0</v>
      </c>
      <c r="BK40">
        <f t="shared" si="47"/>
        <v>0</v>
      </c>
      <c r="BM40">
        <f t="shared" si="48"/>
        <v>23.818953473836729</v>
      </c>
      <c r="BN40">
        <f t="shared" si="32"/>
        <v>-4.0501894873441682</v>
      </c>
      <c r="BQ40" s="56">
        <f t="shared" si="49"/>
        <v>13.190607573335523</v>
      </c>
      <c r="BR40" s="58"/>
      <c r="BS40" s="58"/>
      <c r="BT40" s="58">
        <v>199.52600000000001</v>
      </c>
      <c r="BU40" s="58">
        <v>29.050999999999998</v>
      </c>
      <c r="BV40" s="58">
        <v>-267.80150000000003</v>
      </c>
      <c r="BW40" s="61"/>
      <c r="BY40" s="58"/>
      <c r="BZ40" s="58"/>
      <c r="CA40" s="58"/>
      <c r="CC40" s="58"/>
    </row>
    <row r="41" spans="1:81" x14ac:dyDescent="0.2">
      <c r="A41">
        <f t="shared" si="54"/>
        <v>3500</v>
      </c>
      <c r="B41">
        <f t="shared" si="33"/>
        <v>3.5</v>
      </c>
      <c r="C41">
        <f t="shared" si="0"/>
        <v>1.0000000967221181</v>
      </c>
      <c r="D41">
        <f t="shared" si="1"/>
        <v>4.3982294263959575E-4</v>
      </c>
      <c r="F41">
        <f t="shared" si="2"/>
        <v>1.0494052947460115</v>
      </c>
      <c r="G41">
        <f t="shared" si="3"/>
        <v>-8.410908293868348E-2</v>
      </c>
      <c r="H41">
        <f t="shared" si="4"/>
        <v>-8.410908293868348E-2</v>
      </c>
      <c r="J41">
        <f t="shared" si="5"/>
        <v>15</v>
      </c>
      <c r="M41">
        <f t="shared" si="6"/>
        <v>0.51854702934971808</v>
      </c>
      <c r="N41">
        <f t="shared" si="7"/>
        <v>-1.5707963250000001</v>
      </c>
      <c r="O41">
        <f t="shared" si="8"/>
        <v>1.0837226652263663</v>
      </c>
      <c r="P41">
        <f t="shared" si="9"/>
        <v>0.39565243958221963</v>
      </c>
      <c r="Q41">
        <f t="shared" si="10"/>
        <v>1.0364927772097963</v>
      </c>
      <c r="R41">
        <f t="shared" si="11"/>
        <v>0.26614471044971899</v>
      </c>
      <c r="S41">
        <f t="shared" si="12"/>
        <v>0.99999989897530539</v>
      </c>
      <c r="T41">
        <f t="shared" si="13"/>
        <v>-4.4949904608832794E-4</v>
      </c>
      <c r="U41">
        <f t="shared" si="14"/>
        <v>0.99997438403175898</v>
      </c>
      <c r="V41">
        <f t="shared" si="15"/>
        <v>-7.1576640888863412E-3</v>
      </c>
      <c r="X41">
        <f t="shared" si="34"/>
        <v>19.245919406835739</v>
      </c>
      <c r="Y41">
        <f t="shared" si="16"/>
        <v>-57.311570186489455</v>
      </c>
      <c r="Z41">
        <f t="shared" si="35"/>
        <v>122.68842981351054</v>
      </c>
      <c r="AC41">
        <v>1</v>
      </c>
      <c r="AD41">
        <f t="shared" si="17"/>
        <v>0.41767788441014997</v>
      </c>
      <c r="AE41">
        <f t="shared" si="18"/>
        <v>-6.2459471534370703E-7</v>
      </c>
      <c r="AF41">
        <f t="shared" si="19"/>
        <v>8.7260877446400018E-5</v>
      </c>
      <c r="AG41">
        <f t="shared" si="36"/>
        <v>4704.2738811159261</v>
      </c>
      <c r="AH41">
        <f t="shared" si="37"/>
        <v>-11493.561535886793</v>
      </c>
      <c r="AJ41">
        <f t="shared" si="20"/>
        <v>22100</v>
      </c>
      <c r="AK41">
        <f t="shared" si="21"/>
        <v>9.9339295876002005</v>
      </c>
      <c r="AL41">
        <v>1</v>
      </c>
      <c r="AM41">
        <f t="shared" si="22"/>
        <v>0.27261195353116202</v>
      </c>
      <c r="AN41">
        <f t="shared" si="38"/>
        <v>20573.724891953134</v>
      </c>
      <c r="AO41">
        <f t="shared" si="39"/>
        <v>-5598.7094046204384</v>
      </c>
      <c r="AQ41">
        <f t="shared" si="23"/>
        <v>200</v>
      </c>
      <c r="AR41">
        <f t="shared" si="24"/>
        <v>-1400</v>
      </c>
      <c r="AT41">
        <f t="shared" si="52"/>
        <v>-15150131.374018325</v>
      </c>
      <c r="AU41">
        <f t="shared" si="53"/>
        <v>-8884695.7407396547</v>
      </c>
      <c r="AV41">
        <f t="shared" si="42"/>
        <v>-2.6112008234922959</v>
      </c>
      <c r="AW41">
        <f t="shared" si="25"/>
        <v>-3655607.9973635208</v>
      </c>
      <c r="AX41">
        <f t="shared" si="26"/>
        <v>-30284903.92499524</v>
      </c>
      <c r="AY41">
        <f t="shared" si="50"/>
        <v>-1.6909224217325378</v>
      </c>
      <c r="BA41">
        <f t="shared" si="27"/>
        <v>0.57575165196598466</v>
      </c>
      <c r="BB41">
        <f t="shared" si="43"/>
        <v>-4.7952961453924834</v>
      </c>
      <c r="BC41">
        <f t="shared" si="44"/>
        <v>-0.92027840175975806</v>
      </c>
      <c r="BD41">
        <f t="shared" si="28"/>
        <v>-232.72806845812948</v>
      </c>
      <c r="BF41">
        <f t="shared" si="29"/>
        <v>19.145394897616782</v>
      </c>
      <c r="BG41">
        <f t="shared" si="30"/>
        <v>-57.521963936363399</v>
      </c>
      <c r="BH41">
        <f t="shared" si="45"/>
        <v>122.47803606363661</v>
      </c>
      <c r="BI41">
        <f t="shared" si="46"/>
        <v>122.47803606363661</v>
      </c>
      <c r="BJ41">
        <f t="shared" si="31"/>
        <v>0</v>
      </c>
      <c r="BK41">
        <f t="shared" si="47"/>
        <v>0</v>
      </c>
      <c r="BM41">
        <f t="shared" si="48"/>
        <v>23.940691043009267</v>
      </c>
      <c r="BN41">
        <f t="shared" si="32"/>
        <v>-4.7938954782339129</v>
      </c>
      <c r="BQ41" s="56">
        <f t="shared" si="49"/>
        <v>12.106664654892654</v>
      </c>
      <c r="BR41" s="58"/>
      <c r="BS41" s="58"/>
      <c r="BT41" s="58">
        <v>204.17400000000001</v>
      </c>
      <c r="BU41" s="58">
        <v>28.424299999999999</v>
      </c>
      <c r="BV41" s="58">
        <v>-264.16840000000002</v>
      </c>
      <c r="BW41" s="61"/>
      <c r="BY41" s="58"/>
      <c r="BZ41" s="58"/>
      <c r="CA41" s="58"/>
      <c r="CC41" s="58"/>
    </row>
    <row r="42" spans="1:81" x14ac:dyDescent="0.2">
      <c r="A42">
        <f t="shared" si="54"/>
        <v>4000</v>
      </c>
      <c r="B42">
        <f t="shared" si="33"/>
        <v>4</v>
      </c>
      <c r="C42">
        <f t="shared" si="0"/>
        <v>1.0000001263309282</v>
      </c>
      <c r="D42">
        <f t="shared" si="1"/>
        <v>5.0265478166610365E-4</v>
      </c>
      <c r="F42">
        <f t="shared" si="2"/>
        <v>1.0667394330142062</v>
      </c>
      <c r="G42">
        <f t="shared" si="3"/>
        <v>-9.7752898726348264E-2</v>
      </c>
      <c r="H42">
        <f t="shared" si="4"/>
        <v>-9.7752898726348264E-2</v>
      </c>
      <c r="J42">
        <f t="shared" si="5"/>
        <v>15</v>
      </c>
      <c r="M42">
        <f t="shared" si="6"/>
        <v>0.45372865068100332</v>
      </c>
      <c r="N42">
        <f t="shared" si="7"/>
        <v>-1.5707963250000001</v>
      </c>
      <c r="O42">
        <f t="shared" si="8"/>
        <v>1.1080881509915126</v>
      </c>
      <c r="P42">
        <f t="shared" si="9"/>
        <v>0.44536084587951008</v>
      </c>
      <c r="Q42">
        <f t="shared" si="10"/>
        <v>1.0474098835262668</v>
      </c>
      <c r="R42">
        <f t="shared" si="11"/>
        <v>0.30202509561833984</v>
      </c>
      <c r="S42">
        <f t="shared" si="12"/>
        <v>0.99999986804938479</v>
      </c>
      <c r="T42">
        <f t="shared" si="13"/>
        <v>-5.1371318493814721E-4</v>
      </c>
      <c r="U42">
        <f t="shared" si="14"/>
        <v>0.99996654280236241</v>
      </c>
      <c r="V42">
        <f t="shared" si="15"/>
        <v>-8.1801447668497403E-3</v>
      </c>
      <c r="X42">
        <f t="shared" si="34"/>
        <v>18.512445155705976</v>
      </c>
      <c r="Y42">
        <f t="shared" si="16"/>
        <v>-53.248089745738227</v>
      </c>
      <c r="Z42">
        <f t="shared" si="35"/>
        <v>126.75191025426177</v>
      </c>
      <c r="AC42">
        <v>1</v>
      </c>
      <c r="AD42">
        <f t="shared" si="17"/>
        <v>0.47734615361160004</v>
      </c>
      <c r="AE42">
        <f t="shared" si="18"/>
        <v>-8.1579717922443358E-7</v>
      </c>
      <c r="AF42">
        <f t="shared" si="19"/>
        <v>9.9726717081600005E-5</v>
      </c>
      <c r="AG42">
        <f t="shared" si="36"/>
        <v>4704.2001049340342</v>
      </c>
      <c r="AH42">
        <f t="shared" si="37"/>
        <v>-10065.885076260318</v>
      </c>
      <c r="AJ42">
        <f t="shared" si="20"/>
        <v>22100</v>
      </c>
      <c r="AK42">
        <f t="shared" si="21"/>
        <v>11.353062385828801</v>
      </c>
      <c r="AL42">
        <v>1</v>
      </c>
      <c r="AM42">
        <f t="shared" si="22"/>
        <v>0.31155651832132802</v>
      </c>
      <c r="AN42">
        <f t="shared" si="38"/>
        <v>20147.837615939919</v>
      </c>
      <c r="AO42">
        <f t="shared" si="39"/>
        <v>-6265.8370769398989</v>
      </c>
      <c r="AQ42">
        <f t="shared" si="23"/>
        <v>153.84615384615384</v>
      </c>
      <c r="AR42">
        <f t="shared" si="24"/>
        <v>-1230.7692307692307</v>
      </c>
      <c r="AT42">
        <f t="shared" si="52"/>
        <v>-11665058.539253617</v>
      </c>
      <c r="AU42">
        <f t="shared" si="53"/>
        <v>-7338382.448574244</v>
      </c>
      <c r="AV42">
        <f t="shared" si="42"/>
        <v>-2.5800569579303714</v>
      </c>
      <c r="AW42">
        <f t="shared" si="25"/>
        <v>-4545671.9869556893</v>
      </c>
      <c r="AX42">
        <f t="shared" si="26"/>
        <v>-26082449.130665001</v>
      </c>
      <c r="AY42">
        <f t="shared" si="50"/>
        <v>-1.7433441493403323</v>
      </c>
      <c r="BA42">
        <f t="shared" si="27"/>
        <v>0.52053004504346012</v>
      </c>
      <c r="BB42">
        <f t="shared" si="43"/>
        <v>-5.6710839582274533</v>
      </c>
      <c r="BC42">
        <f t="shared" si="44"/>
        <v>-0.83671280859003905</v>
      </c>
      <c r="BD42">
        <f t="shared" si="28"/>
        <v>-227.94011265152631</v>
      </c>
      <c r="BF42">
        <f t="shared" si="29"/>
        <v>18.411909309912467</v>
      </c>
      <c r="BG42">
        <f t="shared" si="30"/>
        <v>-53.512141192541243</v>
      </c>
      <c r="BH42">
        <f t="shared" si="45"/>
        <v>126.48785880745876</v>
      </c>
      <c r="BI42">
        <f t="shared" si="46"/>
        <v>126.48785880745876</v>
      </c>
      <c r="BJ42">
        <f t="shared" si="31"/>
        <v>0</v>
      </c>
      <c r="BK42">
        <f t="shared" si="47"/>
        <v>0</v>
      </c>
      <c r="BM42">
        <f t="shared" si="48"/>
        <v>24.082993268139923</v>
      </c>
      <c r="BN42">
        <f t="shared" si="32"/>
        <v>-5.5720285410149497</v>
      </c>
      <c r="BQ42" s="56">
        <f t="shared" si="49"/>
        <v>11.230876842057684</v>
      </c>
      <c r="BR42" s="58"/>
      <c r="BS42" s="58"/>
      <c r="BT42" s="58">
        <v>208.93</v>
      </c>
      <c r="BU42" s="58">
        <v>28.510899999999999</v>
      </c>
      <c r="BV42" s="58">
        <v>-267.69110000000001</v>
      </c>
      <c r="BW42" s="61"/>
      <c r="BY42" s="58"/>
      <c r="BZ42" s="58"/>
      <c r="CA42" s="58"/>
      <c r="CC42" s="58"/>
    </row>
    <row r="43" spans="1:81" x14ac:dyDescent="0.2">
      <c r="A43">
        <f t="shared" si="54"/>
        <v>4500</v>
      </c>
      <c r="B43">
        <f t="shared" si="33"/>
        <v>4.5</v>
      </c>
      <c r="C43">
        <f t="shared" si="0"/>
        <v>1.0000001598875781</v>
      </c>
      <c r="D43">
        <f t="shared" si="1"/>
        <v>5.6548661672381007E-4</v>
      </c>
      <c r="F43">
        <f t="shared" si="2"/>
        <v>1.0870351449080875</v>
      </c>
      <c r="G43">
        <f t="shared" si="3"/>
        <v>-0.11212070706946527</v>
      </c>
      <c r="H43">
        <f t="shared" si="4"/>
        <v>-0.11212070706946527</v>
      </c>
      <c r="J43">
        <f t="shared" si="5"/>
        <v>15</v>
      </c>
      <c r="M43">
        <f t="shared" si="6"/>
        <v>0.40331435616089184</v>
      </c>
      <c r="N43">
        <f t="shared" si="7"/>
        <v>-1.5707963250000001</v>
      </c>
      <c r="O43">
        <f t="shared" si="8"/>
        <v>1.1350702578735967</v>
      </c>
      <c r="P43">
        <f t="shared" si="9"/>
        <v>0.49281884477142046</v>
      </c>
      <c r="Q43">
        <f t="shared" si="10"/>
        <v>1.0596466435856486</v>
      </c>
      <c r="R43">
        <f t="shared" si="11"/>
        <v>0.33712114883115396</v>
      </c>
      <c r="S43">
        <f t="shared" si="12"/>
        <v>0.99999983300001116</v>
      </c>
      <c r="T43">
        <f t="shared" si="13"/>
        <v>-5.7792731955141918E-4</v>
      </c>
      <c r="U43">
        <f t="shared" si="14"/>
        <v>0.9999576562986997</v>
      </c>
      <c r="V43">
        <f t="shared" si="15"/>
        <v>-9.2026083405851982E-3</v>
      </c>
      <c r="X43">
        <f t="shared" si="34"/>
        <v>17.962878870226653</v>
      </c>
      <c r="Y43">
        <f t="shared" si="16"/>
        <v>-49.399967800362241</v>
      </c>
      <c r="Z43">
        <f t="shared" si="35"/>
        <v>130.60003219963775</v>
      </c>
      <c r="AC43">
        <v>1</v>
      </c>
      <c r="AD43">
        <f t="shared" si="17"/>
        <v>0.53701442281305001</v>
      </c>
      <c r="AE43">
        <f t="shared" si="18"/>
        <v>-1.032493304955924E-6</v>
      </c>
      <c r="AF43">
        <f t="shared" si="19"/>
        <v>1.1219255671680003E-4</v>
      </c>
      <c r="AG43">
        <f t="shared" si="36"/>
        <v>4704.1164947252491</v>
      </c>
      <c r="AH43">
        <f t="shared" si="37"/>
        <v>-8956.5386349383953</v>
      </c>
      <c r="AJ43">
        <f t="shared" si="20"/>
        <v>22100</v>
      </c>
      <c r="AK43">
        <f t="shared" si="21"/>
        <v>12.772195184057402</v>
      </c>
      <c r="AL43">
        <v>1</v>
      </c>
      <c r="AM43">
        <f t="shared" si="22"/>
        <v>0.35050108311149403</v>
      </c>
      <c r="AN43">
        <f t="shared" si="38"/>
        <v>19686.028231623983</v>
      </c>
      <c r="AO43">
        <f t="shared" si="39"/>
        <v>-6887.2020221635994</v>
      </c>
      <c r="AQ43">
        <f t="shared" si="23"/>
        <v>121.95121951219512</v>
      </c>
      <c r="AR43">
        <f t="shared" si="24"/>
        <v>-1097.560975609756</v>
      </c>
      <c r="AT43">
        <f t="shared" si="52"/>
        <v>-9256674.5389902815</v>
      </c>
      <c r="AU43">
        <f t="shared" si="53"/>
        <v>-6255315.4984714193</v>
      </c>
      <c r="AV43">
        <f t="shared" si="42"/>
        <v>-2.5473191959850623</v>
      </c>
      <c r="AW43">
        <f t="shared" si="25"/>
        <v>-5093425.2787052151</v>
      </c>
      <c r="AX43">
        <f t="shared" si="26"/>
        <v>-22736244.647695463</v>
      </c>
      <c r="AY43">
        <f t="shared" si="50"/>
        <v>-1.7911799629442762</v>
      </c>
      <c r="BA43">
        <f t="shared" si="27"/>
        <v>0.47949219343937238</v>
      </c>
      <c r="BB43">
        <f t="shared" si="43"/>
        <v>-6.3843691827465188</v>
      </c>
      <c r="BC43">
        <f t="shared" si="44"/>
        <v>-0.75613923304078612</v>
      </c>
      <c r="BD43">
        <f t="shared" si="28"/>
        <v>-223.32358682700047</v>
      </c>
      <c r="BF43">
        <f t="shared" si="29"/>
        <v>17.862329096695156</v>
      </c>
      <c r="BG43">
        <f t="shared" si="30"/>
        <v>-49.715230148897547</v>
      </c>
      <c r="BH43">
        <f t="shared" si="45"/>
        <v>130.28476985110245</v>
      </c>
      <c r="BI43">
        <f t="shared" si="46"/>
        <v>130.28476985110245</v>
      </c>
      <c r="BJ43">
        <f t="shared" si="31"/>
        <v>0</v>
      </c>
      <c r="BK43">
        <f t="shared" si="47"/>
        <v>0</v>
      </c>
      <c r="BM43">
        <f t="shared" si="48"/>
        <v>24.246698279441677</v>
      </c>
      <c r="BN43">
        <f t="shared" si="32"/>
        <v>-6.3916433218970825</v>
      </c>
      <c r="BQ43" s="56">
        <f t="shared" si="49"/>
        <v>10.517591617538617</v>
      </c>
      <c r="BR43" s="58"/>
      <c r="BS43" s="58"/>
      <c r="BT43" s="58">
        <v>213.79599999999999</v>
      </c>
      <c r="BU43" s="58">
        <v>28.178999999999998</v>
      </c>
      <c r="BV43" s="58">
        <v>-266.9667</v>
      </c>
      <c r="BW43" s="61"/>
      <c r="BY43" s="58"/>
      <c r="BZ43" s="58"/>
      <c r="CA43" s="58"/>
      <c r="CC43" s="58"/>
    </row>
    <row r="44" spans="1:81" x14ac:dyDescent="0.2">
      <c r="A44">
        <f t="shared" si="54"/>
        <v>5000</v>
      </c>
      <c r="B44">
        <f t="shared" si="33"/>
        <v>5</v>
      </c>
      <c r="C44">
        <f t="shared" si="0"/>
        <v>1.000000197392068</v>
      </c>
      <c r="D44">
        <f t="shared" si="1"/>
        <v>6.2831844731661549E-4</v>
      </c>
      <c r="F44">
        <f t="shared" si="2"/>
        <v>1.1105757985986613</v>
      </c>
      <c r="G44">
        <f t="shared" si="3"/>
        <v>-0.12735389741794972</v>
      </c>
      <c r="H44">
        <f t="shared" si="4"/>
        <v>-0.12735389741794972</v>
      </c>
      <c r="J44">
        <f t="shared" si="5"/>
        <v>15</v>
      </c>
      <c r="M44">
        <f t="shared" si="6"/>
        <v>0.36298292054480269</v>
      </c>
      <c r="N44">
        <f t="shared" si="7"/>
        <v>-1.5707963250000001</v>
      </c>
      <c r="O44">
        <f t="shared" si="8"/>
        <v>1.1644871124017091</v>
      </c>
      <c r="P44">
        <f t="shared" si="9"/>
        <v>0.53797673303970694</v>
      </c>
      <c r="Q44">
        <f t="shared" si="10"/>
        <v>1.0731579159981739</v>
      </c>
      <c r="R44">
        <f t="shared" si="11"/>
        <v>0.37137481692470414</v>
      </c>
      <c r="S44">
        <f t="shared" si="12"/>
        <v>0.99999979382718662</v>
      </c>
      <c r="T44">
        <f t="shared" si="13"/>
        <v>-6.4214144939857634E-4</v>
      </c>
      <c r="U44">
        <f t="shared" si="14"/>
        <v>0.99994772460437897</v>
      </c>
      <c r="V44">
        <f t="shared" si="15"/>
        <v>-1.0225052672748222E-2</v>
      </c>
      <c r="X44">
        <f t="shared" si="34"/>
        <v>17.566025349485937</v>
      </c>
      <c r="Y44">
        <f t="shared" si="16"/>
        <v>-45.781479232549891</v>
      </c>
      <c r="Z44">
        <f t="shared" si="35"/>
        <v>134.21852076745012</v>
      </c>
      <c r="AC44">
        <v>1</v>
      </c>
      <c r="AD44">
        <f t="shared" si="17"/>
        <v>0.59668269201449997</v>
      </c>
      <c r="AE44">
        <f t="shared" si="18"/>
        <v>-1.2746830925381775E-6</v>
      </c>
      <c r="AF44">
        <f t="shared" si="19"/>
        <v>1.2465839635200003E-4</v>
      </c>
      <c r="AG44">
        <f t="shared" si="36"/>
        <v>4704.0230515383937</v>
      </c>
      <c r="AH44">
        <f t="shared" si="37"/>
        <v>-8070.0231038594266</v>
      </c>
      <c r="AJ44">
        <f t="shared" si="20"/>
        <v>22100</v>
      </c>
      <c r="AK44">
        <f t="shared" si="21"/>
        <v>14.191327982286001</v>
      </c>
      <c r="AL44">
        <v>1</v>
      </c>
      <c r="AM44">
        <f t="shared" si="22"/>
        <v>0.38944564790166003</v>
      </c>
      <c r="AN44">
        <f t="shared" si="38"/>
        <v>19194.358467173464</v>
      </c>
      <c r="AO44">
        <f t="shared" si="39"/>
        <v>-7460.9680413227989</v>
      </c>
      <c r="AQ44">
        <f t="shared" si="23"/>
        <v>99.009900990099013</v>
      </c>
      <c r="AR44">
        <f t="shared" si="24"/>
        <v>-990.09900990099015</v>
      </c>
      <c r="AT44">
        <f t="shared" si="52"/>
        <v>-7524377.028421374</v>
      </c>
      <c r="AU44">
        <f t="shared" si="53"/>
        <v>-5456460.7543805316</v>
      </c>
      <c r="AV44">
        <f t="shared" si="42"/>
        <v>-2.5141723207316726</v>
      </c>
      <c r="AW44">
        <f t="shared" si="25"/>
        <v>-5423294.9818423511</v>
      </c>
      <c r="AX44">
        <f t="shared" si="26"/>
        <v>-20007871.350541506</v>
      </c>
      <c r="AY44">
        <f t="shared" si="50"/>
        <v>-1.8354940755459603</v>
      </c>
      <c r="BA44">
        <f t="shared" si="27"/>
        <v>0.44836676909265832</v>
      </c>
      <c r="BB44">
        <f t="shared" si="43"/>
        <v>-6.9673316563535561</v>
      </c>
      <c r="BC44">
        <f t="shared" si="44"/>
        <v>-0.67867824518571229</v>
      </c>
      <c r="BD44">
        <f t="shared" si="28"/>
        <v>-218.88539914091925</v>
      </c>
      <c r="BF44">
        <f t="shared" si="29"/>
        <v>17.465459343255965</v>
      </c>
      <c r="BG44">
        <f t="shared" si="30"/>
        <v>-46.146239980585051</v>
      </c>
      <c r="BH44">
        <f t="shared" si="45"/>
        <v>133.85376001941495</v>
      </c>
      <c r="BI44">
        <f t="shared" si="46"/>
        <v>133.85376001941495</v>
      </c>
      <c r="BJ44">
        <f t="shared" si="31"/>
        <v>0</v>
      </c>
      <c r="BK44">
        <f t="shared" si="47"/>
        <v>0</v>
      </c>
      <c r="BM44">
        <f t="shared" si="48"/>
        <v>24.432790999609523</v>
      </c>
      <c r="BN44">
        <f t="shared" si="32"/>
        <v>-7.2608408396658159</v>
      </c>
      <c r="BQ44" s="56">
        <f t="shared" si="49"/>
        <v>9.9346291439315788</v>
      </c>
      <c r="BR44" s="58"/>
      <c r="BS44" s="58"/>
      <c r="BT44" s="58">
        <v>218.77600000000001</v>
      </c>
      <c r="BU44" s="58">
        <v>27.706399999999999</v>
      </c>
      <c r="BV44" s="58">
        <v>-263.5369</v>
      </c>
      <c r="BW44" s="61"/>
      <c r="BY44" s="58"/>
      <c r="BZ44" s="58"/>
      <c r="CA44" s="58"/>
      <c r="CC44" s="58"/>
    </row>
    <row r="45" spans="1:81" x14ac:dyDescent="0.2">
      <c r="A45">
        <f t="shared" si="54"/>
        <v>5500</v>
      </c>
      <c r="B45">
        <f t="shared" si="33"/>
        <v>5.5</v>
      </c>
      <c r="C45">
        <f t="shared" si="0"/>
        <v>1.0000002388443976</v>
      </c>
      <c r="D45">
        <f t="shared" si="1"/>
        <v>6.9115027294842078E-4</v>
      </c>
      <c r="F45">
        <f t="shared" si="2"/>
        <v>1.1377044787804986</v>
      </c>
      <c r="G45">
        <f t="shared" si="3"/>
        <v>-0.14361690232651705</v>
      </c>
      <c r="H45">
        <f t="shared" si="4"/>
        <v>-0.14361690232651705</v>
      </c>
      <c r="J45">
        <f t="shared" si="5"/>
        <v>15</v>
      </c>
      <c r="M45">
        <f t="shared" si="6"/>
        <v>0.32998447322254787</v>
      </c>
      <c r="N45">
        <f t="shared" si="7"/>
        <v>-1.5707963250000001</v>
      </c>
      <c r="O45">
        <f t="shared" si="8"/>
        <v>1.1961590965624522</v>
      </c>
      <c r="P45">
        <f t="shared" si="9"/>
        <v>0.58082691977745249</v>
      </c>
      <c r="Q45">
        <f t="shared" si="10"/>
        <v>1.0878962148707698</v>
      </c>
      <c r="R45">
        <f t="shared" si="11"/>
        <v>0.4047386800664286</v>
      </c>
      <c r="S45">
        <f t="shared" si="12"/>
        <v>0.99999975053091206</v>
      </c>
      <c r="T45">
        <f t="shared" si="13"/>
        <v>-7.0635557395005131E-4</v>
      </c>
      <c r="U45">
        <f t="shared" si="14"/>
        <v>0.99993674781283637</v>
      </c>
      <c r="V45">
        <f t="shared" si="15"/>
        <v>-1.1247475626235678E-2</v>
      </c>
      <c r="X45">
        <f t="shared" si="34"/>
        <v>17.299263396055469</v>
      </c>
      <c r="Y45">
        <f t="shared" si="16"/>
        <v>-42.405197094466466</v>
      </c>
      <c r="Z45">
        <f t="shared" si="35"/>
        <v>137.59480290553353</v>
      </c>
      <c r="AC45">
        <v>1</v>
      </c>
      <c r="AD45">
        <f t="shared" si="17"/>
        <v>0.65635096121595005</v>
      </c>
      <c r="AE45">
        <f t="shared" si="18"/>
        <v>-1.542366541971195E-6</v>
      </c>
      <c r="AF45">
        <f t="shared" si="19"/>
        <v>1.3712423598720002E-4</v>
      </c>
      <c r="AG45">
        <f t="shared" si="36"/>
        <v>4703.9197765455756</v>
      </c>
      <c r="AH45">
        <f t="shared" si="37"/>
        <v>-7345.5663123875756</v>
      </c>
      <c r="AJ45">
        <f t="shared" si="20"/>
        <v>22100</v>
      </c>
      <c r="AK45">
        <f t="shared" si="21"/>
        <v>15.610460780514602</v>
      </c>
      <c r="AL45">
        <v>1</v>
      </c>
      <c r="AM45">
        <f t="shared" si="22"/>
        <v>0.42839021269182609</v>
      </c>
      <c r="AN45">
        <f t="shared" si="38"/>
        <v>18678.789940108869</v>
      </c>
      <c r="AO45">
        <f t="shared" si="39"/>
        <v>-7986.2003344886652</v>
      </c>
      <c r="AQ45">
        <f t="shared" si="23"/>
        <v>81.967213114754102</v>
      </c>
      <c r="AR45">
        <f t="shared" si="24"/>
        <v>-901.63934426229503</v>
      </c>
      <c r="AT45">
        <f t="shared" si="52"/>
        <v>-6237484.3983375207</v>
      </c>
      <c r="AU45">
        <f t="shared" si="53"/>
        <v>-4843334.7421630258</v>
      </c>
      <c r="AV45">
        <f t="shared" si="42"/>
        <v>-2.4813533222378314</v>
      </c>
      <c r="AW45">
        <f t="shared" si="25"/>
        <v>-5607924.1458902089</v>
      </c>
      <c r="AX45">
        <f t="shared" si="26"/>
        <v>-17740810.053756181</v>
      </c>
      <c r="AY45">
        <f t="shared" si="50"/>
        <v>-1.8769603125972627</v>
      </c>
      <c r="BA45">
        <f t="shared" si="27"/>
        <v>0.42443688658897993</v>
      </c>
      <c r="BB45">
        <f t="shared" si="43"/>
        <v>-7.4437375969257413</v>
      </c>
      <c r="BC45">
        <f t="shared" si="44"/>
        <v>-0.60439300964056875</v>
      </c>
      <c r="BD45">
        <f t="shared" si="28"/>
        <v>-214.62916865918385</v>
      </c>
      <c r="BF45">
        <f t="shared" si="29"/>
        <v>17.198679014141788</v>
      </c>
      <c r="BG45">
        <f t="shared" si="30"/>
        <v>-42.818211044943943</v>
      </c>
      <c r="BH45">
        <f t="shared" si="45"/>
        <v>137.18178895505605</v>
      </c>
      <c r="BI45">
        <f t="shared" si="46"/>
        <v>137.18178895505605</v>
      </c>
      <c r="BJ45">
        <f t="shared" si="31"/>
        <v>0</v>
      </c>
      <c r="BK45">
        <f t="shared" si="47"/>
        <v>0</v>
      </c>
      <c r="BM45">
        <f t="shared" si="48"/>
        <v>24.642416611067528</v>
      </c>
      <c r="BN45">
        <f t="shared" si="32"/>
        <v>-8.1890423857600876</v>
      </c>
      <c r="BQ45" s="56">
        <f t="shared" si="49"/>
        <v>9.4582232033593954</v>
      </c>
      <c r="BR45" s="58"/>
      <c r="BS45" s="58"/>
      <c r="BT45" s="58">
        <v>223.87200000000001</v>
      </c>
      <c r="BU45" s="58">
        <v>27.937100000000001</v>
      </c>
      <c r="BV45" s="58">
        <v>-265.19450000000001</v>
      </c>
      <c r="BW45" s="61"/>
      <c r="BY45" s="58"/>
      <c r="BZ45" s="58"/>
      <c r="CA45" s="58"/>
      <c r="CC45" s="58"/>
    </row>
    <row r="46" spans="1:81" x14ac:dyDescent="0.2">
      <c r="A46">
        <f t="shared" si="54"/>
        <v>6000</v>
      </c>
      <c r="B46">
        <f t="shared" si="33"/>
        <v>6</v>
      </c>
      <c r="C46">
        <f t="shared" si="0"/>
        <v>1.0000002842445657</v>
      </c>
      <c r="D46">
        <f t="shared" si="1"/>
        <v>7.5398209312312644E-4</v>
      </c>
      <c r="F46">
        <f t="shared" si="2"/>
        <v>1.1688354632423859</v>
      </c>
      <c r="G46">
        <f t="shared" si="3"/>
        <v>-0.16110325457609845</v>
      </c>
      <c r="H46">
        <f t="shared" si="4"/>
        <v>-0.16110325457609845</v>
      </c>
      <c r="J46">
        <f t="shared" si="5"/>
        <v>15</v>
      </c>
      <c r="M46">
        <f t="shared" si="6"/>
        <v>0.30248576712066888</v>
      </c>
      <c r="N46">
        <f t="shared" si="7"/>
        <v>-1.5707963250000001</v>
      </c>
      <c r="O46">
        <f t="shared" si="8"/>
        <v>1.2299120043025542</v>
      </c>
      <c r="P46">
        <f t="shared" si="9"/>
        <v>0.62139641389600564</v>
      </c>
      <c r="Q46">
        <f t="shared" si="10"/>
        <v>1.1038123908727167</v>
      </c>
      <c r="R46">
        <f t="shared" si="11"/>
        <v>0.43717565047360191</v>
      </c>
      <c r="S46">
        <f t="shared" si="12"/>
        <v>0.99999970311118891</v>
      </c>
      <c r="T46">
        <f t="shared" si="13"/>
        <v>-7.705696926762765E-4</v>
      </c>
      <c r="U46">
        <f t="shared" si="14"/>
        <v>0.99992472602733506</v>
      </c>
      <c r="V46">
        <f t="shared" si="15"/>
        <v>-1.2269875064212591E-2</v>
      </c>
      <c r="X46">
        <f t="shared" si="34"/>
        <v>17.14572382140879</v>
      </c>
      <c r="Y46">
        <f t="shared" si="16"/>
        <v>-39.28278735202867</v>
      </c>
      <c r="Z46">
        <f t="shared" si="35"/>
        <v>140.71721264797134</v>
      </c>
      <c r="AC46">
        <v>1</v>
      </c>
      <c r="AD46">
        <f t="shared" si="17"/>
        <v>0.71601923041740001</v>
      </c>
      <c r="AE46">
        <f t="shared" si="18"/>
        <v>-1.8355436532549761E-6</v>
      </c>
      <c r="AF46">
        <f t="shared" si="19"/>
        <v>1.4959007562240003E-4</v>
      </c>
      <c r="AG46">
        <f t="shared" si="36"/>
        <v>4703.8066710421353</v>
      </c>
      <c r="AH46">
        <f t="shared" si="37"/>
        <v>-6742.6534700550292</v>
      </c>
      <c r="AJ46">
        <f t="shared" si="20"/>
        <v>22100</v>
      </c>
      <c r="AK46">
        <f t="shared" si="21"/>
        <v>17.029593578743203</v>
      </c>
      <c r="AL46">
        <v>1</v>
      </c>
      <c r="AM46">
        <f t="shared" si="22"/>
        <v>0.46733477748199198</v>
      </c>
      <c r="AN46">
        <f t="shared" si="38"/>
        <v>18145.0475744258</v>
      </c>
      <c r="AO46">
        <f t="shared" si="39"/>
        <v>-8462.782177015697</v>
      </c>
      <c r="AQ46">
        <f t="shared" si="23"/>
        <v>68.965517241379317</v>
      </c>
      <c r="AR46">
        <f t="shared" si="24"/>
        <v>-827.58620689655174</v>
      </c>
      <c r="AT46">
        <f t="shared" si="52"/>
        <v>-5255726.5496288426</v>
      </c>
      <c r="AU46">
        <f t="shared" si="53"/>
        <v>-4357816.105004183</v>
      </c>
      <c r="AV46">
        <f t="shared" si="42"/>
        <v>-2.4493248828695591</v>
      </c>
      <c r="AW46">
        <f t="shared" si="25"/>
        <v>-5692328.7968871119</v>
      </c>
      <c r="AX46">
        <f t="shared" si="26"/>
        <v>-15828216.71436502</v>
      </c>
      <c r="AY46">
        <f t="shared" si="50"/>
        <v>-1.9160258419466456</v>
      </c>
      <c r="BA46">
        <f t="shared" si="27"/>
        <v>0.40589265131010843</v>
      </c>
      <c r="BB46">
        <f t="shared" si="43"/>
        <v>-7.8317762303362324</v>
      </c>
      <c r="BC46">
        <f t="shared" si="44"/>
        <v>-0.53329904092291347</v>
      </c>
      <c r="BD46">
        <f t="shared" si="28"/>
        <v>-210.5557842981726</v>
      </c>
      <c r="BF46">
        <f t="shared" si="29"/>
        <v>17.045119017863378</v>
      </c>
      <c r="BG46">
        <f t="shared" si="30"/>
        <v>-39.743120869938366</v>
      </c>
      <c r="BH46">
        <f t="shared" si="45"/>
        <v>140.25687913006163</v>
      </c>
      <c r="BI46">
        <f t="shared" si="46"/>
        <v>140.25687913006163</v>
      </c>
      <c r="BJ46">
        <f t="shared" si="31"/>
        <v>0</v>
      </c>
      <c r="BK46">
        <f t="shared" si="47"/>
        <v>0</v>
      </c>
      <c r="BM46">
        <f t="shared" si="48"/>
        <v>24.87689524819961</v>
      </c>
      <c r="BN46">
        <f t="shared" si="32"/>
        <v>-9.1873365717657745</v>
      </c>
      <c r="BQ46" s="56">
        <f t="shared" si="49"/>
        <v>9.0701845699489034</v>
      </c>
      <c r="BR46" s="58"/>
      <c r="BS46" s="58"/>
      <c r="BT46" s="58">
        <v>229.08699999999999</v>
      </c>
      <c r="BU46" s="58">
        <v>27.676300000000001</v>
      </c>
      <c r="BV46" s="58">
        <v>-266.75440000000003</v>
      </c>
      <c r="BW46" s="61"/>
      <c r="BY46" s="58"/>
      <c r="BZ46" s="58"/>
      <c r="CA46" s="58"/>
      <c r="CC46" s="58"/>
    </row>
    <row r="47" spans="1:81" x14ac:dyDescent="0.2">
      <c r="A47">
        <f t="shared" si="54"/>
        <v>6500</v>
      </c>
      <c r="B47">
        <f t="shared" si="33"/>
        <v>6.5</v>
      </c>
      <c r="C47">
        <f t="shared" si="0"/>
        <v>1.0000003335925722</v>
      </c>
      <c r="D47">
        <f t="shared" si="1"/>
        <v>8.1681390734463389E-4</v>
      </c>
      <c r="F47">
        <f t="shared" si="2"/>
        <v>1.2044685155338268</v>
      </c>
      <c r="G47">
        <f t="shared" si="3"/>
        <v>-0.18004335335414445</v>
      </c>
      <c r="H47">
        <f t="shared" si="4"/>
        <v>-0.18004335335414445</v>
      </c>
      <c r="J47">
        <f t="shared" si="5"/>
        <v>15</v>
      </c>
      <c r="M47">
        <f t="shared" si="6"/>
        <v>0.27921763118830978</v>
      </c>
      <c r="N47">
        <f t="shared" si="7"/>
        <v>-1.5707963250000001</v>
      </c>
      <c r="O47">
        <f t="shared" si="8"/>
        <v>1.2655793523382657</v>
      </c>
      <c r="P47">
        <f t="shared" si="9"/>
        <v>0.65973944485737013</v>
      </c>
      <c r="Q47">
        <f t="shared" si="10"/>
        <v>1.1208562675078053</v>
      </c>
      <c r="R47">
        <f t="shared" si="11"/>
        <v>0.46865845484791185</v>
      </c>
      <c r="S47">
        <f t="shared" si="12"/>
        <v>0.99999965156801962</v>
      </c>
      <c r="T47">
        <f t="shared" si="13"/>
        <v>-8.3478380504768527E-4</v>
      </c>
      <c r="U47">
        <f t="shared" si="14"/>
        <v>0.9999116593609616</v>
      </c>
      <c r="V47">
        <f t="shared" si="15"/>
        <v>-1.3292248850138922E-2</v>
      </c>
      <c r="X47">
        <f t="shared" si="34"/>
        <v>17.092609618774681</v>
      </c>
      <c r="Y47">
        <f t="shared" si="16"/>
        <v>-36.42590630946593</v>
      </c>
      <c r="Z47">
        <f t="shared" si="35"/>
        <v>143.57409369053408</v>
      </c>
      <c r="AC47">
        <v>1</v>
      </c>
      <c r="AD47">
        <f t="shared" si="17"/>
        <v>0.77568749961884997</v>
      </c>
      <c r="AE47">
        <f t="shared" si="18"/>
        <v>-2.1542144263895205E-6</v>
      </c>
      <c r="AF47">
        <f t="shared" si="19"/>
        <v>1.6205591525760002E-4</v>
      </c>
      <c r="AG47">
        <f t="shared" si="36"/>
        <v>4703.6837364466282</v>
      </c>
      <c r="AH47">
        <f t="shared" si="37"/>
        <v>-6233.2358665004313</v>
      </c>
      <c r="AJ47">
        <f t="shared" si="20"/>
        <v>22100</v>
      </c>
      <c r="AK47">
        <f t="shared" si="21"/>
        <v>18.448726376971802</v>
      </c>
      <c r="AL47">
        <v>1</v>
      </c>
      <c r="AM47">
        <f t="shared" si="22"/>
        <v>0.50627934227215798</v>
      </c>
      <c r="AN47">
        <f t="shared" si="38"/>
        <v>17598.511376707818</v>
      </c>
      <c r="AO47">
        <f t="shared" si="39"/>
        <v>-8891.3140383917525</v>
      </c>
      <c r="AQ47">
        <f t="shared" si="23"/>
        <v>58.823529411764703</v>
      </c>
      <c r="AR47">
        <f t="shared" si="24"/>
        <v>-764.70588235294122</v>
      </c>
      <c r="AT47">
        <f t="shared" si="52"/>
        <v>-4489904.8545917049</v>
      </c>
      <c r="AU47">
        <f t="shared" si="53"/>
        <v>-3963595.555312153</v>
      </c>
      <c r="AV47">
        <f t="shared" si="42"/>
        <v>-2.4183735663127841</v>
      </c>
      <c r="AW47">
        <f t="shared" si="25"/>
        <v>-5705834.1581795271</v>
      </c>
      <c r="AX47">
        <f t="shared" si="26"/>
        <v>-14194652.195206843</v>
      </c>
      <c r="AY47">
        <f t="shared" si="50"/>
        <v>-1.9530004205565197</v>
      </c>
      <c r="BA47">
        <f t="shared" si="27"/>
        <v>0.39148242003438227</v>
      </c>
      <c r="BB47">
        <f t="shared" si="43"/>
        <v>-8.1457547131671841</v>
      </c>
      <c r="BC47">
        <f t="shared" si="44"/>
        <v>-0.46537314575626443</v>
      </c>
      <c r="BD47">
        <f t="shared" si="28"/>
        <v>-206.66391718102841</v>
      </c>
      <c r="BF47">
        <f t="shared" si="29"/>
        <v>16.991982408451552</v>
      </c>
      <c r="BG47">
        <f t="shared" si="30"/>
        <v>-36.932841479798959</v>
      </c>
      <c r="BH47">
        <f t="shared" si="45"/>
        <v>143.06715852020105</v>
      </c>
      <c r="BI47">
        <f t="shared" si="46"/>
        <v>143.06715852020105</v>
      </c>
      <c r="BJ47">
        <f t="shared" si="31"/>
        <v>0</v>
      </c>
      <c r="BK47">
        <f t="shared" si="47"/>
        <v>0</v>
      </c>
      <c r="BM47">
        <f t="shared" si="48"/>
        <v>25.137737121618734</v>
      </c>
      <c r="BN47">
        <f t="shared" si="32"/>
        <v>-10.26892429877055</v>
      </c>
      <c r="BQ47" s="56">
        <f t="shared" si="49"/>
        <v>8.7562060871179543</v>
      </c>
      <c r="BR47" s="58"/>
      <c r="BS47" s="58"/>
      <c r="BT47" s="58">
        <v>234.423</v>
      </c>
      <c r="BU47" s="58">
        <v>27.670300000000001</v>
      </c>
      <c r="BV47" s="58">
        <v>-266.76120000000003</v>
      </c>
      <c r="BW47" s="61"/>
      <c r="BY47" s="58"/>
      <c r="BZ47" s="58"/>
      <c r="CA47" s="58"/>
      <c r="CC47" s="58"/>
    </row>
    <row r="48" spans="1:81" x14ac:dyDescent="0.2">
      <c r="A48">
        <f t="shared" si="54"/>
        <v>7000</v>
      </c>
      <c r="B48">
        <f t="shared" si="33"/>
        <v>7</v>
      </c>
      <c r="C48">
        <f t="shared" si="0"/>
        <v>1.0000003868884169</v>
      </c>
      <c r="D48">
        <f t="shared" si="1"/>
        <v>8.796457151168444E-4</v>
      </c>
      <c r="F48">
        <f t="shared" si="2"/>
        <v>1.2452065561220516</v>
      </c>
      <c r="G48">
        <f t="shared" si="3"/>
        <v>-0.20071452854579813</v>
      </c>
      <c r="H48">
        <f t="shared" si="4"/>
        <v>-0.20071452854579813</v>
      </c>
      <c r="J48">
        <f t="shared" si="5"/>
        <v>15</v>
      </c>
      <c r="M48">
        <f t="shared" si="6"/>
        <v>0.25927351467485904</v>
      </c>
      <c r="N48">
        <f t="shared" si="7"/>
        <v>-1.5707963250000001</v>
      </c>
      <c r="O48">
        <f t="shared" si="8"/>
        <v>1.3030039372547402</v>
      </c>
      <c r="P48">
        <f t="shared" si="9"/>
        <v>0.69593065812391175</v>
      </c>
      <c r="Q48">
        <f t="shared" si="10"/>
        <v>1.1389772205063216</v>
      </c>
      <c r="R48">
        <f t="shared" si="11"/>
        <v>0.49916895129026073</v>
      </c>
      <c r="S48">
        <f t="shared" si="12"/>
        <v>0.99999959590140575</v>
      </c>
      <c r="T48">
        <f t="shared" si="13"/>
        <v>-8.9899791053471101E-4</v>
      </c>
      <c r="U48">
        <f t="shared" si="14"/>
        <v>0.99989754793662378</v>
      </c>
      <c r="V48">
        <f t="shared" si="15"/>
        <v>-1.4314594847796345E-2</v>
      </c>
      <c r="X48">
        <f t="shared" si="34"/>
        <v>17.130141496300229</v>
      </c>
      <c r="Y48">
        <f t="shared" si="16"/>
        <v>-33.847206260643361</v>
      </c>
      <c r="Z48">
        <f t="shared" si="35"/>
        <v>146.15279373935664</v>
      </c>
      <c r="AC48">
        <v>1</v>
      </c>
      <c r="AD48">
        <f t="shared" si="17"/>
        <v>0.83535576882029994</v>
      </c>
      <c r="AE48">
        <f t="shared" si="18"/>
        <v>-2.4983788613748281E-6</v>
      </c>
      <c r="AF48">
        <f t="shared" si="19"/>
        <v>1.7452175489280004E-4</v>
      </c>
      <c r="AG48">
        <f t="shared" si="36"/>
        <v>4703.5509743007597</v>
      </c>
      <c r="AH48">
        <f t="shared" si="37"/>
        <v>-5797.278700005395</v>
      </c>
      <c r="AJ48">
        <f t="shared" si="20"/>
        <v>22100</v>
      </c>
      <c r="AK48">
        <f t="shared" si="21"/>
        <v>19.867859175200401</v>
      </c>
      <c r="AL48">
        <v>1</v>
      </c>
      <c r="AM48">
        <f t="shared" si="22"/>
        <v>0.54522390706232404</v>
      </c>
      <c r="AN48">
        <f t="shared" si="38"/>
        <v>17044.137011561776</v>
      </c>
      <c r="AO48">
        <f t="shared" si="39"/>
        <v>-9273.0031147740756</v>
      </c>
      <c r="AQ48">
        <f t="shared" si="23"/>
        <v>50.761421319796952</v>
      </c>
      <c r="AR48">
        <f t="shared" si="24"/>
        <v>-710.65989847715741</v>
      </c>
      <c r="AT48">
        <f t="shared" si="52"/>
        <v>-3881134.559683999</v>
      </c>
      <c r="AU48">
        <f t="shared" si="53"/>
        <v>-3636903.1644779714</v>
      </c>
      <c r="AV48">
        <f t="shared" si="42"/>
        <v>-2.3886691255283874</v>
      </c>
      <c r="AW48">
        <f t="shared" si="25"/>
        <v>-5668363.7718484914</v>
      </c>
      <c r="AX48">
        <f t="shared" si="26"/>
        <v>-12785259.17191333</v>
      </c>
      <c r="AY48">
        <f t="shared" si="50"/>
        <v>-1.9881076174099259</v>
      </c>
      <c r="BA48">
        <f t="shared" si="27"/>
        <v>0.38031343794078615</v>
      </c>
      <c r="BB48">
        <f t="shared" si="43"/>
        <v>-8.3971665803602118</v>
      </c>
      <c r="BC48">
        <f t="shared" si="44"/>
        <v>-0.40056150811846147</v>
      </c>
      <c r="BD48">
        <f t="shared" si="28"/>
        <v>-202.95048387680785</v>
      </c>
      <c r="BF48">
        <f t="shared" si="29"/>
        <v>17.029489933525788</v>
      </c>
      <c r="BG48">
        <f t="shared" si="30"/>
        <v>-34.400179275580392</v>
      </c>
      <c r="BH48">
        <f t="shared" si="45"/>
        <v>145.5998207244196</v>
      </c>
      <c r="BI48">
        <f t="shared" si="46"/>
        <v>145.5998207244196</v>
      </c>
      <c r="BJ48">
        <f t="shared" si="31"/>
        <v>0</v>
      </c>
      <c r="BK48">
        <f t="shared" si="47"/>
        <v>0</v>
      </c>
      <c r="BM48">
        <f t="shared" si="48"/>
        <v>25.426656513886002</v>
      </c>
      <c r="BN48">
        <f t="shared" si="32"/>
        <v>-11.44969539877254</v>
      </c>
      <c r="BQ48" s="56">
        <f t="shared" si="49"/>
        <v>8.5047942199249231</v>
      </c>
      <c r="BR48" s="58"/>
      <c r="BS48" s="58"/>
      <c r="BT48" s="58">
        <v>239.88300000000001</v>
      </c>
      <c r="BU48" s="58">
        <v>27.2761</v>
      </c>
      <c r="BV48" s="58">
        <v>-267.59569999999997</v>
      </c>
      <c r="BW48" s="61"/>
      <c r="BY48" s="58"/>
      <c r="BZ48" s="58"/>
      <c r="CA48" s="58"/>
      <c r="CC48" s="58"/>
    </row>
    <row r="49" spans="1:81" x14ac:dyDescent="0.2">
      <c r="A49">
        <f t="shared" si="54"/>
        <v>7500</v>
      </c>
      <c r="B49">
        <f t="shared" si="33"/>
        <v>7.5</v>
      </c>
      <c r="C49">
        <f t="shared" si="0"/>
        <v>1.0000004441320984</v>
      </c>
      <c r="D49">
        <f t="shared" si="1"/>
        <v>9.4247751594365981E-4</v>
      </c>
      <c r="F49">
        <f t="shared" si="2"/>
        <v>1.2917772586917431</v>
      </c>
      <c r="G49">
        <f t="shared" si="3"/>
        <v>-0.22345420902468158</v>
      </c>
      <c r="H49">
        <f t="shared" si="4"/>
        <v>-0.22345420902468158</v>
      </c>
      <c r="J49">
        <f t="shared" si="5"/>
        <v>15</v>
      </c>
      <c r="M49">
        <f t="shared" si="6"/>
        <v>0.24198861369653513</v>
      </c>
      <c r="N49">
        <f t="shared" si="7"/>
        <v>-1.5707963250000001</v>
      </c>
      <c r="O49">
        <f t="shared" si="8"/>
        <v>1.3420387582468547</v>
      </c>
      <c r="P49">
        <f t="shared" si="9"/>
        <v>0.73005913958371993</v>
      </c>
      <c r="Q49">
        <f t="shared" si="10"/>
        <v>1.1581246925553714</v>
      </c>
      <c r="R49">
        <f t="shared" si="11"/>
        <v>0.52869733047305034</v>
      </c>
      <c r="S49">
        <f t="shared" si="12"/>
        <v>0.99999953611134917</v>
      </c>
      <c r="T49">
        <f t="shared" si="13"/>
        <v>-9.6321200860778719E-4</v>
      </c>
      <c r="U49">
        <f t="shared" si="14"/>
        <v>0.99988239188704608</v>
      </c>
      <c r="V49">
        <f t="shared" si="15"/>
        <v>-1.5336910921315007E-2</v>
      </c>
      <c r="X49">
        <f t="shared" si="34"/>
        <v>17.250862340519088</v>
      </c>
      <c r="Y49">
        <f t="shared" si="16"/>
        <v>-31.561478121213554</v>
      </c>
      <c r="Z49">
        <f t="shared" si="35"/>
        <v>148.43852187878645</v>
      </c>
      <c r="AC49">
        <v>1</v>
      </c>
      <c r="AD49">
        <f t="shared" si="17"/>
        <v>0.89502403802175012</v>
      </c>
      <c r="AE49">
        <f t="shared" si="18"/>
        <v>-2.8680369582108993E-6</v>
      </c>
      <c r="AF49">
        <f t="shared" si="19"/>
        <v>1.8698759452800002E-4</v>
      </c>
      <c r="AG49">
        <f t="shared" si="36"/>
        <v>4703.4083862693533</v>
      </c>
      <c r="AH49">
        <f t="shared" si="37"/>
        <v>-5420.0897746166638</v>
      </c>
      <c r="AJ49">
        <f t="shared" si="20"/>
        <v>22100</v>
      </c>
      <c r="AK49">
        <f t="shared" si="21"/>
        <v>21.286991973429004</v>
      </c>
      <c r="AL49">
        <v>1</v>
      </c>
      <c r="AM49">
        <f t="shared" si="22"/>
        <v>0.58416847185248999</v>
      </c>
      <c r="AN49">
        <f t="shared" si="38"/>
        <v>16486.403705373305</v>
      </c>
      <c r="AO49">
        <f t="shared" si="39"/>
        <v>-9609.550266937722</v>
      </c>
      <c r="AQ49">
        <f t="shared" si="23"/>
        <v>44.247787610619469</v>
      </c>
      <c r="AR49">
        <f t="shared" si="24"/>
        <v>-663.71681415929208</v>
      </c>
      <c r="AT49">
        <f t="shared" si="52"/>
        <v>-3389289.3023442747</v>
      </c>
      <c r="AU49">
        <f t="shared" si="53"/>
        <v>-3361558.2110025208</v>
      </c>
      <c r="AV49">
        <f t="shared" si="42"/>
        <v>-2.3603022611515643</v>
      </c>
      <c r="AW49">
        <f t="shared" si="25"/>
        <v>-5593937.4021285968</v>
      </c>
      <c r="AX49">
        <f t="shared" si="26"/>
        <v>-11559100.269093355</v>
      </c>
      <c r="AY49">
        <f t="shared" si="50"/>
        <v>-2.021515439059467</v>
      </c>
      <c r="BA49">
        <f t="shared" si="27"/>
        <v>0.37173216296309891</v>
      </c>
      <c r="BB49">
        <f t="shared" si="43"/>
        <v>-8.5953972261295615</v>
      </c>
      <c r="BC49">
        <f t="shared" si="44"/>
        <v>-0.33878682209209732</v>
      </c>
      <c r="BD49">
        <f t="shared" si="28"/>
        <v>-199.41105508270701</v>
      </c>
      <c r="BF49">
        <f t="shared" si="29"/>
        <v>17.15018450596099</v>
      </c>
      <c r="BG49">
        <f t="shared" si="30"/>
        <v>-32.160038204873672</v>
      </c>
      <c r="BH49">
        <f t="shared" si="45"/>
        <v>147.83996179512633</v>
      </c>
      <c r="BI49">
        <f t="shared" si="46"/>
        <v>147.83996179512633</v>
      </c>
      <c r="BJ49">
        <f t="shared" si="31"/>
        <v>0</v>
      </c>
      <c r="BK49">
        <f t="shared" si="47"/>
        <v>0</v>
      </c>
      <c r="BM49">
        <f t="shared" si="48"/>
        <v>25.745581732090553</v>
      </c>
      <c r="BN49">
        <f t="shared" si="32"/>
        <v>-12.74898312216666</v>
      </c>
      <c r="BQ49" s="56">
        <f t="shared" si="49"/>
        <v>8.3065635741555752</v>
      </c>
      <c r="BR49" s="58"/>
      <c r="BS49" s="58"/>
      <c r="BT49" s="58">
        <v>245.471</v>
      </c>
      <c r="BU49" s="58">
        <v>27.075500000000002</v>
      </c>
      <c r="BV49" s="58">
        <v>-266.80959999999999</v>
      </c>
      <c r="BW49" s="61"/>
      <c r="BY49" s="58"/>
      <c r="BZ49" s="58"/>
      <c r="CA49" s="58"/>
      <c r="CC49" s="58"/>
    </row>
    <row r="50" spans="1:81" x14ac:dyDescent="0.2">
      <c r="A50">
        <f t="shared" si="54"/>
        <v>8000</v>
      </c>
      <c r="B50">
        <f t="shared" si="33"/>
        <v>8</v>
      </c>
      <c r="C50">
        <f t="shared" si="0"/>
        <v>1.0000005053236165</v>
      </c>
      <c r="D50">
        <f t="shared" si="1"/>
        <v>1.0053093093289819E-3</v>
      </c>
      <c r="F50">
        <f t="shared" si="2"/>
        <v>1.3450589165067053</v>
      </c>
      <c r="G50">
        <f t="shared" si="3"/>
        <v>-0.24867729765011021</v>
      </c>
      <c r="H50">
        <f t="shared" si="4"/>
        <v>-0.24867729765011021</v>
      </c>
      <c r="J50">
        <f t="shared" si="5"/>
        <v>15</v>
      </c>
      <c r="M50">
        <f t="shared" si="6"/>
        <v>0.22686432534050166</v>
      </c>
      <c r="N50">
        <f t="shared" si="7"/>
        <v>-1.5707963250000001</v>
      </c>
      <c r="O50">
        <f t="shared" si="8"/>
        <v>1.3825474319064635</v>
      </c>
      <c r="P50">
        <f t="shared" si="9"/>
        <v>0.76222337462267387</v>
      </c>
      <c r="Q50">
        <f t="shared" si="10"/>
        <v>1.1782486394789649</v>
      </c>
      <c r="R50">
        <f t="shared" si="11"/>
        <v>0.55724124696563049</v>
      </c>
      <c r="S50">
        <f t="shared" si="12"/>
        <v>0.99999947219785212</v>
      </c>
      <c r="T50">
        <f t="shared" si="13"/>
        <v>-1.0274260987373481E-3</v>
      </c>
      <c r="U50">
        <f t="shared" si="14"/>
        <v>0.99986619135476806</v>
      </c>
      <c r="V50">
        <f t="shared" si="15"/>
        <v>-1.6359194935200286E-2</v>
      </c>
      <c r="X50">
        <f t="shared" si="34"/>
        <v>17.449152712391683</v>
      </c>
      <c r="Y50">
        <f t="shared" si="16"/>
        <v>-29.586985537910081</v>
      </c>
      <c r="Z50">
        <f t="shared" si="35"/>
        <v>150.4130144620899</v>
      </c>
      <c r="AC50">
        <v>1</v>
      </c>
      <c r="AD50">
        <f t="shared" si="17"/>
        <v>0.95469230722320009</v>
      </c>
      <c r="AE50">
        <f t="shared" si="18"/>
        <v>-3.2631887168977343E-6</v>
      </c>
      <c r="AF50">
        <f t="shared" si="19"/>
        <v>1.9945343416320001E-4</v>
      </c>
      <c r="AG50">
        <f t="shared" si="36"/>
        <v>4703.2559741402811</v>
      </c>
      <c r="AH50">
        <f t="shared" si="37"/>
        <v>-5090.649935847694</v>
      </c>
      <c r="AJ50">
        <f t="shared" si="20"/>
        <v>22100</v>
      </c>
      <c r="AK50">
        <f t="shared" si="21"/>
        <v>22.706124771657603</v>
      </c>
      <c r="AL50">
        <v>1</v>
      </c>
      <c r="AM50">
        <f t="shared" si="22"/>
        <v>0.62311303664265605</v>
      </c>
      <c r="AN50">
        <f t="shared" si="38"/>
        <v>15929.286643995991</v>
      </c>
      <c r="AO50">
        <f t="shared" si="39"/>
        <v>-9903.0400475199876</v>
      </c>
      <c r="AQ50">
        <f t="shared" si="23"/>
        <v>38.910505836575872</v>
      </c>
      <c r="AR50">
        <f t="shared" si="24"/>
        <v>-622.56809338521396</v>
      </c>
      <c r="AT50">
        <f t="shared" si="52"/>
        <v>-2986270.1556195649</v>
      </c>
      <c r="AU50">
        <f t="shared" si="53"/>
        <v>-3126176.8685638984</v>
      </c>
      <c r="AV50">
        <f t="shared" si="42"/>
        <v>-2.3333096639063622</v>
      </c>
      <c r="AW50">
        <f t="shared" si="25"/>
        <v>-5492709.6325140269</v>
      </c>
      <c r="AX50">
        <f t="shared" si="26"/>
        <v>-10484918.375099622</v>
      </c>
      <c r="AY50">
        <f t="shared" si="50"/>
        <v>-2.0533552384091442</v>
      </c>
      <c r="BA50">
        <f t="shared" si="27"/>
        <v>0.36524943173517121</v>
      </c>
      <c r="BB50">
        <f t="shared" si="43"/>
        <v>-8.7482090216020669</v>
      </c>
      <c r="BC50">
        <f t="shared" si="44"/>
        <v>-0.27995442549721794</v>
      </c>
      <c r="BD50">
        <f t="shared" si="28"/>
        <v>-196.04020705532884</v>
      </c>
      <c r="BF50">
        <f t="shared" si="29"/>
        <v>17.348446704659114</v>
      </c>
      <c r="BG50">
        <f t="shared" si="30"/>
        <v>-30.230766707084012</v>
      </c>
      <c r="BH50">
        <f t="shared" si="45"/>
        <v>149.769233292916</v>
      </c>
      <c r="BI50">
        <f t="shared" si="46"/>
        <v>149.769233292916</v>
      </c>
      <c r="BJ50">
        <f t="shared" si="31"/>
        <v>0</v>
      </c>
      <c r="BK50">
        <f t="shared" si="47"/>
        <v>0</v>
      </c>
      <c r="BM50">
        <f t="shared" si="48"/>
        <v>26.096655726261176</v>
      </c>
      <c r="BN50">
        <f t="shared" si="32"/>
        <v>-14.190559651755175</v>
      </c>
      <c r="BQ50" s="56">
        <f t="shared" si="49"/>
        <v>8.1537517786830698</v>
      </c>
      <c r="BR50" s="58"/>
      <c r="BS50" s="58"/>
      <c r="BT50" s="58">
        <v>251.18899999999999</v>
      </c>
      <c r="BU50" s="58">
        <v>27.043399999999998</v>
      </c>
      <c r="BV50" s="58">
        <v>-265.9205</v>
      </c>
      <c r="BW50" s="61"/>
      <c r="BY50" s="58"/>
      <c r="BZ50" s="58"/>
      <c r="CA50" s="58"/>
      <c r="CC50" s="58"/>
    </row>
    <row r="51" spans="1:81" x14ac:dyDescent="0.2">
      <c r="A51">
        <f t="shared" si="54"/>
        <v>8500</v>
      </c>
      <c r="B51">
        <f t="shared" si="33"/>
        <v>8.5</v>
      </c>
      <c r="C51">
        <f t="shared" si="0"/>
        <v>1.0000005704629704</v>
      </c>
      <c r="D51">
        <f t="shared" si="1"/>
        <v>1.0681410947767135E-3</v>
      </c>
      <c r="F51">
        <f t="shared" si="2"/>
        <v>1.4061102981655225</v>
      </c>
      <c r="G51">
        <f t="shared" si="3"/>
        <v>-0.27689925228513079</v>
      </c>
      <c r="H51">
        <f t="shared" si="4"/>
        <v>-0.27689925228513079</v>
      </c>
      <c r="J51">
        <f t="shared" si="5"/>
        <v>15</v>
      </c>
      <c r="M51">
        <f t="shared" si="6"/>
        <v>0.21351936502635452</v>
      </c>
      <c r="N51">
        <f t="shared" si="7"/>
        <v>-1.5707963250000001</v>
      </c>
      <c r="O51">
        <f t="shared" si="8"/>
        <v>1.4244042189647392</v>
      </c>
      <c r="P51">
        <f t="shared" si="9"/>
        <v>0.79252714184974626</v>
      </c>
      <c r="Q51">
        <f t="shared" si="10"/>
        <v>1.1992999072854886</v>
      </c>
      <c r="R51">
        <f t="shared" si="11"/>
        <v>0.584804920802242</v>
      </c>
      <c r="S51">
        <f t="shared" si="12"/>
        <v>0.99999940416091748</v>
      </c>
      <c r="T51">
        <f t="shared" si="13"/>
        <v>-1.091640180393828E-3</v>
      </c>
      <c r="U51">
        <f t="shared" si="14"/>
        <v>0.99984894649213918</v>
      </c>
      <c r="V51">
        <f t="shared" si="15"/>
        <v>-1.7381444754359526E-2</v>
      </c>
      <c r="X51">
        <f t="shared" si="34"/>
        <v>17.720867021046391</v>
      </c>
      <c r="Y51">
        <f t="shared" si="16"/>
        <v>-27.947074082046079</v>
      </c>
      <c r="Z51">
        <f t="shared" si="35"/>
        <v>152.05292591795393</v>
      </c>
      <c r="AC51">
        <v>1</v>
      </c>
      <c r="AD51">
        <f t="shared" si="17"/>
        <v>1.0143605764246499</v>
      </c>
      <c r="AE51">
        <f t="shared" si="18"/>
        <v>-3.6838341374353337E-6</v>
      </c>
      <c r="AF51">
        <f t="shared" si="19"/>
        <v>2.1191927379840005E-4</v>
      </c>
      <c r="AG51">
        <f t="shared" si="36"/>
        <v>4703.0937398244259</v>
      </c>
      <c r="AH51">
        <f t="shared" si="37"/>
        <v>-4800.5327643681467</v>
      </c>
      <c r="AJ51">
        <f t="shared" si="20"/>
        <v>22100</v>
      </c>
      <c r="AK51">
        <f t="shared" si="21"/>
        <v>24.125257569886205</v>
      </c>
      <c r="AL51">
        <v>1</v>
      </c>
      <c r="AM51">
        <f t="shared" si="22"/>
        <v>0.66205760143282211</v>
      </c>
      <c r="AN51">
        <f t="shared" si="38"/>
        <v>15376.250205271257</v>
      </c>
      <c r="AO51">
        <f t="shared" si="39"/>
        <v>-10155.83807236294</v>
      </c>
      <c r="AQ51">
        <f t="shared" si="23"/>
        <v>34.482758620689658</v>
      </c>
      <c r="AR51">
        <f t="shared" si="24"/>
        <v>-586.20689655172418</v>
      </c>
      <c r="AT51">
        <f t="shared" si="52"/>
        <v>-2651929.7673942787</v>
      </c>
      <c r="AU51">
        <f t="shared" si="53"/>
        <v>-2922521.5979787377</v>
      </c>
      <c r="AV51">
        <f t="shared" si="42"/>
        <v>-2.3076911337786838</v>
      </c>
      <c r="AW51">
        <f t="shared" si="25"/>
        <v>-5372208.3157488164</v>
      </c>
      <c r="AX51">
        <f t="shared" si="26"/>
        <v>-9538358.40659431</v>
      </c>
      <c r="AY51">
        <f t="shared" si="50"/>
        <v>-2.083733684219804</v>
      </c>
      <c r="BA51">
        <f t="shared" si="27"/>
        <v>0.36049201696636707</v>
      </c>
      <c r="BB51">
        <f t="shared" si="43"/>
        <v>-8.8620869642915032</v>
      </c>
      <c r="BC51">
        <f t="shared" si="44"/>
        <v>-0.22395744955887986</v>
      </c>
      <c r="BD51">
        <f t="shared" si="28"/>
        <v>-192.83181666490032</v>
      </c>
      <c r="BF51">
        <f t="shared" si="29"/>
        <v>17.620130951134399</v>
      </c>
      <c r="BG51">
        <f t="shared" si="30"/>
        <v>-28.63577521257</v>
      </c>
      <c r="BH51">
        <f t="shared" si="45"/>
        <v>151.36422478743</v>
      </c>
      <c r="BI51">
        <f t="shared" si="46"/>
        <v>151.36422478743</v>
      </c>
      <c r="BJ51">
        <f t="shared" si="31"/>
        <v>0</v>
      </c>
      <c r="BK51">
        <f t="shared" si="47"/>
        <v>0</v>
      </c>
      <c r="BM51">
        <f t="shared" si="48"/>
        <v>26.482217915425899</v>
      </c>
      <c r="BN51">
        <f t="shared" si="32"/>
        <v>-15.803958547669676</v>
      </c>
      <c r="BQ51" s="56">
        <f t="shared" si="49"/>
        <v>8.0398738359936335</v>
      </c>
      <c r="BR51" s="58"/>
      <c r="BS51" s="58"/>
      <c r="BT51" s="58">
        <v>257.04000000000002</v>
      </c>
      <c r="BU51" s="58">
        <v>26.677600000000002</v>
      </c>
      <c r="BV51" s="58">
        <v>-267.60309999999998</v>
      </c>
      <c r="BW51" s="61"/>
      <c r="BY51" s="58"/>
      <c r="BZ51" s="58"/>
      <c r="CA51" s="58"/>
      <c r="CC51" s="58"/>
    </row>
    <row r="52" spans="1:81" x14ac:dyDescent="0.2">
      <c r="A52">
        <f t="shared" si="54"/>
        <v>9000</v>
      </c>
      <c r="B52">
        <f t="shared" si="33"/>
        <v>9</v>
      </c>
      <c r="C52">
        <f t="shared" si="0"/>
        <v>1.0000006395501593</v>
      </c>
      <c r="D52">
        <f t="shared" si="1"/>
        <v>1.130972871790757E-3</v>
      </c>
      <c r="F52">
        <f t="shared" si="2"/>
        <v>1.4762026672629345</v>
      </c>
      <c r="G52">
        <f t="shared" si="3"/>
        <v>-0.3087668758155992</v>
      </c>
      <c r="H52">
        <f t="shared" si="4"/>
        <v>-0.3087668758155992</v>
      </c>
      <c r="J52">
        <f t="shared" si="5"/>
        <v>15</v>
      </c>
      <c r="M52">
        <f t="shared" si="6"/>
        <v>0.20165717808044592</v>
      </c>
      <c r="N52">
        <f t="shared" si="7"/>
        <v>-1.5707963250000001</v>
      </c>
      <c r="O52">
        <f t="shared" si="8"/>
        <v>1.4674937687216711</v>
      </c>
      <c r="P52">
        <f t="shared" si="9"/>
        <v>0.82107627462307109</v>
      </c>
      <c r="Q52">
        <f t="shared" si="10"/>
        <v>1.2212305421374465</v>
      </c>
      <c r="R52">
        <f t="shared" si="11"/>
        <v>0.61139824254886244</v>
      </c>
      <c r="S52">
        <f t="shared" si="12"/>
        <v>0.99999933200054725</v>
      </c>
      <c r="T52">
        <f t="shared" si="13"/>
        <v>-1.1558542530476622E-3</v>
      </c>
      <c r="U52">
        <f t="shared" si="14"/>
        <v>0.99983065746131505</v>
      </c>
      <c r="V52">
        <f t="shared" si="15"/>
        <v>-1.8403658244128769E-2</v>
      </c>
      <c r="X52">
        <f t="shared" si="34"/>
        <v>18.063025803126919</v>
      </c>
      <c r="Y52">
        <f t="shared" si="16"/>
        <v>-26.672172214443286</v>
      </c>
      <c r="Z52">
        <f t="shared" si="35"/>
        <v>153.32782778555671</v>
      </c>
      <c r="AC52">
        <v>1</v>
      </c>
      <c r="AD52">
        <f t="shared" si="17"/>
        <v>1.0740288456261</v>
      </c>
      <c r="AE52">
        <f t="shared" si="18"/>
        <v>-4.1299732198236961E-6</v>
      </c>
      <c r="AF52">
        <f t="shared" si="19"/>
        <v>2.2438511343360007E-4</v>
      </c>
      <c r="AG52">
        <f t="shared" si="36"/>
        <v>4702.9216853556127</v>
      </c>
      <c r="AH52">
        <f t="shared" si="37"/>
        <v>-4543.1843717970805</v>
      </c>
      <c r="AJ52">
        <f t="shared" si="20"/>
        <v>22100</v>
      </c>
      <c r="AK52">
        <f t="shared" si="21"/>
        <v>25.544390368114804</v>
      </c>
      <c r="AL52">
        <v>1</v>
      </c>
      <c r="AM52">
        <f t="shared" si="22"/>
        <v>0.70100216622298805</v>
      </c>
      <c r="AN52">
        <f t="shared" si="38"/>
        <v>14830.258014281773</v>
      </c>
      <c r="AO52">
        <f t="shared" si="39"/>
        <v>-10370.498603289238</v>
      </c>
      <c r="AQ52">
        <f t="shared" si="23"/>
        <v>30.76923076923077</v>
      </c>
      <c r="AR52">
        <f t="shared" si="24"/>
        <v>-553.84615384615381</v>
      </c>
      <c r="AT52">
        <f t="shared" si="52"/>
        <v>-2371519.9079074408</v>
      </c>
      <c r="AU52">
        <f t="shared" si="53"/>
        <v>-2744485.3756368645</v>
      </c>
      <c r="AV52">
        <f t="shared" si="42"/>
        <v>-2.2834215319651339</v>
      </c>
      <c r="AW52">
        <f t="shared" si="25"/>
        <v>-5238115.882038095</v>
      </c>
      <c r="AX52">
        <f t="shared" si="26"/>
        <v>-8700099.0260575693</v>
      </c>
      <c r="AY52">
        <f t="shared" si="50"/>
        <v>-2.1127404830103194</v>
      </c>
      <c r="BA52">
        <f t="shared" si="27"/>
        <v>0.35717032341114557</v>
      </c>
      <c r="BB52">
        <f t="shared" si="43"/>
        <v>-8.9424926593989138</v>
      </c>
      <c r="BC52">
        <f t="shared" si="44"/>
        <v>-0.17068104895481451</v>
      </c>
      <c r="BD52">
        <f t="shared" si="28"/>
        <v>-189.77930375915113</v>
      </c>
      <c r="BF52">
        <f t="shared" si="29"/>
        <v>17.962257790631352</v>
      </c>
      <c r="BG52">
        <f t="shared" si="30"/>
        <v>-27.4055426446685</v>
      </c>
      <c r="BH52">
        <f t="shared" si="45"/>
        <v>152.59445735533149</v>
      </c>
      <c r="BI52">
        <f t="shared" si="46"/>
        <v>152.59445735533149</v>
      </c>
      <c r="BJ52">
        <f t="shared" si="31"/>
        <v>0</v>
      </c>
      <c r="BK52">
        <f t="shared" si="47"/>
        <v>0</v>
      </c>
      <c r="BM52">
        <f t="shared" si="48"/>
        <v>26.904750450030264</v>
      </c>
      <c r="BN52">
        <f t="shared" si="32"/>
        <v>-17.626238885517356</v>
      </c>
      <c r="BQ52" s="56">
        <f t="shared" si="49"/>
        <v>7.9594681408862229</v>
      </c>
      <c r="BR52" s="58"/>
      <c r="BS52" s="58"/>
      <c r="BT52" s="58">
        <v>263.02699999999999</v>
      </c>
      <c r="BU52" s="58">
        <v>26.270299999999999</v>
      </c>
      <c r="BV52" s="58">
        <v>-267.3229</v>
      </c>
      <c r="BW52" s="61"/>
      <c r="BY52" s="58"/>
      <c r="BZ52" s="58"/>
      <c r="CA52" s="58"/>
      <c r="CC52" s="58"/>
    </row>
    <row r="53" spans="1:81" x14ac:dyDescent="0.2">
      <c r="A53">
        <f t="shared" si="54"/>
        <v>9500</v>
      </c>
      <c r="B53">
        <f t="shared" si="33"/>
        <v>9.5</v>
      </c>
      <c r="C53">
        <f t="shared" si="0"/>
        <v>1.0000007125851822</v>
      </c>
      <c r="D53">
        <f t="shared" si="1"/>
        <v>1.193804639875016E-3</v>
      </c>
      <c r="F53">
        <f t="shared" si="2"/>
        <v>1.5568486578583376</v>
      </c>
      <c r="G53">
        <f t="shared" si="3"/>
        <v>-0.34509938780653043</v>
      </c>
      <c r="H53">
        <f t="shared" si="4"/>
        <v>-0.34509938780653043</v>
      </c>
      <c r="J53">
        <f t="shared" si="5"/>
        <v>15</v>
      </c>
      <c r="M53">
        <f t="shared" si="6"/>
        <v>0.19104364239200139</v>
      </c>
      <c r="N53">
        <f t="shared" si="7"/>
        <v>-1.5707963250000001</v>
      </c>
      <c r="O53">
        <f t="shared" si="8"/>
        <v>1.5117106694630134</v>
      </c>
      <c r="P53">
        <f t="shared" si="9"/>
        <v>0.84797618752983039</v>
      </c>
      <c r="Q53">
        <f t="shared" si="10"/>
        <v>1.2439940372594449</v>
      </c>
      <c r="R53">
        <f t="shared" si="11"/>
        <v>0.63703590801458365</v>
      </c>
      <c r="S53">
        <f t="shared" si="12"/>
        <v>0.99999925571674431</v>
      </c>
      <c r="T53">
        <f t="shared" si="13"/>
        <v>-1.2200683161692858E-3</v>
      </c>
      <c r="U53">
        <f t="shared" si="14"/>
        <v>0.99981132443425402</v>
      </c>
      <c r="V53">
        <f t="shared" si="15"/>
        <v>-1.942583327029947E-2</v>
      </c>
      <c r="X53">
        <f t="shared" si="34"/>
        <v>18.473505201228139</v>
      </c>
      <c r="Y53">
        <f t="shared" si="16"/>
        <v>-25.802335817652185</v>
      </c>
      <c r="Z53">
        <f t="shared" si="35"/>
        <v>154.19766418234781</v>
      </c>
      <c r="AC53">
        <v>1</v>
      </c>
      <c r="AD53">
        <f t="shared" si="17"/>
        <v>1.1336971148275501</v>
      </c>
      <c r="AE53">
        <f t="shared" si="18"/>
        <v>-4.6016059640628212E-6</v>
      </c>
      <c r="AF53">
        <f t="shared" si="19"/>
        <v>2.3685095306880005E-4</v>
      </c>
      <c r="AG53">
        <f t="shared" si="36"/>
        <v>4702.7398128905388</v>
      </c>
      <c r="AH53">
        <f t="shared" si="37"/>
        <v>-4313.4306294037524</v>
      </c>
      <c r="AJ53">
        <f t="shared" si="20"/>
        <v>22100</v>
      </c>
      <c r="AK53">
        <f t="shared" si="21"/>
        <v>26.9635231663434</v>
      </c>
      <c r="AL53">
        <v>1</v>
      </c>
      <c r="AM53">
        <f t="shared" si="22"/>
        <v>0.739946731013154</v>
      </c>
      <c r="AN53">
        <f t="shared" si="38"/>
        <v>14293.795829656419</v>
      </c>
      <c r="AO53">
        <f t="shared" si="39"/>
        <v>-10549.683974757378</v>
      </c>
      <c r="AQ53">
        <f t="shared" si="23"/>
        <v>27.624309392265193</v>
      </c>
      <c r="AR53">
        <f t="shared" si="24"/>
        <v>-524.86187845303868</v>
      </c>
      <c r="AT53">
        <f t="shared" si="52"/>
        <v>-2134045.3631431148</v>
      </c>
      <c r="AU53">
        <f t="shared" si="53"/>
        <v>-2587444.3943183427</v>
      </c>
      <c r="AV53">
        <f t="shared" si="42"/>
        <v>-2.2604592377193207</v>
      </c>
      <c r="AW53">
        <f t="shared" si="25"/>
        <v>-5094779.8071046947</v>
      </c>
      <c r="AX53">
        <f t="shared" si="26"/>
        <v>-7954566.7876804834</v>
      </c>
      <c r="AY53">
        <f t="shared" si="50"/>
        <v>-2.1404534309726388</v>
      </c>
      <c r="BA53">
        <f t="shared" si="27"/>
        <v>0.35505628399378181</v>
      </c>
      <c r="BB53">
        <f t="shared" si="43"/>
        <v>-8.9940559309892461</v>
      </c>
      <c r="BC53">
        <f t="shared" si="44"/>
        <v>-0.12000580674668182</v>
      </c>
      <c r="BD53">
        <f t="shared" si="28"/>
        <v>-186.87582625150424</v>
      </c>
      <c r="BF53">
        <f t="shared" si="29"/>
        <v>18.372703371696911</v>
      </c>
      <c r="BG53">
        <f t="shared" si="30"/>
        <v>-26.580164740454396</v>
      </c>
      <c r="BH53">
        <f t="shared" si="45"/>
        <v>153.41983525954561</v>
      </c>
      <c r="BI53">
        <f t="shared" si="46"/>
        <v>153.41983525954561</v>
      </c>
      <c r="BJ53">
        <f t="shared" si="31"/>
        <v>0</v>
      </c>
      <c r="BK53">
        <f t="shared" si="47"/>
        <v>0</v>
      </c>
      <c r="BM53">
        <f t="shared" si="48"/>
        <v>27.366759302686155</v>
      </c>
      <c r="BN53">
        <f t="shared" si="32"/>
        <v>-19.704338488950174</v>
      </c>
      <c r="BQ53" s="56">
        <f t="shared" si="49"/>
        <v>7.9079048692958924</v>
      </c>
      <c r="BR53" s="58"/>
      <c r="BS53" s="58"/>
      <c r="BT53" s="58">
        <v>269.15300000000002</v>
      </c>
      <c r="BU53" s="58">
        <v>26.235900000000001</v>
      </c>
      <c r="BV53" s="58">
        <v>-265.67700000000002</v>
      </c>
      <c r="BW53" s="61"/>
      <c r="BY53" s="58"/>
      <c r="BZ53" s="58"/>
      <c r="CA53" s="58"/>
      <c r="CC53" s="58"/>
    </row>
    <row r="54" spans="1:81" x14ac:dyDescent="0.2">
      <c r="A54">
        <f t="shared" si="54"/>
        <v>10000</v>
      </c>
      <c r="B54">
        <f t="shared" si="33"/>
        <v>10</v>
      </c>
      <c r="C54">
        <f t="shared" si="0"/>
        <v>1.0000007895680385</v>
      </c>
      <c r="D54">
        <f t="shared" si="1"/>
        <v>1.2566363985333936E-3</v>
      </c>
      <c r="F54">
        <f t="shared" si="2"/>
        <v>1.6498152142053362</v>
      </c>
      <c r="G54">
        <f t="shared" si="3"/>
        <v>-0.38694280310148449</v>
      </c>
      <c r="H54">
        <f t="shared" si="4"/>
        <v>-0.38694280310148449</v>
      </c>
      <c r="J54">
        <f t="shared" si="5"/>
        <v>15</v>
      </c>
      <c r="M54">
        <f t="shared" si="6"/>
        <v>0.18149146027240134</v>
      </c>
      <c r="N54">
        <f t="shared" si="7"/>
        <v>-1.5707963250000001</v>
      </c>
      <c r="O54">
        <f t="shared" si="8"/>
        <v>1.5569588754359196</v>
      </c>
      <c r="P54">
        <f t="shared" si="9"/>
        <v>0.87333005117729368</v>
      </c>
      <c r="Q54">
        <f t="shared" si="10"/>
        <v>1.2675455221325092</v>
      </c>
      <c r="R54">
        <f t="shared" si="11"/>
        <v>0.66173660192874517</v>
      </c>
      <c r="S54">
        <f t="shared" si="12"/>
        <v>0.99999917530951143</v>
      </c>
      <c r="T54">
        <f t="shared" si="13"/>
        <v>-1.2842823692291343E-3</v>
      </c>
      <c r="U54">
        <f t="shared" si="14"/>
        <v>0.99979094759271159</v>
      </c>
      <c r="V54">
        <f t="shared" si="15"/>
        <v>-2.0447967699145208E-2</v>
      </c>
      <c r="X54">
        <f t="shared" si="34"/>
        <v>18.950653002367773</v>
      </c>
      <c r="Y54">
        <f t="shared" si="16"/>
        <v>-25.390515208823004</v>
      </c>
      <c r="Z54">
        <f t="shared" si="35"/>
        <v>154.60948479117701</v>
      </c>
      <c r="AC54">
        <v>1</v>
      </c>
      <c r="AD54">
        <f t="shared" si="17"/>
        <v>1.1933653840289999</v>
      </c>
      <c r="AE54">
        <f t="shared" si="18"/>
        <v>-5.0987323701527102E-6</v>
      </c>
      <c r="AF54">
        <f t="shared" si="19"/>
        <v>2.4931679270400007E-4</v>
      </c>
      <c r="AG54">
        <f t="shared" si="36"/>
        <v>4702.5481247087164</v>
      </c>
      <c r="AH54">
        <f t="shared" si="37"/>
        <v>-4107.1322281983794</v>
      </c>
      <c r="AJ54">
        <f t="shared" si="20"/>
        <v>22100</v>
      </c>
      <c r="AK54">
        <f t="shared" si="21"/>
        <v>28.382655964572002</v>
      </c>
      <c r="AL54">
        <v>1</v>
      </c>
      <c r="AM54">
        <f t="shared" si="22"/>
        <v>0.77889129580332006</v>
      </c>
      <c r="AN54">
        <f t="shared" si="38"/>
        <v>13768.903555586394</v>
      </c>
      <c r="AO54">
        <f t="shared" si="39"/>
        <v>-10696.096476237057</v>
      </c>
      <c r="AQ54">
        <f t="shared" si="23"/>
        <v>24.937655860349128</v>
      </c>
      <c r="AR54">
        <f t="shared" si="24"/>
        <v>-498.75311720698255</v>
      </c>
      <c r="AT54">
        <f t="shared" si="52"/>
        <v>-1931174.4747944856</v>
      </c>
      <c r="AU54">
        <f t="shared" si="53"/>
        <v>-2447832.7860940825</v>
      </c>
      <c r="AV54">
        <f t="shared" si="42"/>
        <v>-2.2387521743897021</v>
      </c>
      <c r="AW54">
        <f t="shared" si="25"/>
        <v>-4945557.2401064951</v>
      </c>
      <c r="AX54">
        <f t="shared" si="26"/>
        <v>-7289032.2738529276</v>
      </c>
      <c r="AY54">
        <f t="shared" si="50"/>
        <v>-2.1669417521920433</v>
      </c>
      <c r="BA54">
        <f t="shared" si="27"/>
        <v>0.35396789084087082</v>
      </c>
      <c r="BB54">
        <f t="shared" si="43"/>
        <v>-9.0207226387549468</v>
      </c>
      <c r="BC54">
        <f t="shared" si="44"/>
        <v>-7.1810422197658763E-2</v>
      </c>
      <c r="BD54">
        <f t="shared" si="28"/>
        <v>-184.11443412167984</v>
      </c>
      <c r="BF54">
        <f t="shared" si="29"/>
        <v>18.849815485401269</v>
      </c>
      <c r="BG54">
        <f t="shared" si="30"/>
        <v>-26.212623715588894</v>
      </c>
      <c r="BH54">
        <f t="shared" si="45"/>
        <v>153.7873762844111</v>
      </c>
      <c r="BI54">
        <f t="shared" si="46"/>
        <v>153.7873762844111</v>
      </c>
      <c r="BJ54">
        <f t="shared" si="31"/>
        <v>0</v>
      </c>
      <c r="BK54">
        <f t="shared" si="47"/>
        <v>0</v>
      </c>
      <c r="BM54">
        <f t="shared" si="48"/>
        <v>27.870538124156216</v>
      </c>
      <c r="BN54">
        <f t="shared" si="32"/>
        <v>-22.098189593909058</v>
      </c>
      <c r="BQ54" s="56">
        <f t="shared" si="49"/>
        <v>7.8812381615301907</v>
      </c>
      <c r="BR54" s="58"/>
      <c r="BS54" s="58"/>
      <c r="BT54" s="58">
        <v>275.423</v>
      </c>
      <c r="BU54" s="58">
        <v>25.845600000000001</v>
      </c>
      <c r="BV54" s="58">
        <v>-266.46569999999997</v>
      </c>
      <c r="BW54" s="61"/>
      <c r="BY54" s="58"/>
      <c r="BZ54" s="58"/>
      <c r="CA54" s="58"/>
      <c r="CC54" s="58"/>
    </row>
    <row r="55" spans="1:81" x14ac:dyDescent="0.2">
      <c r="A55">
        <f t="shared" si="54"/>
        <v>10500</v>
      </c>
      <c r="B55">
        <f t="shared" si="33"/>
        <v>10.5</v>
      </c>
      <c r="C55">
        <f t="shared" si="0"/>
        <v>1.0000008704987273</v>
      </c>
      <c r="D55">
        <f t="shared" si="1"/>
        <v>1.3194681472697939E-3</v>
      </c>
      <c r="F55">
        <f t="shared" si="2"/>
        <v>1.7570922470847425</v>
      </c>
      <c r="G55">
        <f t="shared" si="3"/>
        <v>-0.43564042158184413</v>
      </c>
      <c r="H55">
        <f t="shared" si="4"/>
        <v>-0.43564042158184413</v>
      </c>
      <c r="J55">
        <f t="shared" si="5"/>
        <v>15</v>
      </c>
      <c r="M55">
        <f t="shared" si="6"/>
        <v>0.17284900978323936</v>
      </c>
      <c r="N55">
        <f t="shared" si="7"/>
        <v>-1.5707963250000001</v>
      </c>
      <c r="O55">
        <f t="shared" si="8"/>
        <v>1.6031510646623568</v>
      </c>
      <c r="P55">
        <f t="shared" si="9"/>
        <v>0.89723749936526587</v>
      </c>
      <c r="Q55">
        <f t="shared" si="10"/>
        <v>1.2918419001072414</v>
      </c>
      <c r="R55">
        <f t="shared" si="11"/>
        <v>0.68552224374565363</v>
      </c>
      <c r="S55">
        <f t="shared" si="12"/>
        <v>0.99999909077885163</v>
      </c>
      <c r="T55">
        <f t="shared" si="13"/>
        <v>-1.3484964116976445E-3</v>
      </c>
      <c r="U55">
        <f t="shared" si="14"/>
        <v>0.99976952712823663</v>
      </c>
      <c r="V55">
        <f t="shared" si="15"/>
        <v>-2.1470059397448341E-2</v>
      </c>
      <c r="X55">
        <f t="shared" si="34"/>
        <v>19.492728205812664</v>
      </c>
      <c r="Y55">
        <f t="shared" si="16"/>
        <v>-25.506711191186465</v>
      </c>
      <c r="Z55">
        <f t="shared" si="35"/>
        <v>154.49328880881353</v>
      </c>
      <c r="AC55">
        <v>1</v>
      </c>
      <c r="AD55">
        <f t="shared" si="17"/>
        <v>1.25303365323045</v>
      </c>
      <c r="AE55">
        <f t="shared" si="18"/>
        <v>-5.6213524380933639E-6</v>
      </c>
      <c r="AF55">
        <f t="shared" si="19"/>
        <v>2.6178263233920005E-4</v>
      </c>
      <c r="AG55">
        <f t="shared" si="36"/>
        <v>4702.346623212401</v>
      </c>
      <c r="AH55">
        <f t="shared" si="37"/>
        <v>-3920.9382932828507</v>
      </c>
      <c r="AJ55">
        <f t="shared" si="20"/>
        <v>22100</v>
      </c>
      <c r="AK55">
        <f t="shared" si="21"/>
        <v>29.801788762800605</v>
      </c>
      <c r="AL55">
        <v>1</v>
      </c>
      <c r="AM55">
        <f t="shared" si="22"/>
        <v>0.81783586059348612</v>
      </c>
      <c r="AN55">
        <f t="shared" si="38"/>
        <v>13257.213125722341</v>
      </c>
      <c r="AO55">
        <f t="shared" si="39"/>
        <v>-10812.42251698359</v>
      </c>
      <c r="AQ55">
        <f t="shared" si="23"/>
        <v>22.624434389140273</v>
      </c>
      <c r="AR55">
        <f t="shared" si="24"/>
        <v>-475.11312217194569</v>
      </c>
      <c r="AT55">
        <f t="shared" si="52"/>
        <v>-1756501.3017132909</v>
      </c>
      <c r="AU55">
        <f t="shared" si="53"/>
        <v>-2322855.5968493954</v>
      </c>
      <c r="AV55">
        <f t="shared" si="42"/>
        <v>-2.2182421103449923</v>
      </c>
      <c r="AW55">
        <f t="shared" si="25"/>
        <v>-4793054.9171199743</v>
      </c>
      <c r="AX55">
        <f t="shared" si="26"/>
        <v>-6692962.2657427657</v>
      </c>
      <c r="AY55">
        <f t="shared" si="50"/>
        <v>-2.1922683194884534</v>
      </c>
      <c r="BA55">
        <f t="shared" si="27"/>
        <v>0.35375815245508224</v>
      </c>
      <c r="BB55">
        <f t="shared" si="43"/>
        <v>-9.0258708583023708</v>
      </c>
      <c r="BC55">
        <f t="shared" si="44"/>
        <v>-2.5973790856538947E-2</v>
      </c>
      <c r="BD55">
        <f t="shared" si="28"/>
        <v>-181.48818859573566</v>
      </c>
      <c r="BF55">
        <f t="shared" si="29"/>
        <v>19.391853133669816</v>
      </c>
      <c r="BG55">
        <f t="shared" si="30"/>
        <v>-26.372946210069717</v>
      </c>
      <c r="BH55">
        <f t="shared" si="45"/>
        <v>153.62705378993027</v>
      </c>
      <c r="BI55">
        <f t="shared" si="46"/>
        <v>153.62705378993027</v>
      </c>
      <c r="BJ55">
        <f t="shared" si="31"/>
        <v>0</v>
      </c>
      <c r="BK55">
        <f t="shared" si="47"/>
        <v>0</v>
      </c>
      <c r="BM55">
        <f t="shared" si="48"/>
        <v>28.417723991972185</v>
      </c>
      <c r="BN55">
        <f t="shared" si="32"/>
        <v>-24.884757614334045</v>
      </c>
      <c r="BQ55" s="56">
        <f t="shared" si="49"/>
        <v>7.8760899419827659</v>
      </c>
      <c r="BR55" s="59"/>
      <c r="BS55" s="59"/>
      <c r="BT55" s="59">
        <v>281.83800000000002</v>
      </c>
      <c r="BU55" s="59">
        <v>26.1068</v>
      </c>
      <c r="BV55" s="59">
        <v>-266.67570000000001</v>
      </c>
      <c r="BW55" s="61"/>
      <c r="BY55" s="59"/>
      <c r="BZ55" s="59"/>
      <c r="CA55" s="59"/>
      <c r="CC55" s="59"/>
    </row>
    <row r="56" spans="1:81" x14ac:dyDescent="0.2">
      <c r="A56">
        <f t="shared" si="54"/>
        <v>11000</v>
      </c>
      <c r="B56">
        <f t="shared" si="33"/>
        <v>11</v>
      </c>
      <c r="C56">
        <f t="shared" si="0"/>
        <v>1.0000009553772475</v>
      </c>
      <c r="D56">
        <f t="shared" si="1"/>
        <v>1.3822998855881217E-3</v>
      </c>
      <c r="F56">
        <f t="shared" si="2"/>
        <v>1.8807574071973501</v>
      </c>
      <c r="G56">
        <f t="shared" si="3"/>
        <v>-0.4929198612130169</v>
      </c>
      <c r="H56">
        <f t="shared" si="4"/>
        <v>-0.4929198612130169</v>
      </c>
      <c r="J56">
        <f t="shared" si="5"/>
        <v>15</v>
      </c>
      <c r="M56">
        <f t="shared" si="6"/>
        <v>0.16499223661127393</v>
      </c>
      <c r="N56">
        <f t="shared" si="7"/>
        <v>-1.5707963250000001</v>
      </c>
      <c r="O56">
        <f t="shared" si="8"/>
        <v>1.6502079678502364</v>
      </c>
      <c r="P56">
        <f t="shared" si="9"/>
        <v>0.91979376189453665</v>
      </c>
      <c r="Q56">
        <f t="shared" si="10"/>
        <v>1.3168419409027765</v>
      </c>
      <c r="R56">
        <f t="shared" si="11"/>
        <v>0.70841730345835718</v>
      </c>
      <c r="S56">
        <f t="shared" si="12"/>
        <v>0.99999900212476811</v>
      </c>
      <c r="T56">
        <f t="shared" si="13"/>
        <v>-1.4127104430452532E-3</v>
      </c>
      <c r="U56">
        <f t="shared" si="14"/>
        <v>0.99974706324216556</v>
      </c>
      <c r="V56">
        <f t="shared" si="15"/>
        <v>-2.2492106232526714E-2</v>
      </c>
      <c r="X56">
        <f t="shared" si="34"/>
        <v>20.096999966600002</v>
      </c>
      <c r="Y56">
        <f t="shared" si="16"/>
        <v>-26.243050567685557</v>
      </c>
      <c r="Z56">
        <f t="shared" si="35"/>
        <v>153.75694943231446</v>
      </c>
      <c r="AC56">
        <v>1</v>
      </c>
      <c r="AD56">
        <f t="shared" si="17"/>
        <v>1.3127019224319001</v>
      </c>
      <c r="AE56">
        <f t="shared" si="18"/>
        <v>-6.1694661678847799E-6</v>
      </c>
      <c r="AF56">
        <f t="shared" si="19"/>
        <v>2.7424847197440004E-4</v>
      </c>
      <c r="AG56">
        <f t="shared" si="36"/>
        <v>4702.1353109265046</v>
      </c>
      <c r="AH56">
        <f t="shared" si="37"/>
        <v>-3752.1071942877816</v>
      </c>
      <c r="AJ56">
        <f t="shared" si="20"/>
        <v>22100</v>
      </c>
      <c r="AK56">
        <f t="shared" si="21"/>
        <v>31.220921561029204</v>
      </c>
      <c r="AL56">
        <v>1</v>
      </c>
      <c r="AM56">
        <f t="shared" si="22"/>
        <v>0.85678042538365218</v>
      </c>
      <c r="AN56">
        <f t="shared" si="38"/>
        <v>12759.989537142905</v>
      </c>
      <c r="AO56">
        <f t="shared" si="39"/>
        <v>-10901.28834196322</v>
      </c>
      <c r="AQ56">
        <f t="shared" si="23"/>
        <v>20.618556701030929</v>
      </c>
      <c r="AR56">
        <f t="shared" si="24"/>
        <v>-453.60824742268039</v>
      </c>
      <c r="AT56">
        <f t="shared" si="52"/>
        <v>-1605035.5250186534</v>
      </c>
      <c r="AU56">
        <f t="shared" si="53"/>
        <v>-2210290.3924674406</v>
      </c>
      <c r="AV56">
        <f t="shared" si="42"/>
        <v>-2.1988677185062064</v>
      </c>
      <c r="AW56">
        <f t="shared" si="25"/>
        <v>-4639300.9890090749</v>
      </c>
      <c r="AX56">
        <f t="shared" si="26"/>
        <v>-6157546.9202266987</v>
      </c>
      <c r="AY56">
        <f t="shared" si="50"/>
        <v>-2.2164911385261488</v>
      </c>
      <c r="BA56">
        <f t="shared" si="27"/>
        <v>0.35430707019425434</v>
      </c>
      <c r="BB56">
        <f t="shared" si="43"/>
        <v>-9.0124036247610064</v>
      </c>
      <c r="BC56">
        <f t="shared" si="44"/>
        <v>1.7623420019942326E-2</v>
      </c>
      <c r="BD56">
        <f t="shared" si="28"/>
        <v>-178.99025241111713</v>
      </c>
      <c r="BF56">
        <f t="shared" si="29"/>
        <v>19.996085473152952</v>
      </c>
      <c r="BG56">
        <f t="shared" si="30"/>
        <v>-27.153280179512628</v>
      </c>
      <c r="BH56">
        <f t="shared" si="45"/>
        <v>152.84671982048738</v>
      </c>
      <c r="BI56">
        <f t="shared" si="46"/>
        <v>152.84671982048738</v>
      </c>
      <c r="BJ56">
        <f t="shared" si="31"/>
        <v>0</v>
      </c>
      <c r="BK56">
        <f t="shared" si="47"/>
        <v>0</v>
      </c>
      <c r="BM56">
        <f t="shared" si="48"/>
        <v>29.008489097913959</v>
      </c>
      <c r="BN56">
        <f t="shared" si="32"/>
        <v>-28.163027768395491</v>
      </c>
      <c r="BQ56" s="56">
        <f t="shared" si="49"/>
        <v>7.8895571755241303</v>
      </c>
      <c r="BR56" s="59"/>
      <c r="BS56" s="59"/>
      <c r="BT56" s="59">
        <v>288.40300000000002</v>
      </c>
      <c r="BU56" s="59">
        <v>25.784400000000002</v>
      </c>
      <c r="BV56" s="59">
        <v>-268.05989999999997</v>
      </c>
      <c r="BW56" s="61"/>
      <c r="BY56" s="59"/>
      <c r="BZ56" s="59"/>
      <c r="CA56" s="59"/>
      <c r="CC56" s="59"/>
    </row>
    <row r="57" spans="1:81" x14ac:dyDescent="0.2">
      <c r="A57">
        <f t="shared" si="54"/>
        <v>11500</v>
      </c>
      <c r="B57">
        <f t="shared" si="33"/>
        <v>11.5</v>
      </c>
      <c r="C57">
        <f t="shared" si="0"/>
        <v>1.000001044203598</v>
      </c>
      <c r="D57">
        <f t="shared" si="1"/>
        <v>1.445131612992282E-3</v>
      </c>
      <c r="F57">
        <f t="shared" si="2"/>
        <v>2.0226177790329278</v>
      </c>
      <c r="G57">
        <f t="shared" si="3"/>
        <v>-0.56098894791882492</v>
      </c>
      <c r="H57">
        <f t="shared" si="4"/>
        <v>-0.56098894791882492</v>
      </c>
      <c r="J57">
        <f t="shared" si="5"/>
        <v>15</v>
      </c>
      <c r="M57">
        <f t="shared" si="6"/>
        <v>0.15781866110643594</v>
      </c>
      <c r="N57">
        <f t="shared" si="7"/>
        <v>-1.5707963250000001</v>
      </c>
      <c r="O57">
        <f t="shared" si="8"/>
        <v>1.698057697159834</v>
      </c>
      <c r="P57">
        <f t="shared" si="9"/>
        <v>0.94108912959706315</v>
      </c>
      <c r="Q57">
        <f t="shared" si="10"/>
        <v>1.342506334443859</v>
      </c>
      <c r="R57">
        <f t="shared" si="11"/>
        <v>0.73044819098364677</v>
      </c>
      <c r="S57">
        <f t="shared" si="12"/>
        <v>0.99999890934726388</v>
      </c>
      <c r="T57">
        <f t="shared" si="13"/>
        <v>-1.4769244627423973E-3</v>
      </c>
      <c r="U57">
        <f t="shared" si="14"/>
        <v>0.9997235561456177</v>
      </c>
      <c r="V57">
        <f t="shared" si="15"/>
        <v>-2.3514106072260288E-2</v>
      </c>
      <c r="X57">
        <f t="shared" si="34"/>
        <v>20.758242511542647</v>
      </c>
      <c r="Y57">
        <f t="shared" si="16"/>
        <v>-27.719345863259061</v>
      </c>
      <c r="Z57">
        <f t="shared" si="35"/>
        <v>152.28065413674094</v>
      </c>
      <c r="AC57">
        <v>1</v>
      </c>
      <c r="AD57">
        <f t="shared" si="17"/>
        <v>1.3723701916333499</v>
      </c>
      <c r="AE57">
        <f t="shared" si="18"/>
        <v>-6.7430735595269606E-6</v>
      </c>
      <c r="AF57">
        <f t="shared" si="19"/>
        <v>2.8671431160960008E-4</v>
      </c>
      <c r="AG57">
        <f t="shared" si="36"/>
        <v>4701.9141904985299</v>
      </c>
      <c r="AH57">
        <f t="shared" si="37"/>
        <v>-3598.3741009131072</v>
      </c>
      <c r="AJ57">
        <f t="shared" si="20"/>
        <v>22100</v>
      </c>
      <c r="AK57">
        <f t="shared" si="21"/>
        <v>32.640054359257803</v>
      </c>
      <c r="AL57">
        <v>1</v>
      </c>
      <c r="AM57">
        <f t="shared" si="22"/>
        <v>0.89572499017381801</v>
      </c>
      <c r="AN57">
        <f t="shared" si="38"/>
        <v>12278.172860432283</v>
      </c>
      <c r="AO57">
        <f t="shared" si="39"/>
        <v>-10965.226210403889</v>
      </c>
      <c r="AQ57">
        <f t="shared" si="23"/>
        <v>18.867924528301888</v>
      </c>
      <c r="AR57">
        <f t="shared" si="24"/>
        <v>-433.96226415094338</v>
      </c>
      <c r="AT57">
        <f t="shared" si="52"/>
        <v>-1472843.2100094894</v>
      </c>
      <c r="AU57">
        <f t="shared" si="53"/>
        <v>-2108347.178912817</v>
      </c>
      <c r="AV57">
        <f t="shared" si="42"/>
        <v>-2.1805667346734596</v>
      </c>
      <c r="AW57">
        <f t="shared" si="25"/>
        <v>-4485871.3031589398</v>
      </c>
      <c r="AX57">
        <f t="shared" si="26"/>
        <v>-5675348.7327044671</v>
      </c>
      <c r="AY57">
        <f t="shared" si="50"/>
        <v>-2.2396643427836969</v>
      </c>
      <c r="BA57">
        <f t="shared" si="27"/>
        <v>0.35551571567954598</v>
      </c>
      <c r="BB57">
        <f t="shared" si="43"/>
        <v>-8.9828239278236381</v>
      </c>
      <c r="BC57">
        <f t="shared" si="44"/>
        <v>5.9097608110237232E-2</v>
      </c>
      <c r="BD57">
        <f t="shared" si="28"/>
        <v>-176.61395647209619</v>
      </c>
      <c r="BF57">
        <f t="shared" si="29"/>
        <v>20.657286731476404</v>
      </c>
      <c r="BG57">
        <f t="shared" si="30"/>
        <v>-28.67345563569712</v>
      </c>
      <c r="BH57">
        <f t="shared" si="45"/>
        <v>151.32654436430289</v>
      </c>
      <c r="BI57">
        <f t="shared" si="46"/>
        <v>151.32654436430289</v>
      </c>
      <c r="BJ57">
        <f t="shared" si="31"/>
        <v>0</v>
      </c>
      <c r="BK57">
        <f t="shared" si="47"/>
        <v>0</v>
      </c>
      <c r="BM57">
        <f t="shared" si="48"/>
        <v>29.640110659300039</v>
      </c>
      <c r="BN57">
        <f t="shared" si="32"/>
        <v>-32.05949916360094</v>
      </c>
      <c r="BQ57" s="56">
        <f t="shared" si="49"/>
        <v>7.9191368724614986</v>
      </c>
      <c r="BR57" s="59"/>
      <c r="BS57" s="59"/>
      <c r="BT57" s="59">
        <v>295.12099999999998</v>
      </c>
      <c r="BU57" s="59">
        <v>25.581099999999999</v>
      </c>
      <c r="BV57" s="59">
        <v>-265.88</v>
      </c>
      <c r="BW57" s="61"/>
      <c r="BY57" s="59"/>
      <c r="BZ57" s="59"/>
      <c r="CA57" s="59"/>
      <c r="CC57" s="59"/>
    </row>
    <row r="58" spans="1:81" x14ac:dyDescent="0.2">
      <c r="A58">
        <f t="shared" si="54"/>
        <v>12000</v>
      </c>
      <c r="B58">
        <f t="shared" si="33"/>
        <v>12</v>
      </c>
      <c r="C58">
        <f t="shared" si="0"/>
        <v>1.0000011369777781</v>
      </c>
      <c r="D58">
        <f t="shared" si="1"/>
        <v>1.5079633289861803E-3</v>
      </c>
      <c r="F58">
        <f t="shared" si="2"/>
        <v>2.1834067061413411</v>
      </c>
      <c r="G58">
        <f t="shared" si="3"/>
        <v>-0.64261093706870953</v>
      </c>
      <c r="H58">
        <f t="shared" si="4"/>
        <v>-0.64261093706870953</v>
      </c>
      <c r="J58">
        <f t="shared" si="5"/>
        <v>15</v>
      </c>
      <c r="M58">
        <f t="shared" si="6"/>
        <v>0.15124288356033444</v>
      </c>
      <c r="N58">
        <f t="shared" si="7"/>
        <v>-1.5707963250000001</v>
      </c>
      <c r="O58">
        <f t="shared" si="8"/>
        <v>1.7466350944917211</v>
      </c>
      <c r="P58">
        <f t="shared" si="9"/>
        <v>0.96120867279769706</v>
      </c>
      <c r="Q58">
        <f t="shared" si="10"/>
        <v>1.3687977122192205</v>
      </c>
      <c r="R58">
        <f t="shared" si="11"/>
        <v>0.75164271930781557</v>
      </c>
      <c r="S58">
        <f t="shared" si="12"/>
        <v>0.99999881244634292</v>
      </c>
      <c r="T58">
        <f t="shared" si="13"/>
        <v>-1.5411384702595152E-3</v>
      </c>
      <c r="U58">
        <f t="shared" si="14"/>
        <v>0.99969900605948958</v>
      </c>
      <c r="V58">
        <f t="shared" si="15"/>
        <v>-2.4536056785117777E-2</v>
      </c>
      <c r="X58">
        <f t="shared" si="34"/>
        <v>21.466230777783931</v>
      </c>
      <c r="Y58">
        <f t="shared" si="16"/>
        <v>-30.087452089030645</v>
      </c>
      <c r="Z58">
        <f t="shared" si="35"/>
        <v>149.91254791096935</v>
      </c>
      <c r="AC58">
        <v>1</v>
      </c>
      <c r="AD58">
        <f t="shared" si="17"/>
        <v>1.4320384608348</v>
      </c>
      <c r="AE58">
        <f t="shared" si="18"/>
        <v>-7.3421746130199043E-6</v>
      </c>
      <c r="AF58">
        <f t="shared" si="19"/>
        <v>2.9918015124480007E-4</v>
      </c>
      <c r="AG58">
        <f t="shared" si="36"/>
        <v>4701.683264698484</v>
      </c>
      <c r="AH58">
        <f t="shared" si="37"/>
        <v>-3457.8516495836902</v>
      </c>
      <c r="AJ58">
        <f t="shared" si="20"/>
        <v>22100</v>
      </c>
      <c r="AK58">
        <f t="shared" si="21"/>
        <v>34.059187157486406</v>
      </c>
      <c r="AL58">
        <v>1</v>
      </c>
      <c r="AM58">
        <f t="shared" si="22"/>
        <v>0.93466955496398396</v>
      </c>
      <c r="AN58">
        <f t="shared" si="38"/>
        <v>11812.419570796545</v>
      </c>
      <c r="AO58">
        <f t="shared" si="39"/>
        <v>-11006.649756126773</v>
      </c>
      <c r="AQ58">
        <f t="shared" si="23"/>
        <v>17.331022530329289</v>
      </c>
      <c r="AR58">
        <f t="shared" si="24"/>
        <v>-415.94454072790296</v>
      </c>
      <c r="AT58">
        <f t="shared" si="52"/>
        <v>-1356789.5377003481</v>
      </c>
      <c r="AU58">
        <f t="shared" si="53"/>
        <v>-2015567.5910285495</v>
      </c>
      <c r="AV58">
        <f t="shared" si="42"/>
        <v>-2.1632774584786256</v>
      </c>
      <c r="AW58">
        <f t="shared" si="25"/>
        <v>-4333984.3607540764</v>
      </c>
      <c r="AX58">
        <f t="shared" si="26"/>
        <v>-5240037.6733855056</v>
      </c>
      <c r="AY58">
        <f t="shared" si="50"/>
        <v>-2.2618388627850647</v>
      </c>
      <c r="BA58">
        <f t="shared" si="27"/>
        <v>0.35730179630793713</v>
      </c>
      <c r="BB58">
        <f t="shared" si="43"/>
        <v>-8.9392960081838417</v>
      </c>
      <c r="BC58">
        <f t="shared" si="44"/>
        <v>9.8561404306439115E-2</v>
      </c>
      <c r="BD58">
        <f t="shared" si="28"/>
        <v>-174.35284750390568</v>
      </c>
      <c r="BF58">
        <f t="shared" si="29"/>
        <v>21.365231845971024</v>
      </c>
      <c r="BG58">
        <f t="shared" si="30"/>
        <v>-31.085342174451277</v>
      </c>
      <c r="BH58">
        <f t="shared" si="45"/>
        <v>148.91465782554872</v>
      </c>
      <c r="BI58">
        <f t="shared" si="46"/>
        <v>148.91465782554872</v>
      </c>
      <c r="BJ58">
        <f t="shared" si="31"/>
        <v>0</v>
      </c>
      <c r="BK58">
        <f t="shared" si="47"/>
        <v>0</v>
      </c>
      <c r="BM58">
        <f t="shared" si="48"/>
        <v>30.304527854154863</v>
      </c>
      <c r="BN58">
        <f t="shared" si="32"/>
        <v>-36.732494670545591</v>
      </c>
      <c r="BQ58" s="56">
        <f t="shared" si="49"/>
        <v>7.962664792101295</v>
      </c>
      <c r="BR58" s="59"/>
      <c r="BS58" s="59"/>
      <c r="BT58" s="59">
        <v>301.995</v>
      </c>
      <c r="BU58" s="59">
        <v>24.917000000000002</v>
      </c>
      <c r="BV58" s="59">
        <v>-267.13580000000002</v>
      </c>
      <c r="BW58" s="61"/>
      <c r="BY58" s="59"/>
      <c r="BZ58" s="59"/>
      <c r="CA58" s="59"/>
      <c r="CC58" s="59"/>
    </row>
    <row r="59" spans="1:81" x14ac:dyDescent="0.2">
      <c r="A59">
        <f t="shared" si="54"/>
        <v>12500</v>
      </c>
      <c r="B59">
        <f t="shared" si="33"/>
        <v>12.5</v>
      </c>
      <c r="C59">
        <f t="shared" si="0"/>
        <v>1.0000012336997863</v>
      </c>
      <c r="D59">
        <f t="shared" si="1"/>
        <v>1.5707950330737224E-3</v>
      </c>
      <c r="F59">
        <f t="shared" si="2"/>
        <v>2.3611770309822995</v>
      </c>
      <c r="G59">
        <f t="shared" si="3"/>
        <v>-0.74107891926506853</v>
      </c>
      <c r="H59">
        <f t="shared" si="4"/>
        <v>-0.74107891926506853</v>
      </c>
      <c r="J59">
        <f t="shared" si="5"/>
        <v>15</v>
      </c>
      <c r="M59">
        <f t="shared" si="6"/>
        <v>0.14519316821792105</v>
      </c>
      <c r="N59">
        <f t="shared" si="7"/>
        <v>-1.5707963250000001</v>
      </c>
      <c r="O59">
        <f t="shared" si="8"/>
        <v>1.7958811119991887</v>
      </c>
      <c r="P59">
        <f t="shared" si="9"/>
        <v>0.98023214861055508</v>
      </c>
      <c r="Q59">
        <f t="shared" si="10"/>
        <v>1.3956806419036729</v>
      </c>
      <c r="R59">
        <f t="shared" si="11"/>
        <v>0.77202963907919742</v>
      </c>
      <c r="S59">
        <f t="shared" si="12"/>
        <v>0.99999871142200814</v>
      </c>
      <c r="T59">
        <f t="shared" si="13"/>
        <v>-1.6053524650670456E-3</v>
      </c>
      <c r="U59">
        <f t="shared" si="14"/>
        <v>0.9996734132144488</v>
      </c>
      <c r="V59">
        <f t="shared" si="15"/>
        <v>-2.5557956240183272E-2</v>
      </c>
      <c r="X59">
        <f t="shared" si="34"/>
        <v>22.20175493452566</v>
      </c>
      <c r="Y59">
        <f t="shared" si="16"/>
        <v>-33.529832279353194</v>
      </c>
      <c r="Z59">
        <f t="shared" si="35"/>
        <v>146.4701677206468</v>
      </c>
      <c r="AC59">
        <v>1</v>
      </c>
      <c r="AD59">
        <f t="shared" si="17"/>
        <v>1.4917067300362501</v>
      </c>
      <c r="AE59">
        <f t="shared" si="18"/>
        <v>-7.9667693283636111E-6</v>
      </c>
      <c r="AF59">
        <f t="shared" si="19"/>
        <v>3.1164599088000006E-4</v>
      </c>
      <c r="AG59">
        <f t="shared" si="36"/>
        <v>4701.4425364187828</v>
      </c>
      <c r="AH59">
        <f t="shared" si="37"/>
        <v>-3328.9544501077166</v>
      </c>
      <c r="AJ59">
        <f t="shared" si="20"/>
        <v>22100</v>
      </c>
      <c r="AK59">
        <f t="shared" si="21"/>
        <v>35.478319955715008</v>
      </c>
      <c r="AL59">
        <v>1</v>
      </c>
      <c r="AM59">
        <f t="shared" si="22"/>
        <v>0.97361411975415002</v>
      </c>
      <c r="AN59">
        <f t="shared" si="38"/>
        <v>11363.142007742286</v>
      </c>
      <c r="AO59">
        <f t="shared" si="39"/>
        <v>-11027.837183553695</v>
      </c>
      <c r="AQ59">
        <f t="shared" si="23"/>
        <v>15.974440894568691</v>
      </c>
      <c r="AR59">
        <f t="shared" si="24"/>
        <v>-399.36102236421726</v>
      </c>
      <c r="AT59">
        <f t="shared" si="52"/>
        <v>-1254351.7366816956</v>
      </c>
      <c r="AU59">
        <f t="shared" si="53"/>
        <v>-1930751.084034781</v>
      </c>
      <c r="AV59">
        <f t="shared" si="42"/>
        <v>-2.1469397740961313</v>
      </c>
      <c r="AW59">
        <f t="shared" si="25"/>
        <v>-4184574.1445447998</v>
      </c>
      <c r="AX59">
        <f t="shared" si="26"/>
        <v>-4846188.2630970581</v>
      </c>
      <c r="AY59">
        <f t="shared" si="50"/>
        <v>-2.283062878569261</v>
      </c>
      <c r="BA59">
        <f t="shared" si="27"/>
        <v>0.35959629179767333</v>
      </c>
      <c r="BB59">
        <f t="shared" si="43"/>
        <v>-8.8836959083040874</v>
      </c>
      <c r="BC59">
        <f t="shared" si="44"/>
        <v>0.1361231044731297</v>
      </c>
      <c r="BD59">
        <f t="shared" si="28"/>
        <v>-172.2007206105593</v>
      </c>
      <c r="BF59">
        <f t="shared" si="29"/>
        <v>22.100710985527972</v>
      </c>
      <c r="BG59">
        <f t="shared" si="30"/>
        <v>-34.571415093104356</v>
      </c>
      <c r="BH59">
        <f t="shared" si="45"/>
        <v>145.42858490689565</v>
      </c>
      <c r="BI59">
        <f t="shared" si="46"/>
        <v>145.42858490689565</v>
      </c>
      <c r="BJ59">
        <f t="shared" si="31"/>
        <v>0</v>
      </c>
      <c r="BK59">
        <f t="shared" si="47"/>
        <v>0</v>
      </c>
      <c r="BM59">
        <f t="shared" si="48"/>
        <v>30.984406893832059</v>
      </c>
      <c r="BN59">
        <f t="shared" si="32"/>
        <v>-42.370694482545041</v>
      </c>
      <c r="BQ59" s="56">
        <f t="shared" si="49"/>
        <v>8.0182648919810493</v>
      </c>
      <c r="BR59" s="59"/>
      <c r="BS59" s="59"/>
      <c r="BT59" s="59">
        <v>309.02999999999997</v>
      </c>
      <c r="BU59" s="59">
        <v>24.825199999999999</v>
      </c>
      <c r="BV59" s="59">
        <v>-265.03610000000003</v>
      </c>
      <c r="BW59" s="61"/>
      <c r="BY59" s="59"/>
      <c r="BZ59" s="59"/>
      <c r="CA59" s="59"/>
      <c r="CC59" s="59"/>
    </row>
    <row r="60" spans="1:81" x14ac:dyDescent="0.2">
      <c r="A60">
        <f t="shared" si="54"/>
        <v>13000</v>
      </c>
      <c r="B60">
        <f t="shared" si="33"/>
        <v>13</v>
      </c>
      <c r="C60">
        <f t="shared" si="0"/>
        <v>1.0000013343696217</v>
      </c>
      <c r="D60">
        <f t="shared" si="1"/>
        <v>1.6336267247588152E-3</v>
      </c>
      <c r="F60">
        <f t="shared" si="2"/>
        <v>2.5484907749788652</v>
      </c>
      <c r="G60">
        <f t="shared" si="3"/>
        <v>-0.85991134307283212</v>
      </c>
      <c r="H60">
        <f t="shared" si="4"/>
        <v>-0.85991134307283212</v>
      </c>
      <c r="J60">
        <f t="shared" si="5"/>
        <v>15</v>
      </c>
      <c r="M60">
        <f t="shared" si="6"/>
        <v>0.13960881559415489</v>
      </c>
      <c r="N60">
        <f t="shared" si="7"/>
        <v>-1.5707963250000001</v>
      </c>
      <c r="O60">
        <f t="shared" si="8"/>
        <v>1.8457422323444233</v>
      </c>
      <c r="P60">
        <f t="shared" si="9"/>
        <v>0.99823404531215665</v>
      </c>
      <c r="Q60">
        <f t="shared" si="10"/>
        <v>1.4231216004425329</v>
      </c>
      <c r="R60">
        <f t="shared" si="11"/>
        <v>0.79163824058606724</v>
      </c>
      <c r="S60">
        <f t="shared" si="12"/>
        <v>0.99999860627426385</v>
      </c>
      <c r="T60">
        <f t="shared" si="13"/>
        <v>-1.6695664466354271E-3</v>
      </c>
      <c r="U60">
        <f t="shared" si="14"/>
        <v>0.99964677785092892</v>
      </c>
      <c r="V60">
        <f t="shared" si="15"/>
        <v>-2.6579802307182838E-2</v>
      </c>
      <c r="X60">
        <f t="shared" si="34"/>
        <v>22.930935444059209</v>
      </c>
      <c r="Y60">
        <f t="shared" si="16"/>
        <v>-38.242132491830269</v>
      </c>
      <c r="Z60">
        <f t="shared" si="35"/>
        <v>141.75786750816974</v>
      </c>
      <c r="AC60">
        <v>1</v>
      </c>
      <c r="AD60">
        <f t="shared" si="17"/>
        <v>1.5513749992376999</v>
      </c>
      <c r="AE60">
        <f t="shared" si="18"/>
        <v>-8.6168577055580819E-6</v>
      </c>
      <c r="AF60">
        <f t="shared" si="19"/>
        <v>3.2411183051520004E-4</v>
      </c>
      <c r="AG60">
        <f t="shared" si="36"/>
        <v>4701.1920086741738</v>
      </c>
      <c r="AH60">
        <f t="shared" si="37"/>
        <v>-3210.3410138756253</v>
      </c>
      <c r="AJ60">
        <f t="shared" si="20"/>
        <v>22100</v>
      </c>
      <c r="AK60">
        <f t="shared" si="21"/>
        <v>36.897452753943604</v>
      </c>
      <c r="AL60">
        <v>1</v>
      </c>
      <c r="AM60">
        <f t="shared" si="22"/>
        <v>1.012558684544316</v>
      </c>
      <c r="AN60">
        <f t="shared" si="38"/>
        <v>10930.545163665503</v>
      </c>
      <c r="AO60">
        <f t="shared" si="39"/>
        <v>-11030.920979519435</v>
      </c>
      <c r="AQ60">
        <f t="shared" si="23"/>
        <v>14.771048744460856</v>
      </c>
      <c r="AR60">
        <f t="shared" si="24"/>
        <v>-384.04726735598229</v>
      </c>
      <c r="AT60">
        <f t="shared" si="52"/>
        <v>-1163481.1573425715</v>
      </c>
      <c r="AU60">
        <f t="shared" si="53"/>
        <v>-1852900.0478493967</v>
      </c>
      <c r="AV60">
        <f t="shared" si="42"/>
        <v>-2.1314958205636314</v>
      </c>
      <c r="AW60">
        <f t="shared" si="25"/>
        <v>-4038346.908167758</v>
      </c>
      <c r="AX60">
        <f t="shared" si="26"/>
        <v>-4489121.8417613413</v>
      </c>
      <c r="AY60">
        <f t="shared" si="50"/>
        <v>-2.3033821285697029</v>
      </c>
      <c r="BA60">
        <f t="shared" si="27"/>
        <v>0.36234087283201494</v>
      </c>
      <c r="BB60">
        <f t="shared" si="43"/>
        <v>-8.8176534769576556</v>
      </c>
      <c r="BC60">
        <f t="shared" si="44"/>
        <v>0.17188630800607152</v>
      </c>
      <c r="BD60">
        <f t="shared" si="28"/>
        <v>-170.15163998391299</v>
      </c>
      <c r="BF60">
        <f t="shared" si="29"/>
        <v>22.829844611723313</v>
      </c>
      <c r="BG60">
        <f t="shared" si="30"/>
        <v>-39.327330836975413</v>
      </c>
      <c r="BH60">
        <f t="shared" si="45"/>
        <v>140.67266916302458</v>
      </c>
      <c r="BI60">
        <f t="shared" si="46"/>
        <v>140.67266916302458</v>
      </c>
      <c r="BJ60">
        <f t="shared" si="31"/>
        <v>0</v>
      </c>
      <c r="BK60">
        <f t="shared" si="47"/>
        <v>0</v>
      </c>
      <c r="BM60">
        <f t="shared" si="48"/>
        <v>31.647498088680965</v>
      </c>
      <c r="BN60">
        <f t="shared" si="32"/>
        <v>-49.175690853062434</v>
      </c>
      <c r="BQ60" s="56">
        <f t="shared" si="49"/>
        <v>8.0843073233274829</v>
      </c>
      <c r="BR60" s="59"/>
      <c r="BS60" s="59"/>
      <c r="BT60" s="59">
        <v>316.22800000000001</v>
      </c>
      <c r="BU60" s="59">
        <v>24.722000000000001</v>
      </c>
      <c r="BV60" s="59">
        <v>-265.21839999999997</v>
      </c>
      <c r="BW60" s="61"/>
      <c r="BY60" s="59"/>
      <c r="BZ60" s="59"/>
      <c r="CA60" s="59"/>
      <c r="CC60" s="59"/>
    </row>
    <row r="61" spans="1:81" x14ac:dyDescent="0.2">
      <c r="A61">
        <f t="shared" si="54"/>
        <v>13500</v>
      </c>
      <c r="B61">
        <f t="shared" si="33"/>
        <v>13.5</v>
      </c>
      <c r="C61">
        <f t="shared" si="0"/>
        <v>1.0000014389872831</v>
      </c>
      <c r="D61">
        <f t="shared" si="1"/>
        <v>1.6964584035453658E-3</v>
      </c>
      <c r="F61">
        <f t="shared" si="2"/>
        <v>2.728548013282833</v>
      </c>
      <c r="G61">
        <f t="shared" si="3"/>
        <v>-1.0019609512585965</v>
      </c>
      <c r="H61">
        <f t="shared" si="4"/>
        <v>-1.0019609512585965</v>
      </c>
      <c r="J61">
        <f t="shared" si="5"/>
        <v>15</v>
      </c>
      <c r="M61">
        <f t="shared" si="6"/>
        <v>0.13443811872029729</v>
      </c>
      <c r="N61">
        <f t="shared" si="7"/>
        <v>-1.5707963250000001</v>
      </c>
      <c r="O61">
        <f t="shared" si="8"/>
        <v>1.8961699324646777</v>
      </c>
      <c r="P61">
        <f t="shared" si="9"/>
        <v>1.0152837231225582</v>
      </c>
      <c r="Q61">
        <f t="shared" si="10"/>
        <v>1.4510889302041325</v>
      </c>
      <c r="R61">
        <f t="shared" si="11"/>
        <v>0.8104980179398269</v>
      </c>
      <c r="S61">
        <f t="shared" si="12"/>
        <v>0.99999849700311361</v>
      </c>
      <c r="T61">
        <f t="shared" si="13"/>
        <v>-1.7337804144351003E-3</v>
      </c>
      <c r="U61">
        <f t="shared" si="14"/>
        <v>0.99961910021912204</v>
      </c>
      <c r="V61">
        <f t="shared" si="15"/>
        <v>-2.7601592856511089E-2</v>
      </c>
      <c r="X61">
        <f t="shared" si="34"/>
        <v>23.599021772148806</v>
      </c>
      <c r="Y61">
        <f t="shared" si="16"/>
        <v>-44.382138789206238</v>
      </c>
      <c r="Z61">
        <f t="shared" si="35"/>
        <v>135.61786121079376</v>
      </c>
      <c r="AC61">
        <v>1</v>
      </c>
      <c r="AD61">
        <f t="shared" si="17"/>
        <v>1.6110432684391502</v>
      </c>
      <c r="AE61">
        <f t="shared" si="18"/>
        <v>-9.292439744603314E-6</v>
      </c>
      <c r="AF61">
        <f t="shared" si="19"/>
        <v>3.3657767015040008E-4</v>
      </c>
      <c r="AG61">
        <f t="shared" si="36"/>
        <v>4700.9316846016336</v>
      </c>
      <c r="AH61">
        <f t="shared" si="37"/>
        <v>-3100.8685869038381</v>
      </c>
      <c r="AJ61">
        <f t="shared" si="20"/>
        <v>22100</v>
      </c>
      <c r="AK61">
        <f t="shared" si="21"/>
        <v>38.316585552172199</v>
      </c>
      <c r="AL61">
        <v>1</v>
      </c>
      <c r="AM61">
        <f t="shared" si="22"/>
        <v>1.051503249334482</v>
      </c>
      <c r="AN61">
        <f t="shared" si="38"/>
        <v>10514.660321400184</v>
      </c>
      <c r="AO61">
        <f t="shared" si="39"/>
        <v>-11017.88290804847</v>
      </c>
      <c r="AQ61">
        <f t="shared" si="23"/>
        <v>13.698630136986301</v>
      </c>
      <c r="AR61">
        <f t="shared" si="24"/>
        <v>-369.86301369863014</v>
      </c>
      <c r="AT61">
        <f t="shared" si="52"/>
        <v>-1082500.2761890683</v>
      </c>
      <c r="AU61">
        <f t="shared" si="53"/>
        <v>-1781178.4119335336</v>
      </c>
      <c r="AV61">
        <f t="shared" si="42"/>
        <v>-2.1168904074498158</v>
      </c>
      <c r="AW61">
        <f t="shared" si="25"/>
        <v>-3895826.0619689464</v>
      </c>
      <c r="AX61">
        <f t="shared" si="26"/>
        <v>-4164782.2897320543</v>
      </c>
      <c r="AY61">
        <f t="shared" si="50"/>
        <v>-2.3228401241856353</v>
      </c>
      <c r="BA61">
        <f t="shared" si="27"/>
        <v>0.36548589839024881</v>
      </c>
      <c r="BB61">
        <f t="shared" si="43"/>
        <v>-8.7425874969375137</v>
      </c>
      <c r="BC61">
        <f t="shared" si="44"/>
        <v>0.20594971673581952</v>
      </c>
      <c r="BD61">
        <f t="shared" si="28"/>
        <v>-168.1999504256392</v>
      </c>
      <c r="BF61">
        <f t="shared" si="29"/>
        <v>23.49788218927117</v>
      </c>
      <c r="BG61">
        <f t="shared" si="30"/>
        <v>-45.510884328514614</v>
      </c>
      <c r="BH61">
        <f t="shared" si="45"/>
        <v>134.48911567148539</v>
      </c>
      <c r="BI61">
        <f t="shared" si="46"/>
        <v>134.48911567148539</v>
      </c>
      <c r="BJ61">
        <f t="shared" si="31"/>
        <v>0</v>
      </c>
      <c r="BK61">
        <f t="shared" si="47"/>
        <v>0</v>
      </c>
      <c r="BM61">
        <f t="shared" si="48"/>
        <v>32.240469686208684</v>
      </c>
      <c r="BN61">
        <f t="shared" si="32"/>
        <v>-57.310933902875412</v>
      </c>
      <c r="BQ61" s="56">
        <f t="shared" si="49"/>
        <v>8.159373303347623</v>
      </c>
      <c r="BR61" s="59"/>
      <c r="BS61" s="59"/>
      <c r="BT61" s="59">
        <v>323.59399999999999</v>
      </c>
      <c r="BU61" s="59">
        <v>24.5962</v>
      </c>
      <c r="BV61" s="59">
        <v>-266.99490000000003</v>
      </c>
      <c r="BW61" s="61"/>
      <c r="BY61" s="59"/>
      <c r="BZ61" s="59"/>
      <c r="CA61" s="59"/>
      <c r="CC61" s="59"/>
    </row>
    <row r="62" spans="1:81" x14ac:dyDescent="0.2">
      <c r="A62">
        <f t="shared" si="54"/>
        <v>14000</v>
      </c>
      <c r="B62">
        <f t="shared" si="33"/>
        <v>14</v>
      </c>
      <c r="C62">
        <f t="shared" si="0"/>
        <v>1.000001547552769</v>
      </c>
      <c r="D62">
        <f t="shared" si="1"/>
        <v>1.7592900689372823E-3</v>
      </c>
      <c r="F62">
        <f t="shared" si="2"/>
        <v>2.8724957250778829</v>
      </c>
      <c r="G62">
        <f t="shared" si="3"/>
        <v>-1.1676430590034406</v>
      </c>
      <c r="H62">
        <f t="shared" si="4"/>
        <v>-1.1676430590034406</v>
      </c>
      <c r="J62">
        <f t="shared" si="5"/>
        <v>15</v>
      </c>
      <c r="M62">
        <f t="shared" si="6"/>
        <v>0.12963675733742952</v>
      </c>
      <c r="N62">
        <f t="shared" si="7"/>
        <v>-1.5707963250000001</v>
      </c>
      <c r="O62">
        <f t="shared" si="8"/>
        <v>1.9471201919772234</v>
      </c>
      <c r="P62">
        <f t="shared" si="9"/>
        <v>1.0314456199928015</v>
      </c>
      <c r="Q62">
        <f t="shared" si="10"/>
        <v>1.4795527822045496</v>
      </c>
      <c r="R62">
        <f t="shared" si="11"/>
        <v>0.82863838966661607</v>
      </c>
      <c r="S62">
        <f t="shared" si="12"/>
        <v>0.99999838360856186</v>
      </c>
      <c r="T62">
        <f t="shared" si="13"/>
        <v>-1.7979943679365051E-3</v>
      </c>
      <c r="U62">
        <f t="shared" si="14"/>
        <v>0.9995903805789732</v>
      </c>
      <c r="V62">
        <f t="shared" si="15"/>
        <v>-2.8623325759257748E-2</v>
      </c>
      <c r="X62">
        <f t="shared" si="34"/>
        <v>24.12848142150791</v>
      </c>
      <c r="Y62">
        <f t="shared" si="16"/>
        <v>-51.968269276543673</v>
      </c>
      <c r="Z62">
        <f t="shared" si="35"/>
        <v>128.03173072345632</v>
      </c>
      <c r="AC62">
        <v>1</v>
      </c>
      <c r="AD62">
        <f t="shared" si="17"/>
        <v>1.6707115376405999</v>
      </c>
      <c r="AE62">
        <f t="shared" si="18"/>
        <v>-9.9935154454993125E-6</v>
      </c>
      <c r="AF62">
        <f t="shared" si="19"/>
        <v>3.4904350978560007E-4</v>
      </c>
      <c r="AG62">
        <f t="shared" si="36"/>
        <v>4700.6615674602699</v>
      </c>
      <c r="AH62">
        <f t="shared" si="37"/>
        <v>-2999.5576615121254</v>
      </c>
      <c r="AJ62">
        <f t="shared" si="20"/>
        <v>22100</v>
      </c>
      <c r="AK62">
        <f t="shared" si="21"/>
        <v>39.735718350400802</v>
      </c>
      <c r="AL62">
        <v>1</v>
      </c>
      <c r="AM62">
        <f t="shared" si="22"/>
        <v>1.0904478141246481</v>
      </c>
      <c r="AN62">
        <f t="shared" si="38"/>
        <v>10115.375310724428</v>
      </c>
      <c r="AO62">
        <f t="shared" si="39"/>
        <v>-10990.553178279484</v>
      </c>
      <c r="AQ62">
        <f t="shared" si="23"/>
        <v>12.738853503184714</v>
      </c>
      <c r="AR62">
        <f t="shared" si="24"/>
        <v>-356.68789808917199</v>
      </c>
      <c r="AT62">
        <f t="shared" si="52"/>
        <v>-1010024.878406105</v>
      </c>
      <c r="AU62">
        <f t="shared" si="53"/>
        <v>-1714880.0197503145</v>
      </c>
      <c r="AV62">
        <f t="shared" si="42"/>
        <v>-2.103071246676925</v>
      </c>
      <c r="AW62">
        <f t="shared" si="25"/>
        <v>-3757388.0324799176</v>
      </c>
      <c r="AX62">
        <f t="shared" si="26"/>
        <v>-3869636.860043976</v>
      </c>
      <c r="AY62">
        <f t="shared" si="50"/>
        <v>-2.341478303221729</v>
      </c>
      <c r="BA62">
        <f t="shared" si="27"/>
        <v>0.36898884645359448</v>
      </c>
      <c r="BB62">
        <f t="shared" si="43"/>
        <v>-8.6597352240744172</v>
      </c>
      <c r="BC62">
        <f t="shared" si="44"/>
        <v>0.23840705654480399</v>
      </c>
      <c r="BD62">
        <f t="shared" si="28"/>
        <v>-166.34028183823744</v>
      </c>
      <c r="BF62">
        <f t="shared" si="29"/>
        <v>24.027291219552787</v>
      </c>
      <c r="BG62">
        <f t="shared" si="30"/>
        <v>-53.140501277320546</v>
      </c>
      <c r="BH62">
        <f t="shared" si="45"/>
        <v>126.85949872267946</v>
      </c>
      <c r="BI62">
        <f t="shared" si="46"/>
        <v>126.85949872267946</v>
      </c>
      <c r="BJ62">
        <f t="shared" si="31"/>
        <v>0</v>
      </c>
      <c r="BK62">
        <f t="shared" si="47"/>
        <v>0</v>
      </c>
      <c r="BM62">
        <f t="shared" si="48"/>
        <v>32.687026443627204</v>
      </c>
      <c r="BN62">
        <f t="shared" si="32"/>
        <v>-66.800219439083094</v>
      </c>
      <c r="BQ62" s="56">
        <f t="shared" si="49"/>
        <v>8.2422255762107195</v>
      </c>
      <c r="BR62" s="59"/>
      <c r="BS62" s="59"/>
      <c r="BT62" s="59">
        <v>331.13099999999997</v>
      </c>
      <c r="BU62" s="59">
        <v>24.386800000000001</v>
      </c>
      <c r="BV62" s="59">
        <v>-265.09339999999997</v>
      </c>
      <c r="BW62" s="61"/>
      <c r="BY62" s="59"/>
      <c r="BZ62" s="59"/>
      <c r="CA62" s="59"/>
      <c r="CC62" s="59"/>
    </row>
    <row r="63" spans="1:81" x14ac:dyDescent="0.2">
      <c r="A63">
        <f t="shared" si="54"/>
        <v>14500</v>
      </c>
      <c r="B63">
        <f t="shared" si="33"/>
        <v>14.5</v>
      </c>
      <c r="C63">
        <f t="shared" si="0"/>
        <v>1.0000016600660786</v>
      </c>
      <c r="D63">
        <f t="shared" si="1"/>
        <v>1.8221217204384727E-3</v>
      </c>
      <c r="F63">
        <f t="shared" si="2"/>
        <v>2.9436940312045894</v>
      </c>
      <c r="G63">
        <f t="shared" si="3"/>
        <v>-1.3526154250282032</v>
      </c>
      <c r="H63">
        <f t="shared" si="4"/>
        <v>-1.3526154250282032</v>
      </c>
      <c r="J63">
        <f t="shared" si="5"/>
        <v>15</v>
      </c>
      <c r="M63">
        <f t="shared" si="6"/>
        <v>0.12516652432579403</v>
      </c>
      <c r="N63">
        <f t="shared" si="7"/>
        <v>-1.5707963250000001</v>
      </c>
      <c r="O63">
        <f t="shared" si="8"/>
        <v>1.9985530455623968</v>
      </c>
      <c r="P63">
        <f t="shared" si="9"/>
        <v>1.0467794985511576</v>
      </c>
      <c r="Q63">
        <f t="shared" si="10"/>
        <v>1.5084850498267668</v>
      </c>
      <c r="R63">
        <f t="shared" si="11"/>
        <v>0.84608846967854201</v>
      </c>
      <c r="S63">
        <f t="shared" si="12"/>
        <v>0.99999826609061238</v>
      </c>
      <c r="T63">
        <f t="shared" si="13"/>
        <v>-1.8622083066100828E-3</v>
      </c>
      <c r="U63">
        <f t="shared" si="14"/>
        <v>0.99956061920017303</v>
      </c>
      <c r="V63">
        <f t="shared" si="15"/>
        <v>-2.964499888723417E-2</v>
      </c>
      <c r="X63">
        <f t="shared" si="34"/>
        <v>24.430758290753076</v>
      </c>
      <c r="Y63">
        <f t="shared" si="16"/>
        <v>-60.746639482029508</v>
      </c>
      <c r="Z63">
        <f t="shared" si="35"/>
        <v>119.25336051797049</v>
      </c>
      <c r="AC63">
        <v>1</v>
      </c>
      <c r="AD63">
        <f t="shared" si="17"/>
        <v>1.73037980684205</v>
      </c>
      <c r="AE63">
        <f t="shared" si="18"/>
        <v>-1.0720084808246076E-5</v>
      </c>
      <c r="AF63">
        <f t="shared" si="19"/>
        <v>3.6150934942080006E-4</v>
      </c>
      <c r="AG63">
        <f t="shared" si="36"/>
        <v>4700.3816606312248</v>
      </c>
      <c r="AH63">
        <f t="shared" si="37"/>
        <v>-2905.5638304126674</v>
      </c>
      <c r="AJ63">
        <f t="shared" si="20"/>
        <v>22100</v>
      </c>
      <c r="AK63">
        <f t="shared" si="21"/>
        <v>41.154851148629405</v>
      </c>
      <c r="AL63">
        <v>1</v>
      </c>
      <c r="AM63">
        <f t="shared" si="22"/>
        <v>1.1293923789148139</v>
      </c>
      <c r="AN63">
        <f t="shared" si="38"/>
        <v>9732.4613413396091</v>
      </c>
      <c r="AO63">
        <f t="shared" si="39"/>
        <v>-10950.612815843371</v>
      </c>
      <c r="AQ63">
        <f t="shared" si="23"/>
        <v>11.876484560570072</v>
      </c>
      <c r="AR63">
        <f t="shared" si="24"/>
        <v>-344.41805225653206</v>
      </c>
      <c r="AT63">
        <f t="shared" si="52"/>
        <v>-944904.62495648616</v>
      </c>
      <c r="AU63">
        <f t="shared" si="53"/>
        <v>-1653404.180388577</v>
      </c>
      <c r="AV63">
        <f t="shared" si="42"/>
        <v>-2.0899890529263621</v>
      </c>
      <c r="AW63">
        <f t="shared" si="25"/>
        <v>-3623291.1472704993</v>
      </c>
      <c r="AX63">
        <f t="shared" si="26"/>
        <v>-3600596.1165371784</v>
      </c>
      <c r="AY63">
        <f t="shared" si="50"/>
        <v>-2.3593361444344296</v>
      </c>
      <c r="BA63">
        <f t="shared" si="27"/>
        <v>0.37281307288161086</v>
      </c>
      <c r="BB63">
        <f t="shared" si="43"/>
        <v>-8.5701773458459343</v>
      </c>
      <c r="BC63">
        <f t="shared" si="44"/>
        <v>0.26934709150806757</v>
      </c>
      <c r="BD63">
        <f t="shared" si="28"/>
        <v>-164.56754841482962</v>
      </c>
      <c r="BF63">
        <f t="shared" si="29"/>
        <v>24.329515599610584</v>
      </c>
      <c r="BG63">
        <f t="shared" si="30"/>
        <v>-61.962303777335833</v>
      </c>
      <c r="BH63">
        <f t="shared" si="45"/>
        <v>118.03769622266417</v>
      </c>
      <c r="BI63">
        <f t="shared" si="46"/>
        <v>118.03769622266417</v>
      </c>
      <c r="BJ63">
        <f t="shared" si="31"/>
        <v>0</v>
      </c>
      <c r="BK63">
        <f t="shared" si="47"/>
        <v>0</v>
      </c>
      <c r="BM63">
        <f t="shared" si="48"/>
        <v>32.899692945456522</v>
      </c>
      <c r="BN63">
        <f t="shared" si="32"/>
        <v>-77.394755362506231</v>
      </c>
      <c r="BQ63" s="56">
        <f t="shared" si="49"/>
        <v>8.3317834544392007</v>
      </c>
      <c r="BR63" s="59"/>
      <c r="BS63" s="59"/>
      <c r="BT63" s="59">
        <v>338.84399999999999</v>
      </c>
      <c r="BU63" s="59">
        <v>24.136900000000001</v>
      </c>
      <c r="BV63" s="59">
        <v>-266.42009999999999</v>
      </c>
      <c r="BW63" s="61"/>
      <c r="BY63" s="59"/>
      <c r="BZ63" s="59"/>
      <c r="CA63" s="59"/>
      <c r="CC63" s="59"/>
    </row>
    <row r="64" spans="1:81" x14ac:dyDescent="0.2">
      <c r="A64">
        <f t="shared" si="54"/>
        <v>15000</v>
      </c>
      <c r="B64">
        <f t="shared" si="33"/>
        <v>15</v>
      </c>
      <c r="C64">
        <f t="shared" si="0"/>
        <v>1.0000017765272102</v>
      </c>
      <c r="D64">
        <f t="shared" si="1"/>
        <v>1.8849533575528462E-3</v>
      </c>
      <c r="F64">
        <f t="shared" si="2"/>
        <v>2.9138226621267234</v>
      </c>
      <c r="G64">
        <f t="shared" si="3"/>
        <v>-1.5466899404690437</v>
      </c>
      <c r="H64">
        <f t="shared" si="4"/>
        <v>-1.5466899404690437</v>
      </c>
      <c r="J64">
        <f t="shared" si="5"/>
        <v>15</v>
      </c>
      <c r="M64">
        <f t="shared" si="6"/>
        <v>0.12099430684826756</v>
      </c>
      <c r="N64">
        <f t="shared" si="7"/>
        <v>-1.5707963250000001</v>
      </c>
      <c r="O64">
        <f t="shared" si="8"/>
        <v>2.0504321775047907</v>
      </c>
      <c r="P64">
        <f t="shared" si="9"/>
        <v>1.0613407163985085</v>
      </c>
      <c r="Q64">
        <f t="shared" si="10"/>
        <v>1.5378592959129564</v>
      </c>
      <c r="R64">
        <f t="shared" si="11"/>
        <v>0.86287688264636397</v>
      </c>
      <c r="S64">
        <f t="shared" si="12"/>
        <v>0.99999814444926982</v>
      </c>
      <c r="T64">
        <f t="shared" si="13"/>
        <v>-1.9264222299262758E-3</v>
      </c>
      <c r="U64">
        <f t="shared" si="14"/>
        <v>0.99952981636215121</v>
      </c>
      <c r="V64">
        <f t="shared" si="15"/>
        <v>-3.0666610112999877E-2</v>
      </c>
      <c r="X64">
        <f t="shared" si="34"/>
        <v>24.437540839122196</v>
      </c>
      <c r="Y64">
        <f t="shared" si="16"/>
        <v>-70.128701814259102</v>
      </c>
      <c r="Z64">
        <f t="shared" si="35"/>
        <v>109.8712981857409</v>
      </c>
      <c r="AC64">
        <v>1</v>
      </c>
      <c r="AD64">
        <f t="shared" si="17"/>
        <v>1.7900480760435002</v>
      </c>
      <c r="AE64">
        <f t="shared" si="18"/>
        <v>-1.1472147832843597E-5</v>
      </c>
      <c r="AF64">
        <f t="shared" si="19"/>
        <v>3.7397518905600005E-4</v>
      </c>
      <c r="AG64">
        <f t="shared" si="36"/>
        <v>4700.0919676175645</v>
      </c>
      <c r="AH64">
        <f t="shared" si="37"/>
        <v>-2818.1552699814333</v>
      </c>
      <c r="AJ64">
        <f t="shared" si="20"/>
        <v>22100</v>
      </c>
      <c r="AK64">
        <f t="shared" si="21"/>
        <v>42.573983946858007</v>
      </c>
      <c r="AL64">
        <v>1</v>
      </c>
      <c r="AM64">
        <f t="shared" si="22"/>
        <v>1.16833694370498</v>
      </c>
      <c r="AN64">
        <f t="shared" si="38"/>
        <v>9365.5965041201307</v>
      </c>
      <c r="AO64">
        <f t="shared" si="39"/>
        <v>-10899.598411650899</v>
      </c>
      <c r="AQ64">
        <f t="shared" si="23"/>
        <v>11.098779134295228</v>
      </c>
      <c r="AR64">
        <f t="shared" si="24"/>
        <v>-332.96337402885683</v>
      </c>
      <c r="AT64">
        <f t="shared" si="52"/>
        <v>-886177.20457075955</v>
      </c>
      <c r="AU64">
        <f t="shared" si="53"/>
        <v>-1596236.562691547</v>
      </c>
      <c r="AV64">
        <f t="shared" si="42"/>
        <v>-2.0775975514260372</v>
      </c>
      <c r="AW64">
        <f t="shared" si="25"/>
        <v>-3493699.0436552055</v>
      </c>
      <c r="AX64">
        <f t="shared" si="26"/>
        <v>-3354948.600122184</v>
      </c>
      <c r="AY64">
        <f t="shared" si="50"/>
        <v>-2.3764512579659933</v>
      </c>
      <c r="BA64">
        <f t="shared" si="27"/>
        <v>0.3769268213529462</v>
      </c>
      <c r="BB64">
        <f t="shared" si="43"/>
        <v>-8.4748591586155015</v>
      </c>
      <c r="BC64">
        <f t="shared" si="44"/>
        <v>0.29885370653995613</v>
      </c>
      <c r="BD64">
        <f t="shared" si="28"/>
        <v>-162.87694390385332</v>
      </c>
      <c r="BF64">
        <f t="shared" si="29"/>
        <v>24.336243786897498</v>
      </c>
      <c r="BG64">
        <f t="shared" si="30"/>
        <v>-71.387749937241608</v>
      </c>
      <c r="BH64">
        <f t="shared" si="45"/>
        <v>108.61225006275839</v>
      </c>
      <c r="BI64">
        <f t="shared" si="46"/>
        <v>108.61225006275839</v>
      </c>
      <c r="BJ64">
        <f t="shared" si="31"/>
        <v>0</v>
      </c>
      <c r="BK64">
        <f t="shared" si="47"/>
        <v>0</v>
      </c>
      <c r="BM64">
        <f t="shared" si="48"/>
        <v>32.811102945512999</v>
      </c>
      <c r="BN64">
        <f t="shared" si="32"/>
        <v>-88.510806033388292</v>
      </c>
      <c r="BQ64" s="56">
        <f t="shared" si="49"/>
        <v>8.4271016416696352</v>
      </c>
      <c r="BR64" s="59"/>
      <c r="BS64" s="59"/>
      <c r="BT64" s="59">
        <v>346.73700000000002</v>
      </c>
      <c r="BU64" s="59">
        <v>24.040400000000002</v>
      </c>
      <c r="BV64" s="59">
        <v>-265.87940000000003</v>
      </c>
      <c r="BW64" s="61"/>
      <c r="BY64" s="59"/>
      <c r="BZ64" s="59"/>
      <c r="CA64" s="59"/>
      <c r="CC64" s="59"/>
    </row>
    <row r="65" spans="1:81" x14ac:dyDescent="0.2">
      <c r="A65">
        <f t="shared" si="54"/>
        <v>15500</v>
      </c>
      <c r="B65">
        <f t="shared" si="33"/>
        <v>15.5</v>
      </c>
      <c r="C65">
        <f t="shared" si="0"/>
        <v>1.0000018969361624</v>
      </c>
      <c r="D65">
        <f t="shared" si="1"/>
        <v>1.9477849797843131E-3</v>
      </c>
      <c r="F65">
        <f t="shared" si="2"/>
        <v>2.7821287128967604</v>
      </c>
      <c r="G65">
        <f t="shared" si="3"/>
        <v>1.4053433321282229</v>
      </c>
      <c r="H65">
        <f t="shared" si="4"/>
        <v>-1.7362493178717773</v>
      </c>
      <c r="J65">
        <f t="shared" si="5"/>
        <v>15</v>
      </c>
      <c r="M65">
        <f t="shared" si="6"/>
        <v>0.11709126469187182</v>
      </c>
      <c r="N65">
        <f t="shared" si="7"/>
        <v>-1.5707963250000001</v>
      </c>
      <c r="O65">
        <f t="shared" si="8"/>
        <v>2.1027245558718186</v>
      </c>
      <c r="P65">
        <f t="shared" si="9"/>
        <v>1.075180506691471</v>
      </c>
      <c r="Q65">
        <f t="shared" si="10"/>
        <v>1.5676506756144097</v>
      </c>
      <c r="R65">
        <f t="shared" si="11"/>
        <v>0.8790316180432407</v>
      </c>
      <c r="S65">
        <f t="shared" si="12"/>
        <v>0.99999801868453864</v>
      </c>
      <c r="T65">
        <f t="shared" si="13"/>
        <v>-1.9906361373555263E-3</v>
      </c>
      <c r="U65">
        <f t="shared" si="14"/>
        <v>0.99949797235406912</v>
      </c>
      <c r="V65">
        <f t="shared" si="15"/>
        <v>-3.1688157309889019E-2</v>
      </c>
      <c r="X65">
        <f t="shared" si="34"/>
        <v>24.136130709292907</v>
      </c>
      <c r="Y65">
        <f t="shared" si="16"/>
        <v>-79.329703928615515</v>
      </c>
      <c r="Z65">
        <f t="shared" si="35"/>
        <v>100.67029607138448</v>
      </c>
      <c r="AC65">
        <v>1</v>
      </c>
      <c r="AD65">
        <f t="shared" si="17"/>
        <v>1.8497163452449499</v>
      </c>
      <c r="AE65">
        <f t="shared" si="18"/>
        <v>-1.224970451929189E-5</v>
      </c>
      <c r="AF65">
        <f t="shared" si="19"/>
        <v>3.8644102869120003E-4</v>
      </c>
      <c r="AG65">
        <f t="shared" si="36"/>
        <v>4699.7924920441683</v>
      </c>
      <c r="AH65">
        <f t="shared" si="37"/>
        <v>-2736.6945816061857</v>
      </c>
      <c r="AJ65">
        <f t="shared" si="20"/>
        <v>22100</v>
      </c>
      <c r="AK65">
        <f t="shared" si="21"/>
        <v>43.993116745086603</v>
      </c>
      <c r="AL65">
        <v>1</v>
      </c>
      <c r="AM65">
        <f t="shared" si="22"/>
        <v>1.207281508495146</v>
      </c>
      <c r="AN65">
        <f t="shared" si="38"/>
        <v>9014.3861231044375</v>
      </c>
      <c r="AO65">
        <f t="shared" si="39"/>
        <v>-10838.908560114149</v>
      </c>
      <c r="AQ65">
        <f t="shared" si="23"/>
        <v>10.395010395010395</v>
      </c>
      <c r="AR65">
        <f t="shared" si="24"/>
        <v>-322.24532224532226</v>
      </c>
      <c r="AT65">
        <f t="shared" si="52"/>
        <v>-833032.63552752172</v>
      </c>
      <c r="AU65">
        <f t="shared" si="53"/>
        <v>-1542934.1147086839</v>
      </c>
      <c r="AV65">
        <f t="shared" si="42"/>
        <v>-2.0658534217729576</v>
      </c>
      <c r="AW65">
        <f t="shared" si="25"/>
        <v>-3368699.7206518305</v>
      </c>
      <c r="AX65">
        <f t="shared" si="26"/>
        <v>-3130306.9919772805</v>
      </c>
      <c r="AY65">
        <f t="shared" si="50"/>
        <v>-2.3928594613573471</v>
      </c>
      <c r="BA65">
        <f t="shared" si="27"/>
        <v>0.38130242721601038</v>
      </c>
      <c r="BB65">
        <f t="shared" si="43"/>
        <v>-8.3746086035134955</v>
      </c>
      <c r="BC65">
        <f t="shared" si="44"/>
        <v>0.32700603958438945</v>
      </c>
      <c r="BD65">
        <f t="shared" si="28"/>
        <v>-161.26393403511747</v>
      </c>
      <c r="BF65">
        <f t="shared" si="29"/>
        <v>24.034777422119483</v>
      </c>
      <c r="BG65">
        <f t="shared" si="30"/>
        <v>-80.632092386442466</v>
      </c>
      <c r="BH65">
        <f t="shared" si="45"/>
        <v>99.367907613557534</v>
      </c>
      <c r="BI65">
        <f t="shared" si="46"/>
        <v>99.367907613557534</v>
      </c>
      <c r="BJ65">
        <f t="shared" si="31"/>
        <v>0</v>
      </c>
      <c r="BK65">
        <f t="shared" si="47"/>
        <v>0</v>
      </c>
      <c r="BM65">
        <f t="shared" si="48"/>
        <v>32.409386025632976</v>
      </c>
      <c r="BN65">
        <f t="shared" si="32"/>
        <v>-99.368158351324993</v>
      </c>
      <c r="BQ65" s="56">
        <f t="shared" si="49"/>
        <v>8.5273521967716412</v>
      </c>
      <c r="BR65" s="59"/>
      <c r="BS65" s="59"/>
      <c r="BT65" s="59">
        <v>354.81299999999999</v>
      </c>
      <c r="BU65" s="59">
        <v>23.629000000000001</v>
      </c>
      <c r="BV65" s="59">
        <v>-265.95490000000001</v>
      </c>
      <c r="BW65" s="61"/>
      <c r="BY65" s="59"/>
      <c r="BZ65" s="59"/>
      <c r="CA65" s="59"/>
      <c r="CC65" s="59"/>
    </row>
    <row r="66" spans="1:81" x14ac:dyDescent="0.2">
      <c r="A66">
        <f t="shared" si="54"/>
        <v>16000</v>
      </c>
      <c r="B66">
        <f t="shared" si="33"/>
        <v>16</v>
      </c>
      <c r="C66">
        <f t="shared" si="0"/>
        <v>1.0000020212929339</v>
      </c>
      <c r="D66">
        <f t="shared" si="1"/>
        <v>2.0106165866367836E-3</v>
      </c>
      <c r="F66">
        <f t="shared" si="2"/>
        <v>2.5773455141077739</v>
      </c>
      <c r="G66">
        <f t="shared" si="3"/>
        <v>1.2321882305216132</v>
      </c>
      <c r="H66">
        <f t="shared" si="4"/>
        <v>-1.909404419478387</v>
      </c>
      <c r="J66">
        <f t="shared" si="5"/>
        <v>15</v>
      </c>
      <c r="M66">
        <f t="shared" si="6"/>
        <v>0.11343216267025083</v>
      </c>
      <c r="N66">
        <f t="shared" si="7"/>
        <v>-1.5707963250000001</v>
      </c>
      <c r="O66">
        <f t="shared" si="8"/>
        <v>2.1554001034343089</v>
      </c>
      <c r="P66">
        <f t="shared" si="9"/>
        <v>1.0883462596340097</v>
      </c>
      <c r="Q66">
        <f t="shared" si="10"/>
        <v>1.5978358569440505</v>
      </c>
      <c r="R66">
        <f t="shared" si="11"/>
        <v>0.89457991750527865</v>
      </c>
      <c r="S66">
        <f t="shared" si="12"/>
        <v>0.99999788879642326</v>
      </c>
      <c r="T66">
        <f t="shared" si="13"/>
        <v>-2.0548500283682786E-3</v>
      </c>
      <c r="U66">
        <f t="shared" si="14"/>
        <v>0.99946508747481133</v>
      </c>
      <c r="V66">
        <f t="shared" si="15"/>
        <v>-3.2709638352036864E-2</v>
      </c>
      <c r="X66">
        <f t="shared" si="34"/>
        <v>23.57655532076247</v>
      </c>
      <c r="Y66">
        <f t="shared" si="16"/>
        <v>-87.66417219747315</v>
      </c>
      <c r="Z66">
        <f t="shared" si="35"/>
        <v>92.33582780252685</v>
      </c>
      <c r="AC66">
        <v>1</v>
      </c>
      <c r="AD66">
        <f t="shared" si="17"/>
        <v>1.9093846144464002</v>
      </c>
      <c r="AE66">
        <f t="shared" si="18"/>
        <v>-1.3052754867590937E-5</v>
      </c>
      <c r="AF66">
        <f t="shared" si="19"/>
        <v>3.9890686832640002E-4</v>
      </c>
      <c r="AG66">
        <f t="shared" si="36"/>
        <v>4699.4832376576232</v>
      </c>
      <c r="AH66">
        <f t="shared" si="37"/>
        <v>-2660.6240377818458</v>
      </c>
      <c r="AJ66">
        <f t="shared" si="20"/>
        <v>22100</v>
      </c>
      <c r="AK66">
        <f t="shared" si="21"/>
        <v>45.412249543315205</v>
      </c>
      <c r="AL66">
        <v>1</v>
      </c>
      <c r="AM66">
        <f t="shared" si="22"/>
        <v>1.2462260732853121</v>
      </c>
      <c r="AN66">
        <f t="shared" si="38"/>
        <v>8678.3801969024207</v>
      </c>
      <c r="AO66">
        <f t="shared" si="39"/>
        <v>-10769.811425719403</v>
      </c>
      <c r="AQ66">
        <f t="shared" si="23"/>
        <v>9.7560975609756095</v>
      </c>
      <c r="AR66">
        <f t="shared" si="24"/>
        <v>-312.19512195121951</v>
      </c>
      <c r="AT66">
        <f t="shared" si="52"/>
        <v>-784785.22898889205</v>
      </c>
      <c r="AU66">
        <f t="shared" si="53"/>
        <v>-1493113.0501739101</v>
      </c>
      <c r="AV66">
        <f t="shared" si="42"/>
        <v>-2.0547161988775517</v>
      </c>
      <c r="AW66">
        <f t="shared" si="25"/>
        <v>-3248321.0878473832</v>
      </c>
      <c r="AX66">
        <f t="shared" si="26"/>
        <v>-2924563.3593903836</v>
      </c>
      <c r="AY66">
        <f t="shared" si="50"/>
        <v>-2.40859484736486</v>
      </c>
      <c r="BA66">
        <f t="shared" si="27"/>
        <v>0.38591567243917135</v>
      </c>
      <c r="BB66">
        <f t="shared" si="43"/>
        <v>-8.2701516783445665</v>
      </c>
      <c r="BC66">
        <f t="shared" si="44"/>
        <v>0.35387864848730821</v>
      </c>
      <c r="BD66">
        <f t="shared" si="28"/>
        <v>-159.72424695871518</v>
      </c>
      <c r="BF66">
        <f t="shared" si="29"/>
        <v>23.47514392263443</v>
      </c>
      <c r="BG66">
        <f t="shared" si="30"/>
        <v>-89.009861858697548</v>
      </c>
      <c r="BH66">
        <f t="shared" si="45"/>
        <v>90.990138141302452</v>
      </c>
      <c r="BI66">
        <f t="shared" si="46"/>
        <v>90.990138141302452</v>
      </c>
      <c r="BJ66">
        <f t="shared" si="31"/>
        <v>0</v>
      </c>
      <c r="BK66">
        <f t="shared" si="47"/>
        <v>0</v>
      </c>
      <c r="BM66">
        <f t="shared" si="48"/>
        <v>31.745295600978999</v>
      </c>
      <c r="BN66">
        <f t="shared" si="32"/>
        <v>-109.28561489998235</v>
      </c>
      <c r="BQ66" s="56">
        <f t="shared" si="49"/>
        <v>8.6318091219405702</v>
      </c>
      <c r="BR66" s="59"/>
      <c r="BS66" s="59"/>
      <c r="BT66" s="59">
        <v>363.07799999999997</v>
      </c>
      <c r="BU66" s="59">
        <v>23.6126</v>
      </c>
      <c r="BV66" s="59">
        <v>-265.39159999999998</v>
      </c>
      <c r="BW66" s="61"/>
      <c r="BY66" s="59"/>
      <c r="BZ66" s="59"/>
      <c r="CA66" s="59"/>
      <c r="CC66" s="59"/>
    </row>
    <row r="67" spans="1:81" x14ac:dyDescent="0.2">
      <c r="A67">
        <f t="shared" si="54"/>
        <v>16500</v>
      </c>
      <c r="B67">
        <f t="shared" si="33"/>
        <v>16.5</v>
      </c>
      <c r="C67">
        <f t="shared" si="0"/>
        <v>1.0000021495975233</v>
      </c>
      <c r="D67">
        <f t="shared" si="1"/>
        <v>2.0734481776141685E-3</v>
      </c>
      <c r="F67">
        <f t="shared" si="2"/>
        <v>2.3392625425961966</v>
      </c>
      <c r="G67">
        <f t="shared" si="3"/>
        <v>1.0818764472023854</v>
      </c>
      <c r="H67">
        <f t="shared" si="4"/>
        <v>-2.059716202797615</v>
      </c>
      <c r="J67">
        <f t="shared" si="5"/>
        <v>15</v>
      </c>
      <c r="M67">
        <f t="shared" si="6"/>
        <v>0.10999482440751597</v>
      </c>
      <c r="N67">
        <f t="shared" si="7"/>
        <v>-1.5707963250000001</v>
      </c>
      <c r="O67">
        <f t="shared" si="8"/>
        <v>2.2084314022857749</v>
      </c>
      <c r="P67">
        <f t="shared" si="9"/>
        <v>1.1008817983177717</v>
      </c>
      <c r="Q67">
        <f t="shared" si="10"/>
        <v>1.6283929405924515</v>
      </c>
      <c r="R67">
        <f t="shared" si="11"/>
        <v>0.90954819060560099</v>
      </c>
      <c r="S67">
        <f t="shared" si="12"/>
        <v>0.99999775478492892</v>
      </c>
      <c r="T67">
        <f t="shared" si="13"/>
        <v>-2.1190639024349762E-3</v>
      </c>
      <c r="U67">
        <f t="shared" si="14"/>
        <v>0.99943116203297944</v>
      </c>
      <c r="V67">
        <f t="shared" si="15"/>
        <v>-3.3731051114406232E-2</v>
      </c>
      <c r="X67">
        <f t="shared" si="34"/>
        <v>22.842768927383048</v>
      </c>
      <c r="Y67">
        <f t="shared" si="16"/>
        <v>-94.759152504518482</v>
      </c>
      <c r="Z67">
        <f t="shared" si="35"/>
        <v>85.240847495481518</v>
      </c>
      <c r="AC67">
        <v>1</v>
      </c>
      <c r="AD67">
        <f t="shared" si="17"/>
        <v>1.9690528836478502</v>
      </c>
      <c r="AE67">
        <f t="shared" si="18"/>
        <v>-1.3881298877740756E-5</v>
      </c>
      <c r="AF67">
        <f t="shared" si="19"/>
        <v>4.1137270796160001E-4</v>
      </c>
      <c r="AG67">
        <f t="shared" si="36"/>
        <v>4699.1642083260977</v>
      </c>
      <c r="AH67">
        <f t="shared" si="37"/>
        <v>-2589.4535107340948</v>
      </c>
      <c r="AJ67">
        <f t="shared" si="20"/>
        <v>22100</v>
      </c>
      <c r="AK67">
        <f t="shared" si="21"/>
        <v>46.831382341543808</v>
      </c>
      <c r="AL67">
        <v>1</v>
      </c>
      <c r="AM67">
        <f t="shared" si="22"/>
        <v>1.2851706380754782</v>
      </c>
      <c r="AN67">
        <f t="shared" si="38"/>
        <v>8357.0881980788054</v>
      </c>
      <c r="AO67">
        <f t="shared" si="39"/>
        <v>-10693.452989636444</v>
      </c>
      <c r="AQ67">
        <f t="shared" si="23"/>
        <v>9.1743119266055047</v>
      </c>
      <c r="AR67">
        <f t="shared" si="24"/>
        <v>-302.75229357798167</v>
      </c>
      <c r="AT67">
        <f t="shared" si="52"/>
        <v>-740851.39124678017</v>
      </c>
      <c r="AU67">
        <f t="shared" si="53"/>
        <v>-1446439.1961972048</v>
      </c>
      <c r="AV67">
        <f t="shared" si="42"/>
        <v>-2.044148146467653</v>
      </c>
      <c r="AW67">
        <f t="shared" si="25"/>
        <v>-3132543.6741556125</v>
      </c>
      <c r="AX67">
        <f t="shared" si="26"/>
        <v>-2735851.6584452502</v>
      </c>
      <c r="AY67">
        <f t="shared" si="50"/>
        <v>-2.4236898474589519</v>
      </c>
      <c r="BA67">
        <f t="shared" si="27"/>
        <v>0.39074525928128095</v>
      </c>
      <c r="BB67">
        <f t="shared" si="43"/>
        <v>-8.1621256471336405</v>
      </c>
      <c r="BC67">
        <f t="shared" si="44"/>
        <v>0.37954170099129891</v>
      </c>
      <c r="BD67">
        <f t="shared" si="28"/>
        <v>-158.25386235913373</v>
      </c>
      <c r="BF67">
        <f t="shared" si="29"/>
        <v>22.741297540002449</v>
      </c>
      <c r="BG67">
        <f t="shared" si="30"/>
        <v>-96.148108079246455</v>
      </c>
      <c r="BH67">
        <f t="shared" si="45"/>
        <v>83.851891920753545</v>
      </c>
      <c r="BI67">
        <f t="shared" si="46"/>
        <v>83.851891920753545</v>
      </c>
      <c r="BJ67">
        <f t="shared" si="31"/>
        <v>0</v>
      </c>
      <c r="BK67">
        <f t="shared" si="47"/>
        <v>0</v>
      </c>
      <c r="BM67">
        <f t="shared" si="48"/>
        <v>30.903423187136092</v>
      </c>
      <c r="BN67">
        <f t="shared" si="32"/>
        <v>-117.89424572011272</v>
      </c>
      <c r="BQ67" s="56">
        <f t="shared" si="49"/>
        <v>8.7398351531514962</v>
      </c>
      <c r="BR67" s="59"/>
      <c r="BS67" s="59"/>
      <c r="BT67" s="59">
        <v>371.53500000000003</v>
      </c>
      <c r="BU67" s="59">
        <v>23.315999999999999</v>
      </c>
      <c r="BV67" s="59">
        <v>-265.2439</v>
      </c>
      <c r="BW67" s="61"/>
      <c r="BY67" s="59"/>
      <c r="BZ67" s="59"/>
      <c r="CA67" s="59"/>
      <c r="CC67" s="59"/>
    </row>
    <row r="68" spans="1:81" x14ac:dyDescent="0.2">
      <c r="A68">
        <f t="shared" si="54"/>
        <v>17000</v>
      </c>
      <c r="B68">
        <f t="shared" si="33"/>
        <v>17</v>
      </c>
      <c r="C68">
        <f t="shared" si="0"/>
        <v>1.000002281849929</v>
      </c>
      <c r="D68">
        <f t="shared" si="1"/>
        <v>2.1362797522203806E-3</v>
      </c>
      <c r="F68">
        <f t="shared" si="2"/>
        <v>2.1000018097154345</v>
      </c>
      <c r="G68">
        <f t="shared" si="3"/>
        <v>0.9554261867377376</v>
      </c>
      <c r="H68">
        <f t="shared" si="4"/>
        <v>-2.1861664632622624</v>
      </c>
      <c r="J68">
        <f t="shared" si="5"/>
        <v>15</v>
      </c>
      <c r="M68">
        <f t="shared" si="6"/>
        <v>0.10675968251317726</v>
      </c>
      <c r="N68">
        <f t="shared" si="7"/>
        <v>-1.5707963250000001</v>
      </c>
      <c r="O68">
        <f t="shared" si="8"/>
        <v>2.2617934291217212</v>
      </c>
      <c r="P68">
        <f t="shared" si="9"/>
        <v>1.1128276444843439</v>
      </c>
      <c r="Q68">
        <f t="shared" si="10"/>
        <v>1.6593013802380585</v>
      </c>
      <c r="R68">
        <f t="shared" si="11"/>
        <v>0.92396195462436459</v>
      </c>
      <c r="S68">
        <f t="shared" si="12"/>
        <v>0.99999761665006015</v>
      </c>
      <c r="T68">
        <f t="shared" si="13"/>
        <v>-2.1832777590260642E-3</v>
      </c>
      <c r="U68">
        <f t="shared" si="14"/>
        <v>0.99939619634688304</v>
      </c>
      <c r="V68">
        <f t="shared" si="15"/>
        <v>-3.4752393472813892E-2</v>
      </c>
      <c r="X68">
        <f t="shared" si="34"/>
        <v>22.016681244975871</v>
      </c>
      <c r="Y68">
        <f t="shared" si="16"/>
        <v>-100.55252214636143</v>
      </c>
      <c r="Z68">
        <f t="shared" si="35"/>
        <v>79.447477853638574</v>
      </c>
      <c r="AC68">
        <v>1</v>
      </c>
      <c r="AD68">
        <f t="shared" si="17"/>
        <v>2.0287211528492999</v>
      </c>
      <c r="AE68">
        <f t="shared" si="18"/>
        <v>-1.4735336549741335E-5</v>
      </c>
      <c r="AF68">
        <f t="shared" si="19"/>
        <v>4.238385475968001E-4</v>
      </c>
      <c r="AG68">
        <f t="shared" si="36"/>
        <v>4698.8354080392246</v>
      </c>
      <c r="AH68">
        <f t="shared" si="37"/>
        <v>-2522.7505312859644</v>
      </c>
      <c r="AJ68">
        <f t="shared" si="20"/>
        <v>22100</v>
      </c>
      <c r="AK68">
        <f t="shared" si="21"/>
        <v>48.250515139772411</v>
      </c>
      <c r="AL68">
        <v>1</v>
      </c>
      <c r="AM68">
        <f t="shared" si="22"/>
        <v>1.3241152028656442</v>
      </c>
      <c r="AN68">
        <f t="shared" si="38"/>
        <v>8049.9915095629049</v>
      </c>
      <c r="AO68">
        <f t="shared" si="39"/>
        <v>-10610.865625611827</v>
      </c>
      <c r="AQ68">
        <f t="shared" si="23"/>
        <v>8.6430423509075194</v>
      </c>
      <c r="AR68">
        <f t="shared" si="24"/>
        <v>-293.86343993085563</v>
      </c>
      <c r="AT68">
        <f t="shared" si="52"/>
        <v>-700731.91577946034</v>
      </c>
      <c r="AU68">
        <f t="shared" si="53"/>
        <v>-1402620.1763579913</v>
      </c>
      <c r="AV68">
        <f t="shared" si="42"/>
        <v>-2.0341141143742583</v>
      </c>
      <c r="AW68">
        <f t="shared" si="25"/>
        <v>-3021311.0194652225</v>
      </c>
      <c r="AX68">
        <f t="shared" si="26"/>
        <v>-2562516.0962955337</v>
      </c>
      <c r="AY68">
        <f t="shared" si="50"/>
        <v>-2.438175293308217</v>
      </c>
      <c r="BA68">
        <f t="shared" si="27"/>
        <v>0.39577237797010206</v>
      </c>
      <c r="BB68">
        <f t="shared" si="43"/>
        <v>-8.0510903932834026</v>
      </c>
      <c r="BC68">
        <f t="shared" si="44"/>
        <v>0.40406117893395876</v>
      </c>
      <c r="BD68">
        <f t="shared" si="28"/>
        <v>-156.84899975554993</v>
      </c>
      <c r="BF68">
        <f t="shared" si="29"/>
        <v>21.915147987612059</v>
      </c>
      <c r="BG68">
        <f t="shared" si="30"/>
        <v>-101.98471174284641</v>
      </c>
      <c r="BH68">
        <f t="shared" si="45"/>
        <v>78.015288257153586</v>
      </c>
      <c r="BI68">
        <f t="shared" si="46"/>
        <v>78.015288257153586</v>
      </c>
      <c r="BJ68">
        <f t="shared" si="31"/>
        <v>0</v>
      </c>
      <c r="BK68">
        <f t="shared" si="47"/>
        <v>0</v>
      </c>
      <c r="BM68">
        <f t="shared" si="48"/>
        <v>29.966238380895462</v>
      </c>
      <c r="BN68">
        <f t="shared" si="32"/>
        <v>-125.13571198729649</v>
      </c>
      <c r="BQ68" s="56">
        <f t="shared" si="49"/>
        <v>8.8508704070017341</v>
      </c>
      <c r="BR68" s="59"/>
      <c r="BS68" s="59"/>
      <c r="BT68" s="59">
        <v>380.18900000000002</v>
      </c>
      <c r="BU68" s="59">
        <v>23.2133</v>
      </c>
      <c r="BV68" s="59">
        <v>-265.49869999999999</v>
      </c>
      <c r="BW68" s="61"/>
      <c r="BY68" s="59"/>
      <c r="BZ68" s="59"/>
      <c r="CA68" s="59"/>
      <c r="CC68" s="59"/>
    </row>
    <row r="69" spans="1:81" x14ac:dyDescent="0.2">
      <c r="A69">
        <f t="shared" si="54"/>
        <v>17500</v>
      </c>
      <c r="B69">
        <f t="shared" si="33"/>
        <v>17.5</v>
      </c>
      <c r="C69">
        <f t="shared" si="0"/>
        <v>1.0000024180501492</v>
      </c>
      <c r="D69">
        <f t="shared" si="1"/>
        <v>2.1991113099593318E-3</v>
      </c>
      <c r="F69">
        <f t="shared" si="2"/>
        <v>1.8779056896202684</v>
      </c>
      <c r="G69">
        <f t="shared" si="3"/>
        <v>0.85060109227644221</v>
      </c>
      <c r="H69">
        <f t="shared" si="4"/>
        <v>-2.290991557723558</v>
      </c>
      <c r="J69">
        <f t="shared" si="5"/>
        <v>15</v>
      </c>
      <c r="M69">
        <f t="shared" si="6"/>
        <v>0.10370940586994362</v>
      </c>
      <c r="N69">
        <f t="shared" si="7"/>
        <v>-1.5707963250000001</v>
      </c>
      <c r="O69">
        <f t="shared" si="8"/>
        <v>2.3154633182439901</v>
      </c>
      <c r="P69">
        <f t="shared" si="9"/>
        <v>1.1242212713766155</v>
      </c>
      <c r="Q69">
        <f t="shared" si="10"/>
        <v>1.6905419043022598</v>
      </c>
      <c r="R69">
        <f t="shared" si="11"/>
        <v>0.93784579438850402</v>
      </c>
      <c r="S69">
        <f t="shared" si="12"/>
        <v>0.99999747439182252</v>
      </c>
      <c r="T69">
        <f t="shared" si="13"/>
        <v>-2.2474915976119897E-3</v>
      </c>
      <c r="U69">
        <f t="shared" si="14"/>
        <v>0.99936019074453097</v>
      </c>
      <c r="V69">
        <f t="shared" si="15"/>
        <v>-3.5773663303956954E-2</v>
      </c>
      <c r="X69">
        <f t="shared" si="34"/>
        <v>21.159380547787705</v>
      </c>
      <c r="Y69">
        <f t="shared" si="16"/>
        <v>-105.16885914506086</v>
      </c>
      <c r="Z69">
        <f t="shared" si="35"/>
        <v>74.831140854939136</v>
      </c>
      <c r="AC69">
        <v>1</v>
      </c>
      <c r="AD69">
        <f t="shared" si="17"/>
        <v>2.0883894220507502</v>
      </c>
      <c r="AE69">
        <f t="shared" si="18"/>
        <v>-1.5614867883592673E-5</v>
      </c>
      <c r="AF69">
        <f t="shared" si="19"/>
        <v>4.3630438723200009E-4</v>
      </c>
      <c r="AG69">
        <f t="shared" si="36"/>
        <v>4698.4968409079829</v>
      </c>
      <c r="AH69">
        <f t="shared" si="37"/>
        <v>-2460.1320519188475</v>
      </c>
      <c r="AJ69">
        <f t="shared" si="20"/>
        <v>22100</v>
      </c>
      <c r="AK69">
        <f t="shared" si="21"/>
        <v>49.669647938001006</v>
      </c>
      <c r="AL69">
        <v>1</v>
      </c>
      <c r="AM69">
        <f t="shared" si="22"/>
        <v>1.3630597676558101</v>
      </c>
      <c r="AN69">
        <f t="shared" si="38"/>
        <v>7756.5537739073388</v>
      </c>
      <c r="AO69">
        <f t="shared" si="39"/>
        <v>-10522.976736933933</v>
      </c>
      <c r="AQ69">
        <f t="shared" si="23"/>
        <v>8.1566068515497552</v>
      </c>
      <c r="AR69">
        <f t="shared" si="24"/>
        <v>-285.48123980424145</v>
      </c>
      <c r="AT69">
        <f t="shared" si="52"/>
        <v>-663997.75673941022</v>
      </c>
      <c r="AU69">
        <f t="shared" si="53"/>
        <v>-1361399.0333091214</v>
      </c>
      <c r="AV69">
        <f t="shared" si="42"/>
        <v>-2.0245813876783747</v>
      </c>
      <c r="AW69">
        <f t="shared" si="25"/>
        <v>-2914538.1671247506</v>
      </c>
      <c r="AX69">
        <f t="shared" si="26"/>
        <v>-2403084.2712267353</v>
      </c>
      <c r="AY69">
        <f t="shared" si="50"/>
        <v>-2.4520804775121232</v>
      </c>
      <c r="BA69">
        <f t="shared" si="27"/>
        <v>0.40098034936704119</v>
      </c>
      <c r="BB69">
        <f t="shared" si="43"/>
        <v>-7.937538201988926</v>
      </c>
      <c r="BC69">
        <f t="shared" si="44"/>
        <v>0.42749908983374851</v>
      </c>
      <c r="BD69">
        <f t="shared" si="28"/>
        <v>-155.50610637885381</v>
      </c>
      <c r="BF69">
        <f t="shared" si="29"/>
        <v>21.057783537146371</v>
      </c>
      <c r="BG69">
        <f t="shared" si="30"/>
        <v>-106.64425388962282</v>
      </c>
      <c r="BH69">
        <f t="shared" si="45"/>
        <v>73.355746110377183</v>
      </c>
      <c r="BI69">
        <f t="shared" si="46"/>
        <v>73.355746110377183</v>
      </c>
      <c r="BJ69">
        <f t="shared" si="31"/>
        <v>0</v>
      </c>
      <c r="BK69">
        <f t="shared" si="47"/>
        <v>0</v>
      </c>
      <c r="BM69">
        <f t="shared" si="48"/>
        <v>28.995321739135296</v>
      </c>
      <c r="BN69">
        <f t="shared" si="32"/>
        <v>-131.13814751076899</v>
      </c>
      <c r="BQ69" s="56">
        <f t="shared" si="49"/>
        <v>8.9644225982962098</v>
      </c>
      <c r="BR69" s="59"/>
      <c r="BS69" s="59"/>
      <c r="BT69" s="59">
        <v>389.04500000000002</v>
      </c>
      <c r="BU69" s="59">
        <v>22.955200000000001</v>
      </c>
      <c r="BV69" s="59">
        <v>-266.06720000000001</v>
      </c>
      <c r="BW69" s="61"/>
      <c r="BY69" s="59"/>
      <c r="BZ69" s="59"/>
      <c r="CA69" s="59"/>
      <c r="CC69" s="59"/>
    </row>
    <row r="70" spans="1:81" x14ac:dyDescent="0.2">
      <c r="A70">
        <f t="shared" si="54"/>
        <v>18000</v>
      </c>
      <c r="B70">
        <f t="shared" si="33"/>
        <v>18</v>
      </c>
      <c r="C70">
        <f t="shared" si="0"/>
        <v>1.0000025581981826</v>
      </c>
      <c r="D70">
        <f t="shared" si="1"/>
        <v>2.2619428503349369E-3</v>
      </c>
      <c r="F70">
        <f t="shared" si="2"/>
        <v>1.680303852837707</v>
      </c>
      <c r="G70">
        <f t="shared" si="3"/>
        <v>0.7639770758516512</v>
      </c>
      <c r="H70">
        <f t="shared" si="4"/>
        <v>-2.3776155741483489</v>
      </c>
      <c r="J70">
        <f t="shared" si="5"/>
        <v>15</v>
      </c>
      <c r="M70">
        <f t="shared" si="6"/>
        <v>0.10082858904022296</v>
      </c>
      <c r="N70">
        <f t="shared" si="7"/>
        <v>-1.5707963250000001</v>
      </c>
      <c r="O70">
        <f t="shared" si="8"/>
        <v>2.3694201495192306</v>
      </c>
      <c r="P70">
        <f t="shared" si="9"/>
        <v>1.1350973420220902</v>
      </c>
      <c r="Q70">
        <f t="shared" si="10"/>
        <v>1.7220964398654586</v>
      </c>
      <c r="R70">
        <f t="shared" si="11"/>
        <v>0.95122333873193765</v>
      </c>
      <c r="S70">
        <f t="shared" si="12"/>
        <v>0.9999973280102209</v>
      </c>
      <c r="T70">
        <f t="shared" si="13"/>
        <v>-2.3117054176631986E-3</v>
      </c>
      <c r="U70">
        <f t="shared" si="14"/>
        <v>0.99932314556362434</v>
      </c>
      <c r="V70">
        <f t="shared" si="15"/>
        <v>-3.6794858485439265E-2</v>
      </c>
      <c r="X70">
        <f t="shared" si="34"/>
        <v>20.309364306212725</v>
      </c>
      <c r="Y70">
        <f t="shared" si="16"/>
        <v>-108.80100929077355</v>
      </c>
      <c r="Z70">
        <f t="shared" si="35"/>
        <v>71.19899070922645</v>
      </c>
      <c r="AC70">
        <v>1</v>
      </c>
      <c r="AD70">
        <f t="shared" si="17"/>
        <v>2.1480576912522</v>
      </c>
      <c r="AE70">
        <f t="shared" si="18"/>
        <v>-1.6519892879294785E-5</v>
      </c>
      <c r="AF70">
        <f t="shared" si="19"/>
        <v>4.4877022686720013E-4</v>
      </c>
      <c r="AG70">
        <f t="shared" si="36"/>
        <v>4698.1485111645561</v>
      </c>
      <c r="AH70">
        <f t="shared" si="37"/>
        <v>-2401.2575826567559</v>
      </c>
      <c r="AJ70">
        <f t="shared" si="20"/>
        <v>22100</v>
      </c>
      <c r="AK70">
        <f t="shared" si="21"/>
        <v>51.088780736229609</v>
      </c>
      <c r="AL70">
        <v>1</v>
      </c>
      <c r="AM70">
        <f t="shared" si="22"/>
        <v>1.4020043324459761</v>
      </c>
      <c r="AN70">
        <f t="shared" si="38"/>
        <v>7476.2294187698808</v>
      </c>
      <c r="AO70">
        <f t="shared" si="39"/>
        <v>-10430.617254739205</v>
      </c>
      <c r="AQ70">
        <f t="shared" si="23"/>
        <v>7.7101002313030067</v>
      </c>
      <c r="AR70">
        <f t="shared" si="24"/>
        <v>-277.56360832690825</v>
      </c>
      <c r="AT70">
        <f t="shared" si="52"/>
        <v>-630278.52324193262</v>
      </c>
      <c r="AU70">
        <f t="shared" si="53"/>
        <v>-1322548.9898579861</v>
      </c>
      <c r="AV70">
        <f t="shared" si="42"/>
        <v>-2.0155195334597211</v>
      </c>
      <c r="AW70">
        <f t="shared" si="25"/>
        <v>-2812118.5947622098</v>
      </c>
      <c r="AX70">
        <f t="shared" si="26"/>
        <v>-2256244.2434411608</v>
      </c>
      <c r="AY70">
        <f t="shared" si="50"/>
        <v>-2.4654332141722075</v>
      </c>
      <c r="BA70">
        <f t="shared" si="27"/>
        <v>0.40635432785989301</v>
      </c>
      <c r="BB70">
        <f t="shared" si="43"/>
        <v>-7.8219022090235111</v>
      </c>
      <c r="BC70">
        <f t="shared" si="44"/>
        <v>0.44991368071248639</v>
      </c>
      <c r="BD70">
        <f t="shared" si="28"/>
        <v>-154.22184492052222</v>
      </c>
      <c r="BF70">
        <f t="shared" si="29"/>
        <v>20.207701656312722</v>
      </c>
      <c r="BG70">
        <f t="shared" si="30"/>
        <v>-110.319583000487</v>
      </c>
      <c r="BH70">
        <f t="shared" si="45"/>
        <v>69.680416999513</v>
      </c>
      <c r="BI70">
        <f t="shared" si="46"/>
        <v>69.680416999513</v>
      </c>
      <c r="BJ70">
        <f t="shared" si="31"/>
        <v>0</v>
      </c>
      <c r="BK70">
        <f t="shared" si="47"/>
        <v>0</v>
      </c>
      <c r="BM70">
        <f t="shared" si="48"/>
        <v>28.029603865336231</v>
      </c>
      <c r="BN70">
        <f t="shared" si="32"/>
        <v>-136.09773807996478</v>
      </c>
      <c r="BQ70" s="56">
        <f t="shared" si="49"/>
        <v>9.0800585912616256</v>
      </c>
      <c r="BR70" s="59"/>
      <c r="BS70" s="59"/>
      <c r="BT70" s="59">
        <v>398.10700000000003</v>
      </c>
      <c r="BU70" s="59">
        <v>22.738499999999998</v>
      </c>
      <c r="BV70" s="59">
        <v>-265.2319</v>
      </c>
      <c r="BW70" s="61"/>
      <c r="BY70" s="59"/>
      <c r="BZ70" s="59"/>
      <c r="CA70" s="59"/>
      <c r="CC70" s="59"/>
    </row>
    <row r="71" spans="1:81" x14ac:dyDescent="0.2">
      <c r="A71">
        <f t="shared" si="54"/>
        <v>18500</v>
      </c>
      <c r="B71">
        <f t="shared" si="33"/>
        <v>18.5</v>
      </c>
      <c r="C71">
        <f t="shared" si="0"/>
        <v>1.0000027022940277</v>
      </c>
      <c r="D71">
        <f t="shared" si="1"/>
        <v>2.3247743728511089E-3</v>
      </c>
      <c r="F71">
        <f t="shared" si="2"/>
        <v>1.5081644358162929</v>
      </c>
      <c r="G71">
        <f t="shared" si="3"/>
        <v>0.69212558134981517</v>
      </c>
      <c r="H71">
        <f t="shared" si="4"/>
        <v>-2.4494670686501849</v>
      </c>
      <c r="J71">
        <f t="shared" si="5"/>
        <v>15</v>
      </c>
      <c r="M71">
        <f t="shared" si="6"/>
        <v>9.8103492039135862E-2</v>
      </c>
      <c r="N71">
        <f t="shared" si="7"/>
        <v>-1.5707963250000001</v>
      </c>
      <c r="O71">
        <f t="shared" si="8"/>
        <v>2.4236447587179506</v>
      </c>
      <c r="P71">
        <f t="shared" si="9"/>
        <v>1.1454879321451896</v>
      </c>
      <c r="Q71">
        <f t="shared" si="10"/>
        <v>1.7539480392662874</v>
      </c>
      <c r="R71">
        <f t="shared" si="11"/>
        <v>0.96411725057641184</v>
      </c>
      <c r="S71">
        <f t="shared" si="12"/>
        <v>0.99999717750526096</v>
      </c>
      <c r="T71">
        <f t="shared" si="13"/>
        <v>-2.375919218650139E-3</v>
      </c>
      <c r="U71">
        <f t="shared" si="14"/>
        <v>0.99928506115154614</v>
      </c>
      <c r="V71">
        <f t="shared" si="15"/>
        <v>-3.7815976895797694E-2</v>
      </c>
      <c r="X71">
        <f t="shared" si="34"/>
        <v>19.487989025767149</v>
      </c>
      <c r="Y71">
        <f t="shared" si="16"/>
        <v>-111.64227796389595</v>
      </c>
      <c r="Z71">
        <f t="shared" si="35"/>
        <v>68.35772203610405</v>
      </c>
      <c r="AC71">
        <v>1</v>
      </c>
      <c r="AD71">
        <f t="shared" si="17"/>
        <v>2.2077259604536499</v>
      </c>
      <c r="AE71">
        <f t="shared" si="18"/>
        <v>-1.7450411536847651E-5</v>
      </c>
      <c r="AF71">
        <f t="shared" si="19"/>
        <v>4.6123606650240012E-4</v>
      </c>
      <c r="AG71">
        <f t="shared" si="36"/>
        <v>4697.7904231622115</v>
      </c>
      <c r="AH71">
        <f t="shared" si="37"/>
        <v>-2345.8234400505453</v>
      </c>
      <c r="AJ71">
        <f t="shared" si="20"/>
        <v>22100</v>
      </c>
      <c r="AK71">
        <f t="shared" si="21"/>
        <v>52.507913534458204</v>
      </c>
      <c r="AL71">
        <v>1</v>
      </c>
      <c r="AM71">
        <f t="shared" si="22"/>
        <v>1.4409488972361419</v>
      </c>
      <c r="AN71">
        <f t="shared" si="38"/>
        <v>7208.4706037856013</v>
      </c>
      <c r="AO71">
        <f t="shared" si="39"/>
        <v>-10334.529853749549</v>
      </c>
      <c r="AQ71">
        <f t="shared" si="23"/>
        <v>7.2992700729927007</v>
      </c>
      <c r="AR71">
        <f t="shared" si="24"/>
        <v>-270.07299270072991</v>
      </c>
      <c r="AT71">
        <f t="shared" si="52"/>
        <v>-599253.11575699248</v>
      </c>
      <c r="AU71">
        <f t="shared" si="53"/>
        <v>-1285869.1174967326</v>
      </c>
      <c r="AV71">
        <f t="shared" si="42"/>
        <v>-2.0069002491531363</v>
      </c>
      <c r="AW71">
        <f t="shared" si="25"/>
        <v>-2713929.8582169292</v>
      </c>
      <c r="AX71">
        <f t="shared" si="26"/>
        <v>-2120824.8660735656</v>
      </c>
      <c r="AY71">
        <f t="shared" si="50"/>
        <v>-2.4782598994699607</v>
      </c>
      <c r="BA71">
        <f t="shared" si="27"/>
        <v>0.41188105294685223</v>
      </c>
      <c r="BB71">
        <f t="shared" si="43"/>
        <v>-7.7045637136704137</v>
      </c>
      <c r="BC71">
        <f t="shared" si="44"/>
        <v>0.47135965031682447</v>
      </c>
      <c r="BD71">
        <f t="shared" si="28"/>
        <v>-152.99308137322373</v>
      </c>
      <c r="BF71">
        <f t="shared" si="29"/>
        <v>19.38625884782379</v>
      </c>
      <c r="BG71">
        <f t="shared" si="30"/>
        <v>-113.20400686349062</v>
      </c>
      <c r="BH71">
        <f t="shared" si="45"/>
        <v>66.795993136509381</v>
      </c>
      <c r="BI71">
        <f t="shared" si="46"/>
        <v>66.795993136509381</v>
      </c>
      <c r="BJ71">
        <f t="shared" si="31"/>
        <v>0</v>
      </c>
      <c r="BK71">
        <f t="shared" si="47"/>
        <v>0</v>
      </c>
      <c r="BM71">
        <f t="shared" si="48"/>
        <v>27.090822561494203</v>
      </c>
      <c r="BN71">
        <f t="shared" si="32"/>
        <v>-140.21092549026687</v>
      </c>
      <c r="BQ71" s="56">
        <f t="shared" si="49"/>
        <v>9.197397086614723</v>
      </c>
      <c r="BR71" s="59"/>
      <c r="BS71" s="59"/>
      <c r="BT71" s="59">
        <v>407.38</v>
      </c>
      <c r="BU71" s="59">
        <v>22.7593</v>
      </c>
      <c r="BV71" s="59">
        <v>-265.7319</v>
      </c>
      <c r="BW71" s="61"/>
      <c r="BY71" s="59"/>
      <c r="BZ71" s="59"/>
      <c r="CA71" s="59"/>
      <c r="CC71" s="59"/>
    </row>
    <row r="72" spans="1:81" x14ac:dyDescent="0.2">
      <c r="A72">
        <f t="shared" si="54"/>
        <v>19000</v>
      </c>
      <c r="B72">
        <f t="shared" si="33"/>
        <v>19</v>
      </c>
      <c r="C72">
        <f t="shared" si="0"/>
        <v>1.0000028503376823</v>
      </c>
      <c r="D72">
        <f t="shared" si="1"/>
        <v>2.3876058770117637E-3</v>
      </c>
      <c r="F72">
        <f t="shared" si="2"/>
        <v>1.3595288337356566</v>
      </c>
      <c r="G72">
        <f t="shared" si="3"/>
        <v>0.63208537415433774</v>
      </c>
      <c r="H72">
        <f t="shared" si="4"/>
        <v>-2.5095072758456625</v>
      </c>
      <c r="J72">
        <f t="shared" si="5"/>
        <v>15</v>
      </c>
      <c r="M72">
        <f t="shared" si="6"/>
        <v>9.5521821196000695E-2</v>
      </c>
      <c r="N72">
        <f t="shared" si="7"/>
        <v>-1.5707963250000001</v>
      </c>
      <c r="O72">
        <f t="shared" si="8"/>
        <v>2.4781195678726333</v>
      </c>
      <c r="P72">
        <f t="shared" si="9"/>
        <v>1.1554227375150419</v>
      </c>
      <c r="Q72">
        <f t="shared" si="10"/>
        <v>1.7860808097474796</v>
      </c>
      <c r="R72">
        <f t="shared" si="11"/>
        <v>0.97654922804735877</v>
      </c>
      <c r="S72">
        <f t="shared" si="12"/>
        <v>0.99999702287694825</v>
      </c>
      <c r="T72">
        <f t="shared" si="13"/>
        <v>-2.4401330000432602E-3</v>
      </c>
      <c r="U72">
        <f t="shared" si="14"/>
        <v>0.99924593786535365</v>
      </c>
      <c r="V72">
        <f t="shared" si="15"/>
        <v>-3.8837016414528448E-2</v>
      </c>
      <c r="X72">
        <f t="shared" si="34"/>
        <v>18.705559471201045</v>
      </c>
      <c r="Y72">
        <f t="shared" si="16"/>
        <v>-113.85938663554866</v>
      </c>
      <c r="Z72">
        <f t="shared" si="35"/>
        <v>66.14061336445134</v>
      </c>
      <c r="AC72">
        <v>1</v>
      </c>
      <c r="AD72">
        <f t="shared" si="17"/>
        <v>2.2673942296551002</v>
      </c>
      <c r="AE72">
        <f t="shared" si="18"/>
        <v>-1.8406423856251285E-5</v>
      </c>
      <c r="AF72">
        <f t="shared" si="19"/>
        <v>4.737019061376001E-4</v>
      </c>
      <c r="AG72">
        <f t="shared" si="36"/>
        <v>4697.4225813751609</v>
      </c>
      <c r="AH72">
        <f t="shared" si="37"/>
        <v>-2293.5579042173486</v>
      </c>
      <c r="AJ72">
        <f t="shared" si="20"/>
        <v>22100</v>
      </c>
      <c r="AK72">
        <f t="shared" si="21"/>
        <v>53.9270463326868</v>
      </c>
      <c r="AL72">
        <v>1</v>
      </c>
      <c r="AM72">
        <f t="shared" si="22"/>
        <v>1.479893462026308</v>
      </c>
      <c r="AN72">
        <f t="shared" si="38"/>
        <v>6952.7328126166203</v>
      </c>
      <c r="AO72">
        <f t="shared" si="39"/>
        <v>-10235.376786274433</v>
      </c>
      <c r="AQ72">
        <f t="shared" si="23"/>
        <v>6.9204152249134951</v>
      </c>
      <c r="AR72">
        <f t="shared" si="24"/>
        <v>-262.97577854671277</v>
      </c>
      <c r="AT72">
        <f t="shared" si="52"/>
        <v>-570642.06075352302</v>
      </c>
      <c r="AU72">
        <f t="shared" si="53"/>
        <v>-1251180.7335396085</v>
      </c>
      <c r="AV72">
        <f t="shared" si="42"/>
        <v>-1.9986972152363578</v>
      </c>
      <c r="AW72">
        <f t="shared" si="25"/>
        <v>-2619838.1737033827</v>
      </c>
      <c r="AX72">
        <f t="shared" si="26"/>
        <v>-1995778.8402133633</v>
      </c>
      <c r="AY72">
        <f t="shared" si="50"/>
        <v>-2.4905855721684307</v>
      </c>
      <c r="BA72">
        <f t="shared" si="27"/>
        <v>0.41754864042922324</v>
      </c>
      <c r="BB72">
        <f t="shared" si="43"/>
        <v>-7.5858585214723284</v>
      </c>
      <c r="BC72">
        <f t="shared" si="44"/>
        <v>0.49188835693207289</v>
      </c>
      <c r="BD72">
        <f t="shared" si="28"/>
        <v>-151.81687312396369</v>
      </c>
      <c r="BF72">
        <f t="shared" si="29"/>
        <v>18.603759873514633</v>
      </c>
      <c r="BG72">
        <f t="shared" si="30"/>
        <v>-115.46424911154028</v>
      </c>
      <c r="BH72">
        <f t="shared" si="45"/>
        <v>64.535750888459717</v>
      </c>
      <c r="BI72">
        <f t="shared" si="46"/>
        <v>64.535750888459717</v>
      </c>
      <c r="BJ72">
        <f t="shared" si="31"/>
        <v>0</v>
      </c>
      <c r="BK72">
        <f t="shared" si="47"/>
        <v>0</v>
      </c>
      <c r="BM72">
        <f t="shared" si="48"/>
        <v>26.189618394986958</v>
      </c>
      <c r="BN72">
        <f t="shared" si="32"/>
        <v>-143.64737598757659</v>
      </c>
      <c r="BQ72" s="56">
        <f t="shared" si="49"/>
        <v>9.3161022788128065</v>
      </c>
      <c r="BR72" s="59"/>
      <c r="BS72" s="59"/>
      <c r="BT72" s="59">
        <v>416.86900000000003</v>
      </c>
      <c r="BU72" s="59">
        <v>22.4206</v>
      </c>
      <c r="BV72" s="59">
        <v>-265.24939999999998</v>
      </c>
      <c r="BW72" s="61"/>
      <c r="BY72" s="59"/>
      <c r="BZ72" s="59"/>
      <c r="CA72" s="59"/>
      <c r="CC72" s="59"/>
    </row>
    <row r="73" spans="1:81" x14ac:dyDescent="0.2">
      <c r="A73">
        <f t="shared" si="54"/>
        <v>19500</v>
      </c>
      <c r="B73">
        <f t="shared" si="33"/>
        <v>19.5</v>
      </c>
      <c r="C73">
        <f t="shared" ref="C73:C136" si="55">SQRT((A73/Fesr)^2+1)</f>
        <v>1.0000030023291449</v>
      </c>
      <c r="D73">
        <f t="shared" ref="D73:D136" si="56">ATAN(A73/Fesr)</f>
        <v>2.4504373623208172E-3</v>
      </c>
      <c r="F73">
        <f t="shared" ref="F73:F136" si="57">(Ro/(Ro+Rdcr))/SQRT((A73/(Q*Fo))^2+(1-(A73^2/Fo^2))^2)</f>
        <v>1.2314358897037165</v>
      </c>
      <c r="G73">
        <f t="shared" ref="G73:G136" si="58">-ATAN(A73*Fo/(Q*(Fo^2-A73^2)))</f>
        <v>0.58146008469073773</v>
      </c>
      <c r="H73">
        <f t="shared" ref="H73:H136" si="59">IF(G73&gt;0,G73-Pi,G73)</f>
        <v>-2.5601325653092624</v>
      </c>
      <c r="J73">
        <f t="shared" ref="J73:J136" si="60">Vin/Vramp</f>
        <v>15</v>
      </c>
      <c r="M73">
        <f t="shared" ref="M73:M136" si="61">1/(2*Pi*_Rfb1*(Cc1ea_u+Cc2ea_u)*A73)</f>
        <v>9.3072543729436588E-2</v>
      </c>
      <c r="N73">
        <f t="shared" ref="N73:N136" si="62">-Pi/2</f>
        <v>-1.5707963250000001</v>
      </c>
      <c r="O73">
        <f t="shared" ref="O73:O136" si="63">SQRT(1+(A73/Fz1_u)^2)</f>
        <v>2.5328284335075861</v>
      </c>
      <c r="P73">
        <f t="shared" ref="P73:P136" si="64">ATAN2(Fz1_u,A73)</f>
        <v>1.1649292659600197</v>
      </c>
      <c r="Q73">
        <f t="shared" ref="Q73:Q136" si="65">SQRT(1+(A73/Fz2_u)^2)</f>
        <v>1.8184798463837206</v>
      </c>
      <c r="R73">
        <f t="shared" ref="R73:R136" si="66">ATAN2(Fz2_u,A73)</f>
        <v>0.9885400144142078</v>
      </c>
      <c r="S73">
        <f t="shared" ref="S73:S136" si="67">1/SQRT(1+(A73/Fp1_u)^2)</f>
        <v>0.99999686412528854</v>
      </c>
      <c r="T73">
        <f t="shared" ref="T73:T136" si="68">-ATAN2(Fp1_u,A73)</f>
        <v>-2.5043467613130115E-3</v>
      </c>
      <c r="U73">
        <f t="shared" ref="U73:U136" si="69">1/SQRT(1+(A73/Fp2_u)^2)</f>
        <v>0.9992057760717673</v>
      </c>
      <c r="V73">
        <f t="shared" ref="V73:V136" si="70">-ATAN2(Fp2_u,A73)</f>
        <v>-3.9857974922113362E-2</v>
      </c>
      <c r="X73">
        <f t="shared" si="34"/>
        <v>17.965875850567684</v>
      </c>
      <c r="Y73">
        <f t="shared" ref="Y73:Y136" si="71">(180/Pi)*(D73+H73+N73+P73+R73+T73+V73)</f>
        <v>-115.5868724629545</v>
      </c>
      <c r="Z73">
        <f t="shared" si="35"/>
        <v>64.413127537045497</v>
      </c>
      <c r="AC73">
        <v>1</v>
      </c>
      <c r="AD73">
        <f t="shared" ref="AD73:AD136" si="72">Rcea1_u*Cc1ea_u*A73*2*Pi</f>
        <v>2.32706249885655</v>
      </c>
      <c r="AE73">
        <f t="shared" ref="AE73:AE136" si="73">-Rcea1_u*Cc1ea_u*Cc2ea_u*(A73*2*Pi)^2</f>
        <v>-1.9387929837505684E-5</v>
      </c>
      <c r="AF73">
        <f t="shared" ref="AF73:AF136" si="74">(Cc2ea_u+Cc1ea_u)*A73*2*Pi</f>
        <v>4.8616774577280009E-4</v>
      </c>
      <c r="AG73">
        <f t="shared" si="36"/>
        <v>4697.0449903984218</v>
      </c>
      <c r="AH73">
        <f t="shared" si="37"/>
        <v>-2244.2171209509611</v>
      </c>
      <c r="AJ73">
        <f t="shared" ref="AJ73:AJ136" si="75">_Rfb1</f>
        <v>22100</v>
      </c>
      <c r="AK73">
        <f t="shared" ref="AK73:AK136" si="76">_Rfb1*Rcea2_u*Cc3ea_u*A73*2*Pi</f>
        <v>55.346179130915409</v>
      </c>
      <c r="AL73">
        <v>1</v>
      </c>
      <c r="AM73">
        <f t="shared" ref="AM73:AM136" si="77">(_Rfb1+Rcea2_u)*Cc3ea_u*A73*2*Pi</f>
        <v>1.5188380268164741</v>
      </c>
      <c r="AN73">
        <f t="shared" si="38"/>
        <v>6708.4792912865169</v>
      </c>
      <c r="AO73">
        <f t="shared" si="39"/>
        <v>-10133.747270585878</v>
      </c>
      <c r="AQ73">
        <f t="shared" ref="AQ73:AQ136" si="78">Eadcg/(1+(Eadcg*A73/GBP)^2)</f>
        <v>6.5703022339027592</v>
      </c>
      <c r="AR73">
        <f t="shared" ref="AR73:AR136" si="79">-(A73*Eadcg*Eadcg/GBP)/(1+(Eadcg*A73/GBP)^2)</f>
        <v>-256.2417871222076</v>
      </c>
      <c r="AT73">
        <f t="shared" si="52"/>
        <v>-544201.20056957321</v>
      </c>
      <c r="AU73">
        <f t="shared" si="53"/>
        <v>-1218324.387296251</v>
      </c>
      <c r="AV73">
        <f t="shared" si="42"/>
        <v>-1.9908859540302093</v>
      </c>
      <c r="AW73">
        <f t="shared" si="25"/>
        <v>-2529702.1235069195</v>
      </c>
      <c r="AX73">
        <f t="shared" si="26"/>
        <v>-1880168.060913994</v>
      </c>
      <c r="AY73">
        <f t="shared" si="50"/>
        <v>-2.5024339738174195</v>
      </c>
      <c r="BA73">
        <f t="shared" ref="BA73:BA136" si="80">SQRT(AT73^2+AU73^2)/SQRT(AW73^2+AX73^2)</f>
        <v>0.42334640601421952</v>
      </c>
      <c r="BB73">
        <f t="shared" si="43"/>
        <v>-7.4660824561159504</v>
      </c>
      <c r="BC73">
        <f t="shared" si="44"/>
        <v>0.51154801978721021</v>
      </c>
      <c r="BD73">
        <f t="shared" ref="BD73:BD136" si="81">BC73*180/Pi-180</f>
        <v>-150.6904574144271</v>
      </c>
      <c r="BF73">
        <f t="shared" ref="BF73:BF136" si="82">20*LOG(BA73*J73*F73*C73)</f>
        <v>17.864004938416397</v>
      </c>
      <c r="BG73">
        <f t="shared" ref="BG73:BG136" si="83">(180/Pi)*(D73+H73+BC73)</f>
        <v>-117.23484884927764</v>
      </c>
      <c r="BH73">
        <f t="shared" si="45"/>
        <v>62.76515115072236</v>
      </c>
      <c r="BI73">
        <f t="shared" si="46"/>
        <v>62.76515115072236</v>
      </c>
      <c r="BJ73">
        <f t="shared" ref="BJ73:BJ136" si="84">SUM((BF74&lt;0)*(BF73&gt;0))*A73</f>
        <v>0</v>
      </c>
      <c r="BK73">
        <f t="shared" si="47"/>
        <v>0</v>
      </c>
      <c r="BM73">
        <f t="shared" si="48"/>
        <v>25.330087394532342</v>
      </c>
      <c r="BN73">
        <f t="shared" ref="BN73:BN136" si="85">(H73+D73)*180/Pi</f>
        <v>-146.54439143485055</v>
      </c>
      <c r="BQ73" s="56">
        <f t="shared" si="49"/>
        <v>9.4358783441691862</v>
      </c>
      <c r="BR73" s="59"/>
      <c r="BS73" s="59"/>
      <c r="BT73" s="59">
        <v>426.58</v>
      </c>
      <c r="BU73" s="59">
        <v>22.373699999999999</v>
      </c>
      <c r="BV73" s="59">
        <v>-265.14060000000001</v>
      </c>
      <c r="BW73" s="61"/>
      <c r="BY73" s="59"/>
      <c r="BZ73" s="59"/>
      <c r="CA73" s="59"/>
      <c r="CC73" s="59"/>
    </row>
    <row r="74" spans="1:81" x14ac:dyDescent="0.2">
      <c r="A74">
        <f t="shared" si="54"/>
        <v>20000</v>
      </c>
      <c r="B74">
        <f t="shared" ref="B74:B137" si="86">A74/1000</f>
        <v>20</v>
      </c>
      <c r="C74">
        <f t="shared" si="55"/>
        <v>1.0000031582684139</v>
      </c>
      <c r="D74">
        <f t="shared" si="56"/>
        <v>2.5132688282821871E-3</v>
      </c>
      <c r="F74">
        <f t="shared" si="57"/>
        <v>1.1208366569040475</v>
      </c>
      <c r="G74">
        <f t="shared" si="58"/>
        <v>0.53836571075780493</v>
      </c>
      <c r="H74">
        <f t="shared" si="59"/>
        <v>-2.6032269392421954</v>
      </c>
      <c r="J74">
        <f t="shared" si="60"/>
        <v>15</v>
      </c>
      <c r="M74">
        <f t="shared" si="61"/>
        <v>9.0745730136200672E-2</v>
      </c>
      <c r="N74">
        <f t="shared" si="62"/>
        <v>-1.5707963250000001</v>
      </c>
      <c r="O74">
        <f t="shared" si="63"/>
        <v>2.5877565108013418</v>
      </c>
      <c r="P74">
        <f t="shared" si="64"/>
        <v>1.1740330145669604</v>
      </c>
      <c r="Q74">
        <f t="shared" si="65"/>
        <v>1.8511311684245124</v>
      </c>
      <c r="R74">
        <f t="shared" si="66"/>
        <v>1.0001094149794876</v>
      </c>
      <c r="S74">
        <f t="shared" si="67"/>
        <v>0.9999967012502875</v>
      </c>
      <c r="T74">
        <f t="shared" si="68"/>
        <v>-2.5685605019298433E-3</v>
      </c>
      <c r="U74">
        <f t="shared" si="69"/>
        <v>0.99916457614716325</v>
      </c>
      <c r="V74">
        <f t="shared" si="70"/>
        <v>-4.0878850300046114E-2</v>
      </c>
      <c r="X74">
        <f t="shared" ref="X74:X137" si="87">20*LOG(C74*J74*O74*Q74*F74*M74*S74*U74)</f>
        <v>17.269147101650731</v>
      </c>
      <c r="Y74">
        <f t="shared" si="71"/>
        <v>-116.93008506386063</v>
      </c>
      <c r="Z74">
        <f t="shared" ref="Z74:Z137" si="88">Y74+180</f>
        <v>63.069914936139369</v>
      </c>
      <c r="AC74">
        <v>1</v>
      </c>
      <c r="AD74">
        <f t="shared" si="72"/>
        <v>2.3867307680579999</v>
      </c>
      <c r="AE74">
        <f t="shared" si="73"/>
        <v>-2.0394929480610841E-5</v>
      </c>
      <c r="AF74">
        <f t="shared" si="74"/>
        <v>4.9863358540800013E-4</v>
      </c>
      <c r="AG74">
        <f t="shared" ref="AG74:AG137" si="89">AC74*AE74/(AE74^2+AF74^2)+AD74*AF74/(AE74^2+AF74^2)</f>
        <v>4696.6576549476649</v>
      </c>
      <c r="AH74">
        <f t="shared" ref="AH74:AH137" si="90">AD74*AE74/(AE74^2+AF74^2)-AC74*AF74/(AE74^2+AF74^2)</f>
        <v>-2197.5816185157587</v>
      </c>
      <c r="AJ74">
        <f t="shared" si="75"/>
        <v>22100</v>
      </c>
      <c r="AK74">
        <f t="shared" si="76"/>
        <v>56.765311929144005</v>
      </c>
      <c r="AL74">
        <v>1</v>
      </c>
      <c r="AM74">
        <f t="shared" si="77"/>
        <v>1.5577825916066401</v>
      </c>
      <c r="AN74">
        <f t="shared" ref="AN74:AN137" si="91">AJ74*AL74/(AL74^2+AM74^2)+AK74*AM74/(AL74^2+AM74^2)</f>
        <v>6475.1845112316678</v>
      </c>
      <c r="AO74">
        <f t="shared" ref="AO74:AO137" si="92">AK74*AL74/(AL74^2+AM74^2)-AJ74*AM74/(AL74^2+AM74^2)</f>
        <v>-10030.1643971085</v>
      </c>
      <c r="AQ74">
        <f t="shared" si="78"/>
        <v>6.2460961898813245</v>
      </c>
      <c r="AR74">
        <f t="shared" si="79"/>
        <v>-249.84384759525295</v>
      </c>
      <c r="AT74">
        <f t="shared" si="52"/>
        <v>-519716.47149083501</v>
      </c>
      <c r="AU74">
        <f t="shared" si="53"/>
        <v>-1187157.3255241869</v>
      </c>
      <c r="AV74">
        <f t="shared" ref="AV74:AV137" si="93">ATAN2(AT74,AU74)</f>
        <v>-1.983443695703959</v>
      </c>
      <c r="AW74">
        <f t="shared" ref="AW74:AW137" si="94">AG74-AH74*AO74/_Rfb2+AG74*AN74/_Rfb2+AN74-AO74*AR74+AQ74*AN74</f>
        <v>-2443375.6382502974</v>
      </c>
      <c r="AX74">
        <f t="shared" ref="AX74:AX137" si="95">AH74+AH74*AN74/_Rfb2+AG74*AO74/_Rfb2+AO74+AO74*AQ74+AN74*AR74</f>
        <v>-1773150.90134405</v>
      </c>
      <c r="AY74">
        <f t="shared" si="50"/>
        <v>-2.5138276083797946</v>
      </c>
      <c r="BA74">
        <f t="shared" si="80"/>
        <v>0.42926471558594437</v>
      </c>
      <c r="BB74">
        <f t="shared" ref="BB74:BB137" si="96">20*LOG(BA74)</f>
        <v>-7.3454961580186362</v>
      </c>
      <c r="BC74">
        <f t="shared" ref="BC74:BC137" si="97">AV74-AY74</f>
        <v>0.53038391267583562</v>
      </c>
      <c r="BD74">
        <f t="shared" si="81"/>
        <v>-149.61124024731518</v>
      </c>
      <c r="BF74">
        <f t="shared" si="82"/>
        <v>17.167202977187117</v>
      </c>
      <c r="BG74">
        <f t="shared" si="83"/>
        <v>-118.62115745427846</v>
      </c>
      <c r="BH74">
        <f t="shared" ref="BH74:BH137" si="98">IF(BG74&gt;180,BG74-180,BG74+180)</f>
        <v>61.37884254572154</v>
      </c>
      <c r="BI74">
        <f t="shared" ref="BI74:BI137" si="99">IF(BH74&gt;180,BH74-360,BH74)</f>
        <v>61.37884254572154</v>
      </c>
      <c r="BJ74">
        <f t="shared" si="84"/>
        <v>0</v>
      </c>
      <c r="BK74">
        <f t="shared" ref="BK74:BK137" si="100">IF(BJ74&gt;0,BI74,0)</f>
        <v>0</v>
      </c>
      <c r="BM74">
        <f t="shared" ref="BM74:BM137" si="101">20*LOG(J74*F74*C74)</f>
        <v>24.51269913520575</v>
      </c>
      <c r="BN74">
        <f t="shared" si="85"/>
        <v>-149.00991720696328</v>
      </c>
      <c r="BQ74" s="56">
        <f t="shared" ref="BQ74:BQ137" si="102">20*LOG(BA74*7)</f>
        <v>9.5564646422664996</v>
      </c>
      <c r="BR74" s="59"/>
      <c r="BS74" s="59"/>
      <c r="BT74" s="59">
        <v>436.51600000000002</v>
      </c>
      <c r="BU74" s="59">
        <v>22.074100000000001</v>
      </c>
      <c r="BV74" s="59">
        <v>-264.9151</v>
      </c>
      <c r="BW74" s="61"/>
      <c r="BY74" s="59"/>
      <c r="BZ74" s="59"/>
      <c r="CA74" s="59"/>
      <c r="CC74" s="59"/>
    </row>
    <row r="75" spans="1:81" x14ac:dyDescent="0.2">
      <c r="A75">
        <f t="shared" si="54"/>
        <v>20500</v>
      </c>
      <c r="B75">
        <f t="shared" si="86"/>
        <v>20.5</v>
      </c>
      <c r="C75">
        <f t="shared" si="55"/>
        <v>1.000003318155487</v>
      </c>
      <c r="D75">
        <f t="shared" si="56"/>
        <v>2.5761002743997902E-3</v>
      </c>
      <c r="F75">
        <f t="shared" si="57"/>
        <v>1.0249648991478835</v>
      </c>
      <c r="G75">
        <f t="shared" si="58"/>
        <v>0.50133690302804756</v>
      </c>
      <c r="H75">
        <f t="shared" si="59"/>
        <v>-2.6402557469719525</v>
      </c>
      <c r="J75">
        <f t="shared" si="60"/>
        <v>15</v>
      </c>
      <c r="M75">
        <f t="shared" si="61"/>
        <v>8.8532419645073829E-2</v>
      </c>
      <c r="N75">
        <f t="shared" si="62"/>
        <v>-1.5707963250000001</v>
      </c>
      <c r="O75">
        <f t="shared" si="63"/>
        <v>2.6428901319396472</v>
      </c>
      <c r="P75">
        <f t="shared" si="64"/>
        <v>1.1827576327673994</v>
      </c>
      <c r="Q75">
        <f t="shared" si="65"/>
        <v>1.8840216591045418</v>
      </c>
      <c r="R75">
        <f t="shared" si="66"/>
        <v>1.0112763193365861</v>
      </c>
      <c r="S75">
        <f t="shared" si="67"/>
        <v>0.99999653425195167</v>
      </c>
      <c r="T75">
        <f t="shared" si="68"/>
        <v>-2.6327742213642083E-3</v>
      </c>
      <c r="U75">
        <f t="shared" si="69"/>
        <v>0.99912233847756238</v>
      </c>
      <c r="V75">
        <f t="shared" si="70"/>
        <v>-4.1899640430858455E-2</v>
      </c>
      <c r="X75">
        <f t="shared" si="87"/>
        <v>16.613723827664451</v>
      </c>
      <c r="Y75">
        <f t="shared" si="71"/>
        <v>-117.97054534242118</v>
      </c>
      <c r="Z75">
        <f t="shared" si="88"/>
        <v>62.029454657578825</v>
      </c>
      <c r="AC75">
        <v>1</v>
      </c>
      <c r="AD75">
        <f t="shared" si="72"/>
        <v>2.4463990372594502</v>
      </c>
      <c r="AE75">
        <f t="shared" si="73"/>
        <v>-2.1427422785566766E-5</v>
      </c>
      <c r="AF75">
        <f t="shared" si="74"/>
        <v>5.1109942504320007E-4</v>
      </c>
      <c r="AG75">
        <f t="shared" si="89"/>
        <v>4696.2605798590894</v>
      </c>
      <c r="AH75">
        <f t="shared" si="90"/>
        <v>-2153.4533341781835</v>
      </c>
      <c r="AJ75">
        <f t="shared" si="75"/>
        <v>22100</v>
      </c>
      <c r="AK75">
        <f t="shared" si="76"/>
        <v>58.184444727372615</v>
      </c>
      <c r="AL75">
        <v>1</v>
      </c>
      <c r="AM75">
        <f t="shared" si="77"/>
        <v>1.596727156396806</v>
      </c>
      <c r="AN75">
        <f t="shared" si="91"/>
        <v>6252.336813703324</v>
      </c>
      <c r="AO75">
        <f t="shared" si="92"/>
        <v>-9925.0915366522022</v>
      </c>
      <c r="AQ75">
        <f t="shared" si="78"/>
        <v>5.9453032104637336</v>
      </c>
      <c r="AR75">
        <f t="shared" si="79"/>
        <v>-243.75743162901307</v>
      </c>
      <c r="AT75">
        <f t="shared" si="52"/>
        <v>-496999.56076959823</v>
      </c>
      <c r="AU75">
        <f t="shared" si="53"/>
        <v>-1157551.3502283047</v>
      </c>
      <c r="AV75">
        <f t="shared" si="93"/>
        <v>-1.9763492520805337</v>
      </c>
      <c r="AW75">
        <f t="shared" si="94"/>
        <v>-2360710.3824214293</v>
      </c>
      <c r="AX75">
        <f t="shared" si="95"/>
        <v>-1673971.1451657964</v>
      </c>
      <c r="AY75">
        <f t="shared" ref="AY75:AY138" si="103">ATAN2(AW75,AX75)</f>
        <v>-2.5247878009817413</v>
      </c>
      <c r="BA75">
        <f t="shared" si="80"/>
        <v>0.4352948575367464</v>
      </c>
      <c r="BB75">
        <f t="shared" si="96"/>
        <v>-7.2243292691472991</v>
      </c>
      <c r="BC75">
        <f t="shared" si="97"/>
        <v>0.54843854890120758</v>
      </c>
      <c r="BD75">
        <f t="shared" si="81"/>
        <v>-148.57678578977533</v>
      </c>
      <c r="BF75">
        <f t="shared" si="82"/>
        <v>16.511704589815007</v>
      </c>
      <c r="BG75">
        <f t="shared" si="83"/>
        <v>-119.70469742579201</v>
      </c>
      <c r="BH75">
        <f t="shared" si="98"/>
        <v>60.295302574207994</v>
      </c>
      <c r="BI75">
        <f t="shared" si="99"/>
        <v>60.295302574207994</v>
      </c>
      <c r="BJ75">
        <f t="shared" si="84"/>
        <v>0</v>
      </c>
      <c r="BK75">
        <f t="shared" si="100"/>
        <v>0</v>
      </c>
      <c r="BM75">
        <f t="shared" si="101"/>
        <v>23.736033858962308</v>
      </c>
      <c r="BN75">
        <f t="shared" si="85"/>
        <v>-151.12791163601668</v>
      </c>
      <c r="BQ75" s="56">
        <f t="shared" si="102"/>
        <v>9.6776315311378376</v>
      </c>
      <c r="BR75" s="59"/>
      <c r="BS75" s="59"/>
      <c r="BT75" s="59">
        <v>446.68400000000003</v>
      </c>
      <c r="BU75" s="59">
        <v>21.761099999999999</v>
      </c>
      <c r="BV75" s="59">
        <v>-265.3082</v>
      </c>
      <c r="BW75" s="61"/>
      <c r="BY75" s="59"/>
      <c r="BZ75" s="59"/>
      <c r="CA75" s="59"/>
      <c r="CC75" s="59"/>
    </row>
    <row r="76" spans="1:81" x14ac:dyDescent="0.2">
      <c r="A76">
        <f t="shared" si="54"/>
        <v>21000</v>
      </c>
      <c r="B76">
        <f t="shared" si="86"/>
        <v>21</v>
      </c>
      <c r="C76">
        <f t="shared" si="55"/>
        <v>1.0000034819903627</v>
      </c>
      <c r="D76">
        <f t="shared" si="56"/>
        <v>2.6389317001775468E-3</v>
      </c>
      <c r="F76">
        <f t="shared" si="57"/>
        <v>0.94144719996323933</v>
      </c>
      <c r="G76">
        <f t="shared" si="58"/>
        <v>0.46923521950920688</v>
      </c>
      <c r="H76">
        <f t="shared" si="59"/>
        <v>-2.6723574304907931</v>
      </c>
      <c r="J76">
        <f t="shared" si="60"/>
        <v>15</v>
      </c>
      <c r="M76">
        <f t="shared" si="61"/>
        <v>8.642450489161968E-2</v>
      </c>
      <c r="N76">
        <f t="shared" si="62"/>
        <v>-1.5707963250000001</v>
      </c>
      <c r="O76">
        <f t="shared" si="63"/>
        <v>2.6982166971005483</v>
      </c>
      <c r="P76">
        <f t="shared" si="64"/>
        <v>1.1911250721226632</v>
      </c>
      <c r="Q76">
        <f t="shared" si="65"/>
        <v>1.9171390089116522</v>
      </c>
      <c r="R76">
        <f t="shared" si="66"/>
        <v>1.0220587276742963</v>
      </c>
      <c r="S76">
        <f t="shared" si="67"/>
        <v>0.9999963631302865</v>
      </c>
      <c r="T76">
        <f t="shared" si="68"/>
        <v>-2.6969879190865582E-3</v>
      </c>
      <c r="U76">
        <f t="shared" si="69"/>
        <v>0.99907906345861985</v>
      </c>
      <c r="V76">
        <f t="shared" si="70"/>
        <v>-4.2920343198146395E-2</v>
      </c>
      <c r="X76">
        <f t="shared" si="87"/>
        <v>15.997086954390429</v>
      </c>
      <c r="Y76">
        <f t="shared" si="71"/>
        <v>-118.77119203215604</v>
      </c>
      <c r="Z76">
        <f t="shared" si="88"/>
        <v>61.228807967843963</v>
      </c>
      <c r="AC76">
        <v>1</v>
      </c>
      <c r="AD76">
        <f t="shared" si="72"/>
        <v>2.5060673064609</v>
      </c>
      <c r="AE76">
        <f t="shared" si="73"/>
        <v>-2.2485409752373456E-5</v>
      </c>
      <c r="AF76">
        <f t="shared" si="74"/>
        <v>5.2356526467840011E-4</v>
      </c>
      <c r="AG76">
        <f t="shared" si="89"/>
        <v>4695.8537700892439</v>
      </c>
      <c r="AH76">
        <f t="shared" si="90"/>
        <v>-2111.6530655195234</v>
      </c>
      <c r="AJ76">
        <f t="shared" si="75"/>
        <v>22100</v>
      </c>
      <c r="AK76">
        <f t="shared" si="76"/>
        <v>59.60357752560121</v>
      </c>
      <c r="AL76">
        <v>1</v>
      </c>
      <c r="AM76">
        <f t="shared" si="77"/>
        <v>1.6356717211869722</v>
      </c>
      <c r="AN76">
        <f t="shared" si="91"/>
        <v>6039.4403717735213</v>
      </c>
      <c r="AO76">
        <f t="shared" si="92"/>
        <v>-9818.9382503792822</v>
      </c>
      <c r="AQ76">
        <f t="shared" si="78"/>
        <v>5.6657223796033991</v>
      </c>
      <c r="AR76">
        <f t="shared" si="79"/>
        <v>-237.96033994334277</v>
      </c>
      <c r="AT76">
        <f t="shared" si="52"/>
        <v>-475884.27751688799</v>
      </c>
      <c r="AU76">
        <f t="shared" si="53"/>
        <v>-1129390.9994859362</v>
      </c>
      <c r="AV76">
        <f t="shared" si="93"/>
        <v>-1.9695828984802064</v>
      </c>
      <c r="AW76">
        <f t="shared" si="94"/>
        <v>-2281557.648200138</v>
      </c>
      <c r="AX76">
        <f t="shared" si="95"/>
        <v>-1581948.3271192242</v>
      </c>
      <c r="AY76">
        <f t="shared" si="103"/>
        <v>-2.5353347555041208</v>
      </c>
      <c r="BA76">
        <f t="shared" si="80"/>
        <v>0.44142893343982587</v>
      </c>
      <c r="BB76">
        <f t="shared" si="96"/>
        <v>-7.1027840885782165</v>
      </c>
      <c r="BC76">
        <f t="shared" si="97"/>
        <v>0.5657518570239144</v>
      </c>
      <c r="BD76">
        <f t="shared" si="81"/>
        <v>-147.58480630380117</v>
      </c>
      <c r="BF76">
        <f t="shared" si="82"/>
        <v>15.894990698757701</v>
      </c>
      <c r="BG76">
        <f t="shared" si="83"/>
        <v>-120.54840894729179</v>
      </c>
      <c r="BH76">
        <f t="shared" si="98"/>
        <v>59.45159105270821</v>
      </c>
      <c r="BI76">
        <f t="shared" si="99"/>
        <v>59.45159105270821</v>
      </c>
      <c r="BJ76">
        <f t="shared" si="84"/>
        <v>0</v>
      </c>
      <c r="BK76">
        <f t="shared" si="100"/>
        <v>0</v>
      </c>
      <c r="BM76">
        <f t="shared" si="101"/>
        <v>22.997774787335917</v>
      </c>
      <c r="BN76">
        <f t="shared" si="85"/>
        <v>-152.96360264349065</v>
      </c>
      <c r="BQ76" s="56">
        <f t="shared" si="102"/>
        <v>9.7991767117069202</v>
      </c>
      <c r="BR76" s="59"/>
      <c r="BS76" s="59"/>
      <c r="BT76" s="59">
        <v>457.08800000000002</v>
      </c>
      <c r="BU76" s="59">
        <v>21.6126</v>
      </c>
      <c r="BV76" s="59">
        <v>-265.65139999999997</v>
      </c>
      <c r="BW76" s="61"/>
      <c r="BY76" s="59"/>
      <c r="BZ76" s="59"/>
      <c r="CA76" s="59"/>
      <c r="CC76" s="59"/>
    </row>
    <row r="77" spans="1:81" x14ac:dyDescent="0.2">
      <c r="A77">
        <f t="shared" si="54"/>
        <v>21500</v>
      </c>
      <c r="B77">
        <f t="shared" si="86"/>
        <v>21.5</v>
      </c>
      <c r="C77">
        <f t="shared" si="55"/>
        <v>1.0000036497730387</v>
      </c>
      <c r="D77">
        <f t="shared" si="56"/>
        <v>2.7017631051193748E-3</v>
      </c>
      <c r="F77">
        <f t="shared" si="57"/>
        <v>0.86830056717068116</v>
      </c>
      <c r="G77">
        <f t="shared" si="58"/>
        <v>0.44117260898705751</v>
      </c>
      <c r="H77">
        <f t="shared" si="59"/>
        <v>-2.7004200410129426</v>
      </c>
      <c r="J77">
        <f t="shared" si="60"/>
        <v>15</v>
      </c>
      <c r="M77">
        <f t="shared" si="61"/>
        <v>8.4414632684837829E-2</v>
      </c>
      <c r="N77">
        <f t="shared" si="62"/>
        <v>-1.5707963250000001</v>
      </c>
      <c r="O77">
        <f t="shared" si="63"/>
        <v>2.7537245766814471</v>
      </c>
      <c r="P77">
        <f t="shared" si="64"/>
        <v>1.1991557236750587</v>
      </c>
      <c r="Q77">
        <f t="shared" si="65"/>
        <v>1.9504716622550209</v>
      </c>
      <c r="R77">
        <f t="shared" si="66"/>
        <v>1.0324737800300314</v>
      </c>
      <c r="S77">
        <f t="shared" si="67"/>
        <v>0.99999618788529909</v>
      </c>
      <c r="T77">
        <f t="shared" si="68"/>
        <v>-2.7612015945673472E-3</v>
      </c>
      <c r="U77">
        <f t="shared" si="69"/>
        <v>0.99903475149561638</v>
      </c>
      <c r="V77">
        <f t="shared" si="70"/>
        <v>-4.3940956486596301E-2</v>
      </c>
      <c r="X77">
        <f t="shared" si="87"/>
        <v>15.416394987113989</v>
      </c>
      <c r="Y77">
        <f t="shared" si="71"/>
        <v>-119.38075622601851</v>
      </c>
      <c r="Z77">
        <f t="shared" si="88"/>
        <v>60.619243773981495</v>
      </c>
      <c r="AC77">
        <v>1</v>
      </c>
      <c r="AD77">
        <f t="shared" si="72"/>
        <v>2.5657355756623499</v>
      </c>
      <c r="AE77">
        <f t="shared" si="73"/>
        <v>-2.3568890381030907E-5</v>
      </c>
      <c r="AF77">
        <f t="shared" si="74"/>
        <v>5.3603110431360015E-4</v>
      </c>
      <c r="AG77">
        <f t="shared" si="89"/>
        <v>4695.4372307148969</v>
      </c>
      <c r="AH77">
        <f t="shared" si="90"/>
        <v>-2072.0182773795632</v>
      </c>
      <c r="AJ77">
        <f t="shared" si="75"/>
        <v>22100</v>
      </c>
      <c r="AK77">
        <f t="shared" si="76"/>
        <v>61.022710323829806</v>
      </c>
      <c r="AL77">
        <v>1</v>
      </c>
      <c r="AM77">
        <f t="shared" si="77"/>
        <v>1.6746162859771381</v>
      </c>
      <c r="AN77">
        <f t="shared" si="91"/>
        <v>5836.0165875371476</v>
      </c>
      <c r="AO77">
        <f t="shared" si="92"/>
        <v>-9712.0657123986002</v>
      </c>
      <c r="AQ77">
        <f t="shared" si="78"/>
        <v>5.4054054054054053</v>
      </c>
      <c r="AR77">
        <f t="shared" si="79"/>
        <v>-232.43243243243242</v>
      </c>
      <c r="AT77">
        <f t="shared" si="52"/>
        <v>-456223.50646814227</v>
      </c>
      <c r="AU77">
        <f t="shared" si="53"/>
        <v>-1102571.9956655141</v>
      </c>
      <c r="AV77">
        <f t="shared" si="93"/>
        <v>-1.9631262635908679</v>
      </c>
      <c r="AW77">
        <f t="shared" si="94"/>
        <v>-2205769.8447461273</v>
      </c>
      <c r="AX77">
        <f t="shared" si="95"/>
        <v>-1496469.281724286</v>
      </c>
      <c r="AY77">
        <f t="shared" si="103"/>
        <v>-2.5454876107629025</v>
      </c>
      <c r="BA77">
        <f t="shared" si="80"/>
        <v>0.44765976404470209</v>
      </c>
      <c r="BB77">
        <f t="shared" si="96"/>
        <v>-6.9810387707467871</v>
      </c>
      <c r="BC77">
        <f t="shared" si="97"/>
        <v>0.58236134717203458</v>
      </c>
      <c r="BD77">
        <f t="shared" si="81"/>
        <v>-146.63315261736233</v>
      </c>
      <c r="BF77">
        <f t="shared" si="82"/>
        <v>15.31421980588085</v>
      </c>
      <c r="BG77">
        <f t="shared" si="83"/>
        <v>-121.20102443340068</v>
      </c>
      <c r="BH77">
        <f t="shared" si="98"/>
        <v>58.798975566599324</v>
      </c>
      <c r="BI77">
        <f t="shared" si="99"/>
        <v>58.798975566599324</v>
      </c>
      <c r="BJ77">
        <f t="shared" si="84"/>
        <v>0</v>
      </c>
      <c r="BK77">
        <f t="shared" si="100"/>
        <v>0</v>
      </c>
      <c r="BM77">
        <f t="shared" si="101"/>
        <v>22.295258576627639</v>
      </c>
      <c r="BN77">
        <f t="shared" si="85"/>
        <v>-154.56787181603835</v>
      </c>
      <c r="BQ77" s="56">
        <f t="shared" si="102"/>
        <v>9.9209220295383496</v>
      </c>
      <c r="BR77" s="58"/>
      <c r="BS77" s="58"/>
      <c r="BT77" s="58">
        <v>467.73500000000001</v>
      </c>
      <c r="BU77" s="58">
        <v>21.3672</v>
      </c>
      <c r="BV77" s="58">
        <v>-265.05009999999999</v>
      </c>
      <c r="BW77" s="61"/>
      <c r="BY77" s="58"/>
      <c r="BZ77" s="58"/>
      <c r="CA77" s="58"/>
      <c r="CC77" s="58"/>
    </row>
    <row r="78" spans="1:81" x14ac:dyDescent="0.2">
      <c r="A78">
        <f t="shared" si="54"/>
        <v>22000</v>
      </c>
      <c r="B78">
        <f t="shared" si="86"/>
        <v>22</v>
      </c>
      <c r="C78">
        <f t="shared" si="55"/>
        <v>1.0000038215035134</v>
      </c>
      <c r="D78">
        <f t="shared" si="56"/>
        <v>2.7645944887291964E-3</v>
      </c>
      <c r="F78">
        <f t="shared" si="57"/>
        <v>0.80388819650214494</v>
      </c>
      <c r="G78">
        <f t="shared" si="58"/>
        <v>0.4164516260608801</v>
      </c>
      <c r="H78">
        <f t="shared" si="59"/>
        <v>-2.7251410239391203</v>
      </c>
      <c r="J78">
        <f t="shared" si="60"/>
        <v>15</v>
      </c>
      <c r="M78">
        <f t="shared" si="61"/>
        <v>8.2496118305636967E-2</v>
      </c>
      <c r="N78">
        <f t="shared" si="62"/>
        <v>-1.5707963250000001</v>
      </c>
      <c r="O78">
        <f t="shared" si="63"/>
        <v>2.8094030235310896</v>
      </c>
      <c r="P78">
        <f t="shared" si="64"/>
        <v>1.2068685437493101</v>
      </c>
      <c r="Q78">
        <f t="shared" si="65"/>
        <v>1.9840087674409019</v>
      </c>
      <c r="R78">
        <f t="shared" si="66"/>
        <v>1.0425377875860551</v>
      </c>
      <c r="S78">
        <f t="shared" si="67"/>
        <v>0.99999600851699555</v>
      </c>
      <c r="T78">
        <f t="shared" si="68"/>
        <v>-2.8254152472770313E-3</v>
      </c>
      <c r="U78">
        <f t="shared" si="69"/>
        <v>0.99898940300344652</v>
      </c>
      <c r="V78">
        <f t="shared" si="70"/>
        <v>-4.4961478182011065E-2</v>
      </c>
      <c r="X78">
        <f t="shared" si="87"/>
        <v>14.868777303758254</v>
      </c>
      <c r="Y78">
        <f t="shared" si="71"/>
        <v>-119.83717780151305</v>
      </c>
      <c r="Z78">
        <f t="shared" si="88"/>
        <v>60.16282219848695</v>
      </c>
      <c r="AC78">
        <v>1</v>
      </c>
      <c r="AD78">
        <f t="shared" si="72"/>
        <v>2.6254038448638002</v>
      </c>
      <c r="AE78">
        <f t="shared" si="73"/>
        <v>-2.4677864671539119E-5</v>
      </c>
      <c r="AF78">
        <f t="shared" si="74"/>
        <v>5.4849694394880008E-4</v>
      </c>
      <c r="AG78">
        <f t="shared" si="89"/>
        <v>4695.0109669328649</v>
      </c>
      <c r="AH78">
        <f t="shared" si="90"/>
        <v>-2034.4012078534433</v>
      </c>
      <c r="AJ78">
        <f t="shared" si="75"/>
        <v>22100</v>
      </c>
      <c r="AK78">
        <f t="shared" si="76"/>
        <v>62.441843122058408</v>
      </c>
      <c r="AL78">
        <v>1</v>
      </c>
      <c r="AM78">
        <f t="shared" si="77"/>
        <v>1.7135608507673044</v>
      </c>
      <c r="AN78">
        <f t="shared" si="91"/>
        <v>5641.6050252914138</v>
      </c>
      <c r="AO78">
        <f t="shared" si="92"/>
        <v>-9604.7916637093949</v>
      </c>
      <c r="AQ78">
        <f t="shared" si="78"/>
        <v>5.1626226122870422</v>
      </c>
      <c r="AR78">
        <f t="shared" si="79"/>
        <v>-227.15539494062983</v>
      </c>
      <c r="AT78">
        <f t="shared" si="52"/>
        <v>-437886.64005482005</v>
      </c>
      <c r="AU78">
        <f t="shared" si="53"/>
        <v>-1076999.9161223515</v>
      </c>
      <c r="AV78">
        <f t="shared" si="93"/>
        <v>-1.9569622271808531</v>
      </c>
      <c r="AW78">
        <f t="shared" si="94"/>
        <v>-2133201.6553035765</v>
      </c>
      <c r="AX78">
        <f t="shared" si="95"/>
        <v>-1416980.7322668023</v>
      </c>
      <c r="AY78">
        <f t="shared" si="103"/>
        <v>-2.5552644950655465</v>
      </c>
      <c r="BA78">
        <f t="shared" si="80"/>
        <v>0.45398080813291625</v>
      </c>
      <c r="BB78">
        <f t="shared" si="96"/>
        <v>-6.8592501277983287</v>
      </c>
      <c r="BC78">
        <f t="shared" si="97"/>
        <v>0.59830226788469343</v>
      </c>
      <c r="BD78">
        <f t="shared" si="81"/>
        <v>-145.71980513793065</v>
      </c>
      <c r="BF78">
        <f t="shared" si="82"/>
        <v>14.766521285594081</v>
      </c>
      <c r="BG78">
        <f t="shared" si="83"/>
        <v>-121.70048496956647</v>
      </c>
      <c r="BH78">
        <f t="shared" si="98"/>
        <v>58.299515030433525</v>
      </c>
      <c r="BI78">
        <f t="shared" si="99"/>
        <v>58.299515030433525</v>
      </c>
      <c r="BJ78">
        <f t="shared" si="84"/>
        <v>0</v>
      </c>
      <c r="BK78">
        <f t="shared" si="100"/>
        <v>0</v>
      </c>
      <c r="BM78">
        <f t="shared" si="101"/>
        <v>21.62577141339241</v>
      </c>
      <c r="BN78">
        <f t="shared" si="85"/>
        <v>-155.98067983163583</v>
      </c>
      <c r="BQ78" s="56">
        <f t="shared" si="102"/>
        <v>10.042710672486807</v>
      </c>
      <c r="BR78" s="58"/>
      <c r="BS78" s="58"/>
      <c r="BT78" s="58">
        <v>478.63</v>
      </c>
      <c r="BU78" s="58">
        <v>21.195799999999998</v>
      </c>
      <c r="BV78" s="58">
        <v>-264.35129999999998</v>
      </c>
      <c r="BW78" s="61"/>
      <c r="BY78" s="58"/>
      <c r="BZ78" s="58"/>
      <c r="CA78" s="58"/>
      <c r="CC78" s="58"/>
    </row>
    <row r="79" spans="1:81" x14ac:dyDescent="0.2">
      <c r="A79">
        <f t="shared" si="54"/>
        <v>22500</v>
      </c>
      <c r="B79">
        <f t="shared" si="86"/>
        <v>22.5</v>
      </c>
      <c r="C79">
        <f t="shared" si="55"/>
        <v>1.0000039971817845</v>
      </c>
      <c r="D79">
        <f t="shared" si="56"/>
        <v>2.8274258505109331E-3</v>
      </c>
      <c r="F79">
        <f t="shared" si="57"/>
        <v>0.74686491901756413</v>
      </c>
      <c r="G79">
        <f t="shared" si="58"/>
        <v>0.39452004649334538</v>
      </c>
      <c r="H79">
        <f t="shared" si="59"/>
        <v>-2.7470726035066546</v>
      </c>
      <c r="J79">
        <f t="shared" si="60"/>
        <v>15</v>
      </c>
      <c r="M79">
        <f t="shared" si="61"/>
        <v>8.0662871232178385E-2</v>
      </c>
      <c r="N79">
        <f t="shared" si="62"/>
        <v>-1.5707963250000001</v>
      </c>
      <c r="O79">
        <f t="shared" si="63"/>
        <v>2.8652420940874848</v>
      </c>
      <c r="P79">
        <f t="shared" si="64"/>
        <v>1.2142811690785553</v>
      </c>
      <c r="Q79">
        <f t="shared" si="65"/>
        <v>2.017740129837899</v>
      </c>
      <c r="R79">
        <f t="shared" si="66"/>
        <v>1.0522662652674877</v>
      </c>
      <c r="S79">
        <f t="shared" si="67"/>
        <v>0.99999582502538265</v>
      </c>
      <c r="T79">
        <f t="shared" si="68"/>
        <v>-2.8896288766860657E-3</v>
      </c>
      <c r="U79">
        <f t="shared" si="69"/>
        <v>0.9989430184066076</v>
      </c>
      <c r="V79">
        <f t="shared" si="70"/>
        <v>-4.598190617133615E-2</v>
      </c>
      <c r="X79">
        <f t="shared" si="87"/>
        <v>14.35148379512219</v>
      </c>
      <c r="Y79">
        <f t="shared" si="71"/>
        <v>-120.17019730564438</v>
      </c>
      <c r="Z79">
        <f t="shared" si="88"/>
        <v>59.829802694355621</v>
      </c>
      <c r="AC79">
        <v>1</v>
      </c>
      <c r="AD79">
        <f t="shared" si="72"/>
        <v>2.68507211406525</v>
      </c>
      <c r="AE79">
        <f t="shared" si="73"/>
        <v>-2.5812332623898097E-5</v>
      </c>
      <c r="AF79">
        <f t="shared" si="74"/>
        <v>5.6096278358400012E-4</v>
      </c>
      <c r="AG79">
        <f t="shared" si="89"/>
        <v>4694.5749840598519</v>
      </c>
      <c r="AH79">
        <f t="shared" si="90"/>
        <v>-1998.6672268223581</v>
      </c>
      <c r="AJ79">
        <f t="shared" si="75"/>
        <v>22100</v>
      </c>
      <c r="AK79">
        <f t="shared" si="76"/>
        <v>63.860975920287011</v>
      </c>
      <c r="AL79">
        <v>1</v>
      </c>
      <c r="AM79">
        <f t="shared" si="77"/>
        <v>1.7525054155574702</v>
      </c>
      <c r="AN79">
        <f t="shared" si="91"/>
        <v>5455.7639665254419</v>
      </c>
      <c r="AO79">
        <f t="shared" si="92"/>
        <v>-9497.3949214188542</v>
      </c>
      <c r="AQ79">
        <f t="shared" si="78"/>
        <v>4.9358341559723593</v>
      </c>
      <c r="AR79">
        <f t="shared" si="79"/>
        <v>-222.11253701875617</v>
      </c>
      <c r="AT79">
        <f t="shared" si="52"/>
        <v>-420757.40485165978</v>
      </c>
      <c r="AU79">
        <f t="shared" si="53"/>
        <v>-1052589.0498988929</v>
      </c>
      <c r="AV79">
        <f t="shared" si="93"/>
        <v>-1.951074825355855</v>
      </c>
      <c r="AW79">
        <f t="shared" si="94"/>
        <v>-2063710.9221841632</v>
      </c>
      <c r="AX79">
        <f t="shared" si="95"/>
        <v>-1342982.7785022678</v>
      </c>
      <c r="AY79">
        <f t="shared" si="103"/>
        <v>-2.5646825789716892</v>
      </c>
      <c r="BA79">
        <f t="shared" si="80"/>
        <v>0.46038609221466731</v>
      </c>
      <c r="BB79">
        <f t="shared" si="96"/>
        <v>-6.7375560885797885</v>
      </c>
      <c r="BC79">
        <f t="shared" si="97"/>
        <v>0.61360775361583419</v>
      </c>
      <c r="BD79">
        <f t="shared" si="81"/>
        <v>-144.84286540113655</v>
      </c>
      <c r="BF79">
        <f t="shared" si="82"/>
        <v>14.249145025090581</v>
      </c>
      <c r="BG79">
        <f t="shared" si="83"/>
        <v>-122.07653220962803</v>
      </c>
      <c r="BH79">
        <f t="shared" si="98"/>
        <v>57.923467790371973</v>
      </c>
      <c r="BI79">
        <f t="shared" si="99"/>
        <v>57.923467790371973</v>
      </c>
      <c r="BJ79">
        <f t="shared" si="84"/>
        <v>0</v>
      </c>
      <c r="BK79">
        <f t="shared" si="100"/>
        <v>0</v>
      </c>
      <c r="BM79">
        <f t="shared" si="101"/>
        <v>20.986701113670367</v>
      </c>
      <c r="BN79">
        <f t="shared" si="85"/>
        <v>-157.23366680849151</v>
      </c>
      <c r="BQ79" s="56">
        <f t="shared" si="102"/>
        <v>10.164404711705348</v>
      </c>
      <c r="BR79" s="59"/>
      <c r="BS79" s="59"/>
      <c r="BT79" s="59">
        <v>489.779</v>
      </c>
      <c r="BU79" s="59">
        <v>20.944800000000001</v>
      </c>
      <c r="BV79" s="59">
        <v>-263.91079999999999</v>
      </c>
      <c r="BW79" s="61"/>
      <c r="BY79" s="59"/>
      <c r="BZ79" s="59"/>
      <c r="CA79" s="59"/>
      <c r="CC79" s="59"/>
    </row>
    <row r="80" spans="1:81" x14ac:dyDescent="0.2">
      <c r="A80">
        <f t="shared" si="54"/>
        <v>23000</v>
      </c>
      <c r="B80">
        <f t="shared" si="86"/>
        <v>23</v>
      </c>
      <c r="C80">
        <f t="shared" si="55"/>
        <v>1.00000417680785</v>
      </c>
      <c r="D80">
        <f t="shared" si="56"/>
        <v>2.8902571899685077E-3</v>
      </c>
      <c r="F80">
        <f t="shared" si="57"/>
        <v>0.69612521295317242</v>
      </c>
      <c r="G80">
        <f t="shared" si="58"/>
        <v>0.37493681129465772</v>
      </c>
      <c r="H80">
        <f t="shared" si="59"/>
        <v>-2.7666558387053426</v>
      </c>
      <c r="J80">
        <f t="shared" si="60"/>
        <v>15</v>
      </c>
      <c r="M80">
        <f t="shared" si="61"/>
        <v>7.8909330553217971E-2</v>
      </c>
      <c r="N80">
        <f t="shared" si="62"/>
        <v>-1.5707963250000001</v>
      </c>
      <c r="O80">
        <f t="shared" si="63"/>
        <v>2.921232577446554</v>
      </c>
      <c r="P80">
        <f t="shared" si="64"/>
        <v>1.2214100221013162</v>
      </c>
      <c r="Q80">
        <f t="shared" si="65"/>
        <v>2.0516561680962884</v>
      </c>
      <c r="R80">
        <f t="shared" si="66"/>
        <v>1.0616739650405003</v>
      </c>
      <c r="S80">
        <f t="shared" si="67"/>
        <v>0.99999563741046693</v>
      </c>
      <c r="T80">
        <f t="shared" si="68"/>
        <v>-2.9538424822649076E-3</v>
      </c>
      <c r="U80">
        <f t="shared" si="69"/>
        <v>0.99889559813919016</v>
      </c>
      <c r="V80">
        <f t="shared" si="70"/>
        <v>-4.7002238342685645E-2</v>
      </c>
      <c r="X80">
        <f t="shared" si="87"/>
        <v>13.861954316615959</v>
      </c>
      <c r="Y80">
        <f t="shared" si="71"/>
        <v>-120.40329927424914</v>
      </c>
      <c r="Z80">
        <f t="shared" si="88"/>
        <v>59.596700725750864</v>
      </c>
      <c r="AC80">
        <v>1</v>
      </c>
      <c r="AD80">
        <f t="shared" si="72"/>
        <v>2.7447403832666999</v>
      </c>
      <c r="AE80">
        <f t="shared" si="73"/>
        <v>-2.6972294238107842E-5</v>
      </c>
      <c r="AF80">
        <f t="shared" si="74"/>
        <v>5.7342862321920016E-4</v>
      </c>
      <c r="AG80">
        <f t="shared" si="89"/>
        <v>4694.1292875322897</v>
      </c>
      <c r="AH80">
        <f t="shared" si="90"/>
        <v>-1964.6934085890221</v>
      </c>
      <c r="AJ80">
        <f t="shared" si="75"/>
        <v>22100</v>
      </c>
      <c r="AK80">
        <f t="shared" si="76"/>
        <v>65.280108718515606</v>
      </c>
      <c r="AL80">
        <v>1</v>
      </c>
      <c r="AM80">
        <f t="shared" si="77"/>
        <v>1.791449980347636</v>
      </c>
      <c r="AN80">
        <f t="shared" si="91"/>
        <v>5278.0706594006506</v>
      </c>
      <c r="AO80">
        <f t="shared" si="92"/>
        <v>-9390.1194703382153</v>
      </c>
      <c r="AQ80">
        <f t="shared" si="78"/>
        <v>4.7236655644780345</v>
      </c>
      <c r="AR80">
        <f t="shared" si="79"/>
        <v>-217.28861596598961</v>
      </c>
      <c r="AT80">
        <f t="shared" si="52"/>
        <v>-404732.01467908703</v>
      </c>
      <c r="AU80">
        <f t="shared" si="53"/>
        <v>-1029261.4106522171</v>
      </c>
      <c r="AV80">
        <f t="shared" si="93"/>
        <v>-1.9454491629893698</v>
      </c>
      <c r="AW80">
        <f t="shared" si="94"/>
        <v>-1997159.3094672801</v>
      </c>
      <c r="AX80">
        <f t="shared" si="95"/>
        <v>-1274023.1630733844</v>
      </c>
      <c r="AY80">
        <f t="shared" si="103"/>
        <v>-2.5737581261272542</v>
      </c>
      <c r="BA80">
        <f t="shared" si="80"/>
        <v>0.46687014940259813</v>
      </c>
      <c r="BB80">
        <f t="shared" si="96"/>
        <v>-6.6160778593220639</v>
      </c>
      <c r="BC80">
        <f t="shared" si="97"/>
        <v>0.62830896313788442</v>
      </c>
      <c r="BD80">
        <f t="shared" si="81"/>
        <v>-144.00054814082304</v>
      </c>
      <c r="BF80">
        <f t="shared" si="82"/>
        <v>13.759530876083861</v>
      </c>
      <c r="BG80">
        <f t="shared" si="83"/>
        <v>-122.35265170611729</v>
      </c>
      <c r="BH80">
        <f t="shared" si="98"/>
        <v>57.647348293882715</v>
      </c>
      <c r="BI80">
        <f t="shared" si="99"/>
        <v>57.647348293882715</v>
      </c>
      <c r="BJ80">
        <f t="shared" si="84"/>
        <v>0</v>
      </c>
      <c r="BK80">
        <f t="shared" si="100"/>
        <v>0</v>
      </c>
      <c r="BM80">
        <f t="shared" si="101"/>
        <v>20.375608735405923</v>
      </c>
      <c r="BN80">
        <f t="shared" si="85"/>
        <v>-158.35210356529427</v>
      </c>
      <c r="BQ80" s="56">
        <f t="shared" si="102"/>
        <v>10.285882940963074</v>
      </c>
      <c r="BR80" s="59"/>
      <c r="BS80" s="59"/>
      <c r="BT80" s="59">
        <v>501.18700000000001</v>
      </c>
      <c r="BU80" s="59">
        <v>20.7819</v>
      </c>
      <c r="BV80" s="59">
        <v>-264.7826</v>
      </c>
      <c r="BW80" s="61"/>
      <c r="BY80" s="59"/>
      <c r="BZ80" s="59"/>
      <c r="CA80" s="59"/>
      <c r="CC80" s="59"/>
    </row>
    <row r="81" spans="1:81" x14ac:dyDescent="0.2">
      <c r="A81">
        <f t="shared" si="54"/>
        <v>23500</v>
      </c>
      <c r="B81">
        <f t="shared" si="86"/>
        <v>23.5</v>
      </c>
      <c r="C81">
        <f t="shared" si="55"/>
        <v>1.0000043603817079</v>
      </c>
      <c r="D81">
        <f t="shared" si="56"/>
        <v>2.9530885066058441E-3</v>
      </c>
      <c r="F81">
        <f t="shared" si="57"/>
        <v>0.6507581886688838</v>
      </c>
      <c r="G81">
        <f t="shared" si="58"/>
        <v>0.35734653674083117</v>
      </c>
      <c r="H81">
        <f t="shared" si="59"/>
        <v>-2.7842461132591692</v>
      </c>
      <c r="J81">
        <f t="shared" si="60"/>
        <v>15</v>
      </c>
      <c r="M81">
        <f t="shared" si="61"/>
        <v>7.7230408626553768E-2</v>
      </c>
      <c r="N81">
        <f t="shared" si="62"/>
        <v>-1.5707963250000001</v>
      </c>
      <c r="O81">
        <f t="shared" si="63"/>
        <v>2.9773659314968706</v>
      </c>
      <c r="P81">
        <f t="shared" si="64"/>
        <v>1.2282704072363129</v>
      </c>
      <c r="Q81">
        <f t="shared" si="65"/>
        <v>2.085747873274769</v>
      </c>
      <c r="R81">
        <f t="shared" si="66"/>
        <v>1.0707749094270247</v>
      </c>
      <c r="S81">
        <f t="shared" si="67"/>
        <v>0.99999544567225584</v>
      </c>
      <c r="T81">
        <f t="shared" si="68"/>
        <v>-3.0180560634840161E-3</v>
      </c>
      <c r="U81">
        <f t="shared" si="69"/>
        <v>0.99884714264486552</v>
      </c>
      <c r="V81">
        <f t="shared" si="70"/>
        <v>-4.802247258536823E-2</v>
      </c>
      <c r="X81">
        <f t="shared" si="87"/>
        <v>13.397844096802462</v>
      </c>
      <c r="Y81">
        <f t="shared" si="71"/>
        <v>-120.5551652639797</v>
      </c>
      <c r="Z81">
        <f t="shared" si="88"/>
        <v>59.444834736020297</v>
      </c>
      <c r="AC81">
        <v>1</v>
      </c>
      <c r="AD81">
        <f t="shared" si="72"/>
        <v>2.8044086524681502</v>
      </c>
      <c r="AE81">
        <f t="shared" si="73"/>
        <v>-2.8157749514168346E-5</v>
      </c>
      <c r="AF81">
        <f t="shared" si="74"/>
        <v>5.858944628544001E-4</v>
      </c>
      <c r="AG81">
        <f t="shared" si="89"/>
        <v>4693.6738829061669</v>
      </c>
      <c r="AH81">
        <f t="shared" si="90"/>
        <v>-1932.3672867299624</v>
      </c>
      <c r="AJ81">
        <f t="shared" si="75"/>
        <v>22100</v>
      </c>
      <c r="AK81">
        <f t="shared" si="76"/>
        <v>66.699241516744209</v>
      </c>
      <c r="AL81">
        <v>1</v>
      </c>
      <c r="AM81">
        <f t="shared" si="77"/>
        <v>1.8303945451378021</v>
      </c>
      <c r="AN81">
        <f t="shared" si="91"/>
        <v>5108.1213239341132</v>
      </c>
      <c r="AO81">
        <f t="shared" si="92"/>
        <v>-9283.1781657143456</v>
      </c>
      <c r="AQ81">
        <f t="shared" si="78"/>
        <v>4.5248868778280542</v>
      </c>
      <c r="AR81">
        <f t="shared" si="79"/>
        <v>-212.66968325791856</v>
      </c>
      <c r="AT81">
        <f t="shared" si="52"/>
        <v>-389717.59544525825</v>
      </c>
      <c r="AU81">
        <f t="shared" si="53"/>
        <v>-1006945.8813724879</v>
      </c>
      <c r="AV81">
        <f t="shared" si="93"/>
        <v>-1.9400713329147874</v>
      </c>
      <c r="AW81">
        <f t="shared" si="94"/>
        <v>-1933412.7847466425</v>
      </c>
      <c r="AX81">
        <f t="shared" si="95"/>
        <v>-1209692.2144617592</v>
      </c>
      <c r="AY81">
        <f t="shared" si="103"/>
        <v>-2.5825065420790199</v>
      </c>
      <c r="BA81">
        <f t="shared" si="80"/>
        <v>0.47342796608553783</v>
      </c>
      <c r="BB81">
        <f t="shared" si="96"/>
        <v>-6.4949218247210752</v>
      </c>
      <c r="BC81">
        <f t="shared" si="97"/>
        <v>0.64243520916423247</v>
      </c>
      <c r="BD81">
        <f t="shared" si="81"/>
        <v>-143.19117386222499</v>
      </c>
      <c r="BF81">
        <f t="shared" si="82"/>
        <v>13.295334063350495</v>
      </c>
      <c r="BG81">
        <f t="shared" si="83"/>
        <v>-122.54752595181286</v>
      </c>
      <c r="BH81">
        <f t="shared" si="98"/>
        <v>57.452474048187142</v>
      </c>
      <c r="BI81">
        <f t="shared" si="99"/>
        <v>57.452474048187142</v>
      </c>
      <c r="BJ81">
        <f t="shared" si="84"/>
        <v>0</v>
      </c>
      <c r="BK81">
        <f t="shared" si="100"/>
        <v>0</v>
      </c>
      <c r="BM81">
        <f t="shared" si="101"/>
        <v>19.79025588807157</v>
      </c>
      <c r="BN81">
        <f t="shared" si="85"/>
        <v>-159.35635208958786</v>
      </c>
      <c r="BQ81" s="56">
        <f t="shared" si="102"/>
        <v>10.407038975564063</v>
      </c>
      <c r="BR81" s="59"/>
      <c r="BS81" s="59"/>
      <c r="BT81" s="59">
        <v>512.86099999999999</v>
      </c>
      <c r="BU81" s="59">
        <v>20.634799999999998</v>
      </c>
      <c r="BV81" s="59">
        <v>-265.04300000000001</v>
      </c>
      <c r="BW81" s="61"/>
      <c r="BY81" s="59"/>
      <c r="BZ81" s="59"/>
      <c r="CA81" s="59"/>
      <c r="CC81" s="59"/>
    </row>
    <row r="82" spans="1:81" x14ac:dyDescent="0.2">
      <c r="A82">
        <f t="shared" si="54"/>
        <v>24000</v>
      </c>
      <c r="B82">
        <f t="shared" si="86"/>
        <v>24</v>
      </c>
      <c r="C82">
        <f t="shared" si="55"/>
        <v>1.0000045479033559</v>
      </c>
      <c r="D82">
        <f t="shared" si="56"/>
        <v>3.0159197999268675E-3</v>
      </c>
      <c r="F82">
        <f t="shared" si="57"/>
        <v>0.61001031473987366</v>
      </c>
      <c r="G82">
        <f t="shared" si="58"/>
        <v>0.34146038913821708</v>
      </c>
      <c r="H82">
        <f t="shared" si="59"/>
        <v>-2.8001322608617834</v>
      </c>
      <c r="J82">
        <f t="shared" si="60"/>
        <v>15</v>
      </c>
      <c r="M82">
        <f t="shared" si="61"/>
        <v>7.562144178016722E-2</v>
      </c>
      <c r="N82">
        <f t="shared" si="62"/>
        <v>-1.5707963250000001</v>
      </c>
      <c r="O82">
        <f t="shared" si="63"/>
        <v>3.0336342253542061</v>
      </c>
      <c r="P82">
        <f t="shared" si="64"/>
        <v>1.2348765988954797</v>
      </c>
      <c r="Q82">
        <f t="shared" si="65"/>
        <v>2.1200067707218033</v>
      </c>
      <c r="R82">
        <f t="shared" si="66"/>
        <v>1.0795824248513939</v>
      </c>
      <c r="S82">
        <f t="shared" si="67"/>
        <v>0.99999524981075605</v>
      </c>
      <c r="T82">
        <f t="shared" si="68"/>
        <v>-3.0822696198138499E-3</v>
      </c>
      <c r="U82">
        <f t="shared" si="69"/>
        <v>0.99879765237687435</v>
      </c>
      <c r="V82">
        <f t="shared" si="70"/>
        <v>-4.9042606789913207E-2</v>
      </c>
      <c r="X82">
        <f t="shared" si="87"/>
        <v>12.957025585773632</v>
      </c>
      <c r="Y82">
        <f t="shared" si="71"/>
        <v>-120.64076269418564</v>
      </c>
      <c r="Z82">
        <f t="shared" si="88"/>
        <v>59.359237305814361</v>
      </c>
      <c r="AC82">
        <v>1</v>
      </c>
      <c r="AD82">
        <f t="shared" si="72"/>
        <v>2.8640769216696</v>
      </c>
      <c r="AE82">
        <f t="shared" si="73"/>
        <v>-2.9368698452079617E-5</v>
      </c>
      <c r="AF82">
        <f t="shared" si="74"/>
        <v>5.9836030248960014E-4</v>
      </c>
      <c r="AG82">
        <f t="shared" si="89"/>
        <v>4693.2087758568478</v>
      </c>
      <c r="AH82">
        <f t="shared" si="90"/>
        <v>-1901.5857645913429</v>
      </c>
      <c r="AJ82">
        <f t="shared" si="75"/>
        <v>22100</v>
      </c>
      <c r="AK82">
        <f t="shared" si="76"/>
        <v>68.118374314972812</v>
      </c>
      <c r="AL82">
        <v>1</v>
      </c>
      <c r="AM82">
        <f t="shared" si="77"/>
        <v>1.8693391099279679</v>
      </c>
      <c r="AN82">
        <f t="shared" si="91"/>
        <v>4945.5309641714639</v>
      </c>
      <c r="AO82">
        <f t="shared" si="92"/>
        <v>-9176.7560763705169</v>
      </c>
      <c r="AQ82">
        <f t="shared" si="78"/>
        <v>4.3383947939262475</v>
      </c>
      <c r="AR82">
        <f t="shared" si="79"/>
        <v>-208.24295010845987</v>
      </c>
      <c r="AT82">
        <f t="shared" si="52"/>
        <v>-375630.83698276617</v>
      </c>
      <c r="AU82">
        <f t="shared" si="53"/>
        <v>-985577.4707406509</v>
      </c>
      <c r="AV82">
        <f t="shared" si="93"/>
        <v>-1.9349283414480096</v>
      </c>
      <c r="AW82">
        <f t="shared" si="94"/>
        <v>-1872341.9541654352</v>
      </c>
      <c r="AX82">
        <f t="shared" si="95"/>
        <v>-1149618.3791251716</v>
      </c>
      <c r="AY82">
        <f t="shared" si="103"/>
        <v>-2.5909424210107304</v>
      </c>
      <c r="BA82">
        <f t="shared" si="80"/>
        <v>0.48005493525718118</v>
      </c>
      <c r="BB82">
        <f t="shared" si="96"/>
        <v>-6.3741812227424326</v>
      </c>
      <c r="BC82">
        <f t="shared" si="97"/>
        <v>0.65601407956272073</v>
      </c>
      <c r="BD82">
        <f t="shared" si="81"/>
        <v>-142.41316189694749</v>
      </c>
      <c r="BF82">
        <f t="shared" si="82"/>
        <v>12.854427033107465</v>
      </c>
      <c r="BG82">
        <f t="shared" si="83"/>
        <v>-122.67612322999432</v>
      </c>
      <c r="BH82">
        <f t="shared" si="98"/>
        <v>57.323876770005683</v>
      </c>
      <c r="BI82">
        <f t="shared" si="99"/>
        <v>57.323876770005683</v>
      </c>
      <c r="BJ82">
        <f t="shared" si="84"/>
        <v>0</v>
      </c>
      <c r="BK82">
        <f t="shared" si="100"/>
        <v>0</v>
      </c>
      <c r="BM82">
        <f t="shared" si="101"/>
        <v>19.228608255849899</v>
      </c>
      <c r="BN82">
        <f t="shared" si="85"/>
        <v>-160.26296133304683</v>
      </c>
      <c r="BQ82" s="56">
        <f t="shared" si="102"/>
        <v>10.527779577542704</v>
      </c>
      <c r="BR82" s="59"/>
      <c r="BS82" s="59"/>
      <c r="BT82" s="59">
        <v>524.80700000000002</v>
      </c>
      <c r="BU82" s="59">
        <v>20.243600000000001</v>
      </c>
      <c r="BV82" s="59">
        <v>-263.95569999999998</v>
      </c>
      <c r="BW82" s="61"/>
      <c r="BY82" s="59"/>
      <c r="BZ82" s="59"/>
      <c r="CA82" s="59"/>
      <c r="CC82" s="59"/>
    </row>
    <row r="83" spans="1:81" x14ac:dyDescent="0.2">
      <c r="A83">
        <f t="shared" si="54"/>
        <v>24500</v>
      </c>
      <c r="B83">
        <f t="shared" si="86"/>
        <v>24.5</v>
      </c>
      <c r="C83">
        <f t="shared" si="55"/>
        <v>1.0000047393727918</v>
      </c>
      <c r="D83">
        <f t="shared" si="56"/>
        <v>3.0787510694355032E-3</v>
      </c>
      <c r="F83">
        <f t="shared" si="57"/>
        <v>0.57325523390711419</v>
      </c>
      <c r="G83">
        <f t="shared" si="58"/>
        <v>0.32704165967429633</v>
      </c>
      <c r="H83">
        <f t="shared" si="59"/>
        <v>-2.8145509903257038</v>
      </c>
      <c r="J83">
        <f t="shared" si="60"/>
        <v>15</v>
      </c>
      <c r="M83">
        <f t="shared" si="61"/>
        <v>7.4078147049959728E-2</v>
      </c>
      <c r="N83">
        <f t="shared" si="62"/>
        <v>-1.5707963250000001</v>
      </c>
      <c r="O83">
        <f t="shared" si="63"/>
        <v>3.090030087416884</v>
      </c>
      <c r="P83">
        <f t="shared" si="64"/>
        <v>1.2412419219454334</v>
      </c>
      <c r="Q83">
        <f t="shared" si="65"/>
        <v>2.154424884556374</v>
      </c>
      <c r="R83">
        <f t="shared" si="66"/>
        <v>1.0881091745171132</v>
      </c>
      <c r="S83">
        <f t="shared" si="67"/>
        <v>0.99999504982597531</v>
      </c>
      <c r="T83">
        <f t="shared" si="68"/>
        <v>-3.1464831507248708E-3</v>
      </c>
      <c r="U83">
        <f t="shared" si="69"/>
        <v>0.99874712779801544</v>
      </c>
      <c r="V83">
        <f t="shared" si="70"/>
        <v>-5.0062638848096377E-2</v>
      </c>
      <c r="X83">
        <f t="shared" si="87"/>
        <v>12.537578298818339</v>
      </c>
      <c r="Y83">
        <f t="shared" si="71"/>
        <v>-120.67216485328156</v>
      </c>
      <c r="Z83">
        <f t="shared" si="88"/>
        <v>59.327835146718442</v>
      </c>
      <c r="AC83">
        <v>1</v>
      </c>
      <c r="AD83">
        <f t="shared" si="72"/>
        <v>2.9237451908710499</v>
      </c>
      <c r="AE83">
        <f t="shared" si="73"/>
        <v>-3.0605141051841643E-5</v>
      </c>
      <c r="AF83">
        <f t="shared" si="74"/>
        <v>6.1082614212480007E-4</v>
      </c>
      <c r="AG83">
        <f t="shared" si="89"/>
        <v>4692.7339721789131</v>
      </c>
      <c r="AH83">
        <f t="shared" si="90"/>
        <v>-1872.2541591935455</v>
      </c>
      <c r="AJ83">
        <f t="shared" si="75"/>
        <v>22100</v>
      </c>
      <c r="AK83">
        <f t="shared" si="76"/>
        <v>69.537507113201414</v>
      </c>
      <c r="AL83">
        <v>1</v>
      </c>
      <c r="AM83">
        <f t="shared" si="77"/>
        <v>1.9082836747181342</v>
      </c>
      <c r="AN83">
        <f t="shared" si="91"/>
        <v>4789.9330301016416</v>
      </c>
      <c r="AO83">
        <f t="shared" si="92"/>
        <v>-9071.0134972229262</v>
      </c>
      <c r="AQ83">
        <f t="shared" si="78"/>
        <v>4.1631973355537051</v>
      </c>
      <c r="AR83">
        <f t="shared" si="79"/>
        <v>-203.99666944213155</v>
      </c>
      <c r="AT83">
        <f t="shared" si="52"/>
        <v>-362396.83525522402</v>
      </c>
      <c r="AU83">
        <f t="shared" si="53"/>
        <v>-965096.6644294766</v>
      </c>
      <c r="AV83">
        <f t="shared" si="93"/>
        <v>-1.9300080398059181</v>
      </c>
      <c r="AW83">
        <f t="shared" si="94"/>
        <v>-1813822.2790787418</v>
      </c>
      <c r="AX83">
        <f t="shared" si="95"/>
        <v>-1093464.2678845797</v>
      </c>
      <c r="AY83">
        <f t="shared" si="103"/>
        <v>-2.599079590371542</v>
      </c>
      <c r="BA83">
        <f t="shared" si="80"/>
        <v>0.48674681554369037</v>
      </c>
      <c r="BB83">
        <f t="shared" si="96"/>
        <v>-6.2539376218936784</v>
      </c>
      <c r="BC83">
        <f t="shared" si="97"/>
        <v>0.66907155056562395</v>
      </c>
      <c r="BD83">
        <f t="shared" si="81"/>
        <v>-141.66502391651181</v>
      </c>
      <c r="BF83">
        <f t="shared" si="82"/>
        <v>12.434889296680989</v>
      </c>
      <c r="BG83">
        <f t="shared" si="83"/>
        <v>-122.75051762815779</v>
      </c>
      <c r="BH83">
        <f t="shared" si="98"/>
        <v>57.249482371842205</v>
      </c>
      <c r="BI83">
        <f t="shared" si="99"/>
        <v>57.249482371842205</v>
      </c>
      <c r="BJ83">
        <f t="shared" si="84"/>
        <v>0</v>
      </c>
      <c r="BK83">
        <f t="shared" si="100"/>
        <v>0</v>
      </c>
      <c r="BM83">
        <f t="shared" si="101"/>
        <v>18.688826918574669</v>
      </c>
      <c r="BN83">
        <f t="shared" si="85"/>
        <v>-161.085493711646</v>
      </c>
      <c r="BQ83" s="56">
        <f t="shared" si="102"/>
        <v>10.648023178391457</v>
      </c>
      <c r="BR83" s="59"/>
      <c r="BS83" s="59"/>
      <c r="BT83" s="59">
        <v>537.03200000000004</v>
      </c>
      <c r="BU83" s="59">
        <v>20.2926</v>
      </c>
      <c r="BV83" s="59">
        <v>-264.56819999999999</v>
      </c>
      <c r="BW83" s="61"/>
      <c r="BY83" s="59"/>
      <c r="BZ83" s="59"/>
      <c r="CA83" s="59"/>
      <c r="CC83" s="59"/>
    </row>
    <row r="84" spans="1:81" x14ac:dyDescent="0.2">
      <c r="A84">
        <f t="shared" si="54"/>
        <v>25000</v>
      </c>
      <c r="B84">
        <f t="shared" si="86"/>
        <v>25</v>
      </c>
      <c r="C84">
        <f t="shared" si="55"/>
        <v>1.0000049347900131</v>
      </c>
      <c r="D84">
        <f t="shared" si="56"/>
        <v>3.1415823146356795E-3</v>
      </c>
      <c r="F84">
        <f t="shared" si="57"/>
        <v>0.53996958271510886</v>
      </c>
      <c r="G84">
        <f t="shared" si="58"/>
        <v>0.3138948101837073</v>
      </c>
      <c r="H84">
        <f t="shared" si="59"/>
        <v>-2.8276978398162931</v>
      </c>
      <c r="J84">
        <f t="shared" si="60"/>
        <v>15</v>
      </c>
      <c r="M84">
        <f t="shared" si="61"/>
        <v>7.2596584108960527E-2</v>
      </c>
      <c r="N84">
        <f t="shared" si="62"/>
        <v>-1.5707963250000001</v>
      </c>
      <c r="O84">
        <f t="shared" si="63"/>
        <v>3.1465466584402924</v>
      </c>
      <c r="P84">
        <f t="shared" si="64"/>
        <v>1.2473788252763138</v>
      </c>
      <c r="Q84">
        <f t="shared" si="65"/>
        <v>2.1889947045935481</v>
      </c>
      <c r="R84">
        <f t="shared" si="66"/>
        <v>1.0963671905808248</v>
      </c>
      <c r="S84">
        <f t="shared" si="67"/>
        <v>0.99999484571792041</v>
      </c>
      <c r="T84">
        <f t="shared" si="68"/>
        <v>-3.210696655687541E-3</v>
      </c>
      <c r="U84">
        <f t="shared" si="69"/>
        <v>0.99869556938063375</v>
      </c>
      <c r="V84">
        <f t="shared" si="70"/>
        <v>-5.1082566652965955E-2</v>
      </c>
      <c r="X84">
        <f t="shared" si="87"/>
        <v>12.137773125397846</v>
      </c>
      <c r="Y84">
        <f t="shared" si="71"/>
        <v>-120.65917247150772</v>
      </c>
      <c r="Z84">
        <f t="shared" si="88"/>
        <v>59.340827528492284</v>
      </c>
      <c r="AC84">
        <v>1</v>
      </c>
      <c r="AD84">
        <f t="shared" si="72"/>
        <v>2.9834134600725002</v>
      </c>
      <c r="AE84">
        <f t="shared" si="73"/>
        <v>-3.1867077313454445E-5</v>
      </c>
      <c r="AF84">
        <f t="shared" si="74"/>
        <v>6.2329198176000011E-4</v>
      </c>
      <c r="AG84">
        <f t="shared" si="89"/>
        <v>4692.2494777859611</v>
      </c>
      <c r="AH84">
        <f t="shared" si="90"/>
        <v>-1844.2853598672632</v>
      </c>
      <c r="AJ84">
        <f t="shared" si="75"/>
        <v>22100</v>
      </c>
      <c r="AK84">
        <f t="shared" si="76"/>
        <v>70.956639911430017</v>
      </c>
      <c r="AL84">
        <v>1</v>
      </c>
      <c r="AM84">
        <f t="shared" si="77"/>
        <v>1.9472282395083</v>
      </c>
      <c r="AN84">
        <f t="shared" si="91"/>
        <v>4640.9789647695843</v>
      </c>
      <c r="AO84">
        <f t="shared" si="92"/>
        <v>-8966.0886592519018</v>
      </c>
      <c r="AQ84">
        <f t="shared" si="78"/>
        <v>3.9984006397441023</v>
      </c>
      <c r="AR84">
        <f t="shared" si="79"/>
        <v>-199.92003198720511</v>
      </c>
      <c r="AT84">
        <f t="shared" si="52"/>
        <v>-349948.09482437902</v>
      </c>
      <c r="AU84">
        <f t="shared" si="53"/>
        <v>-945448.85745367967</v>
      </c>
      <c r="AV84">
        <f t="shared" si="93"/>
        <v>-1.9252990609932947</v>
      </c>
      <c r="AW84">
        <f t="shared" si="94"/>
        <v>-1757734.1977649466</v>
      </c>
      <c r="AX84">
        <f t="shared" si="95"/>
        <v>-1040923.1520688507</v>
      </c>
      <c r="AY84">
        <f t="shared" si="103"/>
        <v>-2.6069311533928818</v>
      </c>
      <c r="BA84">
        <f t="shared" si="80"/>
        <v>0.49349969512872466</v>
      </c>
      <c r="BB84">
        <f t="shared" si="96"/>
        <v>-6.1342622258019226</v>
      </c>
      <c r="BC84">
        <f t="shared" si="97"/>
        <v>0.68163209239958711</v>
      </c>
      <c r="BD84">
        <f t="shared" si="81"/>
        <v>-140.94535788020585</v>
      </c>
      <c r="BF84">
        <f t="shared" si="82"/>
        <v>12.034991739482797</v>
      </c>
      <c r="BG84">
        <f t="shared" si="83"/>
        <v>-122.78051061724143</v>
      </c>
      <c r="BH84">
        <f t="shared" si="98"/>
        <v>57.219489382758567</v>
      </c>
      <c r="BI84">
        <f t="shared" si="99"/>
        <v>57.219489382758567</v>
      </c>
      <c r="BJ84">
        <f t="shared" si="84"/>
        <v>0</v>
      </c>
      <c r="BK84">
        <f t="shared" si="100"/>
        <v>0</v>
      </c>
      <c r="BM84">
        <f t="shared" si="101"/>
        <v>18.169253965284721</v>
      </c>
      <c r="BN84">
        <f t="shared" si="85"/>
        <v>-161.83515273703557</v>
      </c>
      <c r="BQ84" s="56">
        <f t="shared" si="102"/>
        <v>10.767698574483212</v>
      </c>
      <c r="BR84" s="59"/>
      <c r="BS84" s="59"/>
      <c r="BT84" s="59">
        <v>549.54100000000005</v>
      </c>
      <c r="BU84" s="59">
        <v>19.992000000000001</v>
      </c>
      <c r="BV84" s="59">
        <v>-264.47620000000001</v>
      </c>
      <c r="BW84" s="61"/>
      <c r="BY84" s="59"/>
      <c r="BZ84" s="59"/>
      <c r="CA84" s="59"/>
      <c r="CC84" s="59"/>
    </row>
    <row r="85" spans="1:81" x14ac:dyDescent="0.2">
      <c r="A85">
        <f t="shared" si="54"/>
        <v>25500</v>
      </c>
      <c r="B85">
        <f t="shared" si="86"/>
        <v>25.5</v>
      </c>
      <c r="C85">
        <f t="shared" si="55"/>
        <v>1.000005134155018</v>
      </c>
      <c r="D85">
        <f t="shared" si="56"/>
        <v>3.2044135350313241E-3</v>
      </c>
      <c r="F85">
        <f t="shared" si="57"/>
        <v>0.50971370491585599</v>
      </c>
      <c r="G85">
        <f t="shared" si="58"/>
        <v>0.3018570912805757</v>
      </c>
      <c r="H85">
        <f t="shared" si="59"/>
        <v>-2.8397355587194246</v>
      </c>
      <c r="J85">
        <f t="shared" si="60"/>
        <v>15</v>
      </c>
      <c r="M85">
        <f t="shared" si="61"/>
        <v>7.1173121675451506E-2</v>
      </c>
      <c r="N85">
        <f t="shared" si="62"/>
        <v>-1.5707963250000001</v>
      </c>
      <c r="O85">
        <f t="shared" si="63"/>
        <v>3.2031775490972927</v>
      </c>
      <c r="P85">
        <f t="shared" si="64"/>
        <v>1.2532989490860509</v>
      </c>
      <c r="Q85">
        <f t="shared" si="65"/>
        <v>2.2237091555630273</v>
      </c>
      <c r="R85">
        <f t="shared" si="66"/>
        <v>1.1043679054474811</v>
      </c>
      <c r="S85">
        <f t="shared" si="67"/>
        <v>0.99999463748659922</v>
      </c>
      <c r="T85">
        <f t="shared" si="68"/>
        <v>-3.2749101341723228E-3</v>
      </c>
      <c r="U85">
        <f t="shared" si="69"/>
        <v>0.99864297760660736</v>
      </c>
      <c r="V85">
        <f t="shared" si="70"/>
        <v>-5.2102388098868413E-2</v>
      </c>
      <c r="X85">
        <f t="shared" si="87"/>
        <v>11.75605467382004</v>
      </c>
      <c r="Y85">
        <f t="shared" si="71"/>
        <v>-120.60978831838757</v>
      </c>
      <c r="Z85">
        <f t="shared" si="88"/>
        <v>59.390211681612428</v>
      </c>
      <c r="AC85">
        <v>1</v>
      </c>
      <c r="AD85">
        <f t="shared" si="72"/>
        <v>3.04308172927395</v>
      </c>
      <c r="AE85">
        <f t="shared" si="73"/>
        <v>-3.3154507236918004E-5</v>
      </c>
      <c r="AF85">
        <f t="shared" si="74"/>
        <v>6.3575782139520015E-4</v>
      </c>
      <c r="AG85">
        <f t="shared" si="89"/>
        <v>4691.7552987104409</v>
      </c>
      <c r="AH85">
        <f t="shared" si="90"/>
        <v>-1817.5990858736575</v>
      </c>
      <c r="AJ85">
        <f t="shared" si="75"/>
        <v>22100</v>
      </c>
      <c r="AK85">
        <f t="shared" si="76"/>
        <v>72.375772709658605</v>
      </c>
      <c r="AL85">
        <v>1</v>
      </c>
      <c r="AM85">
        <f t="shared" si="77"/>
        <v>1.9861728042984659</v>
      </c>
      <c r="AN85">
        <f t="shared" si="91"/>
        <v>4498.3376658367961</v>
      </c>
      <c r="AO85">
        <f t="shared" si="92"/>
        <v>-8862.1001637268255</v>
      </c>
      <c r="AQ85">
        <f t="shared" si="78"/>
        <v>3.8431975403535743</v>
      </c>
      <c r="AR85">
        <f t="shared" si="79"/>
        <v>-196.0030745580323</v>
      </c>
      <c r="AT85">
        <f t="shared" si="52"/>
        <v>-338223.66672116105</v>
      </c>
      <c r="AU85">
        <f t="shared" si="53"/>
        <v>-926583.8559573642</v>
      </c>
      <c r="AV85">
        <f t="shared" si="93"/>
        <v>-1.9207907617454061</v>
      </c>
      <c r="AW85">
        <f t="shared" si="94"/>
        <v>-1703963.1715134734</v>
      </c>
      <c r="AX85">
        <f t="shared" si="95"/>
        <v>-991715.85375415348</v>
      </c>
      <c r="AY85">
        <f t="shared" si="103"/>
        <v>-2.6145095295108898</v>
      </c>
      <c r="BA85">
        <f t="shared" si="80"/>
        <v>0.5003099599013604</v>
      </c>
      <c r="BB85">
        <f t="shared" si="96"/>
        <v>-6.0152170265954314</v>
      </c>
      <c r="BC85">
        <f t="shared" si="97"/>
        <v>0.69371876776548369</v>
      </c>
      <c r="BD85">
        <f t="shared" si="81"/>
        <v>-140.25284239260395</v>
      </c>
      <c r="BF85">
        <f t="shared" si="82"/>
        <v>11.653178965685111</v>
      </c>
      <c r="BG85">
        <f t="shared" si="83"/>
        <v>-122.77410565478745</v>
      </c>
      <c r="BH85">
        <f t="shared" si="98"/>
        <v>57.225894345212552</v>
      </c>
      <c r="BI85">
        <f t="shared" si="99"/>
        <v>57.225894345212552</v>
      </c>
      <c r="BJ85">
        <f t="shared" si="84"/>
        <v>0</v>
      </c>
      <c r="BK85">
        <f t="shared" si="100"/>
        <v>0</v>
      </c>
      <c r="BM85">
        <f t="shared" si="101"/>
        <v>17.668395992280544</v>
      </c>
      <c r="BN85">
        <f t="shared" si="85"/>
        <v>-162.52126326218351</v>
      </c>
      <c r="BQ85" s="56">
        <f t="shared" si="102"/>
        <v>10.886743773689705</v>
      </c>
      <c r="BR85" s="59"/>
      <c r="BS85" s="59"/>
      <c r="BT85" s="59">
        <v>562.34100000000001</v>
      </c>
      <c r="BU85" s="59">
        <v>19.682300000000001</v>
      </c>
      <c r="BV85" s="59">
        <v>-264.60399999999998</v>
      </c>
      <c r="BW85" s="61"/>
      <c r="BY85" s="59"/>
      <c r="BZ85" s="59"/>
      <c r="CA85" s="59"/>
      <c r="CC85" s="59"/>
    </row>
    <row r="86" spans="1:81" x14ac:dyDescent="0.2">
      <c r="A86">
        <f t="shared" si="54"/>
        <v>26000</v>
      </c>
      <c r="B86">
        <f t="shared" si="86"/>
        <v>26</v>
      </c>
      <c r="C86">
        <f t="shared" si="55"/>
        <v>1.0000053374678035</v>
      </c>
      <c r="D86">
        <f t="shared" si="56"/>
        <v>3.2672447301263668E-3</v>
      </c>
      <c r="F86">
        <f t="shared" si="57"/>
        <v>0.48211627675586394</v>
      </c>
      <c r="G86">
        <f t="shared" si="58"/>
        <v>0.29079207764395543</v>
      </c>
      <c r="H86">
        <f t="shared" si="59"/>
        <v>-2.8508005723560448</v>
      </c>
      <c r="J86">
        <f t="shared" si="60"/>
        <v>15</v>
      </c>
      <c r="M86">
        <f t="shared" si="61"/>
        <v>6.9804407797077445E-2</v>
      </c>
      <c r="N86">
        <f t="shared" si="62"/>
        <v>-1.5707963250000001</v>
      </c>
      <c r="O86">
        <f t="shared" si="63"/>
        <v>3.259916801551705</v>
      </c>
      <c r="P86">
        <f t="shared" si="64"/>
        <v>1.2590131864388061</v>
      </c>
      <c r="Q86">
        <f t="shared" si="65"/>
        <v>2.2585615684732758</v>
      </c>
      <c r="R86">
        <f t="shared" si="66"/>
        <v>1.1121221820576042</v>
      </c>
      <c r="S86">
        <f t="shared" si="67"/>
        <v>0.99999442513201986</v>
      </c>
      <c r="T86">
        <f t="shared" si="68"/>
        <v>-3.3391235856496818E-3</v>
      </c>
      <c r="U86">
        <f t="shared" si="69"/>
        <v>0.99858935296733564</v>
      </c>
      <c r="V86">
        <f t="shared" si="70"/>
        <v>-5.3122101081474291E-2</v>
      </c>
      <c r="X86">
        <f t="shared" si="87"/>
        <v>11.391023568374788</v>
      </c>
      <c r="Y86">
        <f t="shared" si="71"/>
        <v>-120.53058234121913</v>
      </c>
      <c r="Z86">
        <f t="shared" si="88"/>
        <v>59.46941765878087</v>
      </c>
      <c r="AC86">
        <v>1</v>
      </c>
      <c r="AD86">
        <f t="shared" si="72"/>
        <v>3.1027499984753999</v>
      </c>
      <c r="AE86">
        <f t="shared" si="73"/>
        <v>-3.4467430822232327E-5</v>
      </c>
      <c r="AF86">
        <f t="shared" si="74"/>
        <v>6.4822366103040009E-4</v>
      </c>
      <c r="AG86">
        <f t="shared" si="89"/>
        <v>4691.2514411034517</v>
      </c>
      <c r="AH86">
        <f t="shared" si="90"/>
        <v>-1792.1212296837932</v>
      </c>
      <c r="AJ86">
        <f t="shared" si="75"/>
        <v>22100</v>
      </c>
      <c r="AK86">
        <f t="shared" si="76"/>
        <v>73.794905507887208</v>
      </c>
      <c r="AL86">
        <v>1</v>
      </c>
      <c r="AM86">
        <f t="shared" si="77"/>
        <v>2.0251173690886319</v>
      </c>
      <c r="AN86">
        <f t="shared" si="91"/>
        <v>4361.6948855851206</v>
      </c>
      <c r="AO86">
        <f t="shared" si="92"/>
        <v>-8759.1491659555941</v>
      </c>
      <c r="AQ86">
        <f t="shared" si="78"/>
        <v>3.6968576709796674</v>
      </c>
      <c r="AR86">
        <f t="shared" si="79"/>
        <v>-192.2365988909427</v>
      </c>
      <c r="AT86">
        <f t="shared" ref="AT86:AT149" si="104">-AR86*AH86+AG86*AQ86</f>
        <v>-327168.40111812862</v>
      </c>
      <c r="AU86">
        <f t="shared" ref="AU86:AU149" si="105">AQ86*AH86+AG86*AR86</f>
        <v>-908455.43869524321</v>
      </c>
      <c r="AV86">
        <f t="shared" si="93"/>
        <v>-1.9164731691327541</v>
      </c>
      <c r="AW86">
        <f t="shared" si="94"/>
        <v>-1652399.6710084882</v>
      </c>
      <c r="AX86">
        <f t="shared" si="95"/>
        <v>-945587.98193053971</v>
      </c>
      <c r="AY86">
        <f t="shared" si="103"/>
        <v>-2.6218264927287782</v>
      </c>
      <c r="BA86">
        <f t="shared" si="80"/>
        <v>0.50717426525703591</v>
      </c>
      <c r="BB86">
        <f t="shared" si="96"/>
        <v>-5.8968558257288546</v>
      </c>
      <c r="BC86">
        <f t="shared" si="97"/>
        <v>0.7053533235960241</v>
      </c>
      <c r="BD86">
        <f t="shared" si="81"/>
        <v>-139.58623144624295</v>
      </c>
      <c r="BF86">
        <f t="shared" si="82"/>
        <v>11.288051595356638</v>
      </c>
      <c r="BG86">
        <f t="shared" si="83"/>
        <v>-122.73787332847908</v>
      </c>
      <c r="BH86">
        <f t="shared" si="98"/>
        <v>57.262126671520917</v>
      </c>
      <c r="BI86">
        <f t="shared" si="99"/>
        <v>57.262126671520917</v>
      </c>
      <c r="BJ86">
        <f t="shared" si="84"/>
        <v>0</v>
      </c>
      <c r="BK86">
        <f t="shared" si="100"/>
        <v>0</v>
      </c>
      <c r="BM86">
        <f t="shared" si="101"/>
        <v>17.184907421085494</v>
      </c>
      <c r="BN86">
        <f t="shared" si="85"/>
        <v>-163.15164188223616</v>
      </c>
      <c r="BQ86" s="56">
        <f t="shared" si="102"/>
        <v>11.005104974556282</v>
      </c>
      <c r="BR86" s="59"/>
      <c r="BS86" s="59"/>
      <c r="BT86" s="59">
        <v>575.44000000000005</v>
      </c>
      <c r="BU86" s="59">
        <v>19.596</v>
      </c>
      <c r="BV86" s="59">
        <v>-264.9076</v>
      </c>
      <c r="BW86" s="61"/>
      <c r="BY86" s="59"/>
      <c r="BZ86" s="59"/>
      <c r="CA86" s="59"/>
      <c r="CC86" s="59"/>
    </row>
    <row r="87" spans="1:81" x14ac:dyDescent="0.2">
      <c r="A87">
        <f t="shared" si="54"/>
        <v>26500</v>
      </c>
      <c r="B87">
        <f t="shared" si="86"/>
        <v>26.5</v>
      </c>
      <c r="C87">
        <f t="shared" si="55"/>
        <v>1.0000055447283678</v>
      </c>
      <c r="D87">
        <f t="shared" si="56"/>
        <v>3.3300758994247379E-3</v>
      </c>
      <c r="F87">
        <f t="shared" si="57"/>
        <v>0.45686202914347607</v>
      </c>
      <c r="G87">
        <f t="shared" si="58"/>
        <v>0.28058464181755594</v>
      </c>
      <c r="H87">
        <f t="shared" si="59"/>
        <v>-2.8610080081824441</v>
      </c>
      <c r="J87">
        <f t="shared" si="60"/>
        <v>15</v>
      </c>
      <c r="M87">
        <f t="shared" si="61"/>
        <v>6.8487343499019374E-2</v>
      </c>
      <c r="N87">
        <f t="shared" si="62"/>
        <v>-1.5707963250000001</v>
      </c>
      <c r="O87">
        <f t="shared" si="63"/>
        <v>3.316758854625439</v>
      </c>
      <c r="P87">
        <f t="shared" si="64"/>
        <v>1.2645317396093256</v>
      </c>
      <c r="Q87">
        <f t="shared" si="65"/>
        <v>2.2935456539793324</v>
      </c>
      <c r="R87">
        <f t="shared" si="66"/>
        <v>1.1196403430758393</v>
      </c>
      <c r="S87">
        <f t="shared" si="67"/>
        <v>0.99999420865418953</v>
      </c>
      <c r="T87">
        <f t="shared" si="68"/>
        <v>-3.4033370095900846E-3</v>
      </c>
      <c r="U87">
        <f t="shared" si="69"/>
        <v>0.99853469596372701</v>
      </c>
      <c r="V87">
        <f t="shared" si="70"/>
        <v>-5.4141703497803964E-2</v>
      </c>
      <c r="X87">
        <f t="shared" si="87"/>
        <v>11.041419675110555</v>
      </c>
      <c r="Y87">
        <f t="shared" si="71"/>
        <v>-120.4269747444643</v>
      </c>
      <c r="Z87">
        <f t="shared" si="88"/>
        <v>59.573025255535697</v>
      </c>
      <c r="AC87">
        <v>1</v>
      </c>
      <c r="AD87">
        <f t="shared" si="72"/>
        <v>3.1624182676768502</v>
      </c>
      <c r="AE87">
        <f t="shared" si="73"/>
        <v>-3.5805848069397416E-5</v>
      </c>
      <c r="AF87">
        <f t="shared" si="74"/>
        <v>6.6068950066560013E-4</v>
      </c>
      <c r="AG87">
        <f t="shared" si="89"/>
        <v>4690.7379112345616</v>
      </c>
      <c r="AH87">
        <f t="shared" si="90"/>
        <v>-1767.7832746038655</v>
      </c>
      <c r="AJ87">
        <f t="shared" si="75"/>
        <v>22100</v>
      </c>
      <c r="AK87">
        <f t="shared" si="76"/>
        <v>75.21403830611581</v>
      </c>
      <c r="AL87">
        <v>1</v>
      </c>
      <c r="AM87">
        <f t="shared" si="77"/>
        <v>2.064061933878798</v>
      </c>
      <c r="AN87">
        <f t="shared" si="91"/>
        <v>4230.7525889289527</v>
      </c>
      <c r="AO87">
        <f t="shared" si="92"/>
        <v>-8657.3213321613111</v>
      </c>
      <c r="AQ87">
        <f t="shared" si="78"/>
        <v>3.5587188612099645</v>
      </c>
      <c r="AR87">
        <f t="shared" si="79"/>
        <v>-188.61209964412811</v>
      </c>
      <c r="AT87">
        <f t="shared" si="104"/>
        <v>-316732.2976611043</v>
      </c>
      <c r="AU87">
        <f t="shared" si="105"/>
        <v>-891020.97000012675</v>
      </c>
      <c r="AV87">
        <f t="shared" si="93"/>
        <v>-1.9123369314566008</v>
      </c>
      <c r="AW87">
        <f t="shared" si="94"/>
        <v>-1602939.1160936267</v>
      </c>
      <c r="AX87">
        <f t="shared" si="95"/>
        <v>-902307.47281614423</v>
      </c>
      <c r="AY87">
        <f t="shared" si="103"/>
        <v>-2.6288932079671516</v>
      </c>
      <c r="BA87">
        <f t="shared" si="80"/>
        <v>0.51408951106838197</v>
      </c>
      <c r="BB87">
        <f t="shared" si="96"/>
        <v>-5.7792251384380826</v>
      </c>
      <c r="BC87">
        <f t="shared" si="97"/>
        <v>0.71655627651055087</v>
      </c>
      <c r="BD87">
        <f t="shared" si="81"/>
        <v>-138.94434952542332</v>
      </c>
      <c r="BF87">
        <f t="shared" si="82"/>
        <v>10.938349490239823</v>
      </c>
      <c r="BG87">
        <f t="shared" si="83"/>
        <v>-122.67723444000427</v>
      </c>
      <c r="BH87">
        <f t="shared" si="98"/>
        <v>57.32276555999573</v>
      </c>
      <c r="BI87">
        <f t="shared" si="99"/>
        <v>57.32276555999573</v>
      </c>
      <c r="BJ87">
        <f t="shared" si="84"/>
        <v>0</v>
      </c>
      <c r="BK87">
        <f t="shared" si="100"/>
        <v>0</v>
      </c>
      <c r="BM87">
        <f t="shared" si="101"/>
        <v>16.717574628677905</v>
      </c>
      <c r="BN87">
        <f t="shared" si="85"/>
        <v>-163.73288491458098</v>
      </c>
      <c r="BQ87" s="56">
        <f t="shared" si="102"/>
        <v>11.122735661847054</v>
      </c>
      <c r="BR87" s="59"/>
      <c r="BS87" s="59"/>
      <c r="BT87" s="59">
        <v>588.84400000000005</v>
      </c>
      <c r="BU87" s="59">
        <v>19.373200000000001</v>
      </c>
      <c r="BV87" s="59">
        <v>-263.88170000000002</v>
      </c>
      <c r="BW87" s="61"/>
      <c r="BY87" s="59"/>
      <c r="BZ87" s="59"/>
      <c r="CA87" s="59"/>
      <c r="CC87" s="59"/>
    </row>
    <row r="88" spans="1:81" x14ac:dyDescent="0.2">
      <c r="A88">
        <f t="shared" si="54"/>
        <v>27000</v>
      </c>
      <c r="B88">
        <f t="shared" si="86"/>
        <v>27</v>
      </c>
      <c r="C88">
        <f t="shared" si="55"/>
        <v>1.0000057559367082</v>
      </c>
      <c r="D88">
        <f t="shared" si="56"/>
        <v>3.3929070424303701E-3</v>
      </c>
      <c r="F88">
        <f t="shared" si="57"/>
        <v>0.43368191167136194</v>
      </c>
      <c r="G88">
        <f t="shared" si="58"/>
        <v>0.27113701535304541</v>
      </c>
      <c r="H88">
        <f t="shared" si="59"/>
        <v>-2.8704556346469547</v>
      </c>
      <c r="J88">
        <f t="shared" si="60"/>
        <v>15</v>
      </c>
      <c r="M88">
        <f t="shared" si="61"/>
        <v>6.7219059360148645E-2</v>
      </c>
      <c r="N88">
        <f t="shared" si="62"/>
        <v>-1.5707963250000001</v>
      </c>
      <c r="O88">
        <f t="shared" si="63"/>
        <v>3.3736985121869445</v>
      </c>
      <c r="P88">
        <f t="shared" si="64"/>
        <v>1.2698641716806567</v>
      </c>
      <c r="Q88">
        <f t="shared" si="65"/>
        <v>2.3286554776187685</v>
      </c>
      <c r="R88">
        <f t="shared" si="66"/>
        <v>1.1269321989211711</v>
      </c>
      <c r="S88">
        <f t="shared" si="67"/>
        <v>0.99999398805311679</v>
      </c>
      <c r="T88">
        <f t="shared" si="68"/>
        <v>-3.4675504054639972E-3</v>
      </c>
      <c r="U88">
        <f t="shared" si="69"/>
        <v>0.99847900710618487</v>
      </c>
      <c r="V88">
        <f t="shared" si="70"/>
        <v>-5.5161193246253383E-2</v>
      </c>
      <c r="X88">
        <f t="shared" si="87"/>
        <v>10.70610670154837</v>
      </c>
      <c r="Y88">
        <f t="shared" si="71"/>
        <v>-120.30345710727154</v>
      </c>
      <c r="Z88">
        <f t="shared" si="88"/>
        <v>59.696542892728459</v>
      </c>
      <c r="AC88">
        <v>1</v>
      </c>
      <c r="AD88">
        <f t="shared" si="72"/>
        <v>3.2220865368783005</v>
      </c>
      <c r="AE88">
        <f t="shared" si="73"/>
        <v>-3.7169758978413256E-5</v>
      </c>
      <c r="AF88">
        <f t="shared" si="74"/>
        <v>6.7315534030080017E-4</v>
      </c>
      <c r="AG88">
        <f t="shared" si="89"/>
        <v>4690.2147154916065</v>
      </c>
      <c r="AH88">
        <f t="shared" si="90"/>
        <v>-1744.5217771087987</v>
      </c>
      <c r="AJ88">
        <f t="shared" si="75"/>
        <v>22100</v>
      </c>
      <c r="AK88">
        <f t="shared" si="76"/>
        <v>76.633171104344399</v>
      </c>
      <c r="AL88">
        <v>1</v>
      </c>
      <c r="AM88">
        <f t="shared" si="77"/>
        <v>2.1030064986689641</v>
      </c>
      <c r="AN88">
        <f t="shared" si="91"/>
        <v>4105.2282852809476</v>
      </c>
      <c r="AO88">
        <f t="shared" si="92"/>
        <v>-8556.6885913611368</v>
      </c>
      <c r="AQ88">
        <f t="shared" si="78"/>
        <v>3.4281796366129584</v>
      </c>
      <c r="AR88">
        <f t="shared" si="79"/>
        <v>-185.12170037709976</v>
      </c>
      <c r="AT88">
        <f t="shared" si="104"/>
        <v>-306869.93914426985</v>
      </c>
      <c r="AU88">
        <f t="shared" si="105"/>
        <v>-874241.05729741359</v>
      </c>
      <c r="AV88">
        <f t="shared" si="93"/>
        <v>-1.9083732730873808</v>
      </c>
      <c r="AW88">
        <f t="shared" si="94"/>
        <v>-1555481.7796466465</v>
      </c>
      <c r="AX88">
        <f t="shared" si="95"/>
        <v>-861662.39800194674</v>
      </c>
      <c r="AY88">
        <f t="shared" si="103"/>
        <v>-2.6357202654609178</v>
      </c>
      <c r="BA88">
        <f t="shared" si="80"/>
        <v>0.5210528194148748</v>
      </c>
      <c r="BB88">
        <f t="shared" si="96"/>
        <v>-5.6623649959020463</v>
      </c>
      <c r="BC88">
        <f t="shared" si="97"/>
        <v>0.72734699237353695</v>
      </c>
      <c r="BD88">
        <f t="shared" si="81"/>
        <v>-138.32608704784286</v>
      </c>
      <c r="BF88">
        <f t="shared" si="82"/>
        <v>10.602936353465321</v>
      </c>
      <c r="BG88">
        <f t="shared" si="83"/>
        <v>-122.59668112655461</v>
      </c>
      <c r="BH88">
        <f t="shared" si="98"/>
        <v>57.403318873445386</v>
      </c>
      <c r="BI88">
        <f t="shared" si="99"/>
        <v>57.403318873445386</v>
      </c>
      <c r="BJ88">
        <f t="shared" si="84"/>
        <v>0</v>
      </c>
      <c r="BK88">
        <f t="shared" si="100"/>
        <v>0</v>
      </c>
      <c r="BM88">
        <f t="shared" si="101"/>
        <v>16.265301349367366</v>
      </c>
      <c r="BN88">
        <f t="shared" si="85"/>
        <v>-164.27059407871175</v>
      </c>
      <c r="BQ88" s="56">
        <f t="shared" si="102"/>
        <v>11.239595804383091</v>
      </c>
      <c r="BR88" s="59"/>
      <c r="BS88" s="59"/>
      <c r="BT88" s="59">
        <v>602.55999999999995</v>
      </c>
      <c r="BU88" s="59">
        <v>19.198</v>
      </c>
      <c r="BV88" s="59">
        <v>-264.00260000000003</v>
      </c>
      <c r="BW88" s="61"/>
      <c r="BY88" s="59"/>
      <c r="BZ88" s="59"/>
      <c r="CA88" s="59"/>
      <c r="CC88" s="59"/>
    </row>
    <row r="89" spans="1:81" x14ac:dyDescent="0.2">
      <c r="A89">
        <f t="shared" si="54"/>
        <v>27500</v>
      </c>
      <c r="B89">
        <f t="shared" si="86"/>
        <v>27.5</v>
      </c>
      <c r="C89">
        <f t="shared" si="55"/>
        <v>1.000005971092822</v>
      </c>
      <c r="D89">
        <f t="shared" si="56"/>
        <v>3.4557381586471959E-3</v>
      </c>
      <c r="F89">
        <f t="shared" si="57"/>
        <v>0.41234518088631023</v>
      </c>
      <c r="G89">
        <f t="shared" si="58"/>
        <v>0.26236567814111861</v>
      </c>
      <c r="H89">
        <f t="shared" si="59"/>
        <v>-2.8792269718588814</v>
      </c>
      <c r="J89">
        <f t="shared" si="60"/>
        <v>15</v>
      </c>
      <c r="M89">
        <f t="shared" si="61"/>
        <v>6.5996894644509571E-2</v>
      </c>
      <c r="N89">
        <f t="shared" si="62"/>
        <v>-1.5707963250000001</v>
      </c>
      <c r="O89">
        <f t="shared" si="63"/>
        <v>3.430730914430268</v>
      </c>
      <c r="P89">
        <f t="shared" si="64"/>
        <v>1.2750194538213488</v>
      </c>
      <c r="Q89">
        <f t="shared" si="65"/>
        <v>2.3638854367870068</v>
      </c>
      <c r="R89">
        <f t="shared" si="66"/>
        <v>1.1340070746043007</v>
      </c>
      <c r="S89">
        <f t="shared" si="67"/>
        <v>0.99999376332880952</v>
      </c>
      <c r="T89">
        <f t="shared" si="68"/>
        <v>-3.5317637727418894E-3</v>
      </c>
      <c r="U89">
        <f t="shared" si="69"/>
        <v>0.99842228691459489</v>
      </c>
      <c r="V89">
        <f t="shared" si="70"/>
        <v>-5.6180568226619758E-2</v>
      </c>
      <c r="X89">
        <f t="shared" si="87"/>
        <v>10.384058320803675</v>
      </c>
      <c r="Y89">
        <f t="shared" si="71"/>
        <v>-120.1637663652257</v>
      </c>
      <c r="Z89">
        <f t="shared" si="88"/>
        <v>59.836233634774302</v>
      </c>
      <c r="AC89">
        <v>1</v>
      </c>
      <c r="AD89">
        <f t="shared" si="72"/>
        <v>3.2817548060797499</v>
      </c>
      <c r="AE89">
        <f t="shared" si="73"/>
        <v>-3.8559163549279874E-5</v>
      </c>
      <c r="AF89">
        <f t="shared" si="74"/>
        <v>6.856211799360001E-4</v>
      </c>
      <c r="AG89">
        <f t="shared" si="89"/>
        <v>4689.6818603804995</v>
      </c>
      <c r="AH89">
        <f t="shared" si="90"/>
        <v>-1722.2779056486097</v>
      </c>
      <c r="AJ89">
        <f t="shared" si="75"/>
        <v>22100</v>
      </c>
      <c r="AK89">
        <f t="shared" si="76"/>
        <v>78.052303902573016</v>
      </c>
      <c r="AL89">
        <v>1</v>
      </c>
      <c r="AM89">
        <f t="shared" si="77"/>
        <v>2.1419510634591301</v>
      </c>
      <c r="AN89">
        <f t="shared" si="91"/>
        <v>3984.8543470044215</v>
      </c>
      <c r="AO89">
        <f t="shared" si="92"/>
        <v>-8457.3107023932844</v>
      </c>
      <c r="AQ89">
        <f t="shared" si="78"/>
        <v>3.3046926635822866</v>
      </c>
      <c r="AR89">
        <f t="shared" si="79"/>
        <v>-181.75809649702578</v>
      </c>
      <c r="AT89">
        <f t="shared" si="104"/>
        <v>-297539.99653104111</v>
      </c>
      <c r="AU89">
        <f t="shared" si="105"/>
        <v>-858079.24727883702</v>
      </c>
      <c r="AV89">
        <f t="shared" si="93"/>
        <v>-1.9045739529220858</v>
      </c>
      <c r="AW89">
        <f t="shared" si="94"/>
        <v>-1509932.6643360797</v>
      </c>
      <c r="AX89">
        <f t="shared" si="95"/>
        <v>-823459.00879567862</v>
      </c>
      <c r="AY89">
        <f t="shared" si="103"/>
        <v>-2.6423177132693998</v>
      </c>
      <c r="BA89">
        <f t="shared" si="80"/>
        <v>0.52806151472042639</v>
      </c>
      <c r="BB89">
        <f t="shared" si="96"/>
        <v>-5.5463096573725821</v>
      </c>
      <c r="BC89">
        <f t="shared" si="97"/>
        <v>0.73774376034731404</v>
      </c>
      <c r="BD89">
        <f t="shared" si="81"/>
        <v>-137.73039612168799</v>
      </c>
      <c r="BF89">
        <f t="shared" si="82"/>
        <v>10.280785853674381</v>
      </c>
      <c r="BG89">
        <f t="shared" si="83"/>
        <v>-122.499950846118</v>
      </c>
      <c r="BH89">
        <f t="shared" si="98"/>
        <v>57.500049153882003</v>
      </c>
      <c r="BI89">
        <f t="shared" si="99"/>
        <v>57.500049153882003</v>
      </c>
      <c r="BJ89">
        <f t="shared" si="84"/>
        <v>0</v>
      </c>
      <c r="BK89">
        <f t="shared" si="100"/>
        <v>0</v>
      </c>
      <c r="BM89">
        <f t="shared" si="101"/>
        <v>15.827095511046963</v>
      </c>
      <c r="BN89">
        <f t="shared" si="85"/>
        <v>-164.76955472443001</v>
      </c>
      <c r="BQ89" s="56">
        <f t="shared" si="102"/>
        <v>11.355651142912555</v>
      </c>
      <c r="BR89" s="59"/>
      <c r="BS89" s="59"/>
      <c r="BT89" s="59">
        <v>616.59500000000003</v>
      </c>
      <c r="BU89" s="59">
        <v>18.983699999999999</v>
      </c>
      <c r="BV89" s="59">
        <v>-264.13310000000001</v>
      </c>
      <c r="BW89" s="61"/>
      <c r="BY89" s="59"/>
      <c r="BZ89" s="59"/>
      <c r="CA89" s="59"/>
      <c r="CC89" s="59"/>
    </row>
    <row r="90" spans="1:81" x14ac:dyDescent="0.2">
      <c r="A90">
        <f t="shared" si="54"/>
        <v>28000</v>
      </c>
      <c r="B90">
        <f t="shared" si="86"/>
        <v>28</v>
      </c>
      <c r="C90">
        <f t="shared" si="55"/>
        <v>1.000006190196707</v>
      </c>
      <c r="D90">
        <f t="shared" si="56"/>
        <v>3.5185692475791508E-3</v>
      </c>
      <c r="F90">
        <f t="shared" si="57"/>
        <v>0.39265300726844254</v>
      </c>
      <c r="G90">
        <f t="shared" si="58"/>
        <v>0.25419888339711216</v>
      </c>
      <c r="H90">
        <f t="shared" si="59"/>
        <v>-2.8873937666028882</v>
      </c>
      <c r="J90">
        <f t="shared" si="60"/>
        <v>15</v>
      </c>
      <c r="M90">
        <f t="shared" si="61"/>
        <v>6.481837866871476E-2</v>
      </c>
      <c r="N90">
        <f t="shared" si="62"/>
        <v>-1.5707963250000001</v>
      </c>
      <c r="O90">
        <f t="shared" si="63"/>
        <v>3.487851511750705</v>
      </c>
      <c r="P90">
        <f t="shared" si="64"/>
        <v>1.2800060086299567</v>
      </c>
      <c r="Q90">
        <f t="shared" si="65"/>
        <v>2.3992302393302927</v>
      </c>
      <c r="R90">
        <f t="shared" si="66"/>
        <v>1.1408738353578076</v>
      </c>
      <c r="S90">
        <f t="shared" si="67"/>
        <v>0.99999353448127626</v>
      </c>
      <c r="T90">
        <f t="shared" si="68"/>
        <v>-3.5959771108942319E-3</v>
      </c>
      <c r="U90">
        <f t="shared" si="69"/>
        <v>0.99836453591831198</v>
      </c>
      <c r="V90">
        <f t="shared" si="70"/>
        <v>-5.7199826340127165E-2</v>
      </c>
      <c r="X90">
        <f t="shared" si="87"/>
        <v>10.074345811814741</v>
      </c>
      <c r="Y90">
        <f t="shared" si="71"/>
        <v>-120.0110226662715</v>
      </c>
      <c r="Z90">
        <f t="shared" si="88"/>
        <v>59.988977333728499</v>
      </c>
      <c r="AC90">
        <v>1</v>
      </c>
      <c r="AD90">
        <f t="shared" si="72"/>
        <v>3.3414230752811998</v>
      </c>
      <c r="AE90">
        <f t="shared" si="73"/>
        <v>-3.997406178199725E-5</v>
      </c>
      <c r="AF90">
        <f t="shared" si="74"/>
        <v>6.9808701957120014E-4</v>
      </c>
      <c r="AG90">
        <f t="shared" si="89"/>
        <v>4689.1393525250223</v>
      </c>
      <c r="AH90">
        <f t="shared" si="90"/>
        <v>-1700.9970288684315</v>
      </c>
      <c r="AJ90">
        <f t="shared" si="75"/>
        <v>22100</v>
      </c>
      <c r="AK90">
        <f t="shared" si="76"/>
        <v>79.471436700801604</v>
      </c>
      <c r="AL90">
        <v>1</v>
      </c>
      <c r="AM90">
        <f t="shared" si="77"/>
        <v>2.1808956282492962</v>
      </c>
      <c r="AN90">
        <f t="shared" si="91"/>
        <v>3869.3773245921984</v>
      </c>
      <c r="AO90">
        <f t="shared" si="92"/>
        <v>-8359.2366545492805</v>
      </c>
      <c r="AQ90">
        <f t="shared" si="78"/>
        <v>3.1877590054191902</v>
      </c>
      <c r="AR90">
        <f t="shared" si="79"/>
        <v>-178.51450430347467</v>
      </c>
      <c r="AT90">
        <f t="shared" si="104"/>
        <v>-288704.79523145407</v>
      </c>
      <c r="AU90">
        <f t="shared" si="105"/>
        <v>-842501.75572288712</v>
      </c>
      <c r="AV90">
        <f t="shared" si="93"/>
        <v>-1.9009312261604112</v>
      </c>
      <c r="AW90">
        <f t="shared" si="94"/>
        <v>-1466201.3594082824</v>
      </c>
      <c r="AX90">
        <f t="shared" si="95"/>
        <v>-787519.9891638218</v>
      </c>
      <c r="AY90">
        <f t="shared" si="103"/>
        <v>-2.6486950879719231</v>
      </c>
      <c r="BA90">
        <f t="shared" si="80"/>
        <v>0.53511310599841666</v>
      </c>
      <c r="BB90">
        <f t="shared" si="96"/>
        <v>-5.4310882429671921</v>
      </c>
      <c r="BC90">
        <f t="shared" si="97"/>
        <v>0.74776386181151189</v>
      </c>
      <c r="BD90">
        <f t="shared" si="81"/>
        <v>-137.15628659684057</v>
      </c>
      <c r="BF90">
        <f t="shared" si="82"/>
        <v>9.9709692652477102</v>
      </c>
      <c r="BG90">
        <f t="shared" si="83"/>
        <v>-122.39016423656436</v>
      </c>
      <c r="BH90">
        <f t="shared" si="98"/>
        <v>57.60983576343564</v>
      </c>
      <c r="BI90">
        <f t="shared" si="99"/>
        <v>57.60983576343564</v>
      </c>
      <c r="BJ90">
        <f t="shared" si="84"/>
        <v>0</v>
      </c>
      <c r="BK90">
        <f t="shared" si="100"/>
        <v>0</v>
      </c>
      <c r="BM90">
        <f t="shared" si="101"/>
        <v>15.402057508214904</v>
      </c>
      <c r="BN90">
        <f t="shared" si="85"/>
        <v>-165.2338776397238</v>
      </c>
      <c r="BQ90" s="56">
        <f t="shared" si="102"/>
        <v>11.470872557317943</v>
      </c>
      <c r="BR90" s="59"/>
      <c r="BS90" s="59"/>
      <c r="BT90" s="59">
        <v>630.95699999999999</v>
      </c>
      <c r="BU90" s="59">
        <v>18.802900000000001</v>
      </c>
      <c r="BV90" s="59">
        <v>-263.74850000000004</v>
      </c>
      <c r="BW90" s="61"/>
      <c r="BY90" s="59"/>
      <c r="BZ90" s="59"/>
      <c r="CA90" s="59"/>
      <c r="CC90" s="59"/>
    </row>
    <row r="91" spans="1:81" x14ac:dyDescent="0.2">
      <c r="A91">
        <f t="shared" si="54"/>
        <v>28500</v>
      </c>
      <c r="B91">
        <f t="shared" si="86"/>
        <v>28.5</v>
      </c>
      <c r="C91">
        <f t="shared" si="55"/>
        <v>1.0000064132483604</v>
      </c>
      <c r="D91">
        <f t="shared" si="56"/>
        <v>3.5814003087301688E-3</v>
      </c>
      <c r="F91">
        <f t="shared" si="57"/>
        <v>0.37443328432709239</v>
      </c>
      <c r="G91">
        <f t="shared" si="58"/>
        <v>0.24657467423982471</v>
      </c>
      <c r="H91">
        <f t="shared" si="59"/>
        <v>-2.8950179757601755</v>
      </c>
      <c r="J91">
        <f t="shared" si="60"/>
        <v>15</v>
      </c>
      <c r="M91">
        <f t="shared" si="61"/>
        <v>6.3681214130667144E-2</v>
      </c>
      <c r="N91">
        <f t="shared" si="62"/>
        <v>-1.5707963250000001</v>
      </c>
      <c r="O91">
        <f t="shared" si="63"/>
        <v>3.5450560409554606</v>
      </c>
      <c r="P91">
        <f t="shared" si="64"/>
        <v>1.2848317498993775</v>
      </c>
      <c r="Q91">
        <f t="shared" si="65"/>
        <v>2.4346848836417161</v>
      </c>
      <c r="R91">
        <f t="shared" si="66"/>
        <v>1.1475409110606527</v>
      </c>
      <c r="S91">
        <f t="shared" si="67"/>
        <v>0.99999330151052535</v>
      </c>
      <c r="T91">
        <f t="shared" si="68"/>
        <v>-3.6601904193914953E-3</v>
      </c>
      <c r="U91">
        <f t="shared" si="69"/>
        <v>0.99830575465614646</v>
      </c>
      <c r="V91">
        <f t="shared" si="70"/>
        <v>-5.8218965489452178E-2</v>
      </c>
      <c r="X91">
        <f t="shared" si="87"/>
        <v>9.7761271267382313</v>
      </c>
      <c r="Y91">
        <f t="shared" si="71"/>
        <v>-119.84783933462741</v>
      </c>
      <c r="Z91">
        <f t="shared" si="88"/>
        <v>60.152160665372591</v>
      </c>
      <c r="AC91">
        <v>1</v>
      </c>
      <c r="AD91">
        <f t="shared" si="72"/>
        <v>3.40109134448265</v>
      </c>
      <c r="AE91">
        <f t="shared" si="73"/>
        <v>-4.1414453676565391E-5</v>
      </c>
      <c r="AF91">
        <f t="shared" si="74"/>
        <v>7.1055285920640008E-4</v>
      </c>
      <c r="AG91">
        <f t="shared" si="89"/>
        <v>4688.5871986666234</v>
      </c>
      <c r="AH91">
        <f t="shared" si="90"/>
        <v>-1680.6283471738652</v>
      </c>
      <c r="AJ91">
        <f t="shared" si="75"/>
        <v>22100</v>
      </c>
      <c r="AK91">
        <f t="shared" si="76"/>
        <v>80.890569499030221</v>
      </c>
      <c r="AL91">
        <v>1</v>
      </c>
      <c r="AM91">
        <f t="shared" si="77"/>
        <v>2.2198401930394622</v>
      </c>
      <c r="AN91">
        <f t="shared" si="91"/>
        <v>3758.5572665585137</v>
      </c>
      <c r="AO91">
        <f t="shared" si="92"/>
        <v>-8262.5059186480939</v>
      </c>
      <c r="AQ91">
        <f t="shared" si="78"/>
        <v>3.0769230769230771</v>
      </c>
      <c r="AR91">
        <f t="shared" si="79"/>
        <v>-175.38461538461539</v>
      </c>
      <c r="AT91">
        <f t="shared" si="104"/>
        <v>-280329.93412382674</v>
      </c>
      <c r="AU91">
        <f t="shared" si="105"/>
        <v>-827477.22668052732</v>
      </c>
      <c r="AV91">
        <f t="shared" si="93"/>
        <v>-1.8974378091224655</v>
      </c>
      <c r="AW91">
        <f t="shared" si="94"/>
        <v>-1424201.8833075264</v>
      </c>
      <c r="AX91">
        <f t="shared" si="95"/>
        <v>-753682.89314614737</v>
      </c>
      <c r="AY91">
        <f t="shared" si="103"/>
        <v>-2.6548614436249598</v>
      </c>
      <c r="BA91">
        <f t="shared" si="80"/>
        <v>0.54220527094604154</v>
      </c>
      <c r="BB91">
        <f t="shared" si="96"/>
        <v>-5.3167252964661245</v>
      </c>
      <c r="BC91">
        <f t="shared" si="97"/>
        <v>0.75742363450249428</v>
      </c>
      <c r="BD91">
        <f t="shared" si="81"/>
        <v>-136.60282238995913</v>
      </c>
      <c r="BF91">
        <f t="shared" si="82"/>
        <v>9.6726445357014743</v>
      </c>
      <c r="BG91">
        <f t="shared" si="83"/>
        <v>-122.26993508238922</v>
      </c>
      <c r="BH91">
        <f t="shared" si="98"/>
        <v>57.730064917610775</v>
      </c>
      <c r="BI91">
        <f t="shared" si="99"/>
        <v>57.730064917610775</v>
      </c>
      <c r="BJ91">
        <f t="shared" si="84"/>
        <v>0</v>
      </c>
      <c r="BK91">
        <f t="shared" si="100"/>
        <v>0</v>
      </c>
      <c r="BM91">
        <f t="shared" si="101"/>
        <v>14.989369832167601</v>
      </c>
      <c r="BN91">
        <f t="shared" si="85"/>
        <v>-165.66711269243012</v>
      </c>
      <c r="BQ91" s="56">
        <f t="shared" si="102"/>
        <v>11.58523550381901</v>
      </c>
      <c r="BR91" s="59"/>
      <c r="BS91" s="59"/>
      <c r="BT91" s="59">
        <v>645.654</v>
      </c>
      <c r="BU91" s="59">
        <v>18.598600000000001</v>
      </c>
      <c r="BV91" s="59">
        <v>-263.7636</v>
      </c>
      <c r="BW91" s="61"/>
      <c r="BY91" s="59"/>
      <c r="BZ91" s="59"/>
      <c r="CA91" s="59"/>
      <c r="CC91" s="59"/>
    </row>
    <row r="92" spans="1:81" x14ac:dyDescent="0.2">
      <c r="A92">
        <f t="shared" si="54"/>
        <v>29000</v>
      </c>
      <c r="B92">
        <f t="shared" si="86"/>
        <v>29</v>
      </c>
      <c r="C92">
        <f t="shared" si="55"/>
        <v>1.0000066402477794</v>
      </c>
      <c r="D92">
        <f t="shared" si="56"/>
        <v>3.6442313416041889E-3</v>
      </c>
      <c r="F92">
        <f t="shared" si="57"/>
        <v>0.35753639278865601</v>
      </c>
      <c r="G92">
        <f t="shared" si="58"/>
        <v>0.23943928327865419</v>
      </c>
      <c r="H92">
        <f t="shared" si="59"/>
        <v>-2.9021533667213459</v>
      </c>
      <c r="J92">
        <f t="shared" si="60"/>
        <v>15</v>
      </c>
      <c r="M92">
        <f t="shared" si="61"/>
        <v>6.2583262162897016E-2</v>
      </c>
      <c r="N92">
        <f t="shared" si="62"/>
        <v>-1.5707963250000001</v>
      </c>
      <c r="O92">
        <f t="shared" si="63"/>
        <v>3.60234050357638</v>
      </c>
      <c r="P92">
        <f t="shared" si="64"/>
        <v>1.2895041191211725</v>
      </c>
      <c r="Q92">
        <f t="shared" si="65"/>
        <v>2.4702446401527629</v>
      </c>
      <c r="R92">
        <f t="shared" si="66"/>
        <v>1.1540163194710578</v>
      </c>
      <c r="S92">
        <f t="shared" si="67"/>
        <v>0.99999306441656532</v>
      </c>
      <c r="T92">
        <f t="shared" si="68"/>
        <v>-3.724403697704153E-3</v>
      </c>
      <c r="U92">
        <f t="shared" si="69"/>
        <v>0.99824594367634956</v>
      </c>
      <c r="V92">
        <f t="shared" si="70"/>
        <v>-5.9237983578749452E-2</v>
      </c>
      <c r="X92">
        <f t="shared" si="87"/>
        <v>9.4886372603808429</v>
      </c>
      <c r="Y92">
        <f t="shared" si="71"/>
        <v>-119.67641114500114</v>
      </c>
      <c r="Z92">
        <f t="shared" si="88"/>
        <v>60.32358885499886</v>
      </c>
      <c r="AC92">
        <v>1</v>
      </c>
      <c r="AD92">
        <f t="shared" si="72"/>
        <v>3.4607596136840999</v>
      </c>
      <c r="AE92">
        <f t="shared" si="73"/>
        <v>-4.2880339232984303E-5</v>
      </c>
      <c r="AF92">
        <f t="shared" si="74"/>
        <v>7.2301869884160012E-4</v>
      </c>
      <c r="AG92">
        <f t="shared" si="89"/>
        <v>4688.0254056642116</v>
      </c>
      <c r="AH92">
        <f t="shared" si="90"/>
        <v>-1661.1245624103178</v>
      </c>
      <c r="AJ92">
        <f t="shared" si="75"/>
        <v>22100</v>
      </c>
      <c r="AK92">
        <f t="shared" si="76"/>
        <v>82.309702297258809</v>
      </c>
      <c r="AL92">
        <v>1</v>
      </c>
      <c r="AM92">
        <f t="shared" si="77"/>
        <v>2.2587847578296278</v>
      </c>
      <c r="AN92">
        <f t="shared" si="91"/>
        <v>3652.1670502498951</v>
      </c>
      <c r="AO92">
        <f t="shared" si="92"/>
        <v>-8167.1495638547958</v>
      </c>
      <c r="AQ92">
        <f t="shared" si="78"/>
        <v>2.9717682020802378</v>
      </c>
      <c r="AR92">
        <f t="shared" si="79"/>
        <v>-172.3625557206538</v>
      </c>
      <c r="AT92">
        <f t="shared" si="104"/>
        <v>-272383.95011629781</v>
      </c>
      <c r="AU92">
        <f t="shared" si="105"/>
        <v>-812976.51735790365</v>
      </c>
      <c r="AV92">
        <f t="shared" si="93"/>
        <v>-1.8940868468528405</v>
      </c>
      <c r="AW92">
        <f t="shared" si="94"/>
        <v>-1383852.5168176885</v>
      </c>
      <c r="AX92">
        <f t="shared" si="95"/>
        <v>-721798.74562113348</v>
      </c>
      <c r="AY92">
        <f t="shared" si="103"/>
        <v>-2.6608253790591068</v>
      </c>
      <c r="BA92">
        <f t="shared" si="80"/>
        <v>0.54933584166557903</v>
      </c>
      <c r="BB92">
        <f t="shared" si="96"/>
        <v>-5.2032412862841966</v>
      </c>
      <c r="BC92">
        <f t="shared" si="97"/>
        <v>0.76673853220626631</v>
      </c>
      <c r="BD92">
        <f t="shared" si="81"/>
        <v>-136.06911806432703</v>
      </c>
      <c r="BF92">
        <f t="shared" si="82"/>
        <v>9.3850466551193428</v>
      </c>
      <c r="BG92">
        <f t="shared" si="83"/>
        <v>-122.14145859146493</v>
      </c>
      <c r="BH92">
        <f t="shared" si="98"/>
        <v>57.858541408535075</v>
      </c>
      <c r="BI92">
        <f t="shared" si="99"/>
        <v>57.858541408535075</v>
      </c>
      <c r="BJ92">
        <f t="shared" si="84"/>
        <v>0</v>
      </c>
      <c r="BK92">
        <f t="shared" si="100"/>
        <v>0</v>
      </c>
      <c r="BM92">
        <f t="shared" si="101"/>
        <v>14.588287941403539</v>
      </c>
      <c r="BN92">
        <f t="shared" si="85"/>
        <v>-166.07234052713787</v>
      </c>
      <c r="BQ92" s="56">
        <f t="shared" si="102"/>
        <v>11.698719514000938</v>
      </c>
      <c r="BR92" s="59"/>
      <c r="BS92" s="59"/>
      <c r="BT92" s="59">
        <v>660.69299999999998</v>
      </c>
      <c r="BU92" s="59">
        <v>18.468</v>
      </c>
      <c r="BV92" s="59">
        <v>-263.60980000000001</v>
      </c>
      <c r="BW92" s="61"/>
      <c r="BY92" s="59"/>
      <c r="BZ92" s="59"/>
      <c r="CA92" s="59"/>
      <c r="CC92" s="59"/>
    </row>
    <row r="93" spans="1:81" x14ac:dyDescent="0.2">
      <c r="A93">
        <f t="shared" si="54"/>
        <v>29500</v>
      </c>
      <c r="B93">
        <f t="shared" si="86"/>
        <v>29.5</v>
      </c>
      <c r="C93">
        <f t="shared" si="55"/>
        <v>1.0000068711949617</v>
      </c>
      <c r="D93">
        <f t="shared" si="56"/>
        <v>3.7070623457051487E-3</v>
      </c>
      <c r="F93">
        <f t="shared" si="57"/>
        <v>0.34183172685891572</v>
      </c>
      <c r="G93">
        <f t="shared" si="58"/>
        <v>0.23274583276069097</v>
      </c>
      <c r="H93">
        <f t="shared" si="59"/>
        <v>-2.9088468172393092</v>
      </c>
      <c r="J93">
        <f t="shared" si="60"/>
        <v>15</v>
      </c>
      <c r="M93">
        <f t="shared" si="61"/>
        <v>6.1522528905898759E-2</v>
      </c>
      <c r="N93">
        <f t="shared" si="62"/>
        <v>-1.5707963250000001</v>
      </c>
      <c r="O93">
        <f t="shared" si="63"/>
        <v>3.6597011460771003</v>
      </c>
      <c r="P93">
        <f t="shared" si="64"/>
        <v>1.2940301190204382</v>
      </c>
      <c r="Q93">
        <f t="shared" si="65"/>
        <v>2.5059050341197726</v>
      </c>
      <c r="R93">
        <f t="shared" si="66"/>
        <v>1.1603076882914094</v>
      </c>
      <c r="S93">
        <f t="shared" si="67"/>
        <v>0.9999928231994053</v>
      </c>
      <c r="T93">
        <f t="shared" si="68"/>
        <v>-3.7886169453026802E-3</v>
      </c>
      <c r="U93">
        <f t="shared" si="69"/>
        <v>0.99818510353659984</v>
      </c>
      <c r="V93">
        <f t="shared" si="70"/>
        <v>-6.0256878513677149E-2</v>
      </c>
      <c r="X93">
        <f t="shared" si="87"/>
        <v>9.211179785154906</v>
      </c>
      <c r="Y93">
        <f t="shared" si="71"/>
        <v>-119.4985856130433</v>
      </c>
      <c r="Z93">
        <f t="shared" si="88"/>
        <v>60.501414386956696</v>
      </c>
      <c r="AC93">
        <v>1</v>
      </c>
      <c r="AD93">
        <f t="shared" si="72"/>
        <v>3.5204278828855502</v>
      </c>
      <c r="AE93">
        <f t="shared" si="73"/>
        <v>-4.437171845125396E-5</v>
      </c>
      <c r="AF93">
        <f t="shared" si="74"/>
        <v>7.3548453847680016E-4</v>
      </c>
      <c r="AG93">
        <f t="shared" si="89"/>
        <v>4687.4539804939395</v>
      </c>
      <c r="AH93">
        <f t="shared" si="90"/>
        <v>-1642.4415811343274</v>
      </c>
      <c r="AJ93">
        <f t="shared" si="75"/>
        <v>22100</v>
      </c>
      <c r="AK93">
        <f t="shared" si="76"/>
        <v>83.728835095487412</v>
      </c>
      <c r="AL93">
        <v>1</v>
      </c>
      <c r="AM93">
        <f t="shared" si="77"/>
        <v>2.2977293226197943</v>
      </c>
      <c r="AN93">
        <f t="shared" si="91"/>
        <v>3549.9917283142163</v>
      </c>
      <c r="AO93">
        <f t="shared" si="92"/>
        <v>-8073.19125410981</v>
      </c>
      <c r="AQ93">
        <f t="shared" si="78"/>
        <v>2.8719126938541066</v>
      </c>
      <c r="AR93">
        <f t="shared" si="79"/>
        <v>-169.44284893739231</v>
      </c>
      <c r="AT93">
        <f t="shared" si="104"/>
        <v>-264838.02213219809</v>
      </c>
      <c r="AU93">
        <f t="shared" si="105"/>
        <v>-798972.50554358633</v>
      </c>
      <c r="AV93">
        <f t="shared" si="93"/>
        <v>-1.8908718832766271</v>
      </c>
      <c r="AW93">
        <f t="shared" si="94"/>
        <v>-1345075.6304930802</v>
      </c>
      <c r="AX93">
        <f t="shared" si="95"/>
        <v>-691730.78790233808</v>
      </c>
      <c r="AY93">
        <f t="shared" si="103"/>
        <v>-2.6665950635950919</v>
      </c>
      <c r="BA93">
        <f t="shared" si="80"/>
        <v>0.5565027918204104</v>
      </c>
      <c r="BB93">
        <f t="shared" si="96"/>
        <v>-5.0906530517729731</v>
      </c>
      <c r="BC93">
        <f t="shared" si="97"/>
        <v>0.77572318031846477</v>
      </c>
      <c r="BD93">
        <f t="shared" si="81"/>
        <v>-135.55433564649968</v>
      </c>
      <c r="BF93">
        <f t="shared" si="82"/>
        <v>9.1074791911084709</v>
      </c>
      <c r="BG93">
        <f t="shared" si="83"/>
        <v>-122.00658268777305</v>
      </c>
      <c r="BH93">
        <f t="shared" si="98"/>
        <v>57.993417312226953</v>
      </c>
      <c r="BI93">
        <f t="shared" si="99"/>
        <v>57.993417312226953</v>
      </c>
      <c r="BJ93">
        <f t="shared" si="84"/>
        <v>0</v>
      </c>
      <c r="BK93">
        <f t="shared" si="100"/>
        <v>0</v>
      </c>
      <c r="BM93">
        <f t="shared" si="101"/>
        <v>14.198132242881446</v>
      </c>
      <c r="BN93">
        <f t="shared" si="85"/>
        <v>-166.45224704127338</v>
      </c>
      <c r="BQ93" s="56">
        <f t="shared" si="102"/>
        <v>11.811307748512164</v>
      </c>
      <c r="BR93" s="59"/>
      <c r="BS93" s="59"/>
      <c r="BT93" s="59">
        <v>676.08299999999997</v>
      </c>
      <c r="BU93" s="59">
        <v>18.2744</v>
      </c>
      <c r="BV93" s="59">
        <v>-263.3252</v>
      </c>
      <c r="BW93" s="61"/>
      <c r="BY93" s="59"/>
      <c r="BZ93" s="59"/>
      <c r="CA93" s="59"/>
      <c r="CC93" s="59"/>
    </row>
    <row r="94" spans="1:81" x14ac:dyDescent="0.2">
      <c r="A94">
        <f t="shared" si="54"/>
        <v>30000</v>
      </c>
      <c r="B94">
        <f t="shared" si="86"/>
        <v>30</v>
      </c>
      <c r="C94">
        <f t="shared" si="55"/>
        <v>1.0000071060899043</v>
      </c>
      <c r="D94">
        <f t="shared" si="56"/>
        <v>3.7698933205369879E-3</v>
      </c>
      <c r="F94">
        <f t="shared" si="57"/>
        <v>0.32720483133724593</v>
      </c>
      <c r="G94">
        <f t="shared" si="58"/>
        <v>0.22645327221848333</v>
      </c>
      <c r="H94">
        <f t="shared" si="59"/>
        <v>-2.9151393777815171</v>
      </c>
      <c r="J94">
        <f t="shared" si="60"/>
        <v>15</v>
      </c>
      <c r="M94">
        <f t="shared" si="61"/>
        <v>6.0497153424133782E-2</v>
      </c>
      <c r="N94">
        <f t="shared" si="62"/>
        <v>-1.5707963250000001</v>
      </c>
      <c r="O94">
        <f t="shared" si="63"/>
        <v>3.7171344417693786</v>
      </c>
      <c r="P94">
        <f t="shared" si="64"/>
        <v>1.2984163443848118</v>
      </c>
      <c r="Q94">
        <f t="shared" si="65"/>
        <v>2.5416618296114013</v>
      </c>
      <c r="R94">
        <f t="shared" si="66"/>
        <v>1.1664222760961087</v>
      </c>
      <c r="S94">
        <f t="shared" si="67"/>
        <v>0.99999257785905415</v>
      </c>
      <c r="T94">
        <f t="shared" si="68"/>
        <v>-3.8528301616575526E-3</v>
      </c>
      <c r="U94">
        <f t="shared" si="69"/>
        <v>0.9981232348039889</v>
      </c>
      <c r="V94">
        <f t="shared" si="70"/>
        <v>-6.127564820142245E-2</v>
      </c>
      <c r="X94">
        <f t="shared" si="87"/>
        <v>8.9431194170423343</v>
      </c>
      <c r="Y94">
        <f t="shared" si="71"/>
        <v>-119.31592089819955</v>
      </c>
      <c r="Z94">
        <f t="shared" si="88"/>
        <v>60.68407910180045</v>
      </c>
      <c r="AC94">
        <v>1</v>
      </c>
      <c r="AD94">
        <f t="shared" si="72"/>
        <v>3.5800961520870005</v>
      </c>
      <c r="AE94">
        <f t="shared" si="73"/>
        <v>-4.5888591331374388E-5</v>
      </c>
      <c r="AF94">
        <f t="shared" si="74"/>
        <v>7.4795037811200009E-4</v>
      </c>
      <c r="AG94">
        <f t="shared" si="89"/>
        <v>4686.8729302489937</v>
      </c>
      <c r="AH94">
        <f t="shared" si="90"/>
        <v>-1624.5382475578199</v>
      </c>
      <c r="AJ94">
        <f t="shared" si="75"/>
        <v>22100</v>
      </c>
      <c r="AK94">
        <f t="shared" si="76"/>
        <v>85.147967893716014</v>
      </c>
      <c r="AL94">
        <v>1</v>
      </c>
      <c r="AM94">
        <f t="shared" si="77"/>
        <v>2.33667388740996</v>
      </c>
      <c r="AN94">
        <f t="shared" si="91"/>
        <v>3451.8278943643522</v>
      </c>
      <c r="AO94">
        <f t="shared" si="92"/>
        <v>-7980.6481367007709</v>
      </c>
      <c r="AQ94">
        <f t="shared" si="78"/>
        <v>2.7770063871146902</v>
      </c>
      <c r="AR94">
        <f t="shared" si="79"/>
        <v>-166.62038322688142</v>
      </c>
      <c r="AT94">
        <f t="shared" si="104"/>
        <v>-257665.7093119139</v>
      </c>
      <c r="AU94">
        <f t="shared" si="105"/>
        <v>-785439.91686336417</v>
      </c>
      <c r="AV94">
        <f t="shared" si="93"/>
        <v>-1.887786833692463</v>
      </c>
      <c r="AW94">
        <f t="shared" si="94"/>
        <v>-1307797.5093857269</v>
      </c>
      <c r="AX94">
        <f t="shared" si="95"/>
        <v>-663353.35190359445</v>
      </c>
      <c r="AY94">
        <f t="shared" si="103"/>
        <v>-2.6721782612578715</v>
      </c>
      <c r="BA94">
        <f t="shared" si="80"/>
        <v>0.56370422505930151</v>
      </c>
      <c r="BB94">
        <f t="shared" si="96"/>
        <v>-4.9789742011281239</v>
      </c>
      <c r="BC94">
        <f t="shared" si="97"/>
        <v>0.78439142756540847</v>
      </c>
      <c r="BD94">
        <f t="shared" si="81"/>
        <v>-135.05768166290639</v>
      </c>
      <c r="BF94">
        <f t="shared" si="82"/>
        <v>8.8393068547638016</v>
      </c>
      <c r="BG94">
        <f t="shared" si="83"/>
        <v>-121.86686591630615</v>
      </c>
      <c r="BH94">
        <f t="shared" si="98"/>
        <v>58.133134083693847</v>
      </c>
      <c r="BI94">
        <f t="shared" si="99"/>
        <v>58.133134083693847</v>
      </c>
      <c r="BJ94">
        <f t="shared" si="84"/>
        <v>0</v>
      </c>
      <c r="BK94">
        <f t="shared" si="100"/>
        <v>0</v>
      </c>
      <c r="BM94">
        <f t="shared" si="101"/>
        <v>13.818281055891926</v>
      </c>
      <c r="BN94">
        <f t="shared" si="85"/>
        <v>-166.80918425339976</v>
      </c>
      <c r="BQ94" s="56">
        <f t="shared" si="102"/>
        <v>11.922986599157014</v>
      </c>
      <c r="BR94" s="59"/>
      <c r="BS94" s="59"/>
      <c r="BT94" s="59">
        <v>691.83100000000002</v>
      </c>
      <c r="BU94" s="59">
        <v>18.092600000000001</v>
      </c>
      <c r="BV94" s="59">
        <v>-263.57819999999998</v>
      </c>
      <c r="BW94" s="61"/>
      <c r="BY94" s="59"/>
      <c r="BZ94" s="59"/>
      <c r="CA94" s="59"/>
      <c r="CC94" s="59"/>
    </row>
    <row r="95" spans="1:81" x14ac:dyDescent="0.2">
      <c r="A95">
        <f t="shared" si="54"/>
        <v>30500</v>
      </c>
      <c r="B95">
        <f t="shared" si="86"/>
        <v>30.5</v>
      </c>
      <c r="C95">
        <f t="shared" si="55"/>
        <v>1.0000073449326046</v>
      </c>
      <c r="D95">
        <f t="shared" si="56"/>
        <v>3.8327242656036472E-3</v>
      </c>
      <c r="F95">
        <f t="shared" si="57"/>
        <v>0.31355503069047269</v>
      </c>
      <c r="G95">
        <f t="shared" si="58"/>
        <v>0.22052550504445931</v>
      </c>
      <c r="H95">
        <f t="shared" si="59"/>
        <v>-2.9210671449555408</v>
      </c>
      <c r="J95">
        <f t="shared" si="60"/>
        <v>15</v>
      </c>
      <c r="M95">
        <f t="shared" si="61"/>
        <v>5.950539681062339E-2</v>
      </c>
      <c r="N95">
        <f t="shared" si="62"/>
        <v>-1.5707963250000001</v>
      </c>
      <c r="O95">
        <f t="shared" si="63"/>
        <v>3.7746370742731346</v>
      </c>
      <c r="P95">
        <f t="shared" si="64"/>
        <v>1.3026690104266654</v>
      </c>
      <c r="Q95">
        <f t="shared" si="65"/>
        <v>2.5775110146095832</v>
      </c>
      <c r="R95">
        <f t="shared" si="66"/>
        <v>1.1723669921586317</v>
      </c>
      <c r="S95">
        <f t="shared" si="67"/>
        <v>0.99999232839552066</v>
      </c>
      <c r="T95">
        <f t="shared" si="68"/>
        <v>-3.9170433462392476E-3</v>
      </c>
      <c r="U95">
        <f t="shared" si="69"/>
        <v>0.99806033805500627</v>
      </c>
      <c r="V95">
        <f t="shared" si="70"/>
        <v>-6.2294290550726973E-2</v>
      </c>
      <c r="X95">
        <f t="shared" si="87"/>
        <v>8.683875486802533</v>
      </c>
      <c r="Y95">
        <f t="shared" si="71"/>
        <v>-119.12973308627048</v>
      </c>
      <c r="Z95">
        <f t="shared" si="88"/>
        <v>60.870266913729523</v>
      </c>
      <c r="AC95">
        <v>1</v>
      </c>
      <c r="AD95">
        <f t="shared" si="72"/>
        <v>3.6397644212884499</v>
      </c>
      <c r="AE95">
        <f t="shared" si="73"/>
        <v>-4.7430957873345588E-5</v>
      </c>
      <c r="AF95">
        <f t="shared" si="74"/>
        <v>7.6041621774720013E-4</v>
      </c>
      <c r="AG95">
        <f t="shared" si="89"/>
        <v>4686.2822621393643</v>
      </c>
      <c r="AH95">
        <f t="shared" si="90"/>
        <v>-1607.3761027601904</v>
      </c>
      <c r="AJ95">
        <f t="shared" si="75"/>
        <v>22100</v>
      </c>
      <c r="AK95">
        <f t="shared" si="76"/>
        <v>86.567100691944603</v>
      </c>
      <c r="AL95">
        <v>1</v>
      </c>
      <c r="AM95">
        <f t="shared" si="77"/>
        <v>2.375618452200126</v>
      </c>
      <c r="AN95">
        <f t="shared" si="91"/>
        <v>3357.4830703910752</v>
      </c>
      <c r="AO95">
        <f t="shared" si="92"/>
        <v>-7889.5316342786282</v>
      </c>
      <c r="AQ95">
        <f t="shared" si="78"/>
        <v>2.6867275658248255</v>
      </c>
      <c r="AR95">
        <f t="shared" si="79"/>
        <v>-163.89038151531435</v>
      </c>
      <c r="AT95">
        <f t="shared" si="104"/>
        <v>-250842.71898504099</v>
      </c>
      <c r="AU95">
        <f t="shared" si="105"/>
        <v>-772355.16951440461</v>
      </c>
      <c r="AV95">
        <f t="shared" si="93"/>
        <v>-1.8848259594058494</v>
      </c>
      <c r="AW95">
        <f t="shared" si="94"/>
        <v>-1271948.1774499957</v>
      </c>
      <c r="AX95">
        <f t="shared" si="95"/>
        <v>-636550.84857370541</v>
      </c>
      <c r="AY95">
        <f t="shared" si="103"/>
        <v>-2.677582353566927</v>
      </c>
      <c r="BA95">
        <f t="shared" si="80"/>
        <v>0.5709383645643028</v>
      </c>
      <c r="BB95">
        <f t="shared" si="96"/>
        <v>-4.8682154664113009</v>
      </c>
      <c r="BC95">
        <f t="shared" si="97"/>
        <v>0.79275639416107757</v>
      </c>
      <c r="BD95">
        <f t="shared" si="81"/>
        <v>-134.57840438065898</v>
      </c>
      <c r="BF95">
        <f t="shared" si="82"/>
        <v>8.579948971876334</v>
      </c>
      <c r="BG95">
        <f t="shared" si="83"/>
        <v>-121.72362472747533</v>
      </c>
      <c r="BH95">
        <f t="shared" si="98"/>
        <v>58.276375272524675</v>
      </c>
      <c r="BI95">
        <f t="shared" si="99"/>
        <v>58.276375272524675</v>
      </c>
      <c r="BJ95">
        <f t="shared" si="84"/>
        <v>0</v>
      </c>
      <c r="BK95">
        <f t="shared" si="100"/>
        <v>0</v>
      </c>
      <c r="BM95">
        <f t="shared" si="101"/>
        <v>13.448164438287636</v>
      </c>
      <c r="BN95">
        <f t="shared" si="85"/>
        <v>-167.14522034681636</v>
      </c>
      <c r="BQ95" s="56">
        <f t="shared" si="102"/>
        <v>12.033745333873835</v>
      </c>
      <c r="BR95" s="59"/>
      <c r="BS95" s="59"/>
      <c r="BT95" s="59">
        <v>707.94600000000003</v>
      </c>
      <c r="BU95" s="59">
        <v>17.887</v>
      </c>
      <c r="BV95" s="59">
        <v>-262.84989999999999</v>
      </c>
      <c r="BW95" s="61"/>
      <c r="BY95" s="59"/>
      <c r="BZ95" s="59"/>
      <c r="CA95" s="59"/>
      <c r="CC95" s="59"/>
    </row>
    <row r="96" spans="1:81" x14ac:dyDescent="0.2">
      <c r="A96">
        <f t="shared" si="54"/>
        <v>31000</v>
      </c>
      <c r="B96">
        <f t="shared" si="86"/>
        <v>31</v>
      </c>
      <c r="C96">
        <f t="shared" si="55"/>
        <v>1.0000075877230594</v>
      </c>
      <c r="D96">
        <f t="shared" si="56"/>
        <v>3.8955551804090703E-3</v>
      </c>
      <c r="F96">
        <f t="shared" si="57"/>
        <v>0.30079345623692905</v>
      </c>
      <c r="G96">
        <f t="shared" si="58"/>
        <v>0.21493066631626326</v>
      </c>
      <c r="H96">
        <f t="shared" si="59"/>
        <v>-2.9266619836837369</v>
      </c>
      <c r="J96">
        <f t="shared" si="60"/>
        <v>15</v>
      </c>
      <c r="M96">
        <f t="shared" si="61"/>
        <v>5.8545632345935912E-2</v>
      </c>
      <c r="N96">
        <f t="shared" si="62"/>
        <v>-1.5707963250000001</v>
      </c>
      <c r="O96">
        <f t="shared" si="63"/>
        <v>3.8322059223723022</v>
      </c>
      <c r="P96">
        <f t="shared" si="64"/>
        <v>1.30679397889527</v>
      </c>
      <c r="Q96">
        <f t="shared" si="65"/>
        <v>2.6134487871426257</v>
      </c>
      <c r="R96">
        <f t="shared" si="66"/>
        <v>1.178148415217845</v>
      </c>
      <c r="S96">
        <f t="shared" si="67"/>
        <v>0.99999207480881458</v>
      </c>
      <c r="T96">
        <f t="shared" si="68"/>
        <v>-3.9812564985182456E-3</v>
      </c>
      <c r="U96">
        <f t="shared" si="69"/>
        <v>0.99799641387552518</v>
      </c>
      <c r="V96">
        <f t="shared" si="70"/>
        <v>-6.3312803471912121E-2</v>
      </c>
      <c r="X96">
        <f t="shared" si="87"/>
        <v>8.4329162023751305</v>
      </c>
      <c r="Y96">
        <f t="shared" si="71"/>
        <v>-118.9411349956258</v>
      </c>
      <c r="Z96">
        <f t="shared" si="88"/>
        <v>61.058865004374198</v>
      </c>
      <c r="AC96">
        <v>1</v>
      </c>
      <c r="AD96">
        <f t="shared" si="72"/>
        <v>3.6994326904898998</v>
      </c>
      <c r="AE96">
        <f t="shared" si="73"/>
        <v>-4.8998818077167559E-5</v>
      </c>
      <c r="AF96">
        <f t="shared" si="74"/>
        <v>7.7288205738240006E-4</v>
      </c>
      <c r="AG96">
        <f t="shared" si="89"/>
        <v>4685.6819834916423</v>
      </c>
      <c r="AH96">
        <f t="shared" si="90"/>
        <v>-1590.9191672025077</v>
      </c>
      <c r="AJ96">
        <f t="shared" si="75"/>
        <v>22100</v>
      </c>
      <c r="AK96">
        <f t="shared" si="76"/>
        <v>87.986233490173205</v>
      </c>
      <c r="AL96">
        <v>1</v>
      </c>
      <c r="AM96">
        <f t="shared" si="77"/>
        <v>2.4145630169902921</v>
      </c>
      <c r="AN96">
        <f t="shared" si="91"/>
        <v>3266.775117683082</v>
      </c>
      <c r="AO96">
        <f t="shared" si="92"/>
        <v>-7799.8481504915044</v>
      </c>
      <c r="AQ96">
        <f t="shared" si="78"/>
        <v>2.6007802340702209</v>
      </c>
      <c r="AR96">
        <f t="shared" si="79"/>
        <v>-161.24837451235371</v>
      </c>
      <c r="AT96">
        <f t="shared" si="104"/>
        <v>-244346.70060614782</v>
      </c>
      <c r="AU96">
        <f t="shared" si="105"/>
        <v>-759696.2344439124</v>
      </c>
      <c r="AV96">
        <f t="shared" si="93"/>
        <v>-1.881983844322799</v>
      </c>
      <c r="AW96">
        <f t="shared" si="94"/>
        <v>-1237461.2234903944</v>
      </c>
      <c r="AX96">
        <f t="shared" si="95"/>
        <v>-611216.85801059962</v>
      </c>
      <c r="AY96">
        <f t="shared" si="103"/>
        <v>-2.6828143609792385</v>
      </c>
      <c r="BA96">
        <f t="shared" si="80"/>
        <v>0.57820354359629322</v>
      </c>
      <c r="BB96">
        <f t="shared" si="96"/>
        <v>-4.7583850205296212</v>
      </c>
      <c r="BC96">
        <f t="shared" si="97"/>
        <v>0.80083051665643956</v>
      </c>
      <c r="BD96">
        <f t="shared" si="81"/>
        <v>-134.11579123787448</v>
      </c>
      <c r="BF96">
        <f t="shared" si="82"/>
        <v>8.3288737453361712</v>
      </c>
      <c r="BG96">
        <f t="shared" si="83"/>
        <v>-121.57797228499368</v>
      </c>
      <c r="BH96">
        <f t="shared" si="98"/>
        <v>58.422027715006323</v>
      </c>
      <c r="BI96">
        <f t="shared" si="99"/>
        <v>58.422027715006323</v>
      </c>
      <c r="BJ96">
        <f t="shared" si="84"/>
        <v>0</v>
      </c>
      <c r="BK96">
        <f t="shared" si="100"/>
        <v>0</v>
      </c>
      <c r="BM96">
        <f t="shared" si="101"/>
        <v>13.087258765865794</v>
      </c>
      <c r="BN96">
        <f t="shared" si="85"/>
        <v>-167.46218104711917</v>
      </c>
      <c r="BQ96" s="56">
        <f t="shared" si="102"/>
        <v>12.143575779755515</v>
      </c>
      <c r="BR96" s="59"/>
      <c r="BS96" s="59"/>
      <c r="BT96" s="59">
        <v>724.43600000000004</v>
      </c>
      <c r="BU96" s="59">
        <v>17.753599999999999</v>
      </c>
      <c r="BV96" s="59">
        <v>-262.81690000000003</v>
      </c>
      <c r="BW96" s="61"/>
      <c r="BY96" s="59"/>
      <c r="BZ96" s="59"/>
      <c r="CA96" s="59"/>
      <c r="CC96" s="59"/>
    </row>
    <row r="97" spans="1:81" x14ac:dyDescent="0.2">
      <c r="A97">
        <f t="shared" si="54"/>
        <v>31500</v>
      </c>
      <c r="B97">
        <f t="shared" si="86"/>
        <v>31.5</v>
      </c>
      <c r="C97">
        <f t="shared" si="55"/>
        <v>1.0000078344612662</v>
      </c>
      <c r="D97">
        <f t="shared" si="56"/>
        <v>3.9583860644572012E-3</v>
      </c>
      <c r="F97">
        <f t="shared" si="57"/>
        <v>0.2888413970379306</v>
      </c>
      <c r="G97">
        <f t="shared" si="58"/>
        <v>0.20964052245413511</v>
      </c>
      <c r="H97">
        <f t="shared" si="59"/>
        <v>-2.9319521275458653</v>
      </c>
      <c r="J97">
        <f t="shared" si="60"/>
        <v>15</v>
      </c>
      <c r="M97">
        <f t="shared" si="61"/>
        <v>5.761633659441312E-2</v>
      </c>
      <c r="N97">
        <f t="shared" si="62"/>
        <v>-1.5707963250000001</v>
      </c>
      <c r="O97">
        <f t="shared" si="63"/>
        <v>3.8898380461341109</v>
      </c>
      <c r="P97">
        <f t="shared" si="64"/>
        <v>1.3107967821355171</v>
      </c>
      <c r="Q97">
        <f t="shared" si="65"/>
        <v>2.6494715423748549</v>
      </c>
      <c r="R97">
        <f t="shared" si="66"/>
        <v>1.1837728112261401</v>
      </c>
      <c r="S97">
        <f t="shared" si="67"/>
        <v>0.99999181709894502</v>
      </c>
      <c r="T97">
        <f t="shared" si="68"/>
        <v>-4.0454696179650276E-3</v>
      </c>
      <c r="U97">
        <f t="shared" si="69"/>
        <v>0.99793146286078693</v>
      </c>
      <c r="V97">
        <f t="shared" si="70"/>
        <v>-6.433118487690441E-2</v>
      </c>
      <c r="X97">
        <f t="shared" si="87"/>
        <v>8.1897536009840426</v>
      </c>
      <c r="Y97">
        <f t="shared" si="71"/>
        <v>-118.75106817894795</v>
      </c>
      <c r="Z97">
        <f t="shared" si="88"/>
        <v>61.248931821052054</v>
      </c>
      <c r="AC97">
        <v>1</v>
      </c>
      <c r="AD97">
        <f t="shared" si="72"/>
        <v>3.7591009596913501</v>
      </c>
      <c r="AE97">
        <f t="shared" si="73"/>
        <v>-5.0592171942840275E-5</v>
      </c>
      <c r="AF97">
        <f t="shared" si="74"/>
        <v>7.8534789701760011E-4</v>
      </c>
      <c r="AG97">
        <f t="shared" si="89"/>
        <v>4685.0721017487704</v>
      </c>
      <c r="AH97">
        <f t="shared" si="90"/>
        <v>-1575.133743954694</v>
      </c>
      <c r="AJ97">
        <f t="shared" si="75"/>
        <v>22100</v>
      </c>
      <c r="AK97">
        <f t="shared" si="76"/>
        <v>89.405366288401808</v>
      </c>
      <c r="AL97">
        <v>1</v>
      </c>
      <c r="AM97">
        <f t="shared" si="77"/>
        <v>2.4535075817804581</v>
      </c>
      <c r="AN97">
        <f t="shared" si="91"/>
        <v>3179.5316723689543</v>
      </c>
      <c r="AO97">
        <f t="shared" si="92"/>
        <v>-7711.5996983799268</v>
      </c>
      <c r="AQ97">
        <f t="shared" si="78"/>
        <v>2.5188916876574305</v>
      </c>
      <c r="AR97">
        <f t="shared" si="79"/>
        <v>-158.69017632241813</v>
      </c>
      <c r="AT97">
        <f t="shared" si="104"/>
        <v>-238157.06238639029</v>
      </c>
      <c r="AU97">
        <f t="shared" si="105"/>
        <v>-747442.50920435064</v>
      </c>
      <c r="AV97">
        <f t="shared" si="93"/>
        <v>-1.8792553733393904</v>
      </c>
      <c r="AW97">
        <f t="shared" si="94"/>
        <v>-1204273.6300957906</v>
      </c>
      <c r="AX97">
        <f t="shared" si="95"/>
        <v>-587253.31015567842</v>
      </c>
      <c r="AY97">
        <f t="shared" si="103"/>
        <v>-2.6878809630593214</v>
      </c>
      <c r="BA97">
        <f t="shared" si="80"/>
        <v>0.58549819692816163</v>
      </c>
      <c r="BB97">
        <f t="shared" si="96"/>
        <v>-4.6494887604354567</v>
      </c>
      <c r="BC97">
        <f t="shared" si="97"/>
        <v>0.80862558971993104</v>
      </c>
      <c r="BD97">
        <f t="shared" si="81"/>
        <v>-133.66916644982996</v>
      </c>
      <c r="BF97">
        <f t="shared" si="82"/>
        <v>8.0855932072369203</v>
      </c>
      <c r="BG97">
        <f t="shared" si="83"/>
        <v>-121.43085046912934</v>
      </c>
      <c r="BH97">
        <f t="shared" si="98"/>
        <v>58.569149530870661</v>
      </c>
      <c r="BI97">
        <f t="shared" si="99"/>
        <v>58.569149530870661</v>
      </c>
      <c r="BJ97">
        <f t="shared" si="84"/>
        <v>0</v>
      </c>
      <c r="BK97">
        <f t="shared" si="100"/>
        <v>0</v>
      </c>
      <c r="BM97">
        <f t="shared" si="101"/>
        <v>12.735081967672377</v>
      </c>
      <c r="BN97">
        <f t="shared" si="85"/>
        <v>-167.76168401929939</v>
      </c>
      <c r="BQ97" s="56">
        <f t="shared" si="102"/>
        <v>12.252472039849678</v>
      </c>
      <c r="BR97" s="59"/>
      <c r="BS97" s="59"/>
      <c r="BT97" s="59">
        <v>741.31</v>
      </c>
      <c r="BU97" s="59">
        <v>17.416399999999999</v>
      </c>
      <c r="BV97" s="59">
        <v>-262.19720000000001</v>
      </c>
      <c r="BW97" s="61"/>
      <c r="BY97" s="59"/>
      <c r="BZ97" s="59"/>
      <c r="CA97" s="59"/>
      <c r="CC97" s="59"/>
    </row>
    <row r="98" spans="1:81" x14ac:dyDescent="0.2">
      <c r="A98">
        <f t="shared" si="54"/>
        <v>32000</v>
      </c>
      <c r="B98">
        <f t="shared" si="86"/>
        <v>32</v>
      </c>
      <c r="C98">
        <f t="shared" si="55"/>
        <v>1.0000080851472222</v>
      </c>
      <c r="D98">
        <f t="shared" si="56"/>
        <v>4.0212169172519838E-3</v>
      </c>
      <c r="F98">
        <f t="shared" si="57"/>
        <v>0.27762891524464939</v>
      </c>
      <c r="G98">
        <f t="shared" si="58"/>
        <v>0.20462996958998353</v>
      </c>
      <c r="H98">
        <f t="shared" si="59"/>
        <v>-2.9369626804100166</v>
      </c>
      <c r="J98">
        <f t="shared" si="60"/>
        <v>15</v>
      </c>
      <c r="M98">
        <f t="shared" si="61"/>
        <v>5.6716081335125415E-2</v>
      </c>
      <c r="N98">
        <f t="shared" si="62"/>
        <v>-1.5707963250000001</v>
      </c>
      <c r="O98">
        <f t="shared" si="63"/>
        <v>3.9475306741732248</v>
      </c>
      <c r="P98">
        <f t="shared" si="64"/>
        <v>1.3146826452714921</v>
      </c>
      <c r="Q98">
        <f t="shared" si="65"/>
        <v>2.6855758605827003</v>
      </c>
      <c r="R98">
        <f t="shared" si="66"/>
        <v>1.189246150123441</v>
      </c>
      <c r="S98">
        <f t="shared" si="67"/>
        <v>0.99999155526592165</v>
      </c>
      <c r="T98">
        <f t="shared" si="68"/>
        <v>-4.1096827040500734E-3</v>
      </c>
      <c r="U98">
        <f t="shared" si="69"/>
        <v>0.99786548561538579</v>
      </c>
      <c r="V98">
        <f t="shared" si="70"/>
        <v>-6.5349432679260702E-2</v>
      </c>
      <c r="X98">
        <f t="shared" si="87"/>
        <v>7.953939101702602</v>
      </c>
      <c r="Y98">
        <f t="shared" si="71"/>
        <v>-118.56032943246335</v>
      </c>
      <c r="Z98">
        <f t="shared" si="88"/>
        <v>61.439670567536652</v>
      </c>
      <c r="AC98">
        <v>1</v>
      </c>
      <c r="AD98">
        <f t="shared" si="72"/>
        <v>3.8187692288928003</v>
      </c>
      <c r="AE98">
        <f t="shared" si="73"/>
        <v>-5.2211019470363749E-5</v>
      </c>
      <c r="AF98">
        <f t="shared" si="74"/>
        <v>7.9781373665280004E-4</v>
      </c>
      <c r="AG98">
        <f t="shared" si="89"/>
        <v>4684.4526244698318</v>
      </c>
      <c r="AH98">
        <f t="shared" si="90"/>
        <v>-1559.988240370219</v>
      </c>
      <c r="AJ98">
        <f t="shared" si="75"/>
        <v>22100</v>
      </c>
      <c r="AK98">
        <f t="shared" si="76"/>
        <v>90.824499086630411</v>
      </c>
      <c r="AL98">
        <v>1</v>
      </c>
      <c r="AM98">
        <f t="shared" si="77"/>
        <v>2.4924521465706242</v>
      </c>
      <c r="AN98">
        <f t="shared" si="91"/>
        <v>3095.5896061809194</v>
      </c>
      <c r="AO98">
        <f t="shared" si="92"/>
        <v>-7624.7844597407156</v>
      </c>
      <c r="AQ98">
        <f t="shared" si="78"/>
        <v>2.4408103490358801</v>
      </c>
      <c r="AR98">
        <f t="shared" si="79"/>
        <v>-156.21186233829633</v>
      </c>
      <c r="AT98">
        <f t="shared" si="104"/>
        <v>-232254.80780869952</v>
      </c>
      <c r="AU98">
        <f t="shared" si="105"/>
        <v>-735574.70394542231</v>
      </c>
      <c r="AV98">
        <f t="shared" si="93"/>
        <v>-1.8766357123770847</v>
      </c>
      <c r="AW98">
        <f t="shared" si="94"/>
        <v>-1172325.6066575586</v>
      </c>
      <c r="AX98">
        <f t="shared" si="95"/>
        <v>-564569.74627127242</v>
      </c>
      <c r="AY98">
        <f t="shared" si="103"/>
        <v>-2.6927885174482289</v>
      </c>
      <c r="BA98">
        <f t="shared" si="80"/>
        <v>0.59282085306937093</v>
      </c>
      <c r="BB98">
        <f t="shared" si="96"/>
        <v>-4.5415305603021912</v>
      </c>
      <c r="BC98">
        <f t="shared" si="97"/>
        <v>0.81615280507114418</v>
      </c>
      <c r="BD98">
        <f t="shared" si="81"/>
        <v>-133.23788877822656</v>
      </c>
      <c r="BF98">
        <f t="shared" si="82"/>
        <v>7.8496587714411117</v>
      </c>
      <c r="BG98">
        <f t="shared" si="83"/>
        <v>-121.28305638730458</v>
      </c>
      <c r="BH98">
        <f t="shared" si="98"/>
        <v>58.716943612695417</v>
      </c>
      <c r="BI98">
        <f t="shared" si="99"/>
        <v>58.716943612695417</v>
      </c>
      <c r="BJ98">
        <f t="shared" si="84"/>
        <v>0</v>
      </c>
      <c r="BK98">
        <f t="shared" si="100"/>
        <v>0</v>
      </c>
      <c r="BM98">
        <f t="shared" si="101"/>
        <v>12.391189331743304</v>
      </c>
      <c r="BN98">
        <f t="shared" si="85"/>
        <v>-168.04516760907802</v>
      </c>
      <c r="BQ98" s="56">
        <f t="shared" si="102"/>
        <v>12.360430239982945</v>
      </c>
      <c r="BR98" s="59"/>
      <c r="BS98" s="59"/>
      <c r="BT98" s="59">
        <v>758.57799999999997</v>
      </c>
      <c r="BU98" s="59">
        <v>17.283200000000001</v>
      </c>
      <c r="BV98" s="59">
        <v>-262.56690000000003</v>
      </c>
      <c r="BW98" s="61"/>
      <c r="BY98" s="59"/>
      <c r="BZ98" s="59"/>
      <c r="CA98" s="59"/>
      <c r="CC98" s="59"/>
    </row>
    <row r="99" spans="1:81" x14ac:dyDescent="0.2">
      <c r="A99">
        <f t="shared" si="54"/>
        <v>32500</v>
      </c>
      <c r="B99">
        <f t="shared" si="86"/>
        <v>32.5</v>
      </c>
      <c r="C99">
        <f t="shared" si="55"/>
        <v>1.0000083397809238</v>
      </c>
      <c r="D99">
        <f t="shared" si="56"/>
        <v>4.0840477382973663E-3</v>
      </c>
      <c r="F99">
        <f t="shared" si="57"/>
        <v>0.26709367849694104</v>
      </c>
      <c r="G99">
        <f t="shared" si="58"/>
        <v>0.19987661236453411</v>
      </c>
      <c r="H99">
        <f t="shared" si="59"/>
        <v>-2.9417160376354663</v>
      </c>
      <c r="J99">
        <f t="shared" si="60"/>
        <v>15</v>
      </c>
      <c r="M99">
        <f t="shared" si="61"/>
        <v>5.5843526237661943E-2</v>
      </c>
      <c r="N99">
        <f t="shared" si="62"/>
        <v>-1.5707963250000001</v>
      </c>
      <c r="O99">
        <f t="shared" si="63"/>
        <v>4.005281191954392</v>
      </c>
      <c r="P99">
        <f t="shared" si="64"/>
        <v>1.3184565066766525</v>
      </c>
      <c r="Q99">
        <f t="shared" si="65"/>
        <v>2.7217584959522445</v>
      </c>
      <c r="R99">
        <f t="shared" si="66"/>
        <v>1.19457412168183</v>
      </c>
      <c r="S99">
        <f t="shared" si="67"/>
        <v>0.99999128930975389</v>
      </c>
      <c r="T99">
        <f t="shared" si="68"/>
        <v>-4.17389575624387E-3</v>
      </c>
      <c r="U99">
        <f t="shared" si="69"/>
        <v>0.99779848275325334</v>
      </c>
      <c r="V99">
        <f t="shared" si="70"/>
        <v>-6.6367544794193503E-2</v>
      </c>
      <c r="X99">
        <f t="shared" si="87"/>
        <v>7.7250595806165894</v>
      </c>
      <c r="Y99">
        <f t="shared" si="71"/>
        <v>-118.36959284840518</v>
      </c>
      <c r="Z99">
        <f t="shared" si="88"/>
        <v>61.630407151594824</v>
      </c>
      <c r="AC99">
        <v>1</v>
      </c>
      <c r="AD99">
        <f t="shared" si="72"/>
        <v>3.8784374980942502</v>
      </c>
      <c r="AE99">
        <f t="shared" si="73"/>
        <v>-5.3855360659738008E-5</v>
      </c>
      <c r="AF99">
        <f t="shared" si="74"/>
        <v>8.1027957628800008E-4</v>
      </c>
      <c r="AG99">
        <f t="shared" si="89"/>
        <v>4683.8235593298059</v>
      </c>
      <c r="AH99">
        <f t="shared" si="90"/>
        <v>-1545.4530062216377</v>
      </c>
      <c r="AJ99">
        <f t="shared" si="75"/>
        <v>22100</v>
      </c>
      <c r="AK99">
        <f t="shared" si="76"/>
        <v>92.243631884859013</v>
      </c>
      <c r="AL99">
        <v>1</v>
      </c>
      <c r="AM99">
        <f t="shared" si="77"/>
        <v>2.5313967113607898</v>
      </c>
      <c r="AN99">
        <f t="shared" si="91"/>
        <v>3014.7945126312056</v>
      </c>
      <c r="AO99">
        <f t="shared" si="92"/>
        <v>-7539.3972828183305</v>
      </c>
      <c r="AQ99">
        <f t="shared" si="78"/>
        <v>2.3663038334122102</v>
      </c>
      <c r="AR99">
        <f t="shared" si="79"/>
        <v>-153.80974917179367</v>
      </c>
      <c r="AT99">
        <f t="shared" si="104"/>
        <v>-226622.38960027604</v>
      </c>
      <c r="AU99">
        <f t="shared" si="105"/>
        <v>-724074.73819843598</v>
      </c>
      <c r="AV99">
        <f t="shared" si="93"/>
        <v>-1.8741202899267391</v>
      </c>
      <c r="AW99">
        <f t="shared" si="94"/>
        <v>-1141560.4272872049</v>
      </c>
      <c r="AX99">
        <f t="shared" si="95"/>
        <v>-543082.65254315338</v>
      </c>
      <c r="AY99">
        <f t="shared" si="103"/>
        <v>-2.6975430777006779</v>
      </c>
      <c r="BA99">
        <f t="shared" si="80"/>
        <v>0.60017012719743845</v>
      </c>
      <c r="BB99">
        <f t="shared" si="96"/>
        <v>-4.4345124979893757</v>
      </c>
      <c r="BC99">
        <f t="shared" si="97"/>
        <v>0.82342278777393885</v>
      </c>
      <c r="BD99">
        <f t="shared" si="81"/>
        <v>-132.82134945174735</v>
      </c>
      <c r="BF99">
        <f t="shared" si="82"/>
        <v>7.6206573087435405</v>
      </c>
      <c r="BG99">
        <f t="shared" si="83"/>
        <v>-121.1352644277995</v>
      </c>
      <c r="BH99">
        <f t="shared" si="98"/>
        <v>58.864735572200502</v>
      </c>
      <c r="BI99">
        <f t="shared" si="99"/>
        <v>58.864735572200502</v>
      </c>
      <c r="BJ99">
        <f t="shared" si="84"/>
        <v>0</v>
      </c>
      <c r="BK99">
        <f t="shared" si="100"/>
        <v>0</v>
      </c>
      <c r="BM99">
        <f t="shared" si="101"/>
        <v>12.055169806732916</v>
      </c>
      <c r="BN99">
        <f t="shared" si="85"/>
        <v>-168.31391497605216</v>
      </c>
      <c r="BQ99" s="56">
        <f t="shared" si="102"/>
        <v>12.467448302295761</v>
      </c>
      <c r="BR99" s="59"/>
      <c r="BS99" s="59"/>
      <c r="BT99" s="59">
        <v>776.24699999999996</v>
      </c>
      <c r="BU99" s="59">
        <v>17.007100000000001</v>
      </c>
      <c r="BV99" s="59">
        <v>-262.71769999999998</v>
      </c>
      <c r="BW99" s="61"/>
      <c r="BY99" s="59"/>
      <c r="BZ99" s="59"/>
      <c r="CA99" s="59"/>
      <c r="CC99" s="59"/>
    </row>
    <row r="100" spans="1:81" x14ac:dyDescent="0.2">
      <c r="A100">
        <f t="shared" si="54"/>
        <v>33000</v>
      </c>
      <c r="B100">
        <f t="shared" si="86"/>
        <v>33</v>
      </c>
      <c r="C100">
        <f t="shared" si="55"/>
        <v>1.0000085983623686</v>
      </c>
      <c r="D100">
        <f t="shared" si="56"/>
        <v>4.1468785270972969E-3</v>
      </c>
      <c r="F100">
        <f t="shared" si="57"/>
        <v>0.25717997127492653</v>
      </c>
      <c r="G100">
        <f t="shared" si="58"/>
        <v>0.19536040860719717</v>
      </c>
      <c r="H100">
        <f t="shared" si="59"/>
        <v>-2.9462322413928028</v>
      </c>
      <c r="J100">
        <f t="shared" si="60"/>
        <v>15</v>
      </c>
      <c r="M100">
        <f t="shared" si="61"/>
        <v>5.4997412203757985E-2</v>
      </c>
      <c r="N100">
        <f t="shared" si="62"/>
        <v>-1.5707963250000001</v>
      </c>
      <c r="O100">
        <f t="shared" si="63"/>
        <v>4.06308713103813</v>
      </c>
      <c r="P100">
        <f t="shared" si="64"/>
        <v>1.3221230368773784</v>
      </c>
      <c r="Q100">
        <f t="shared" si="65"/>
        <v>2.7580163661380488</v>
      </c>
      <c r="R100">
        <f t="shared" si="66"/>
        <v>1.1997621504655673</v>
      </c>
      <c r="S100">
        <f t="shared" si="67"/>
        <v>0.99999101923045208</v>
      </c>
      <c r="T100">
        <f t="shared" si="68"/>
        <v>-4.2381087740169026E-3</v>
      </c>
      <c r="U100">
        <f t="shared" si="69"/>
        <v>0.99773045489764334</v>
      </c>
      <c r="V100">
        <f t="shared" si="70"/>
        <v>-6.7385519138595987E-2</v>
      </c>
      <c r="X100">
        <f t="shared" si="87"/>
        <v>7.5027339009810712</v>
      </c>
      <c r="Y100">
        <f t="shared" si="71"/>
        <v>-118.17942823311834</v>
      </c>
      <c r="Z100">
        <f t="shared" si="88"/>
        <v>61.820571766881656</v>
      </c>
      <c r="AC100">
        <v>1</v>
      </c>
      <c r="AD100">
        <f t="shared" si="72"/>
        <v>3.9381057672957005</v>
      </c>
      <c r="AE100">
        <f t="shared" si="73"/>
        <v>-5.5525195510963025E-5</v>
      </c>
      <c r="AF100">
        <f t="shared" si="74"/>
        <v>8.2274541592320001E-4</v>
      </c>
      <c r="AG100">
        <f t="shared" si="89"/>
        <v>4683.1849141193406</v>
      </c>
      <c r="AH100">
        <f t="shared" si="90"/>
        <v>-1531.5001865511313</v>
      </c>
      <c r="AJ100">
        <f t="shared" si="75"/>
        <v>22100</v>
      </c>
      <c r="AK100">
        <f t="shared" si="76"/>
        <v>93.662764683087616</v>
      </c>
      <c r="AL100">
        <v>1</v>
      </c>
      <c r="AM100">
        <f t="shared" si="77"/>
        <v>2.5703412761509563</v>
      </c>
      <c r="AN100">
        <f t="shared" si="91"/>
        <v>2937.0002184703139</v>
      </c>
      <c r="AO100">
        <f t="shared" si="92"/>
        <v>-7455.4301249155369</v>
      </c>
      <c r="AQ100">
        <f t="shared" si="78"/>
        <v>2.2951572182694515</v>
      </c>
      <c r="AR100">
        <f t="shared" si="79"/>
        <v>-151.4803764057838</v>
      </c>
      <c r="AT100">
        <f t="shared" si="104"/>
        <v>-221243.57906416187</v>
      </c>
      <c r="AU100">
        <f t="shared" si="105"/>
        <v>-712925.64727662981</v>
      </c>
      <c r="AV100">
        <f t="shared" si="93"/>
        <v>-1.871704779976241</v>
      </c>
      <c r="AW100">
        <f t="shared" si="94"/>
        <v>-1111924.2742198796</v>
      </c>
      <c r="AX100">
        <f t="shared" si="95"/>
        <v>-522714.85814771958</v>
      </c>
      <c r="AY100">
        <f t="shared" si="103"/>
        <v>-2.702150410056543</v>
      </c>
      <c r="BA100">
        <f t="shared" si="80"/>
        <v>0.6075447147220967</v>
      </c>
      <c r="BB100">
        <f t="shared" si="96"/>
        <v>-4.3284350577230235</v>
      </c>
      <c r="BC100">
        <f t="shared" si="97"/>
        <v>0.83044563008030203</v>
      </c>
      <c r="BD100">
        <f t="shared" si="81"/>
        <v>-132.41897022694704</v>
      </c>
      <c r="BF100">
        <f t="shared" si="82"/>
        <v>7.39820767702839</v>
      </c>
      <c r="BG100">
        <f t="shared" si="83"/>
        <v>-120.98804467898553</v>
      </c>
      <c r="BH100">
        <f t="shared" si="98"/>
        <v>59.011955321014469</v>
      </c>
      <c r="BI100">
        <f t="shared" si="99"/>
        <v>59.011955321014469</v>
      </c>
      <c r="BJ100">
        <f t="shared" si="84"/>
        <v>0</v>
      </c>
      <c r="BK100">
        <f t="shared" si="100"/>
        <v>0</v>
      </c>
      <c r="BM100">
        <f t="shared" si="101"/>
        <v>11.726642734751415</v>
      </c>
      <c r="BN100">
        <f t="shared" si="85"/>
        <v>-168.56907445203851</v>
      </c>
      <c r="BQ100" s="56">
        <f t="shared" si="102"/>
        <v>12.573525742562113</v>
      </c>
      <c r="BR100" s="59"/>
      <c r="BS100" s="59"/>
      <c r="BT100" s="59">
        <v>794.32799999999997</v>
      </c>
      <c r="BU100" s="59">
        <v>16.8354</v>
      </c>
      <c r="BV100" s="59">
        <v>-262.79380000000003</v>
      </c>
      <c r="BW100" s="61"/>
      <c r="BY100" s="59"/>
      <c r="BZ100" s="59"/>
      <c r="CA100" s="59"/>
      <c r="CC100" s="59"/>
    </row>
    <row r="101" spans="1:81" x14ac:dyDescent="0.2">
      <c r="A101">
        <f t="shared" si="54"/>
        <v>33500</v>
      </c>
      <c r="B101">
        <f t="shared" si="86"/>
        <v>33.5</v>
      </c>
      <c r="C101">
        <f t="shared" si="55"/>
        <v>1.0000088608915534</v>
      </c>
      <c r="D101">
        <f t="shared" si="56"/>
        <v>4.2097092831557261E-3</v>
      </c>
      <c r="F101">
        <f t="shared" si="57"/>
        <v>0.24783785444182518</v>
      </c>
      <c r="G101">
        <f t="shared" si="58"/>
        <v>0.19106336826066467</v>
      </c>
      <c r="H101">
        <f t="shared" si="59"/>
        <v>-2.9505292817393354</v>
      </c>
      <c r="J101">
        <f t="shared" si="60"/>
        <v>15</v>
      </c>
      <c r="M101">
        <f t="shared" si="61"/>
        <v>5.4176555305194433E-2</v>
      </c>
      <c r="N101">
        <f t="shared" si="62"/>
        <v>-1.5707963250000001</v>
      </c>
      <c r="O101">
        <f t="shared" si="63"/>
        <v>4.1209461591836796</v>
      </c>
      <c r="P101">
        <f t="shared" si="64"/>
        <v>1.3256866560231466</v>
      </c>
      <c r="Q101">
        <f t="shared" si="65"/>
        <v>2.7943465425275762</v>
      </c>
      <c r="R101">
        <f t="shared" si="66"/>
        <v>1.2048154099508344</v>
      </c>
      <c r="S101">
        <f t="shared" si="67"/>
        <v>0.9999907450280261</v>
      </c>
      <c r="T101">
        <f t="shared" si="68"/>
        <v>-4.3023217568396574E-3</v>
      </c>
      <c r="U101">
        <f t="shared" si="69"/>
        <v>0.99766140268111492</v>
      </c>
      <c r="V101">
        <f t="shared" si="70"/>
        <v>-6.8403353631067268E-2</v>
      </c>
      <c r="X101">
        <f t="shared" si="87"/>
        <v>7.2866098398465855</v>
      </c>
      <c r="Y101">
        <f t="shared" si="71"/>
        <v>-117.99031654744259</v>
      </c>
      <c r="Z101">
        <f t="shared" si="88"/>
        <v>62.009683452557411</v>
      </c>
      <c r="AC101">
        <v>1</v>
      </c>
      <c r="AD101">
        <f t="shared" si="72"/>
        <v>3.9977740364971499</v>
      </c>
      <c r="AE101">
        <f t="shared" si="73"/>
        <v>-5.72205240240388E-5</v>
      </c>
      <c r="AF101">
        <f t="shared" si="74"/>
        <v>8.3521125555840016E-4</v>
      </c>
      <c r="AG101">
        <f t="shared" si="89"/>
        <v>4682.5366967445016</v>
      </c>
      <c r="AH101">
        <f t="shared" si="90"/>
        <v>-1518.1035876986627</v>
      </c>
      <c r="AJ101">
        <f t="shared" si="75"/>
        <v>22100</v>
      </c>
      <c r="AK101">
        <f t="shared" si="76"/>
        <v>95.081897481316204</v>
      </c>
      <c r="AL101">
        <v>1</v>
      </c>
      <c r="AM101">
        <f t="shared" si="77"/>
        <v>2.6092858409411219</v>
      </c>
      <c r="AN101">
        <f t="shared" si="91"/>
        <v>2862.0683200471144</v>
      </c>
      <c r="AO101">
        <f t="shared" si="92"/>
        <v>-7372.8724458237639</v>
      </c>
      <c r="AQ101">
        <f t="shared" si="78"/>
        <v>2.2271714922048997</v>
      </c>
      <c r="AR101">
        <f t="shared" si="79"/>
        <v>-149.22048997772828</v>
      </c>
      <c r="AT101">
        <f t="shared" si="104"/>
        <v>-216103.348951149</v>
      </c>
      <c r="AU101">
        <f t="shared" si="105"/>
        <v>-702111.49725964421</v>
      </c>
      <c r="AV101">
        <f t="shared" si="93"/>
        <v>-1.8693850862076289</v>
      </c>
      <c r="AW101">
        <f t="shared" si="94"/>
        <v>-1083366.0871048239</v>
      </c>
      <c r="AX101">
        <f t="shared" si="95"/>
        <v>-503394.99099844665</v>
      </c>
      <c r="AY101">
        <f t="shared" si="103"/>
        <v>-2.7066160092099452</v>
      </c>
      <c r="BA101">
        <f t="shared" si="80"/>
        <v>0.61494338541670168</v>
      </c>
      <c r="BB101">
        <f t="shared" si="96"/>
        <v>-4.2232973115779391</v>
      </c>
      <c r="BC101">
        <f t="shared" si="97"/>
        <v>0.83723092300231627</v>
      </c>
      <c r="BD101">
        <f t="shared" si="81"/>
        <v>-132.03020157931138</v>
      </c>
      <c r="BF101">
        <f t="shared" si="82"/>
        <v>7.1819576478957092</v>
      </c>
      <c r="BG101">
        <f t="shared" si="83"/>
        <v>-120.8418783707351</v>
      </c>
      <c r="BH101">
        <f t="shared" si="98"/>
        <v>59.158121629264897</v>
      </c>
      <c r="BI101">
        <f t="shared" si="99"/>
        <v>59.158121629264897</v>
      </c>
      <c r="BJ101">
        <f t="shared" si="84"/>
        <v>0</v>
      </c>
      <c r="BK101">
        <f t="shared" si="100"/>
        <v>0</v>
      </c>
      <c r="BM101">
        <f t="shared" si="101"/>
        <v>11.405254959473648</v>
      </c>
      <c r="BN101">
        <f t="shared" si="85"/>
        <v>-168.81167679142371</v>
      </c>
      <c r="BQ101" s="56">
        <f t="shared" si="102"/>
        <v>12.678663488707198</v>
      </c>
      <c r="BR101" s="59"/>
      <c r="BS101" s="59"/>
      <c r="BT101" s="59">
        <v>812.83100000000002</v>
      </c>
      <c r="BU101" s="59">
        <v>16.6614</v>
      </c>
      <c r="BV101" s="59">
        <v>-262.23689999999999</v>
      </c>
      <c r="BW101" s="61"/>
      <c r="BY101" s="59"/>
      <c r="BZ101" s="59"/>
      <c r="CA101" s="59"/>
      <c r="CC101" s="59"/>
    </row>
    <row r="102" spans="1:81" x14ac:dyDescent="0.2">
      <c r="A102">
        <f t="shared" ref="A102:A165" si="106">A101+500</f>
        <v>34000</v>
      </c>
      <c r="B102">
        <f t="shared" si="86"/>
        <v>34</v>
      </c>
      <c r="C102">
        <f t="shared" si="55"/>
        <v>1.0000091273684748</v>
      </c>
      <c r="D102">
        <f t="shared" si="56"/>
        <v>4.2725400059766055E-3</v>
      </c>
      <c r="F102">
        <f t="shared" si="57"/>
        <v>0.23902244802883213</v>
      </c>
      <c r="G102">
        <f t="shared" si="58"/>
        <v>0.18696929718708177</v>
      </c>
      <c r="H102">
        <f t="shared" si="59"/>
        <v>-2.9546233528129182</v>
      </c>
      <c r="J102">
        <f t="shared" si="60"/>
        <v>15</v>
      </c>
      <c r="M102">
        <f t="shared" si="61"/>
        <v>5.337984125658863E-2</v>
      </c>
      <c r="N102">
        <f t="shared" si="62"/>
        <v>-1.5707963250000001</v>
      </c>
      <c r="O102">
        <f t="shared" si="63"/>
        <v>4.178856071232028</v>
      </c>
      <c r="P102">
        <f t="shared" si="64"/>
        <v>1.3291515500443263</v>
      </c>
      <c r="Q102">
        <f t="shared" si="65"/>
        <v>2.8307462411596882</v>
      </c>
      <c r="R102">
        <f t="shared" si="66"/>
        <v>1.2097388358486689</v>
      </c>
      <c r="S102">
        <f t="shared" si="67"/>
        <v>0.99999046670248593</v>
      </c>
      <c r="T102">
        <f t="shared" si="68"/>
        <v>-4.3665347041826254E-3</v>
      </c>
      <c r="U102">
        <f t="shared" si="69"/>
        <v>0.99759132674551587</v>
      </c>
      <c r="V102">
        <f t="shared" si="70"/>
        <v>-6.9421046191937411E-2</v>
      </c>
      <c r="X102">
        <f t="shared" si="87"/>
        <v>7.0763613605720828</v>
      </c>
      <c r="Y102">
        <f t="shared" si="71"/>
        <v>-117.80266289641722</v>
      </c>
      <c r="Z102">
        <f t="shared" si="88"/>
        <v>62.197337103582782</v>
      </c>
      <c r="AC102">
        <v>1</v>
      </c>
      <c r="AD102">
        <f t="shared" si="72"/>
        <v>4.0574423056985998</v>
      </c>
      <c r="AE102">
        <f t="shared" si="73"/>
        <v>-5.8941346198965339E-5</v>
      </c>
      <c r="AF102">
        <f t="shared" si="74"/>
        <v>8.476770951936002E-4</v>
      </c>
      <c r="AG102">
        <f t="shared" si="89"/>
        <v>4681.8789152265444</v>
      </c>
      <c r="AH102">
        <f t="shared" si="90"/>
        <v>-1505.2385551512273</v>
      </c>
      <c r="AJ102">
        <f t="shared" si="75"/>
        <v>22100</v>
      </c>
      <c r="AK102">
        <f t="shared" si="76"/>
        <v>96.501030279544821</v>
      </c>
      <c r="AL102">
        <v>1</v>
      </c>
      <c r="AM102">
        <f t="shared" si="77"/>
        <v>2.6482304057312884</v>
      </c>
      <c r="AN102">
        <f t="shared" si="91"/>
        <v>2789.8677440003657</v>
      </c>
      <c r="AO102">
        <f t="shared" si="92"/>
        <v>-7291.7115573511774</v>
      </c>
      <c r="AQ102">
        <f t="shared" si="78"/>
        <v>2.1621621621621623</v>
      </c>
      <c r="AR102">
        <f t="shared" si="79"/>
        <v>-147.02702702702703</v>
      </c>
      <c r="AT102">
        <f t="shared" si="104"/>
        <v>-211187.76829201495</v>
      </c>
      <c r="AU102">
        <f t="shared" si="105"/>
        <v>-691617.30765525682</v>
      </c>
      <c r="AV102">
        <f t="shared" si="93"/>
        <v>-1.8671573273595528</v>
      </c>
      <c r="AW102">
        <f t="shared" si="94"/>
        <v>-1055837.4184345987</v>
      </c>
      <c r="AX102">
        <f t="shared" si="95"/>
        <v>-485056.98515452567</v>
      </c>
      <c r="AY102">
        <f t="shared" si="103"/>
        <v>-2.7109451131360842</v>
      </c>
      <c r="BA102">
        <f t="shared" si="80"/>
        <v>0.62236497805914393</v>
      </c>
      <c r="BB102">
        <f t="shared" si="96"/>
        <v>-4.1190970820510877</v>
      </c>
      <c r="BC102">
        <f t="shared" si="97"/>
        <v>0.84378778577653146</v>
      </c>
      <c r="BD102">
        <f t="shared" si="81"/>
        <v>-131.65452101507316</v>
      </c>
      <c r="BF102">
        <f t="shared" si="82"/>
        <v>6.9715811791746454</v>
      </c>
      <c r="BG102">
        <f t="shared" si="83"/>
        <v>-120.69717086506229</v>
      </c>
      <c r="BH102">
        <f t="shared" si="98"/>
        <v>59.30282913493771</v>
      </c>
      <c r="BI102">
        <f t="shared" si="99"/>
        <v>59.30282913493771</v>
      </c>
      <c r="BJ102">
        <f t="shared" si="84"/>
        <v>0</v>
      </c>
      <c r="BK102">
        <f t="shared" si="100"/>
        <v>0</v>
      </c>
      <c r="BM102">
        <f t="shared" si="101"/>
        <v>11.090678261225733</v>
      </c>
      <c r="BN102">
        <f t="shared" si="85"/>
        <v>-169.04264984998912</v>
      </c>
      <c r="BQ102" s="56">
        <f t="shared" si="102"/>
        <v>12.782863718234051</v>
      </c>
      <c r="BR102" s="59"/>
      <c r="BS102" s="59"/>
      <c r="BT102" s="59">
        <v>831.76400000000001</v>
      </c>
      <c r="BU102" s="59">
        <v>16.509799999999998</v>
      </c>
      <c r="BV102" s="59">
        <v>-262.34320000000002</v>
      </c>
      <c r="BW102" s="61"/>
      <c r="BY102" s="59"/>
      <c r="BZ102" s="59"/>
      <c r="CA102" s="59"/>
      <c r="CC102" s="59"/>
    </row>
    <row r="103" spans="1:81" x14ac:dyDescent="0.2">
      <c r="A103">
        <f t="shared" si="106"/>
        <v>34500</v>
      </c>
      <c r="B103">
        <f t="shared" si="86"/>
        <v>34.5</v>
      </c>
      <c r="C103">
        <f t="shared" si="55"/>
        <v>1.0000093977931299</v>
      </c>
      <c r="D103">
        <f t="shared" si="56"/>
        <v>4.3353706950638865E-3</v>
      </c>
      <c r="F103">
        <f t="shared" si="57"/>
        <v>0.23069331693725623</v>
      </c>
      <c r="G103">
        <f t="shared" si="58"/>
        <v>0.18306357828293723</v>
      </c>
      <c r="H103">
        <f t="shared" si="59"/>
        <v>-2.9585290717170629</v>
      </c>
      <c r="J103">
        <f t="shared" si="60"/>
        <v>15</v>
      </c>
      <c r="M103">
        <f t="shared" si="61"/>
        <v>5.2606220368811983E-2</v>
      </c>
      <c r="N103">
        <f t="shared" si="62"/>
        <v>-1.5707963250000001</v>
      </c>
      <c r="O103">
        <f t="shared" si="63"/>
        <v>4.2368147806995093</v>
      </c>
      <c r="P103">
        <f t="shared" si="64"/>
        <v>1.3325216856075515</v>
      </c>
      <c r="Q103">
        <f t="shared" si="65"/>
        <v>2.8672128142495774</v>
      </c>
      <c r="R103">
        <f t="shared" si="66"/>
        <v>1.2145371386734336</v>
      </c>
      <c r="S103">
        <f t="shared" si="67"/>
        <v>0.99999018425384212</v>
      </c>
      <c r="T103">
        <f t="shared" si="68"/>
        <v>-4.4307476155162973E-3</v>
      </c>
      <c r="U103">
        <f t="shared" si="69"/>
        <v>0.99752022774196847</v>
      </c>
      <c r="V103">
        <f t="shared" si="70"/>
        <v>-7.0438594743292324E-2</v>
      </c>
      <c r="X103">
        <f t="shared" si="87"/>
        <v>6.8716861875325268</v>
      </c>
      <c r="Y103">
        <f t="shared" si="71"/>
        <v>-117.61680749347566</v>
      </c>
      <c r="Z103">
        <f t="shared" si="88"/>
        <v>62.383192506524338</v>
      </c>
      <c r="AC103">
        <v>1</v>
      </c>
      <c r="AD103">
        <f t="shared" si="72"/>
        <v>4.1171105749000505</v>
      </c>
      <c r="AE103">
        <f t="shared" si="73"/>
        <v>-6.0687662035742637E-5</v>
      </c>
      <c r="AF103">
        <f t="shared" si="74"/>
        <v>8.6014293482880014E-4</v>
      </c>
      <c r="AG103">
        <f t="shared" si="89"/>
        <v>4681.2115777016525</v>
      </c>
      <c r="AH103">
        <f t="shared" si="90"/>
        <v>-1492.8818620139505</v>
      </c>
      <c r="AJ103">
        <f t="shared" si="75"/>
        <v>22100</v>
      </c>
      <c r="AK103">
        <f t="shared" si="76"/>
        <v>97.92016307777341</v>
      </c>
      <c r="AL103">
        <v>1</v>
      </c>
      <c r="AM103">
        <f t="shared" si="77"/>
        <v>2.687174970521454</v>
      </c>
      <c r="AN103">
        <f t="shared" si="91"/>
        <v>2720.2743315693924</v>
      </c>
      <c r="AO103">
        <f t="shared" si="92"/>
        <v>-7211.9329336674773</v>
      </c>
      <c r="AQ103">
        <f t="shared" si="78"/>
        <v>2.0999580008399832</v>
      </c>
      <c r="AR103">
        <f t="shared" si="79"/>
        <v>-144.89710205795885</v>
      </c>
      <c r="AT103">
        <f t="shared" si="104"/>
        <v>-206483.90781449166</v>
      </c>
      <c r="AU103">
        <f t="shared" si="105"/>
        <v>-681428.98093958001</v>
      </c>
      <c r="AV103">
        <f t="shared" si="93"/>
        <v>-1.8650178236600339</v>
      </c>
      <c r="AW103">
        <f t="shared" si="94"/>
        <v>-1029292.295245668</v>
      </c>
      <c r="AX103">
        <f t="shared" si="95"/>
        <v>-467639.63455011608</v>
      </c>
      <c r="AY103">
        <f t="shared" si="103"/>
        <v>-2.7151427170329065</v>
      </c>
      <c r="BA103">
        <f t="shared" si="80"/>
        <v>0.62980839553114343</v>
      </c>
      <c r="BB103">
        <f t="shared" si="96"/>
        <v>-4.0158310877543082</v>
      </c>
      <c r="BC103">
        <f t="shared" si="97"/>
        <v>0.85012489337287267</v>
      </c>
      <c r="BD103">
        <f t="shared" si="81"/>
        <v>-131.29143149506763</v>
      </c>
      <c r="BF103">
        <f t="shared" si="82"/>
        <v>6.7667759896312853</v>
      </c>
      <c r="BG103">
        <f t="shared" si="83"/>
        <v>-120.55426262117169</v>
      </c>
      <c r="BH103">
        <f t="shared" si="98"/>
        <v>59.445737378828312</v>
      </c>
      <c r="BI103">
        <f t="shared" si="99"/>
        <v>59.445737378828312</v>
      </c>
      <c r="BJ103">
        <f t="shared" si="84"/>
        <v>0</v>
      </c>
      <c r="BK103">
        <f t="shared" si="100"/>
        <v>0</v>
      </c>
      <c r="BM103">
        <f t="shared" si="101"/>
        <v>10.782607077385594</v>
      </c>
      <c r="BN103">
        <f t="shared" si="85"/>
        <v>-169.26283112610409</v>
      </c>
      <c r="BQ103" s="56">
        <f t="shared" si="102"/>
        <v>12.886129712530828</v>
      </c>
      <c r="BR103" s="59"/>
      <c r="BS103" s="59"/>
      <c r="BT103" s="59">
        <v>851.13800000000003</v>
      </c>
      <c r="BU103" s="59">
        <v>16.276800000000001</v>
      </c>
      <c r="BV103" s="59">
        <v>-262.197</v>
      </c>
      <c r="BW103" s="61"/>
      <c r="BY103" s="59"/>
      <c r="BZ103" s="59"/>
      <c r="CA103" s="59"/>
      <c r="CC103" s="59"/>
    </row>
    <row r="104" spans="1:81" x14ac:dyDescent="0.2">
      <c r="A104">
        <f t="shared" si="106"/>
        <v>35000</v>
      </c>
      <c r="B104">
        <f t="shared" si="86"/>
        <v>35</v>
      </c>
      <c r="C104">
        <f t="shared" si="55"/>
        <v>1.0000096721655156</v>
      </c>
      <c r="D104">
        <f t="shared" si="56"/>
        <v>4.3982013499215258E-3</v>
      </c>
      <c r="F104">
        <f t="shared" si="57"/>
        <v>0.22281394292874709</v>
      </c>
      <c r="G104">
        <f t="shared" si="58"/>
        <v>0.17933298374669596</v>
      </c>
      <c r="H104">
        <f t="shared" si="59"/>
        <v>-2.9622596662533041</v>
      </c>
      <c r="J104">
        <f t="shared" si="60"/>
        <v>15</v>
      </c>
      <c r="M104">
        <f t="shared" si="61"/>
        <v>5.1854702934971811E-2</v>
      </c>
      <c r="N104">
        <f t="shared" si="62"/>
        <v>-1.5707963250000001</v>
      </c>
      <c r="O104">
        <f t="shared" si="63"/>
        <v>4.2948203120193371</v>
      </c>
      <c r="P104">
        <f t="shared" si="64"/>
        <v>1.3358008239686194</v>
      </c>
      <c r="Q104">
        <f t="shared" si="65"/>
        <v>2.9037437422761059</v>
      </c>
      <c r="R104">
        <f t="shared" si="66"/>
        <v>1.2192148155977991</v>
      </c>
      <c r="S104">
        <f t="shared" si="67"/>
        <v>0.99998989768210478</v>
      </c>
      <c r="T104">
        <f t="shared" si="68"/>
        <v>-4.494960490311165E-3</v>
      </c>
      <c r="U104">
        <f t="shared" si="69"/>
        <v>0.99744810633084968</v>
      </c>
      <c r="V104">
        <f t="shared" si="70"/>
        <v>-7.1455997208998881E-2</v>
      </c>
      <c r="X104">
        <f t="shared" si="87"/>
        <v>6.6723036452782214</v>
      </c>
      <c r="Y104">
        <f t="shared" si="71"/>
        <v>-117.43303494376626</v>
      </c>
      <c r="Z104">
        <f t="shared" si="88"/>
        <v>62.566965056233741</v>
      </c>
      <c r="AC104">
        <v>1</v>
      </c>
      <c r="AD104">
        <f t="shared" si="72"/>
        <v>4.1767788441015004</v>
      </c>
      <c r="AE104">
        <f t="shared" si="73"/>
        <v>-6.2459471534370692E-5</v>
      </c>
      <c r="AF104">
        <f t="shared" si="74"/>
        <v>8.7260877446400018E-4</v>
      </c>
      <c r="AG104">
        <f t="shared" si="89"/>
        <v>4680.534692420696</v>
      </c>
      <c r="AH104">
        <f t="shared" si="90"/>
        <v>-1481.0116070408608</v>
      </c>
      <c r="AJ104">
        <f t="shared" si="75"/>
        <v>22100</v>
      </c>
      <c r="AK104">
        <f t="shared" si="76"/>
        <v>99.339295876002012</v>
      </c>
      <c r="AL104">
        <v>1</v>
      </c>
      <c r="AM104">
        <f t="shared" si="77"/>
        <v>2.7261195353116201</v>
      </c>
      <c r="AN104">
        <f t="shared" si="91"/>
        <v>2653.1704457089436</v>
      </c>
      <c r="AO104">
        <f t="shared" si="92"/>
        <v>-7133.520486682587</v>
      </c>
      <c r="AQ104">
        <f t="shared" si="78"/>
        <v>2.0403999183840034</v>
      </c>
      <c r="AR104">
        <f t="shared" si="79"/>
        <v>-142.82799428688023</v>
      </c>
      <c r="AT104">
        <f t="shared" si="104"/>
        <v>-201979.75474482667</v>
      </c>
      <c r="AU104">
        <f t="shared" si="105"/>
        <v>-671533.23827073991</v>
      </c>
      <c r="AV104">
        <f t="shared" si="93"/>
        <v>-1.8629630842427758</v>
      </c>
      <c r="AW104">
        <f t="shared" si="94"/>
        <v>-1003687.0871281874</v>
      </c>
      <c r="AX104">
        <f t="shared" si="95"/>
        <v>-451086.18829719967</v>
      </c>
      <c r="AY104">
        <f t="shared" si="103"/>
        <v>-2.7192135864316422</v>
      </c>
      <c r="BA104">
        <f t="shared" si="80"/>
        <v>0.63727260033065047</v>
      </c>
      <c r="BB104">
        <f t="shared" si="96"/>
        <v>-3.9134950740245906</v>
      </c>
      <c r="BC104">
        <f t="shared" si="97"/>
        <v>0.85625050218886645</v>
      </c>
      <c r="BD104">
        <f t="shared" si="81"/>
        <v>-130.94045996256199</v>
      </c>
      <c r="BF104">
        <f t="shared" si="82"/>
        <v>6.5672613981283057</v>
      </c>
      <c r="BG104">
        <f t="shared" si="83"/>
        <v>-120.41343847955999</v>
      </c>
      <c r="BH104">
        <f t="shared" si="98"/>
        <v>59.586561520440014</v>
      </c>
      <c r="BI104">
        <f t="shared" si="99"/>
        <v>59.586561520440014</v>
      </c>
      <c r="BJ104">
        <f t="shared" si="84"/>
        <v>0</v>
      </c>
      <c r="BK104">
        <f t="shared" si="100"/>
        <v>0</v>
      </c>
      <c r="BM104">
        <f t="shared" si="101"/>
        <v>10.480756472152898</v>
      </c>
      <c r="BN104">
        <f t="shared" si="85"/>
        <v>-169.47297851699801</v>
      </c>
      <c r="BQ104" s="56">
        <f t="shared" si="102"/>
        <v>12.988465726260547</v>
      </c>
      <c r="BR104" s="59"/>
      <c r="BS104" s="59"/>
      <c r="BT104" s="59">
        <v>870.96400000000006</v>
      </c>
      <c r="BU104" s="59">
        <v>16.106100000000001</v>
      </c>
      <c r="BV104" s="59">
        <v>-261.76800000000003</v>
      </c>
      <c r="BW104" s="61"/>
      <c r="BY104" s="59"/>
      <c r="BZ104" s="59"/>
      <c r="CA104" s="59"/>
      <c r="CC104" s="59"/>
    </row>
    <row r="105" spans="1:81" x14ac:dyDescent="0.2">
      <c r="A105">
        <f t="shared" si="106"/>
        <v>35500</v>
      </c>
      <c r="B105">
        <f t="shared" si="86"/>
        <v>35.5</v>
      </c>
      <c r="C105">
        <f t="shared" si="55"/>
        <v>1.0000099504856284</v>
      </c>
      <c r="D105">
        <f t="shared" si="56"/>
        <v>4.4610319700534784E-3</v>
      </c>
      <c r="F105">
        <f t="shared" si="57"/>
        <v>0.21535126924073589</v>
      </c>
      <c r="G105">
        <f t="shared" si="58"/>
        <v>0.1757655134706067</v>
      </c>
      <c r="H105">
        <f t="shared" si="59"/>
        <v>-2.9658271365293936</v>
      </c>
      <c r="J105">
        <f t="shared" si="60"/>
        <v>15</v>
      </c>
      <c r="M105">
        <f t="shared" si="61"/>
        <v>5.1124355006310233E-2</v>
      </c>
      <c r="N105">
        <f t="shared" si="62"/>
        <v>-1.5707963250000001</v>
      </c>
      <c r="O105">
        <f t="shared" si="63"/>
        <v>4.3528707933745183</v>
      </c>
      <c r="P105">
        <f t="shared" si="64"/>
        <v>1.3389925338138335</v>
      </c>
      <c r="Q105">
        <f t="shared" si="65"/>
        <v>2.9403366265908568</v>
      </c>
      <c r="R105">
        <f t="shared" si="66"/>
        <v>1.223776161633721</v>
      </c>
      <c r="S105">
        <f t="shared" si="67"/>
        <v>0.9999896069872849</v>
      </c>
      <c r="T105">
        <f t="shared" si="68"/>
        <v>-4.5591733280377243E-3</v>
      </c>
      <c r="U105">
        <f t="shared" si="69"/>
        <v>0.99737496318177654</v>
      </c>
      <c r="V105">
        <f t="shared" si="70"/>
        <v>-7.2473251514729761E-2</v>
      </c>
      <c r="X105">
        <f t="shared" si="87"/>
        <v>6.4779527295224391</v>
      </c>
      <c r="Y105">
        <f t="shared" si="71"/>
        <v>-117.25158212724354</v>
      </c>
      <c r="Z105">
        <f t="shared" si="88"/>
        <v>62.748417872756463</v>
      </c>
      <c r="AC105">
        <v>1</v>
      </c>
      <c r="AD105">
        <f t="shared" si="72"/>
        <v>4.2364471133029502</v>
      </c>
      <c r="AE105">
        <f t="shared" si="73"/>
        <v>-6.4256774694849546E-5</v>
      </c>
      <c r="AF105">
        <f t="shared" si="74"/>
        <v>8.8507461409920011E-4</v>
      </c>
      <c r="AG105">
        <f t="shared" si="89"/>
        <v>4679.8482677489737</v>
      </c>
      <c r="AH105">
        <f t="shared" si="90"/>
        <v>-1469.6071212828192</v>
      </c>
      <c r="AJ105">
        <f t="shared" si="75"/>
        <v>22100</v>
      </c>
      <c r="AK105">
        <f t="shared" si="76"/>
        <v>100.7584286742306</v>
      </c>
      <c r="AL105">
        <v>1</v>
      </c>
      <c r="AM105">
        <f t="shared" si="77"/>
        <v>2.7650641001017862</v>
      </c>
      <c r="AN105">
        <f t="shared" si="91"/>
        <v>2588.4446001225656</v>
      </c>
      <c r="AO105">
        <f t="shared" si="92"/>
        <v>-7056.4568102269996</v>
      </c>
      <c r="AQ105">
        <f t="shared" si="78"/>
        <v>1.9833399444664817</v>
      </c>
      <c r="AR105">
        <f t="shared" si="79"/>
        <v>-140.81713605712019</v>
      </c>
      <c r="AT105">
        <f t="shared" si="104"/>
        <v>-197664.13594472667</v>
      </c>
      <c r="AU105">
        <f t="shared" si="105"/>
        <v>-661917.5607525981</v>
      </c>
      <c r="AV105">
        <f t="shared" si="93"/>
        <v>-1.8609897954678292</v>
      </c>
      <c r="AW105">
        <f t="shared" si="94"/>
        <v>-978980.38050847733</v>
      </c>
      <c r="AX105">
        <f t="shared" si="95"/>
        <v>-435343.98333896953</v>
      </c>
      <c r="AY105">
        <f t="shared" si="103"/>
        <v>-2.7231622695272959</v>
      </c>
      <c r="BA105">
        <f t="shared" si="80"/>
        <v>0.64475661045711019</v>
      </c>
      <c r="BB105">
        <f t="shared" si="96"/>
        <v>-3.8120839300485416</v>
      </c>
      <c r="BC105">
        <f t="shared" si="97"/>
        <v>0.86217247405946673</v>
      </c>
      <c r="BD105">
        <f t="shared" si="81"/>
        <v>-130.60115596759368</v>
      </c>
      <c r="BF105">
        <f t="shared" si="82"/>
        <v>6.3727763946128357</v>
      </c>
      <c r="BG105">
        <f t="shared" si="83"/>
        <v>-120.27493554582169</v>
      </c>
      <c r="BH105">
        <f t="shared" si="98"/>
        <v>59.725064454178309</v>
      </c>
      <c r="BI105">
        <f t="shared" si="99"/>
        <v>59.725064454178309</v>
      </c>
      <c r="BJ105">
        <f t="shared" si="84"/>
        <v>0</v>
      </c>
      <c r="BK105">
        <f t="shared" si="100"/>
        <v>0</v>
      </c>
      <c r="BM105">
        <f t="shared" si="101"/>
        <v>10.184860324661376</v>
      </c>
      <c r="BN105">
        <f t="shared" si="85"/>
        <v>-169.67377957822802</v>
      </c>
      <c r="BQ105" s="56">
        <f t="shared" si="102"/>
        <v>13.089876870236596</v>
      </c>
      <c r="BR105" s="59"/>
      <c r="BS105" s="59"/>
      <c r="BT105" s="59">
        <v>891.25099999999998</v>
      </c>
      <c r="BU105" s="59">
        <v>15.882400000000001</v>
      </c>
      <c r="BV105" s="59">
        <v>-261.38310000000001</v>
      </c>
      <c r="BW105" s="61"/>
      <c r="BY105" s="59"/>
      <c r="BZ105" s="59"/>
      <c r="CA105" s="59"/>
      <c r="CC105" s="59"/>
    </row>
    <row r="106" spans="1:81" x14ac:dyDescent="0.2">
      <c r="A106">
        <f t="shared" si="106"/>
        <v>36000</v>
      </c>
      <c r="B106">
        <f t="shared" si="86"/>
        <v>36</v>
      </c>
      <c r="C106">
        <f t="shared" si="55"/>
        <v>1.000010232753465</v>
      </c>
      <c r="D106">
        <f t="shared" si="56"/>
        <v>4.5238625549637044E-3</v>
      </c>
      <c r="F106">
        <f t="shared" si="57"/>
        <v>0.20827530655539514</v>
      </c>
      <c r="G106">
        <f t="shared" si="58"/>
        <v>0.17235025542986276</v>
      </c>
      <c r="H106">
        <f t="shared" si="59"/>
        <v>-2.9692423945701374</v>
      </c>
      <c r="J106">
        <f t="shared" si="60"/>
        <v>15</v>
      </c>
      <c r="M106">
        <f t="shared" si="61"/>
        <v>5.041429452011148E-2</v>
      </c>
      <c r="N106">
        <f t="shared" si="62"/>
        <v>-1.5707963250000001</v>
      </c>
      <c r="O106">
        <f t="shared" si="63"/>
        <v>4.4109644500710878</v>
      </c>
      <c r="P106">
        <f t="shared" si="64"/>
        <v>1.3421002031725342</v>
      </c>
      <c r="Q106">
        <f t="shared" si="65"/>
        <v>2.9769891825112746</v>
      </c>
      <c r="R106">
        <f t="shared" si="66"/>
        <v>1.2282252801772824</v>
      </c>
      <c r="S106">
        <f t="shared" si="67"/>
        <v>0.99998931216939335</v>
      </c>
      <c r="T106">
        <f t="shared" si="68"/>
        <v>-4.6233861281664698E-3</v>
      </c>
      <c r="U106">
        <f t="shared" si="69"/>
        <v>0.99730079897358836</v>
      </c>
      <c r="V106">
        <f t="shared" si="70"/>
        <v>-7.3490355587988207E-2</v>
      </c>
      <c r="X106">
        <f t="shared" si="87"/>
        <v>6.2883903817312792</v>
      </c>
      <c r="Y106">
        <f t="shared" si="71"/>
        <v>-117.07264491106828</v>
      </c>
      <c r="Z106">
        <f t="shared" si="88"/>
        <v>62.927355088931719</v>
      </c>
      <c r="AC106">
        <v>1</v>
      </c>
      <c r="AD106">
        <f t="shared" si="72"/>
        <v>4.2961153825044001</v>
      </c>
      <c r="AE106">
        <f t="shared" si="73"/>
        <v>-6.6079571517179138E-5</v>
      </c>
      <c r="AF106">
        <f t="shared" si="74"/>
        <v>8.9754045373440026E-4</v>
      </c>
      <c r="AG106">
        <f t="shared" si="89"/>
        <v>4679.1523121659638</v>
      </c>
      <c r="AH106">
        <f t="shared" si="90"/>
        <v>-1458.6488825148394</v>
      </c>
      <c r="AJ106">
        <f t="shared" si="75"/>
        <v>22100</v>
      </c>
      <c r="AK106">
        <f t="shared" si="76"/>
        <v>102.17756147245922</v>
      </c>
      <c r="AL106">
        <v>1</v>
      </c>
      <c r="AM106">
        <f t="shared" si="77"/>
        <v>2.8040086648919522</v>
      </c>
      <c r="AN106">
        <f t="shared" si="91"/>
        <v>2525.9911092836242</v>
      </c>
      <c r="AO106">
        <f t="shared" si="92"/>
        <v>-6980.7233963988583</v>
      </c>
      <c r="AQ106">
        <f t="shared" si="78"/>
        <v>1.9286403085824493</v>
      </c>
      <c r="AR106">
        <f t="shared" si="79"/>
        <v>-138.86210221793635</v>
      </c>
      <c r="AT106">
        <f t="shared" si="104"/>
        <v>-193526.64846461423</v>
      </c>
      <c r="AU106">
        <f t="shared" si="105"/>
        <v>-652570.13569617015</v>
      </c>
      <c r="AV106">
        <f t="shared" si="93"/>
        <v>-1.8590948100742801</v>
      </c>
      <c r="AW106">
        <f t="shared" si="94"/>
        <v>-955132.85910985398</v>
      </c>
      <c r="AX106">
        <f t="shared" si="95"/>
        <v>-420364.11069289024</v>
      </c>
      <c r="AY106">
        <f t="shared" si="103"/>
        <v>-2.7269931087772559</v>
      </c>
      <c r="BA106">
        <f t="shared" si="80"/>
        <v>0.65225949563381214</v>
      </c>
      <c r="BB106">
        <f t="shared" si="96"/>
        <v>-3.7115917939193817</v>
      </c>
      <c r="BC106">
        <f t="shared" si="97"/>
        <v>0.86789829870297575</v>
      </c>
      <c r="BD106">
        <f t="shared" si="81"/>
        <v>-130.27309038091377</v>
      </c>
      <c r="BF106">
        <f t="shared" si="82"/>
        <v>6.1830779147065984</v>
      </c>
      <c r="BG106">
        <f t="shared" si="83"/>
        <v>-120.1389499037043</v>
      </c>
      <c r="BH106">
        <f t="shared" si="98"/>
        <v>59.861050096295699</v>
      </c>
      <c r="BI106">
        <f t="shared" si="99"/>
        <v>59.861050096295699</v>
      </c>
      <c r="BJ106">
        <f t="shared" si="84"/>
        <v>0</v>
      </c>
      <c r="BK106">
        <f t="shared" si="100"/>
        <v>0</v>
      </c>
      <c r="BM106">
        <f t="shared" si="101"/>
        <v>9.8946697086259796</v>
      </c>
      <c r="BN106">
        <f t="shared" si="85"/>
        <v>-169.86585952279054</v>
      </c>
      <c r="BQ106" s="56">
        <f t="shared" si="102"/>
        <v>13.190369006365755</v>
      </c>
      <c r="BR106" s="59"/>
      <c r="BS106" s="59"/>
      <c r="BT106" s="59">
        <v>912.01099999999997</v>
      </c>
      <c r="BU106" s="59">
        <v>15.6715</v>
      </c>
      <c r="BV106" s="59">
        <v>-261.74869999999999</v>
      </c>
      <c r="BW106" s="61"/>
      <c r="BY106" s="59"/>
      <c r="BZ106" s="59"/>
      <c r="CA106" s="59"/>
      <c r="CC106" s="59"/>
    </row>
    <row r="107" spans="1:81" x14ac:dyDescent="0.2">
      <c r="A107">
        <f t="shared" si="106"/>
        <v>36500</v>
      </c>
      <c r="B107">
        <f t="shared" si="86"/>
        <v>36.5</v>
      </c>
      <c r="C107">
        <f t="shared" si="55"/>
        <v>1.0000105189690223</v>
      </c>
      <c r="D107">
        <f t="shared" si="56"/>
        <v>4.5866931041561605E-3</v>
      </c>
      <c r="F107">
        <f t="shared" si="57"/>
        <v>0.20155879098614382</v>
      </c>
      <c r="G107">
        <f t="shared" si="58"/>
        <v>0.16907726466714898</v>
      </c>
      <c r="H107">
        <f t="shared" si="59"/>
        <v>-2.9725153853328514</v>
      </c>
      <c r="J107">
        <f t="shared" si="60"/>
        <v>15</v>
      </c>
      <c r="M107">
        <f t="shared" si="61"/>
        <v>4.9723687745863381E-2</v>
      </c>
      <c r="N107">
        <f t="shared" si="62"/>
        <v>-1.5707963250000001</v>
      </c>
      <c r="O107">
        <f t="shared" si="63"/>
        <v>4.4690995984054727</v>
      </c>
      <c r="P107">
        <f t="shared" si="64"/>
        <v>1.3451270504761754</v>
      </c>
      <c r="Q107">
        <f t="shared" si="65"/>
        <v>3.013699232863158</v>
      </c>
      <c r="R107">
        <f t="shared" si="66"/>
        <v>1.2325660929536073</v>
      </c>
      <c r="S107">
        <f t="shared" si="67"/>
        <v>0.99998901322844069</v>
      </c>
      <c r="T107">
        <f t="shared" si="68"/>
        <v>-4.6875988901679015E-3</v>
      </c>
      <c r="U107">
        <f t="shared" si="69"/>
        <v>0.99722561439432877</v>
      </c>
      <c r="V107">
        <f t="shared" si="70"/>
        <v>-7.4507307358132963E-2</v>
      </c>
      <c r="X107">
        <f t="shared" si="87"/>
        <v>6.1033899428634566</v>
      </c>
      <c r="Y107">
        <f t="shared" si="71"/>
        <v>-116.89638387984463</v>
      </c>
      <c r="Z107">
        <f t="shared" si="88"/>
        <v>63.103616120155365</v>
      </c>
      <c r="AC107">
        <v>1</v>
      </c>
      <c r="AD107">
        <f t="shared" si="72"/>
        <v>4.3557836517058499</v>
      </c>
      <c r="AE107">
        <f t="shared" si="73"/>
        <v>-6.7927862001359495E-5</v>
      </c>
      <c r="AF107">
        <f t="shared" si="74"/>
        <v>9.1000629336960008E-4</v>
      </c>
      <c r="AG107">
        <f t="shared" si="89"/>
        <v>4678.4468342650562</v>
      </c>
      <c r="AH107">
        <f t="shared" si="90"/>
        <v>-1448.1184366968212</v>
      </c>
      <c r="AJ107">
        <f t="shared" si="75"/>
        <v>22100</v>
      </c>
      <c r="AK107">
        <f t="shared" si="76"/>
        <v>103.59669427068782</v>
      </c>
      <c r="AL107">
        <v>1</v>
      </c>
      <c r="AM107">
        <f t="shared" si="77"/>
        <v>2.8429532296821183</v>
      </c>
      <c r="AN107">
        <f t="shared" si="91"/>
        <v>2465.7097584884841</v>
      </c>
      <c r="AO107">
        <f t="shared" si="92"/>
        <v>-6906.300827082865</v>
      </c>
      <c r="AQ107">
        <f t="shared" si="78"/>
        <v>1.876172607879925</v>
      </c>
      <c r="AR107">
        <f t="shared" si="79"/>
        <v>-136.96060037523452</v>
      </c>
      <c r="AT107">
        <f t="shared" si="104"/>
        <v>-189557.59670657202</v>
      </c>
      <c r="AU107">
        <f t="shared" si="105"/>
        <v>-643479.80738845386</v>
      </c>
      <c r="AV107">
        <f t="shared" si="93"/>
        <v>-1.8572751370988849</v>
      </c>
      <c r="AW107">
        <f t="shared" si="94"/>
        <v>-932107.19045336149</v>
      </c>
      <c r="AX107">
        <f t="shared" si="95"/>
        <v>-406101.11193076178</v>
      </c>
      <c r="AY107">
        <f t="shared" si="103"/>
        <v>-2.7307102518134116</v>
      </c>
      <c r="BA107">
        <f t="shared" si="80"/>
        <v>0.65978037383541122</v>
      </c>
      <c r="BB107">
        <f t="shared" si="96"/>
        <v>-3.6120121468881665</v>
      </c>
      <c r="BC107">
        <f t="shared" si="97"/>
        <v>0.87343511471452673</v>
      </c>
      <c r="BD107">
        <f t="shared" si="81"/>
        <v>-129.95585419114894</v>
      </c>
      <c r="BF107">
        <f t="shared" si="82"/>
        <v>5.9979392934459765</v>
      </c>
      <c r="BG107">
        <f t="shared" si="83"/>
        <v>-120.00564234594525</v>
      </c>
      <c r="BH107">
        <f t="shared" si="98"/>
        <v>59.994357654054753</v>
      </c>
      <c r="BI107">
        <f t="shared" si="99"/>
        <v>59.994357654054753</v>
      </c>
      <c r="BJ107">
        <f t="shared" si="84"/>
        <v>0</v>
      </c>
      <c r="BK107">
        <f t="shared" si="100"/>
        <v>0</v>
      </c>
      <c r="BM107">
        <f t="shared" si="101"/>
        <v>9.6099514403341448</v>
      </c>
      <c r="BN107">
        <f t="shared" si="85"/>
        <v>-170.04978815479632</v>
      </c>
      <c r="BQ107" s="56">
        <f t="shared" si="102"/>
        <v>13.289948653396969</v>
      </c>
      <c r="BR107" s="59"/>
      <c r="BS107" s="59"/>
      <c r="BT107" s="59">
        <v>933.25400000000002</v>
      </c>
      <c r="BU107" s="59">
        <v>15.471399999999999</v>
      </c>
      <c r="BV107" s="59">
        <v>-261.20730000000003</v>
      </c>
      <c r="BW107" s="61"/>
      <c r="BY107" s="59"/>
      <c r="BZ107" s="59"/>
      <c r="CA107" s="59"/>
      <c r="CC107" s="59"/>
    </row>
    <row r="108" spans="1:81" x14ac:dyDescent="0.2">
      <c r="A108">
        <f t="shared" si="106"/>
        <v>37000</v>
      </c>
      <c r="B108">
        <f t="shared" si="86"/>
        <v>37</v>
      </c>
      <c r="C108">
        <f t="shared" si="55"/>
        <v>1.0000108091322968</v>
      </c>
      <c r="D108">
        <f t="shared" si="56"/>
        <v>4.6495236171348094E-3</v>
      </c>
      <c r="F108">
        <f t="shared" si="57"/>
        <v>0.19517688631922944</v>
      </c>
      <c r="G108">
        <f t="shared" si="58"/>
        <v>0.16593745805607935</v>
      </c>
      <c r="H108">
        <f t="shared" si="59"/>
        <v>-2.9756551919439209</v>
      </c>
      <c r="J108">
        <f t="shared" si="60"/>
        <v>15</v>
      </c>
      <c r="M108">
        <f t="shared" si="61"/>
        <v>4.9051746019567931E-2</v>
      </c>
      <c r="N108">
        <f t="shared" si="62"/>
        <v>-1.5707963250000001</v>
      </c>
      <c r="O108">
        <f t="shared" si="63"/>
        <v>4.5272746399841894</v>
      </c>
      <c r="P108">
        <f t="shared" si="64"/>
        <v>1.3480761348326147</v>
      </c>
      <c r="Q108">
        <f t="shared" si="65"/>
        <v>3.0504647019403808</v>
      </c>
      <c r="R108">
        <f t="shared" si="66"/>
        <v>1.236802349396352</v>
      </c>
      <c r="S108">
        <f t="shared" si="67"/>
        <v>0.99998871016443824</v>
      </c>
      <c r="T108">
        <f t="shared" si="68"/>
        <v>-4.7518116135125193E-3</v>
      </c>
      <c r="U108">
        <f t="shared" si="69"/>
        <v>0.99714941014122893</v>
      </c>
      <c r="V108">
        <f t="shared" si="70"/>
        <v>-7.5524104756402893E-2</v>
      </c>
      <c r="X108">
        <f t="shared" si="87"/>
        <v>5.9227397650465408</v>
      </c>
      <c r="Y108">
        <f t="shared" si="71"/>
        <v>-116.72292923915273</v>
      </c>
      <c r="Z108">
        <f t="shared" si="88"/>
        <v>63.277070760847266</v>
      </c>
      <c r="AC108">
        <v>1</v>
      </c>
      <c r="AD108">
        <f t="shared" si="72"/>
        <v>4.4154519209072998</v>
      </c>
      <c r="AE108">
        <f t="shared" si="73"/>
        <v>-6.9801646147390602E-5</v>
      </c>
      <c r="AF108">
        <f t="shared" si="74"/>
        <v>9.2247213300480023E-4</v>
      </c>
      <c r="AG108">
        <f t="shared" si="89"/>
        <v>4677.73184275329</v>
      </c>
      <c r="AH108">
        <f t="shared" si="90"/>
        <v>-1437.9983258023728</v>
      </c>
      <c r="AJ108">
        <f t="shared" si="75"/>
        <v>22100</v>
      </c>
      <c r="AK108">
        <f t="shared" si="76"/>
        <v>105.01582706891641</v>
      </c>
      <c r="AL108">
        <v>1</v>
      </c>
      <c r="AM108">
        <f t="shared" si="77"/>
        <v>2.8818977944722839</v>
      </c>
      <c r="AN108">
        <f t="shared" si="91"/>
        <v>2407.5054929779167</v>
      </c>
      <c r="AO108">
        <f t="shared" si="92"/>
        <v>-6833.1689433240499</v>
      </c>
      <c r="AQ108">
        <f t="shared" si="78"/>
        <v>1.8258170531312763</v>
      </c>
      <c r="AR108">
        <f t="shared" si="79"/>
        <v>-135.11046193171444</v>
      </c>
      <c r="AT108">
        <f t="shared" si="104"/>
        <v>-185747.93548771646</v>
      </c>
      <c r="AU108">
        <f t="shared" si="105"/>
        <v>-634636.03193271102</v>
      </c>
      <c r="AV108">
        <f t="shared" si="93"/>
        <v>-1.8555279325002532</v>
      </c>
      <c r="AW108">
        <f t="shared" si="94"/>
        <v>-909867.91822689038</v>
      </c>
      <c r="AX108">
        <f t="shared" si="95"/>
        <v>-392512.70290399319</v>
      </c>
      <c r="AY108">
        <f t="shared" si="103"/>
        <v>-2.7343176617104614</v>
      </c>
      <c r="BA108">
        <f t="shared" si="80"/>
        <v>0.6673184080921547</v>
      </c>
      <c r="BB108">
        <f t="shared" si="96"/>
        <v>-3.5133378979320087</v>
      </c>
      <c r="BC108">
        <f t="shared" si="97"/>
        <v>0.87878972921020826</v>
      </c>
      <c r="BD108">
        <f t="shared" si="81"/>
        <v>-129.64905737927626</v>
      </c>
      <c r="BF108">
        <f t="shared" si="82"/>
        <v>5.8171488769584876</v>
      </c>
      <c r="BG108">
        <f t="shared" si="83"/>
        <v>-119.87514327835723</v>
      </c>
      <c r="BH108">
        <f t="shared" si="98"/>
        <v>60.124856721642772</v>
      </c>
      <c r="BI108">
        <f t="shared" si="99"/>
        <v>60.124856721642772</v>
      </c>
      <c r="BJ108">
        <f t="shared" si="84"/>
        <v>0</v>
      </c>
      <c r="BK108">
        <f t="shared" si="100"/>
        <v>0</v>
      </c>
      <c r="BM108">
        <f t="shared" si="101"/>
        <v>9.3304867748904954</v>
      </c>
      <c r="BN108">
        <f t="shared" si="85"/>
        <v>-170.226085899081</v>
      </c>
      <c r="BQ108" s="56">
        <f t="shared" si="102"/>
        <v>13.388622902353129</v>
      </c>
      <c r="BR108" s="59"/>
      <c r="BS108" s="59"/>
      <c r="BT108" s="59">
        <v>954.99300000000005</v>
      </c>
      <c r="BU108" s="59">
        <v>15.352499999999999</v>
      </c>
      <c r="BV108" s="59">
        <v>-261.26609999999999</v>
      </c>
      <c r="BW108" s="61"/>
      <c r="BY108" s="59"/>
      <c r="BZ108" s="59"/>
      <c r="CA108" s="59"/>
      <c r="CC108" s="59"/>
    </row>
    <row r="109" spans="1:81" x14ac:dyDescent="0.2">
      <c r="A109">
        <f t="shared" si="106"/>
        <v>37500</v>
      </c>
      <c r="B109">
        <f t="shared" si="86"/>
        <v>37.5</v>
      </c>
      <c r="C109">
        <f t="shared" si="55"/>
        <v>1.0000111032432848</v>
      </c>
      <c r="D109">
        <f t="shared" si="56"/>
        <v>4.7123540934036149E-3</v>
      </c>
      <c r="F109">
        <f t="shared" si="57"/>
        <v>0.18910692403213747</v>
      </c>
      <c r="G109">
        <f t="shared" si="58"/>
        <v>0.16292252250210373</v>
      </c>
      <c r="H109">
        <f t="shared" si="59"/>
        <v>-2.9786701274978964</v>
      </c>
      <c r="J109">
        <f t="shared" si="60"/>
        <v>15</v>
      </c>
      <c r="M109">
        <f t="shared" si="61"/>
        <v>4.8397722739307023E-2</v>
      </c>
      <c r="N109">
        <f t="shared" si="62"/>
        <v>-1.5707963250000001</v>
      </c>
      <c r="O109">
        <f t="shared" si="63"/>
        <v>4.5854880564580025</v>
      </c>
      <c r="P109">
        <f t="shared" si="64"/>
        <v>1.3509503655782304</v>
      </c>
      <c r="Q109">
        <f t="shared" si="65"/>
        <v>3.0872836098521685</v>
      </c>
      <c r="R109">
        <f t="shared" si="66"/>
        <v>1.2409376354945862</v>
      </c>
      <c r="S109">
        <f t="shared" si="67"/>
        <v>0.99998840297739744</v>
      </c>
      <c r="T109">
        <f t="shared" si="68"/>
        <v>-4.8160242976708258E-3</v>
      </c>
      <c r="U109">
        <f t="shared" si="69"/>
        <v>0.99707218692068911</v>
      </c>
      <c r="V109">
        <f t="shared" si="70"/>
        <v>-7.6540745715941674E-2</v>
      </c>
      <c r="X109">
        <f t="shared" si="87"/>
        <v>5.7462419627555139</v>
      </c>
      <c r="Y109">
        <f t="shared" si="71"/>
        <v>-116.55238502106629</v>
      </c>
      <c r="Z109">
        <f t="shared" si="88"/>
        <v>63.447614978933714</v>
      </c>
      <c r="AC109">
        <v>1</v>
      </c>
      <c r="AD109">
        <f t="shared" si="72"/>
        <v>4.4751201901087505</v>
      </c>
      <c r="AE109">
        <f t="shared" si="73"/>
        <v>-7.1700923955272488E-5</v>
      </c>
      <c r="AF109">
        <f t="shared" si="74"/>
        <v>9.3493797264000017E-4</v>
      </c>
      <c r="AG109">
        <f t="shared" si="89"/>
        <v>4677.0073464510942</v>
      </c>
      <c r="AH109">
        <f t="shared" si="90"/>
        <v>-1428.2720214213809</v>
      </c>
      <c r="AJ109">
        <f t="shared" si="75"/>
        <v>22100</v>
      </c>
      <c r="AK109">
        <f t="shared" si="76"/>
        <v>106.43495986714501</v>
      </c>
      <c r="AL109">
        <v>1</v>
      </c>
      <c r="AM109">
        <f t="shared" si="77"/>
        <v>2.9208423592624504</v>
      </c>
      <c r="AN109">
        <f t="shared" si="91"/>
        <v>2351.2881251671452</v>
      </c>
      <c r="AO109">
        <f t="shared" si="92"/>
        <v>-6761.3069949518449</v>
      </c>
      <c r="AQ109">
        <f t="shared" si="78"/>
        <v>1.7774617845716316</v>
      </c>
      <c r="AR109">
        <f t="shared" si="79"/>
        <v>-133.30963384287239</v>
      </c>
      <c r="AT109">
        <f t="shared" si="104"/>
        <v>-182089.2183792259</v>
      </c>
      <c r="AU109">
        <f t="shared" si="105"/>
        <v>-626028.83577186894</v>
      </c>
      <c r="AV109">
        <f t="shared" si="93"/>
        <v>-1.8538504904333586</v>
      </c>
      <c r="AW109">
        <f t="shared" si="94"/>
        <v>-888381.36032720585</v>
      </c>
      <c r="AX109">
        <f t="shared" si="95"/>
        <v>-379559.52204167208</v>
      </c>
      <c r="AY109">
        <f t="shared" si="103"/>
        <v>-2.7378191266505452</v>
      </c>
      <c r="BA109">
        <f t="shared" si="80"/>
        <v>0.67487280354533552</v>
      </c>
      <c r="BB109">
        <f t="shared" si="96"/>
        <v>-3.4155614596399624</v>
      </c>
      <c r="BC109">
        <f t="shared" si="97"/>
        <v>0.88396863621718658</v>
      </c>
      <c r="BD109">
        <f t="shared" si="81"/>
        <v>-129.3523278649466</v>
      </c>
      <c r="BF109">
        <f t="shared" si="82"/>
        <v>5.6405087736416624</v>
      </c>
      <c r="BG109">
        <f t="shared" si="83"/>
        <v>-119.74755692585258</v>
      </c>
      <c r="BH109">
        <f t="shared" si="98"/>
        <v>60.252443074147422</v>
      </c>
      <c r="BI109">
        <f t="shared" si="99"/>
        <v>60.252443074147422</v>
      </c>
      <c r="BJ109">
        <f t="shared" si="84"/>
        <v>0</v>
      </c>
      <c r="BK109">
        <f t="shared" si="100"/>
        <v>0</v>
      </c>
      <c r="BM109">
        <f t="shared" si="101"/>
        <v>9.0560702332816252</v>
      </c>
      <c r="BN109">
        <f t="shared" si="85"/>
        <v>-170.39522906090599</v>
      </c>
      <c r="BQ109" s="56">
        <f t="shared" si="102"/>
        <v>13.486399340645175</v>
      </c>
      <c r="BR109" s="59"/>
      <c r="BS109" s="59"/>
      <c r="BT109" s="59">
        <v>977.23699999999997</v>
      </c>
      <c r="BU109" s="59">
        <v>15.0807</v>
      </c>
      <c r="BV109" s="59">
        <v>-260.93240000000003</v>
      </c>
      <c r="BW109" s="61"/>
      <c r="BY109" s="59"/>
      <c r="BZ109" s="59"/>
      <c r="CA109" s="59"/>
      <c r="CC109" s="59"/>
    </row>
    <row r="110" spans="1:81" x14ac:dyDescent="0.2">
      <c r="A110">
        <f t="shared" si="106"/>
        <v>38000</v>
      </c>
      <c r="B110">
        <f t="shared" si="86"/>
        <v>38</v>
      </c>
      <c r="C110">
        <f t="shared" si="55"/>
        <v>1.0000114013019832</v>
      </c>
      <c r="D110">
        <f t="shared" si="56"/>
        <v>4.7751845324665414E-3</v>
      </c>
      <c r="F110">
        <f t="shared" si="57"/>
        <v>0.18332817566281495</v>
      </c>
      <c r="G110">
        <f t="shared" si="58"/>
        <v>0.16002483462667838</v>
      </c>
      <c r="H110">
        <f t="shared" si="59"/>
        <v>-2.9815678153733218</v>
      </c>
      <c r="J110">
        <f t="shared" si="60"/>
        <v>15</v>
      </c>
      <c r="M110">
        <f t="shared" si="61"/>
        <v>4.7760910598000347E-2</v>
      </c>
      <c r="N110">
        <f t="shared" si="62"/>
        <v>-1.5707963250000001</v>
      </c>
      <c r="O110">
        <f t="shared" si="63"/>
        <v>4.6437384046361814</v>
      </c>
      <c r="P110">
        <f t="shared" si="64"/>
        <v>1.3537525111650033</v>
      </c>
      <c r="Q110">
        <f t="shared" si="65"/>
        <v>3.1241540672304957</v>
      </c>
      <c r="R110">
        <f t="shared" si="66"/>
        <v>1.2449753821381859</v>
      </c>
      <c r="S110">
        <f t="shared" si="67"/>
        <v>0.99998809166732938</v>
      </c>
      <c r="T110">
        <f t="shared" si="68"/>
        <v>-4.8802369421133236E-3</v>
      </c>
      <c r="U110">
        <f t="shared" si="69"/>
        <v>0.99699394544826114</v>
      </c>
      <c r="V110">
        <f t="shared" si="70"/>
        <v>-7.7557228171822479E-2</v>
      </c>
      <c r="X110">
        <f t="shared" si="87"/>
        <v>5.5737112874480985</v>
      </c>
      <c r="Y110">
        <f t="shared" si="71"/>
        <v>-116.384832698564</v>
      </c>
      <c r="Z110">
        <f t="shared" si="88"/>
        <v>63.615167301436003</v>
      </c>
      <c r="AC110">
        <v>1</v>
      </c>
      <c r="AD110">
        <f t="shared" si="72"/>
        <v>4.5347884593102004</v>
      </c>
      <c r="AE110">
        <f t="shared" si="73"/>
        <v>-7.3625695425005139E-5</v>
      </c>
      <c r="AF110">
        <f t="shared" si="74"/>
        <v>9.4740381227520021E-4</v>
      </c>
      <c r="AG110">
        <f t="shared" si="89"/>
        <v>4676.2733542920041</v>
      </c>
      <c r="AH110">
        <f t="shared" si="90"/>
        <v>-1418.9238636045113</v>
      </c>
      <c r="AJ110">
        <f t="shared" si="75"/>
        <v>22100</v>
      </c>
      <c r="AK110">
        <f t="shared" si="76"/>
        <v>107.8540926653736</v>
      </c>
      <c r="AL110">
        <v>1</v>
      </c>
      <c r="AM110">
        <f t="shared" si="77"/>
        <v>2.959786924052616</v>
      </c>
      <c r="AN110">
        <f t="shared" si="91"/>
        <v>2296.9720590391566</v>
      </c>
      <c r="AO110">
        <f t="shared" si="92"/>
        <v>-6690.6937725929365</v>
      </c>
      <c r="AQ110">
        <f t="shared" si="78"/>
        <v>1.7310022503029254</v>
      </c>
      <c r="AR110">
        <f t="shared" si="79"/>
        <v>-131.55617102302233</v>
      </c>
      <c r="AT110">
        <f t="shared" si="104"/>
        <v>-178573.55076969165</v>
      </c>
      <c r="AU110">
        <f t="shared" si="105"/>
        <v>-617648.77754854911</v>
      </c>
      <c r="AV110">
        <f t="shared" si="93"/>
        <v>-1.8522402351238565</v>
      </c>
      <c r="AW110">
        <f t="shared" si="94"/>
        <v>-867615.51236273395</v>
      </c>
      <c r="AX110">
        <f t="shared" si="95"/>
        <v>-367204.90083195647</v>
      </c>
      <c r="AY110">
        <f t="shared" si="103"/>
        <v>-2.7412182690218572</v>
      </c>
      <c r="BA110">
        <f t="shared" si="80"/>
        <v>0.68244280473115437</v>
      </c>
      <c r="BB110">
        <f t="shared" si="96"/>
        <v>-3.3186748163088091</v>
      </c>
      <c r="BC110">
        <f t="shared" si="97"/>
        <v>0.88897803389800067</v>
      </c>
      <c r="BD110">
        <f t="shared" si="81"/>
        <v>-129.06531051960536</v>
      </c>
      <c r="BF110">
        <f t="shared" si="82"/>
        <v>5.4678337287985777</v>
      </c>
      <c r="BG110">
        <f t="shared" si="83"/>
        <v>-119.62296494732179</v>
      </c>
      <c r="BH110">
        <f t="shared" si="98"/>
        <v>60.37703505267821</v>
      </c>
      <c r="BI110">
        <f t="shared" si="99"/>
        <v>60.37703505267821</v>
      </c>
      <c r="BJ110">
        <f t="shared" si="84"/>
        <v>0</v>
      </c>
      <c r="BK110">
        <f t="shared" si="100"/>
        <v>0</v>
      </c>
      <c r="BM110">
        <f t="shared" si="101"/>
        <v>8.7865085451073863</v>
      </c>
      <c r="BN110">
        <f t="shared" si="85"/>
        <v>-170.55765442771641</v>
      </c>
      <c r="BQ110" s="56">
        <f t="shared" si="102"/>
        <v>13.583285983976328</v>
      </c>
      <c r="BR110" s="59"/>
      <c r="BS110" s="59"/>
      <c r="BT110" s="59">
        <v>1000</v>
      </c>
      <c r="BU110" s="59">
        <v>14.883800000000001</v>
      </c>
      <c r="BV110" s="59">
        <v>-260.5154</v>
      </c>
      <c r="BW110" s="61"/>
      <c r="BY110" s="59"/>
      <c r="BZ110" s="59"/>
      <c r="CA110" s="59"/>
      <c r="CC110" s="59"/>
    </row>
    <row r="111" spans="1:81" x14ac:dyDescent="0.2">
      <c r="A111">
        <f t="shared" si="106"/>
        <v>38500</v>
      </c>
      <c r="B111">
        <f t="shared" si="86"/>
        <v>38.5</v>
      </c>
      <c r="C111">
        <f t="shared" si="55"/>
        <v>1.0000117033083884</v>
      </c>
      <c r="D111">
        <f t="shared" si="56"/>
        <v>4.8380149338275542E-3</v>
      </c>
      <c r="F111">
        <f t="shared" si="57"/>
        <v>0.17782165296914701</v>
      </c>
      <c r="G111">
        <f t="shared" si="58"/>
        <v>0.15723739029744754</v>
      </c>
      <c r="H111">
        <f t="shared" si="59"/>
        <v>-2.9843552597025527</v>
      </c>
      <c r="J111">
        <f t="shared" si="60"/>
        <v>15</v>
      </c>
      <c r="M111">
        <f t="shared" si="61"/>
        <v>4.7140639031792553E-2</v>
      </c>
      <c r="N111">
        <f t="shared" si="62"/>
        <v>-1.5707963250000001</v>
      </c>
      <c r="O111">
        <f t="shared" si="63"/>
        <v>4.7020243119496934</v>
      </c>
      <c r="P111">
        <f t="shared" si="64"/>
        <v>1.3564852074347273</v>
      </c>
      <c r="Q111">
        <f t="shared" si="65"/>
        <v>3.1610742702722523</v>
      </c>
      <c r="R111">
        <f t="shared" si="66"/>
        <v>1.2489188729912195</v>
      </c>
      <c r="S111">
        <f t="shared" si="67"/>
        <v>0.99998777623424551</v>
      </c>
      <c r="T111">
        <f t="shared" si="68"/>
        <v>-4.9444495463105195E-3</v>
      </c>
      <c r="U111">
        <f t="shared" si="69"/>
        <v>0.99691468644862968</v>
      </c>
      <c r="V111">
        <f t="shared" si="70"/>
        <v>-7.8573550061072431E-2</v>
      </c>
      <c r="X111">
        <f t="shared" si="87"/>
        <v>5.4049741116648864</v>
      </c>
      <c r="Y111">
        <f t="shared" si="71"/>
        <v>-116.22033429796477</v>
      </c>
      <c r="Z111">
        <f t="shared" si="88"/>
        <v>63.779665702035231</v>
      </c>
      <c r="AC111">
        <v>1</v>
      </c>
      <c r="AD111">
        <f t="shared" si="72"/>
        <v>4.5944567285116502</v>
      </c>
      <c r="AE111">
        <f t="shared" si="73"/>
        <v>-7.5575960556588555E-5</v>
      </c>
      <c r="AF111">
        <f t="shared" si="74"/>
        <v>9.5986965191040014E-4</v>
      </c>
      <c r="AG111">
        <f t="shared" si="89"/>
        <v>4675.5298753224051</v>
      </c>
      <c r="AH111">
        <f t="shared" si="90"/>
        <v>-1409.9390044731281</v>
      </c>
      <c r="AJ111">
        <f t="shared" si="75"/>
        <v>22100</v>
      </c>
      <c r="AK111">
        <f t="shared" si="76"/>
        <v>109.27322546360222</v>
      </c>
      <c r="AL111">
        <v>1</v>
      </c>
      <c r="AM111">
        <f t="shared" si="77"/>
        <v>2.9987314888427821</v>
      </c>
      <c r="AN111">
        <f t="shared" si="91"/>
        <v>2244.4760307775496</v>
      </c>
      <c r="AO111">
        <f t="shared" si="92"/>
        <v>-6621.3077239818977</v>
      </c>
      <c r="AQ111">
        <f t="shared" si="78"/>
        <v>1.6863406408094435</v>
      </c>
      <c r="AR111">
        <f t="shared" si="79"/>
        <v>-129.84822934232716</v>
      </c>
      <c r="AT111">
        <f t="shared" si="104"/>
        <v>-175193.5471654443</v>
      </c>
      <c r="AU111">
        <f t="shared" si="105"/>
        <v>-609486.91299207148</v>
      </c>
      <c r="AV111">
        <f t="shared" si="93"/>
        <v>-1.8506947132959657</v>
      </c>
      <c r="AW111">
        <f t="shared" si="94"/>
        <v>-847539.95639420522</v>
      </c>
      <c r="AX111">
        <f t="shared" si="95"/>
        <v>-355414.65434822533</v>
      </c>
      <c r="AY111">
        <f t="shared" si="103"/>
        <v>-2.7445185539865906</v>
      </c>
      <c r="BA111">
        <f t="shared" si="80"/>
        <v>0.69002769307253697</v>
      </c>
      <c r="BB111">
        <f t="shared" si="96"/>
        <v>-3.2226695850448617</v>
      </c>
      <c r="BC111">
        <f t="shared" si="97"/>
        <v>0.89382384069062493</v>
      </c>
      <c r="BD111">
        <f t="shared" si="81"/>
        <v>-128.78766624173491</v>
      </c>
      <c r="BF111">
        <f t="shared" si="82"/>
        <v>5.2989501087382918</v>
      </c>
      <c r="BG111">
        <f t="shared" si="83"/>
        <v>-119.50142954849923</v>
      </c>
      <c r="BH111">
        <f t="shared" si="98"/>
        <v>60.498570451500768</v>
      </c>
      <c r="BI111">
        <f t="shared" si="99"/>
        <v>60.498570451500768</v>
      </c>
      <c r="BJ111">
        <f t="shared" si="84"/>
        <v>0</v>
      </c>
      <c r="BK111">
        <f t="shared" si="100"/>
        <v>0</v>
      </c>
      <c r="BM111">
        <f t="shared" si="101"/>
        <v>8.5216196937831548</v>
      </c>
      <c r="BN111">
        <f t="shared" si="85"/>
        <v>-170.71376330676432</v>
      </c>
      <c r="BQ111" s="56">
        <f t="shared" si="102"/>
        <v>13.679291215240275</v>
      </c>
      <c r="BR111" s="59"/>
      <c r="BS111" s="59"/>
      <c r="BT111" s="59">
        <v>1023.293</v>
      </c>
      <c r="BU111" s="59">
        <v>14.7437</v>
      </c>
      <c r="BV111" s="59">
        <v>-261.12389999999999</v>
      </c>
      <c r="BW111" s="61"/>
      <c r="BY111" s="59"/>
      <c r="BZ111" s="59"/>
      <c r="CA111" s="59"/>
      <c r="CC111" s="59"/>
    </row>
    <row r="112" spans="1:81" x14ac:dyDescent="0.2">
      <c r="A112">
        <f t="shared" si="106"/>
        <v>39000</v>
      </c>
      <c r="B112">
        <f t="shared" si="86"/>
        <v>39</v>
      </c>
      <c r="C112">
        <f t="shared" si="55"/>
        <v>1.0000120092624967</v>
      </c>
      <c r="D112">
        <f t="shared" si="56"/>
        <v>4.9008452969906231E-3</v>
      </c>
      <c r="F112">
        <f t="shared" si="57"/>
        <v>0.17256993203258661</v>
      </c>
      <c r="G112">
        <f t="shared" si="58"/>
        <v>0.15455374262769758</v>
      </c>
      <c r="H112">
        <f t="shared" si="59"/>
        <v>-2.9870389073723027</v>
      </c>
      <c r="J112">
        <f t="shared" si="60"/>
        <v>15</v>
      </c>
      <c r="M112">
        <f t="shared" si="61"/>
        <v>4.6536271864718294E-2</v>
      </c>
      <c r="N112">
        <f t="shared" si="62"/>
        <v>-1.5707963250000001</v>
      </c>
      <c r="O112">
        <f t="shared" si="63"/>
        <v>4.760344472234963</v>
      </c>
      <c r="P112">
        <f t="shared" si="64"/>
        <v>1.359150965328018</v>
      </c>
      <c r="Q112">
        <f t="shared" si="65"/>
        <v>3.1980424960927336</v>
      </c>
      <c r="R112">
        <f t="shared" si="66"/>
        <v>1.2527712519211922</v>
      </c>
      <c r="S112">
        <f t="shared" si="67"/>
        <v>0.9999874566781578</v>
      </c>
      <c r="T112">
        <f t="shared" si="68"/>
        <v>-5.0086621097329212E-3</v>
      </c>
      <c r="U112">
        <f t="shared" si="69"/>
        <v>0.99683441065559375</v>
      </c>
      <c r="V112">
        <f t="shared" si="70"/>
        <v>-7.9589709322697169E-2</v>
      </c>
      <c r="X112">
        <f t="shared" si="87"/>
        <v>5.2398675103709946</v>
      </c>
      <c r="Y112">
        <f t="shared" si="71"/>
        <v>-116.05893508394084</v>
      </c>
      <c r="Z112">
        <f t="shared" si="88"/>
        <v>63.941064916059162</v>
      </c>
      <c r="AC112">
        <v>1</v>
      </c>
      <c r="AD112">
        <f t="shared" si="72"/>
        <v>4.6541249977131001</v>
      </c>
      <c r="AE112">
        <f t="shared" si="73"/>
        <v>-7.7551719350022735E-5</v>
      </c>
      <c r="AF112">
        <f t="shared" si="74"/>
        <v>9.7233549154560018E-4</v>
      </c>
      <c r="AG112">
        <f t="shared" si="89"/>
        <v>4674.7769187012409</v>
      </c>
      <c r="AH112">
        <f t="shared" si="90"/>
        <v>-1401.303356166942</v>
      </c>
      <c r="AJ112">
        <f t="shared" si="75"/>
        <v>22100</v>
      </c>
      <c r="AK112">
        <f t="shared" si="76"/>
        <v>110.69235826183082</v>
      </c>
      <c r="AL112">
        <v>1</v>
      </c>
      <c r="AM112">
        <f t="shared" si="77"/>
        <v>3.0376760536329481</v>
      </c>
      <c r="AN112">
        <f t="shared" si="91"/>
        <v>2193.7228647426191</v>
      </c>
      <c r="AO112">
        <f t="shared" si="92"/>
        <v>-6553.1270562738937</v>
      </c>
      <c r="AQ112">
        <f t="shared" si="78"/>
        <v>1.6433853738701725</v>
      </c>
      <c r="AR112">
        <f t="shared" si="79"/>
        <v>-128.18405916187345</v>
      </c>
      <c r="AT112">
        <f t="shared" si="104"/>
        <v>-171942.29229633562</v>
      </c>
      <c r="AU112">
        <f t="shared" si="105"/>
        <v>-601534.76255524019</v>
      </c>
      <c r="AV112">
        <f t="shared" si="93"/>
        <v>-1.8492115871115717</v>
      </c>
      <c r="AW112">
        <f t="shared" si="94"/>
        <v>-828125.77468423767</v>
      </c>
      <c r="AX112">
        <f t="shared" si="95"/>
        <v>-344156.88990417036</v>
      </c>
      <c r="AY112">
        <f t="shared" si="103"/>
        <v>-2.7477232975513379</v>
      </c>
      <c r="BA112">
        <f t="shared" si="80"/>
        <v>0.69762678456049787</v>
      </c>
      <c r="BB112">
        <f t="shared" si="96"/>
        <v>-3.127537070583303</v>
      </c>
      <c r="BC112">
        <f t="shared" si="97"/>
        <v>0.89851171043976619</v>
      </c>
      <c r="BD112">
        <f t="shared" si="81"/>
        <v>-128.51907108989514</v>
      </c>
      <c r="BF112">
        <f t="shared" si="82"/>
        <v>5.1336949821177589</v>
      </c>
      <c r="BG112">
        <f t="shared" si="83"/>
        <v>-119.38299616737332</v>
      </c>
      <c r="BH112">
        <f t="shared" si="98"/>
        <v>60.617003832626679</v>
      </c>
      <c r="BI112">
        <f t="shared" si="99"/>
        <v>60.617003832626679</v>
      </c>
      <c r="BJ112">
        <f t="shared" si="84"/>
        <v>0</v>
      </c>
      <c r="BK112">
        <f t="shared" si="100"/>
        <v>0</v>
      </c>
      <c r="BM112">
        <f t="shared" si="101"/>
        <v>8.261232052701061</v>
      </c>
      <c r="BN112">
        <f t="shared" si="85"/>
        <v>-170.86392507747817</v>
      </c>
      <c r="BQ112" s="56">
        <f t="shared" si="102"/>
        <v>13.774423729701834</v>
      </c>
      <c r="BR112" s="59"/>
      <c r="BS112" s="59"/>
      <c r="BT112" s="59">
        <v>1047.1289999999999</v>
      </c>
      <c r="BU112" s="59">
        <v>14.586600000000001</v>
      </c>
      <c r="BV112" s="59">
        <v>-260.40769999999998</v>
      </c>
      <c r="BW112" s="61"/>
      <c r="BY112" s="59"/>
      <c r="BZ112" s="59"/>
      <c r="CA112" s="59"/>
      <c r="CC112" s="59"/>
    </row>
    <row r="113" spans="1:81" x14ac:dyDescent="0.2">
      <c r="A113">
        <f t="shared" si="106"/>
        <v>39500</v>
      </c>
      <c r="B113">
        <f t="shared" si="86"/>
        <v>39.5</v>
      </c>
      <c r="C113">
        <f t="shared" si="55"/>
        <v>1.0000123191643044</v>
      </c>
      <c r="D113">
        <f t="shared" si="56"/>
        <v>4.9636756214597177E-3</v>
      </c>
      <c r="F113">
        <f t="shared" si="57"/>
        <v>0.16755699805177512</v>
      </c>
      <c r="G113">
        <f t="shared" si="58"/>
        <v>0.15196794728331806</v>
      </c>
      <c r="H113">
        <f t="shared" si="59"/>
        <v>-2.9896247027166822</v>
      </c>
      <c r="J113">
        <f t="shared" si="60"/>
        <v>15</v>
      </c>
      <c r="M113">
        <f t="shared" si="61"/>
        <v>4.5947205132253505E-2</v>
      </c>
      <c r="N113">
        <f t="shared" si="62"/>
        <v>-1.5707963250000001</v>
      </c>
      <c r="O113">
        <f t="shared" si="63"/>
        <v>4.8186976418124594</v>
      </c>
      <c r="P113">
        <f t="shared" si="64"/>
        <v>1.361752178071699</v>
      </c>
      <c r="Q113">
        <f t="shared" si="65"/>
        <v>3.2350570983687792</v>
      </c>
      <c r="R113">
        <f t="shared" si="66"/>
        <v>1.2565355300104655</v>
      </c>
      <c r="S113">
        <f t="shared" si="67"/>
        <v>0.99998713299907827</v>
      </c>
      <c r="T113">
        <f t="shared" si="68"/>
        <v>-5.0728746318510392E-3</v>
      </c>
      <c r="U113">
        <f t="shared" si="69"/>
        <v>0.99675311881204831</v>
      </c>
      <c r="V113">
        <f t="shared" si="70"/>
        <v>-8.0605703897705258E-2</v>
      </c>
      <c r="X113">
        <f t="shared" si="87"/>
        <v>5.0782384288413107</v>
      </c>
      <c r="Y113">
        <f t="shared" si="71"/>
        <v>-115.90066587966795</v>
      </c>
      <c r="Z113">
        <f t="shared" si="88"/>
        <v>64.099334120332045</v>
      </c>
      <c r="AC113">
        <v>1</v>
      </c>
      <c r="AD113">
        <f t="shared" si="72"/>
        <v>4.7137932669145499</v>
      </c>
      <c r="AE113">
        <f t="shared" si="73"/>
        <v>-7.9552971805307667E-5</v>
      </c>
      <c r="AF113">
        <f t="shared" si="74"/>
        <v>9.8480133118080022E-4</v>
      </c>
      <c r="AG113">
        <f t="shared" si="89"/>
        <v>4674.0144936997422</v>
      </c>
      <c r="AH113">
        <f t="shared" si="90"/>
        <v>-1393.0035427450491</v>
      </c>
      <c r="AJ113">
        <f t="shared" si="75"/>
        <v>22100</v>
      </c>
      <c r="AK113">
        <f t="shared" si="76"/>
        <v>112.11149106005942</v>
      </c>
      <c r="AL113">
        <v>1</v>
      </c>
      <c r="AM113">
        <f t="shared" si="77"/>
        <v>3.0766206184231142</v>
      </c>
      <c r="AN113">
        <f t="shared" si="91"/>
        <v>2144.6392439256388</v>
      </c>
      <c r="AO113">
        <f t="shared" si="92"/>
        <v>-6486.1298258809193</v>
      </c>
      <c r="AQ113">
        <f t="shared" si="78"/>
        <v>1.6020506247997437</v>
      </c>
      <c r="AR113">
        <f t="shared" si="79"/>
        <v>-126.56199935917975</v>
      </c>
      <c r="AT113">
        <f t="shared" si="104"/>
        <v>-168813.30564427932</v>
      </c>
      <c r="AU113">
        <f t="shared" si="105"/>
        <v>-593784.28155242663</v>
      </c>
      <c r="AV113">
        <f t="shared" si="93"/>
        <v>-1.8477886275817474</v>
      </c>
      <c r="AW113">
        <f t="shared" si="94"/>
        <v>-809345.46822468028</v>
      </c>
      <c r="AX113">
        <f t="shared" si="95"/>
        <v>-333401.83211991994</v>
      </c>
      <c r="AY113">
        <f t="shared" si="103"/>
        <v>-2.7508356741709914</v>
      </c>
      <c r="BA113">
        <f t="shared" si="80"/>
        <v>0.70523942760851888</v>
      </c>
      <c r="BB113">
        <f t="shared" si="96"/>
        <v>-3.0332683144606962</v>
      </c>
      <c r="BC113">
        <f t="shared" si="97"/>
        <v>0.90304704658924395</v>
      </c>
      <c r="BD113">
        <f t="shared" si="81"/>
        <v>-128.25921546956005</v>
      </c>
      <c r="BF113">
        <f t="shared" si="82"/>
        <v>4.9719152878273345</v>
      </c>
      <c r="BG113">
        <f t="shared" si="83"/>
        <v>-119.2676957947034</v>
      </c>
      <c r="BH113">
        <f t="shared" si="98"/>
        <v>60.7323042052966</v>
      </c>
      <c r="BI113">
        <f t="shared" si="99"/>
        <v>60.7323042052966</v>
      </c>
      <c r="BJ113">
        <f t="shared" si="84"/>
        <v>0</v>
      </c>
      <c r="BK113">
        <f t="shared" si="100"/>
        <v>0</v>
      </c>
      <c r="BM113">
        <f t="shared" si="101"/>
        <v>8.0051836022880316</v>
      </c>
      <c r="BN113">
        <f t="shared" si="85"/>
        <v>-171.00848032514338</v>
      </c>
      <c r="BQ113" s="56">
        <f t="shared" si="102"/>
        <v>13.868692485824441</v>
      </c>
      <c r="BR113" s="59"/>
      <c r="BS113" s="59"/>
      <c r="BT113" s="59">
        <v>1071.519</v>
      </c>
      <c r="BU113" s="59">
        <v>14.3581</v>
      </c>
      <c r="BV113" s="59">
        <v>-260.5301</v>
      </c>
      <c r="BW113" s="61"/>
      <c r="BY113" s="59"/>
      <c r="BZ113" s="59"/>
      <c r="CA113" s="59"/>
      <c r="CC113" s="59"/>
    </row>
    <row r="114" spans="1:81" x14ac:dyDescent="0.2">
      <c r="A114">
        <f t="shared" si="106"/>
        <v>40000</v>
      </c>
      <c r="B114">
        <f t="shared" si="86"/>
        <v>40</v>
      </c>
      <c r="C114">
        <f t="shared" si="55"/>
        <v>1.0000126330138079</v>
      </c>
      <c r="D114">
        <f t="shared" si="56"/>
        <v>5.0265059067388105E-3</v>
      </c>
      <c r="F114">
        <f t="shared" si="57"/>
        <v>0.16276810806412853</v>
      </c>
      <c r="G114">
        <f t="shared" si="58"/>
        <v>0.14947451411358004</v>
      </c>
      <c r="H114">
        <f t="shared" si="59"/>
        <v>-2.9921181358864199</v>
      </c>
      <c r="J114">
        <f t="shared" si="60"/>
        <v>15</v>
      </c>
      <c r="M114">
        <f t="shared" si="61"/>
        <v>4.5372865068100336E-2</v>
      </c>
      <c r="N114">
        <f t="shared" si="62"/>
        <v>-1.5707963250000001</v>
      </c>
      <c r="O114">
        <f t="shared" si="63"/>
        <v>4.8770826358366062</v>
      </c>
      <c r="P114">
        <f t="shared" si="64"/>
        <v>1.3642911278844427</v>
      </c>
      <c r="Q114">
        <f t="shared" si="65"/>
        <v>3.2721165032514965</v>
      </c>
      <c r="R114">
        <f t="shared" si="66"/>
        <v>1.2602145921746672</v>
      </c>
      <c r="S114">
        <f t="shared" si="67"/>
        <v>0.99998680519701844</v>
      </c>
      <c r="T114">
        <f t="shared" si="68"/>
        <v>-5.1370871121353854E-3</v>
      </c>
      <c r="U114">
        <f t="shared" si="69"/>
        <v>0.99667081166996563</v>
      </c>
      <c r="V114">
        <f t="shared" si="70"/>
        <v>-8.1621531729132613E-2</v>
      </c>
      <c r="X114">
        <f t="shared" si="87"/>
        <v>4.9199429277085818</v>
      </c>
      <c r="Y114">
        <f t="shared" si="71"/>
        <v>-115.74554507476677</v>
      </c>
      <c r="Z114">
        <f t="shared" si="88"/>
        <v>64.254454925233233</v>
      </c>
      <c r="AC114">
        <v>1</v>
      </c>
      <c r="AD114">
        <f t="shared" si="72"/>
        <v>4.7734615361159998</v>
      </c>
      <c r="AE114">
        <f t="shared" si="73"/>
        <v>-8.1579717922443363E-5</v>
      </c>
      <c r="AF114">
        <f t="shared" si="74"/>
        <v>9.9726717081600027E-4</v>
      </c>
      <c r="AG114">
        <f t="shared" si="89"/>
        <v>4673.2426097011421</v>
      </c>
      <c r="AH114">
        <f t="shared" si="90"/>
        <v>-1385.0268556944277</v>
      </c>
      <c r="AJ114">
        <f t="shared" si="75"/>
        <v>22100</v>
      </c>
      <c r="AK114">
        <f t="shared" si="76"/>
        <v>113.53062385828801</v>
      </c>
      <c r="AL114">
        <v>1</v>
      </c>
      <c r="AM114">
        <f t="shared" si="77"/>
        <v>3.1155651832132802</v>
      </c>
      <c r="AN114">
        <f t="shared" si="91"/>
        <v>2097.1554940505125</v>
      </c>
      <c r="AO114">
        <f t="shared" si="92"/>
        <v>-6420.2940171899354</v>
      </c>
      <c r="AQ114">
        <f t="shared" si="78"/>
        <v>1.562255897516013</v>
      </c>
      <c r="AR114">
        <f t="shared" si="79"/>
        <v>-124.98047180128106</v>
      </c>
      <c r="AT114">
        <f t="shared" si="104"/>
        <v>-165800.50905460565</v>
      </c>
      <c r="AU114">
        <f t="shared" si="105"/>
        <v>-586227.83257582528</v>
      </c>
      <c r="AV114">
        <f t="shared" si="93"/>
        <v>-1.8464237084151214</v>
      </c>
      <c r="AW114">
        <f t="shared" si="94"/>
        <v>-791172.87981124443</v>
      </c>
      <c r="AX114">
        <f t="shared" si="95"/>
        <v>-323121.66285732429</v>
      </c>
      <c r="AY114">
        <f t="shared" si="103"/>
        <v>-2.7538587239152248</v>
      </c>
      <c r="BA114">
        <f t="shared" si="80"/>
        <v>0.7128650010650166</v>
      </c>
      <c r="BB114">
        <f t="shared" si="96"/>
        <v>-2.9398541391097295</v>
      </c>
      <c r="BC114">
        <f t="shared" si="97"/>
        <v>0.90743501550010341</v>
      </c>
      <c r="BD114">
        <f t="shared" si="81"/>
        <v>-128.00780337004591</v>
      </c>
      <c r="BF114">
        <f t="shared" si="82"/>
        <v>4.8134670800391346</v>
      </c>
      <c r="BG114">
        <f t="shared" si="83"/>
        <v>-119.15554698230019</v>
      </c>
      <c r="BH114">
        <f t="shared" si="98"/>
        <v>60.844453017699806</v>
      </c>
      <c r="BI114">
        <f t="shared" si="99"/>
        <v>60.844453017699806</v>
      </c>
      <c r="BJ114">
        <f t="shared" si="84"/>
        <v>0</v>
      </c>
      <c r="BK114">
        <f t="shared" si="100"/>
        <v>0</v>
      </c>
      <c r="BM114">
        <f t="shared" si="101"/>
        <v>7.7533212191488641</v>
      </c>
      <c r="BN114">
        <f t="shared" si="85"/>
        <v>-171.14774361225432</v>
      </c>
      <c r="BQ114" s="56">
        <f t="shared" si="102"/>
        <v>13.962106661175408</v>
      </c>
      <c r="BR114" s="59"/>
      <c r="BS114" s="59"/>
      <c r="BT114" s="59">
        <v>1096.4780000000001</v>
      </c>
      <c r="BU114" s="59">
        <v>14.1501</v>
      </c>
      <c r="BV114" s="59">
        <v>-260.5471</v>
      </c>
      <c r="BW114" s="61"/>
      <c r="BY114" s="59"/>
      <c r="BZ114" s="59"/>
      <c r="CA114" s="59"/>
      <c r="CC114" s="59"/>
    </row>
    <row r="115" spans="1:81" x14ac:dyDescent="0.2">
      <c r="A115">
        <f t="shared" si="106"/>
        <v>40500</v>
      </c>
      <c r="B115">
        <f t="shared" si="86"/>
        <v>40.5</v>
      </c>
      <c r="C115">
        <f t="shared" si="55"/>
        <v>1.0000129508110038</v>
      </c>
      <c r="D115">
        <f t="shared" si="56"/>
        <v>5.0893361523318744E-3</v>
      </c>
      <c r="F115">
        <f t="shared" si="57"/>
        <v>0.15818966924391334</v>
      </c>
      <c r="G115">
        <f t="shared" si="58"/>
        <v>0.14706836427009171</v>
      </c>
      <c r="H115">
        <f t="shared" si="59"/>
        <v>-2.9945242857299084</v>
      </c>
      <c r="J115">
        <f t="shared" si="60"/>
        <v>15</v>
      </c>
      <c r="M115">
        <f t="shared" si="61"/>
        <v>4.4812706240099094E-2</v>
      </c>
      <c r="N115">
        <f t="shared" si="62"/>
        <v>-1.5707963250000001</v>
      </c>
      <c r="O115">
        <f t="shared" si="63"/>
        <v>4.9354983248956641</v>
      </c>
      <c r="P115">
        <f t="shared" si="64"/>
        <v>1.366769992237179</v>
      </c>
      <c r="Q115">
        <f t="shared" si="65"/>
        <v>3.3092192055300247</v>
      </c>
      <c r="R115">
        <f t="shared" si="66"/>
        <v>1.2638112034114746</v>
      </c>
      <c r="S115">
        <f t="shared" si="67"/>
        <v>0.99998647327199086</v>
      </c>
      <c r="T115">
        <f t="shared" si="68"/>
        <v>-5.2012995500564738E-3</v>
      </c>
      <c r="U115">
        <f t="shared" si="69"/>
        <v>0.99658748999037494</v>
      </c>
      <c r="V115">
        <f t="shared" si="70"/>
        <v>-8.2637190762066701E-2</v>
      </c>
      <c r="X115">
        <f t="shared" si="87"/>
        <v>4.7648454969337877</v>
      </c>
      <c r="Y115">
        <f t="shared" si="71"/>
        <v>-115.5935803654838</v>
      </c>
      <c r="Z115">
        <f t="shared" si="88"/>
        <v>64.406419634516197</v>
      </c>
      <c r="AC115">
        <v>1</v>
      </c>
      <c r="AD115">
        <f t="shared" si="72"/>
        <v>4.8331298053174505</v>
      </c>
      <c r="AE115">
        <f t="shared" si="73"/>
        <v>-8.3631957701429838E-5</v>
      </c>
      <c r="AF115">
        <f t="shared" si="74"/>
        <v>1.0097330104512001E-3</v>
      </c>
      <c r="AG115">
        <f t="shared" si="89"/>
        <v>4672.4612762003926</v>
      </c>
      <c r="AH115">
        <f t="shared" si="90"/>
        <v>-1377.361212734141</v>
      </c>
      <c r="AJ115">
        <f t="shared" si="75"/>
        <v>22100</v>
      </c>
      <c r="AK115">
        <f t="shared" si="76"/>
        <v>114.94975665651661</v>
      </c>
      <c r="AL115">
        <v>1</v>
      </c>
      <c r="AM115">
        <f t="shared" si="77"/>
        <v>3.1545097480034463</v>
      </c>
      <c r="AN115">
        <f t="shared" si="91"/>
        <v>2051.2053805278565</v>
      </c>
      <c r="AO115">
        <f t="shared" si="92"/>
        <v>-6355.5976113757251</v>
      </c>
      <c r="AQ115">
        <f t="shared" si="78"/>
        <v>1.5239256324291375</v>
      </c>
      <c r="AR115">
        <f t="shared" si="79"/>
        <v>-123.43797622676013</v>
      </c>
      <c r="AT115">
        <f t="shared" si="104"/>
        <v>-162898.19712780407</v>
      </c>
      <c r="AU115">
        <f t="shared" si="105"/>
        <v>-578858.15998928051</v>
      </c>
      <c r="AV115">
        <f t="shared" si="93"/>
        <v>-1.8451148002704565</v>
      </c>
      <c r="AW115">
        <f t="shared" si="94"/>
        <v>-773583.12143796659</v>
      </c>
      <c r="AX115">
        <f t="shared" si="95"/>
        <v>-313290.37463925034</v>
      </c>
      <c r="AY115">
        <f t="shared" si="103"/>
        <v>-2.7567953592247614</v>
      </c>
      <c r="BA115">
        <f t="shared" si="80"/>
        <v>0.72050291237045594</v>
      </c>
      <c r="BB115">
        <f t="shared" si="96"/>
        <v>-2.8472851873853489</v>
      </c>
      <c r="BC115">
        <f t="shared" si="97"/>
        <v>0.91168055895430489</v>
      </c>
      <c r="BD115">
        <f t="shared" si="81"/>
        <v>-127.7645516481028</v>
      </c>
      <c r="BF115">
        <f t="shared" si="82"/>
        <v>4.6582148421776983</v>
      </c>
      <c r="BG115">
        <f t="shared" si="83"/>
        <v>-119.04655758352018</v>
      </c>
      <c r="BH115">
        <f t="shared" si="98"/>
        <v>60.953442416479817</v>
      </c>
      <c r="BI115">
        <f t="shared" si="99"/>
        <v>60.953442416479817</v>
      </c>
      <c r="BJ115">
        <f t="shared" si="84"/>
        <v>0</v>
      </c>
      <c r="BK115">
        <f t="shared" si="100"/>
        <v>0</v>
      </c>
      <c r="BM115">
        <f t="shared" si="101"/>
        <v>7.5055000295630494</v>
      </c>
      <c r="BN115">
        <f t="shared" si="85"/>
        <v>-171.2820059354174</v>
      </c>
      <c r="BQ115" s="56">
        <f t="shared" si="102"/>
        <v>14.054675612899787</v>
      </c>
      <c r="BR115" s="59"/>
      <c r="BS115" s="59"/>
      <c r="BT115" s="59">
        <v>1122.018</v>
      </c>
      <c r="BU115" s="59">
        <v>13.9679</v>
      </c>
      <c r="BV115" s="59">
        <v>-259.93099999999998</v>
      </c>
      <c r="BW115" s="61"/>
      <c r="BY115" s="59"/>
      <c r="BZ115" s="59"/>
      <c r="CA115" s="59"/>
      <c r="CC115" s="59"/>
    </row>
    <row r="116" spans="1:81" x14ac:dyDescent="0.2">
      <c r="A116">
        <f t="shared" si="106"/>
        <v>41000</v>
      </c>
      <c r="B116">
        <f t="shared" si="86"/>
        <v>41</v>
      </c>
      <c r="C116">
        <f t="shared" si="55"/>
        <v>1.0000132725558879</v>
      </c>
      <c r="D116">
        <f t="shared" si="56"/>
        <v>5.1521663577428854E-3</v>
      </c>
      <c r="F116">
        <f t="shared" si="57"/>
        <v>0.15380913076894517</v>
      </c>
      <c r="G116">
        <f t="shared" si="58"/>
        <v>0.14474479210182356</v>
      </c>
      <c r="H116">
        <f t="shared" si="59"/>
        <v>-2.9968478578981768</v>
      </c>
      <c r="J116">
        <f t="shared" si="60"/>
        <v>15</v>
      </c>
      <c r="M116">
        <f t="shared" si="61"/>
        <v>4.4266209822536914E-2</v>
      </c>
      <c r="N116">
        <f t="shared" si="62"/>
        <v>-1.5707963250000001</v>
      </c>
      <c r="O116">
        <f t="shared" si="63"/>
        <v>4.9939436318420602</v>
      </c>
      <c r="P116">
        <f t="shared" si="64"/>
        <v>1.3691908497017202</v>
      </c>
      <c r="Q116">
        <f t="shared" si="65"/>
        <v>3.346363765029158</v>
      </c>
      <c r="R116">
        <f t="shared" si="66"/>
        <v>1.2673280147017831</v>
      </c>
      <c r="S116">
        <f t="shared" si="67"/>
        <v>0.99998613722400764</v>
      </c>
      <c r="T116">
        <f t="shared" si="68"/>
        <v>-5.2655119450848208E-3</v>
      </c>
      <c r="U116">
        <f t="shared" si="69"/>
        <v>0.99650315454334459</v>
      </c>
      <c r="V116">
        <f t="shared" si="70"/>
        <v>-8.3652678943670913E-2</v>
      </c>
      <c r="X116">
        <f t="shared" si="87"/>
        <v>4.6128184314458478</v>
      </c>
      <c r="Y116">
        <f t="shared" si="71"/>
        <v>-115.44477026473291</v>
      </c>
      <c r="Z116">
        <f t="shared" si="88"/>
        <v>64.555229735267091</v>
      </c>
      <c r="AC116">
        <v>1</v>
      </c>
      <c r="AD116">
        <f t="shared" si="72"/>
        <v>4.8927980745189004</v>
      </c>
      <c r="AE116">
        <f t="shared" si="73"/>
        <v>-8.5709691142267063E-5</v>
      </c>
      <c r="AF116">
        <f t="shared" si="74"/>
        <v>1.0221988500864001E-3</v>
      </c>
      <c r="AG116">
        <f t="shared" si="89"/>
        <v>4671.6705028038641</v>
      </c>
      <c r="AH116">
        <f t="shared" si="90"/>
        <v>-1369.9951196339059</v>
      </c>
      <c r="AJ116">
        <f t="shared" si="75"/>
        <v>22100</v>
      </c>
      <c r="AK116">
        <f t="shared" si="76"/>
        <v>116.36888945474523</v>
      </c>
      <c r="AL116">
        <v>1</v>
      </c>
      <c r="AM116">
        <f t="shared" si="77"/>
        <v>3.1934543127936119</v>
      </c>
      <c r="AN116">
        <f t="shared" si="91"/>
        <v>2006.7259175034696</v>
      </c>
      <c r="AO116">
        <f t="shared" si="92"/>
        <v>-6292.0186463914288</v>
      </c>
      <c r="AQ116">
        <f t="shared" si="78"/>
        <v>1.486988847583643</v>
      </c>
      <c r="AR116">
        <f t="shared" si="79"/>
        <v>-121.93308550185874</v>
      </c>
      <c r="AT116">
        <f t="shared" si="104"/>
        <v>-160101.01012219541</v>
      </c>
      <c r="AU116">
        <f t="shared" si="105"/>
        <v>-571668.3663190346</v>
      </c>
      <c r="AV116">
        <f t="shared" si="93"/>
        <v>-1.8438599653834922</v>
      </c>
      <c r="AW116">
        <f t="shared" si="94"/>
        <v>-756552.50578883383</v>
      </c>
      <c r="AX116">
        <f t="shared" si="95"/>
        <v>-303883.63630739035</v>
      </c>
      <c r="AY116">
        <f t="shared" si="103"/>
        <v>-2.7596483712829194</v>
      </c>
      <c r="BA116">
        <f t="shared" si="80"/>
        <v>0.7281525958469367</v>
      </c>
      <c r="BB116">
        <f t="shared" si="96"/>
        <v>-2.7555519579788483</v>
      </c>
      <c r="BC116">
        <f t="shared" si="97"/>
        <v>0.91578840589942723</v>
      </c>
      <c r="BD116">
        <f t="shared" si="81"/>
        <v>-127.52918935499264</v>
      </c>
      <c r="BF116">
        <f t="shared" si="82"/>
        <v>4.5060308625599319</v>
      </c>
      <c r="BG116">
        <f t="shared" si="83"/>
        <v>-118.94072626359791</v>
      </c>
      <c r="BH116">
        <f t="shared" si="98"/>
        <v>61.059273736402091</v>
      </c>
      <c r="BI116">
        <f t="shared" si="99"/>
        <v>61.059273736402091</v>
      </c>
      <c r="BJ116">
        <f t="shared" si="84"/>
        <v>0</v>
      </c>
      <c r="BK116">
        <f t="shared" si="100"/>
        <v>0</v>
      </c>
      <c r="BM116">
        <f t="shared" si="101"/>
        <v>7.2615828205387789</v>
      </c>
      <c r="BN116">
        <f t="shared" si="85"/>
        <v>-171.41153690860526</v>
      </c>
      <c r="BQ116" s="56">
        <f t="shared" si="102"/>
        <v>14.146408842306288</v>
      </c>
      <c r="BR116" s="59"/>
      <c r="BS116" s="59"/>
      <c r="BT116" s="59">
        <v>1148.154</v>
      </c>
      <c r="BU116" s="59">
        <v>13.7508</v>
      </c>
      <c r="BV116" s="59">
        <v>-259.94799999999998</v>
      </c>
      <c r="BW116" s="61"/>
      <c r="BY116" s="59"/>
      <c r="BZ116" s="59"/>
      <c r="CA116" s="59"/>
      <c r="CC116" s="59"/>
    </row>
    <row r="117" spans="1:81" x14ac:dyDescent="0.2">
      <c r="A117">
        <f t="shared" si="106"/>
        <v>41500</v>
      </c>
      <c r="B117">
        <f t="shared" si="86"/>
        <v>41.5</v>
      </c>
      <c r="C117">
        <f t="shared" si="55"/>
        <v>1.0000135982484566</v>
      </c>
      <c r="D117">
        <f t="shared" si="56"/>
        <v>5.2149965224758208E-3</v>
      </c>
      <c r="F117">
        <f t="shared" si="57"/>
        <v>0.14961488753654378</v>
      </c>
      <c r="G117">
        <f t="shared" si="58"/>
        <v>0.14249943121751726</v>
      </c>
      <c r="H117">
        <f t="shared" si="59"/>
        <v>-2.999093218782483</v>
      </c>
      <c r="J117">
        <f t="shared" si="60"/>
        <v>15</v>
      </c>
      <c r="M117">
        <f t="shared" si="61"/>
        <v>4.3732881993349723E-2</v>
      </c>
      <c r="N117">
        <f t="shared" si="62"/>
        <v>-1.5707963250000001</v>
      </c>
      <c r="O117">
        <f t="shared" si="63"/>
        <v>5.0524175288353614</v>
      </c>
      <c r="P117">
        <f t="shared" si="64"/>
        <v>1.3715556854182807</v>
      </c>
      <c r="Q117">
        <f t="shared" si="65"/>
        <v>3.3835488032249321</v>
      </c>
      <c r="R117">
        <f t="shared" si="66"/>
        <v>1.2707675685839654</v>
      </c>
      <c r="S117">
        <f t="shared" si="67"/>
        <v>0.99998579705308133</v>
      </c>
      <c r="T117">
        <f t="shared" si="68"/>
        <v>-5.3297242966909445E-3</v>
      </c>
      <c r="U117">
        <f t="shared" si="69"/>
        <v>0.99641780610796105</v>
      </c>
      <c r="V117">
        <f t="shared" si="70"/>
        <v>-8.4667994223208684E-2</v>
      </c>
      <c r="X117">
        <f t="shared" si="87"/>
        <v>4.4637412620556987</v>
      </c>
      <c r="Y117">
        <f t="shared" si="71"/>
        <v>-115.29910541393036</v>
      </c>
      <c r="Z117">
        <f t="shared" si="88"/>
        <v>64.700894586069637</v>
      </c>
      <c r="AC117">
        <v>1</v>
      </c>
      <c r="AD117">
        <f t="shared" si="72"/>
        <v>4.9524663437203502</v>
      </c>
      <c r="AE117">
        <f t="shared" si="73"/>
        <v>-8.7812918244955067E-5</v>
      </c>
      <c r="AF117">
        <f t="shared" si="74"/>
        <v>1.0346646897216002E-3</v>
      </c>
      <c r="AG117">
        <f t="shared" si="89"/>
        <v>4670.8702992290691</v>
      </c>
      <c r="AH117">
        <f t="shared" si="90"/>
        <v>-1362.9176347928014</v>
      </c>
      <c r="AJ117">
        <f t="shared" si="75"/>
        <v>22100</v>
      </c>
      <c r="AK117">
        <f t="shared" si="76"/>
        <v>117.78802225297382</v>
      </c>
      <c r="AL117">
        <v>1</v>
      </c>
      <c r="AM117">
        <f t="shared" si="77"/>
        <v>3.232398877583778</v>
      </c>
      <c r="AN117">
        <f t="shared" si="91"/>
        <v>1963.6571882803623</v>
      </c>
      <c r="AO117">
        <f t="shared" si="92"/>
        <v>-6229.535269103787</v>
      </c>
      <c r="AQ117">
        <f t="shared" si="78"/>
        <v>1.4513788098693758</v>
      </c>
      <c r="AR117">
        <f t="shared" si="79"/>
        <v>-120.4644412191582</v>
      </c>
      <c r="AT117">
        <f t="shared" si="104"/>
        <v>-157403.90912710226</v>
      </c>
      <c r="AU117">
        <f t="shared" si="105"/>
        <v>-564651.89037852758</v>
      </c>
      <c r="AV117">
        <f t="shared" si="93"/>
        <v>-1.8426573525405352</v>
      </c>
      <c r="AW117">
        <f t="shared" si="94"/>
        <v>-740058.48161001992</v>
      </c>
      <c r="AX117">
        <f t="shared" si="95"/>
        <v>-294878.66979765921</v>
      </c>
      <c r="AY117">
        <f t="shared" si="103"/>
        <v>-2.7624204360262561</v>
      </c>
      <c r="BA117">
        <f t="shared" si="80"/>
        <v>0.73581351110926785</v>
      </c>
      <c r="BB117">
        <f t="shared" si="96"/>
        <v>-2.6646448371289204</v>
      </c>
      <c r="BC117">
        <f t="shared" si="97"/>
        <v>0.91976308348572089</v>
      </c>
      <c r="BD117">
        <f t="shared" si="81"/>
        <v>-127.30145710411254</v>
      </c>
      <c r="BF117">
        <f t="shared" si="82"/>
        <v>4.3567946653094731</v>
      </c>
      <c r="BG117">
        <f t="shared" si="83"/>
        <v>-118.8380438117499</v>
      </c>
      <c r="BH117">
        <f t="shared" si="98"/>
        <v>61.161956188250102</v>
      </c>
      <c r="BI117">
        <f t="shared" si="99"/>
        <v>61.161956188250102</v>
      </c>
      <c r="BJ117">
        <f t="shared" si="84"/>
        <v>0</v>
      </c>
      <c r="BK117">
        <f t="shared" si="100"/>
        <v>0</v>
      </c>
      <c r="BM117">
        <f t="shared" si="101"/>
        <v>7.0214395024383922</v>
      </c>
      <c r="BN117">
        <f t="shared" si="85"/>
        <v>-171.53658670763738</v>
      </c>
      <c r="BQ117" s="56">
        <f t="shared" si="102"/>
        <v>14.237315963156217</v>
      </c>
      <c r="BR117" s="59"/>
      <c r="BS117" s="59"/>
      <c r="BT117" s="59">
        <v>1174.8979999999999</v>
      </c>
      <c r="BU117" s="59">
        <v>13.6038</v>
      </c>
      <c r="BV117" s="59">
        <v>-260.19870000000003</v>
      </c>
      <c r="BW117" s="61"/>
      <c r="BY117" s="59"/>
      <c r="BZ117" s="59"/>
      <c r="CA117" s="59"/>
      <c r="CC117" s="59"/>
    </row>
    <row r="118" spans="1:81" x14ac:dyDescent="0.2">
      <c r="A118">
        <f t="shared" si="106"/>
        <v>42000</v>
      </c>
      <c r="B118">
        <f t="shared" si="86"/>
        <v>42</v>
      </c>
      <c r="C118">
        <f t="shared" si="55"/>
        <v>1.0000139278887059</v>
      </c>
      <c r="D118">
        <f t="shared" si="56"/>
        <v>5.2778266460346626E-3</v>
      </c>
      <c r="F118">
        <f t="shared" si="57"/>
        <v>0.14559619425235582</v>
      </c>
      <c r="G118">
        <f t="shared" si="58"/>
        <v>0.14032822419366808</v>
      </c>
      <c r="H118">
        <f t="shared" si="59"/>
        <v>-3.0012644258063323</v>
      </c>
      <c r="J118">
        <f t="shared" si="60"/>
        <v>15</v>
      </c>
      <c r="M118">
        <f t="shared" si="61"/>
        <v>4.321225244580984E-2</v>
      </c>
      <c r="N118">
        <f t="shared" si="62"/>
        <v>-1.5707963250000001</v>
      </c>
      <c r="O118">
        <f t="shared" si="63"/>
        <v>5.1109190345816256</v>
      </c>
      <c r="P118">
        <f t="shared" si="64"/>
        <v>1.3738663962100293</v>
      </c>
      <c r="Q118">
        <f t="shared" si="65"/>
        <v>3.4207730000634373</v>
      </c>
      <c r="R118">
        <f t="shared" si="66"/>
        <v>1.2741323044206883</v>
      </c>
      <c r="S118">
        <f t="shared" si="67"/>
        <v>0.99998545275922457</v>
      </c>
      <c r="T118">
        <f t="shared" si="68"/>
        <v>-5.3939366043453656E-3</v>
      </c>
      <c r="U118">
        <f t="shared" si="69"/>
        <v>0.99633144547230978</v>
      </c>
      <c r="V118">
        <f t="shared" si="70"/>
        <v>-8.5683134552067622E-2</v>
      </c>
      <c r="X118">
        <f t="shared" si="87"/>
        <v>4.3175002359956718</v>
      </c>
      <c r="Y118">
        <f t="shared" si="71"/>
        <v>-115.15656972379237</v>
      </c>
      <c r="Z118">
        <f t="shared" si="88"/>
        <v>64.843430276207627</v>
      </c>
      <c r="AC118">
        <v>1</v>
      </c>
      <c r="AD118">
        <f t="shared" si="72"/>
        <v>5.0121346129218001</v>
      </c>
      <c r="AE118">
        <f t="shared" si="73"/>
        <v>-8.9941639009493823E-5</v>
      </c>
      <c r="AF118">
        <f t="shared" si="74"/>
        <v>1.0471305293568002E-3</v>
      </c>
      <c r="AG118">
        <f t="shared" si="89"/>
        <v>4670.060675304353</v>
      </c>
      <c r="AH118">
        <f t="shared" si="90"/>
        <v>-1356.1183363481073</v>
      </c>
      <c r="AJ118">
        <f t="shared" si="75"/>
        <v>22100</v>
      </c>
      <c r="AK118">
        <f t="shared" si="76"/>
        <v>119.20715505120242</v>
      </c>
      <c r="AL118">
        <v>1</v>
      </c>
      <c r="AM118">
        <f t="shared" si="77"/>
        <v>3.2713434423739445</v>
      </c>
      <c r="AN118">
        <f t="shared" si="91"/>
        <v>1921.9421764305423</v>
      </c>
      <c r="AO118">
        <f t="shared" si="92"/>
        <v>-6168.1257804367597</v>
      </c>
      <c r="AQ118">
        <f t="shared" si="78"/>
        <v>1.4170327334561428</v>
      </c>
      <c r="AR118">
        <f t="shared" si="79"/>
        <v>-119.03074961031599</v>
      </c>
      <c r="AT118">
        <f t="shared" si="104"/>
        <v>-154802.15329167727</v>
      </c>
      <c r="AU118">
        <f t="shared" si="105"/>
        <v>-557802.48698018107</v>
      </c>
      <c r="AV118">
        <f t="shared" si="93"/>
        <v>-1.8415051923735215</v>
      </c>
      <c r="AW118">
        <f t="shared" si="94"/>
        <v>-724079.57275328203</v>
      </c>
      <c r="AX118">
        <f t="shared" si="95"/>
        <v>-286254.1370234685</v>
      </c>
      <c r="AY118">
        <f t="shared" si="103"/>
        <v>-2.7651141198166136</v>
      </c>
      <c r="BA118">
        <f t="shared" si="80"/>
        <v>0.74348514158754975</v>
      </c>
      <c r="BB118">
        <f t="shared" si="96"/>
        <v>-2.5745541269970111</v>
      </c>
      <c r="BC118">
        <f t="shared" si="97"/>
        <v>0.92360892744309209</v>
      </c>
      <c r="BD118">
        <f t="shared" si="81"/>
        <v>-127.0811064764375</v>
      </c>
      <c r="BF118">
        <f t="shared" si="82"/>
        <v>4.2103924908963588</v>
      </c>
      <c r="BG118">
        <f t="shared" si="83"/>
        <v>-118.73849428222242</v>
      </c>
      <c r="BH118">
        <f t="shared" si="98"/>
        <v>61.261505717777581</v>
      </c>
      <c r="BI118">
        <f t="shared" si="99"/>
        <v>61.261505717777581</v>
      </c>
      <c r="BJ118">
        <f t="shared" si="84"/>
        <v>0</v>
      </c>
      <c r="BK118">
        <f t="shared" si="100"/>
        <v>0</v>
      </c>
      <c r="BM118">
        <f t="shared" si="101"/>
        <v>6.7849466178933691</v>
      </c>
      <c r="BN118">
        <f t="shared" si="85"/>
        <v>-171.65738780578494</v>
      </c>
      <c r="BQ118" s="56">
        <f t="shared" si="102"/>
        <v>14.327406673288126</v>
      </c>
      <c r="BR118" s="59"/>
      <c r="BS118" s="59"/>
      <c r="BT118" s="59">
        <v>1202.2639999999999</v>
      </c>
      <c r="BU118" s="59">
        <v>13.412800000000001</v>
      </c>
      <c r="BV118" s="59">
        <v>-259.34100000000001</v>
      </c>
      <c r="BW118" s="61"/>
      <c r="BY118" s="59"/>
      <c r="BZ118" s="59"/>
      <c r="CA118" s="59"/>
      <c r="CC118" s="59"/>
    </row>
    <row r="119" spans="1:81" x14ac:dyDescent="0.2">
      <c r="A119">
        <f t="shared" si="106"/>
        <v>42500</v>
      </c>
      <c r="B119">
        <f t="shared" si="86"/>
        <v>42.5</v>
      </c>
      <c r="C119">
        <f t="shared" si="55"/>
        <v>1.0000142614766321</v>
      </c>
      <c r="D119">
        <f t="shared" si="56"/>
        <v>5.3406567279233891E-3</v>
      </c>
      <c r="F119">
        <f t="shared" si="57"/>
        <v>0.14174308862090335</v>
      </c>
      <c r="G119">
        <f t="shared" si="58"/>
        <v>0.13822739547948029</v>
      </c>
      <c r="H119">
        <f t="shared" si="59"/>
        <v>-3.0033652545205198</v>
      </c>
      <c r="J119">
        <f t="shared" si="60"/>
        <v>15</v>
      </c>
      <c r="M119">
        <f t="shared" si="61"/>
        <v>4.2703873005270905E-2</v>
      </c>
      <c r="N119">
        <f t="shared" si="62"/>
        <v>-1.5707963250000001</v>
      </c>
      <c r="O119">
        <f t="shared" si="63"/>
        <v>5.1694472117542425</v>
      </c>
      <c r="P119">
        <f t="shared" si="64"/>
        <v>1.3761247953705196</v>
      </c>
      <c r="Q119">
        <f t="shared" si="65"/>
        <v>3.4580350909692252</v>
      </c>
      <c r="R119">
        <f t="shared" si="66"/>
        <v>1.2774245633765793</v>
      </c>
      <c r="S119">
        <f t="shared" si="67"/>
        <v>0.99998510434245025</v>
      </c>
      <c r="T119">
        <f t="shared" si="68"/>
        <v>-5.4581488675186059E-3</v>
      </c>
      <c r="U119">
        <f t="shared" si="69"/>
        <v>0.99624407343345578</v>
      </c>
      <c r="V119">
        <f t="shared" si="70"/>
        <v>-8.6698097883783562E-2</v>
      </c>
      <c r="X119">
        <f t="shared" si="87"/>
        <v>4.1739878420853769</v>
      </c>
      <c r="Y119">
        <f t="shared" si="71"/>
        <v>-115.01714136726922</v>
      </c>
      <c r="Z119">
        <f t="shared" si="88"/>
        <v>64.982858632730782</v>
      </c>
      <c r="AC119">
        <v>1</v>
      </c>
      <c r="AD119">
        <f t="shared" si="72"/>
        <v>5.0718028821232499</v>
      </c>
      <c r="AE119">
        <f t="shared" si="73"/>
        <v>-9.2095853435883356E-5</v>
      </c>
      <c r="AF119">
        <f t="shared" si="74"/>
        <v>1.059596368992E-3</v>
      </c>
      <c r="AG119">
        <f t="shared" si="89"/>
        <v>4669.2416409686048</v>
      </c>
      <c r="AH119">
        <f t="shared" si="90"/>
        <v>-1349.5872916059086</v>
      </c>
      <c r="AJ119">
        <f t="shared" si="75"/>
        <v>22100</v>
      </c>
      <c r="AK119">
        <f t="shared" si="76"/>
        <v>120.62628784943101</v>
      </c>
      <c r="AL119">
        <v>1</v>
      </c>
      <c r="AM119">
        <f t="shared" si="77"/>
        <v>3.3102880071641101</v>
      </c>
      <c r="AN119">
        <f t="shared" si="91"/>
        <v>1881.5266069492388</v>
      </c>
      <c r="AO119">
        <f t="shared" si="92"/>
        <v>-6107.7686742948144</v>
      </c>
      <c r="AQ119">
        <f t="shared" si="78"/>
        <v>1.3838915029061722</v>
      </c>
      <c r="AR119">
        <f t="shared" si="79"/>
        <v>-117.63077774702464</v>
      </c>
      <c r="AT119">
        <f t="shared" si="104"/>
        <v>-152291.27891715145</v>
      </c>
      <c r="AU119">
        <f t="shared" si="105"/>
        <v>-551114.20810121403</v>
      </c>
      <c r="AV119">
        <f t="shared" si="93"/>
        <v>-1.8404017929532985</v>
      </c>
      <c r="AW119">
        <f t="shared" si="94"/>
        <v>-708595.32068883663</v>
      </c>
      <c r="AX119">
        <f t="shared" si="95"/>
        <v>-277990.03595654317</v>
      </c>
      <c r="AY119">
        <f t="shared" si="103"/>
        <v>-2.7677318847954253</v>
      </c>
      <c r="BA119">
        <f t="shared" si="80"/>
        <v>0.75116699315223157</v>
      </c>
      <c r="BB119">
        <f t="shared" si="96"/>
        <v>-2.4852700710365898</v>
      </c>
      <c r="BC119">
        <f t="shared" si="97"/>
        <v>0.92733009184212678</v>
      </c>
      <c r="BD119">
        <f t="shared" si="81"/>
        <v>-126.86789946125485</v>
      </c>
      <c r="BF119">
        <f t="shared" si="82"/>
        <v>4.0667168213031593</v>
      </c>
      <c r="BG119">
        <f t="shared" si="83"/>
        <v>-118.64205598745734</v>
      </c>
      <c r="BH119">
        <f t="shared" si="98"/>
        <v>61.35794401254266</v>
      </c>
      <c r="BI119">
        <f t="shared" si="99"/>
        <v>61.35794401254266</v>
      </c>
      <c r="BJ119">
        <f t="shared" si="84"/>
        <v>0</v>
      </c>
      <c r="BK119">
        <f t="shared" si="100"/>
        <v>0</v>
      </c>
      <c r="BM119">
        <f t="shared" si="101"/>
        <v>6.5519868923397482</v>
      </c>
      <c r="BN119">
        <f t="shared" si="85"/>
        <v>-171.77415652620249</v>
      </c>
      <c r="BQ119" s="56">
        <f t="shared" si="102"/>
        <v>14.416690729248547</v>
      </c>
      <c r="BR119" s="59"/>
      <c r="BS119" s="59"/>
      <c r="BT119" s="59">
        <v>1230.269</v>
      </c>
      <c r="BU119" s="59">
        <v>13.1837</v>
      </c>
      <c r="BV119" s="59">
        <v>-259.55099999999999</v>
      </c>
      <c r="BW119" s="61"/>
      <c r="BY119" s="59"/>
      <c r="BZ119" s="59"/>
      <c r="CA119" s="59"/>
      <c r="CC119" s="59"/>
    </row>
    <row r="120" spans="1:81" x14ac:dyDescent="0.2">
      <c r="A120">
        <f t="shared" si="106"/>
        <v>43000</v>
      </c>
      <c r="B120">
        <f t="shared" si="86"/>
        <v>43</v>
      </c>
      <c r="C120">
        <f t="shared" si="55"/>
        <v>1.0000145990122311</v>
      </c>
      <c r="D120">
        <f t="shared" si="56"/>
        <v>5.4034867676459849E-3</v>
      </c>
      <c r="F120">
        <f t="shared" si="57"/>
        <v>0.13804632254059748</v>
      </c>
      <c r="G120">
        <f t="shared" si="58"/>
        <v>0.13619342711207807</v>
      </c>
      <c r="H120">
        <f t="shared" si="59"/>
        <v>-3.0053992228879221</v>
      </c>
      <c r="J120">
        <f t="shared" si="60"/>
        <v>15</v>
      </c>
      <c r="M120">
        <f t="shared" si="61"/>
        <v>4.2207316342418914E-2</v>
      </c>
      <c r="N120">
        <f t="shared" si="62"/>
        <v>-1.5707963250000001</v>
      </c>
      <c r="O120">
        <f t="shared" si="63"/>
        <v>5.2280011645826612</v>
      </c>
      <c r="P120">
        <f t="shared" si="64"/>
        <v>1.3783326171477359</v>
      </c>
      <c r="Q120">
        <f t="shared" si="65"/>
        <v>3.4953338640306533</v>
      </c>
      <c r="R120">
        <f t="shared" si="66"/>
        <v>1.2806465931239239</v>
      </c>
      <c r="S120">
        <f t="shared" si="67"/>
        <v>0.99998475180277102</v>
      </c>
      <c r="T120">
        <f t="shared" si="68"/>
        <v>-5.5223610856811921E-3</v>
      </c>
      <c r="U120">
        <f t="shared" si="69"/>
        <v>0.99615569079742206</v>
      </c>
      <c r="V120">
        <f t="shared" si="70"/>
        <v>-8.771288217406463E-2</v>
      </c>
      <c r="X120">
        <f t="shared" si="87"/>
        <v>4.0331023760926819</v>
      </c>
      <c r="Y120">
        <f t="shared" si="71"/>
        <v>-114.88079364442908</v>
      </c>
      <c r="Z120">
        <f t="shared" si="88"/>
        <v>65.119206355570924</v>
      </c>
      <c r="AC120">
        <v>1</v>
      </c>
      <c r="AD120">
        <f t="shared" si="72"/>
        <v>5.1314711513246998</v>
      </c>
      <c r="AE120">
        <f t="shared" si="73"/>
        <v>-9.4275561524123628E-5</v>
      </c>
      <c r="AF120">
        <f t="shared" si="74"/>
        <v>1.0720622086272003E-3</v>
      </c>
      <c r="AG120">
        <f t="shared" si="89"/>
        <v>4668.4132062709441</v>
      </c>
      <c r="AH120">
        <f t="shared" si="90"/>
        <v>-1343.3150286044784</v>
      </c>
      <c r="AJ120">
        <f t="shared" si="75"/>
        <v>22100</v>
      </c>
      <c r="AK120">
        <f t="shared" si="76"/>
        <v>122.04542064765961</v>
      </c>
      <c r="AL120">
        <v>1</v>
      </c>
      <c r="AM120">
        <f t="shared" si="77"/>
        <v>3.3492325719542761</v>
      </c>
      <c r="AN120">
        <f t="shared" si="91"/>
        <v>1842.3587968398517</v>
      </c>
      <c r="AO120">
        <f t="shared" si="92"/>
        <v>-6048.4426709548634</v>
      </c>
      <c r="AQ120">
        <f t="shared" si="78"/>
        <v>1.35189941868325</v>
      </c>
      <c r="AR120">
        <f t="shared" si="79"/>
        <v>-116.2633500067595</v>
      </c>
      <c r="AT120">
        <f t="shared" si="104"/>
        <v>-149867.08024025173</v>
      </c>
      <c r="AU120">
        <f t="shared" si="105"/>
        <v>-544581.38538313599</v>
      </c>
      <c r="AV120">
        <f t="shared" si="93"/>
        <v>-1.8393455356597381</v>
      </c>
      <c r="AW120">
        <f t="shared" si="94"/>
        <v>-693586.23029427638</v>
      </c>
      <c r="AX120">
        <f t="shared" si="95"/>
        <v>-270067.60508383485</v>
      </c>
      <c r="AY120">
        <f t="shared" si="103"/>
        <v>-2.7702760939397879</v>
      </c>
      <c r="BA120">
        <f t="shared" si="80"/>
        <v>0.75885859283343082</v>
      </c>
      <c r="BB120">
        <f t="shared" si="96"/>
        <v>-2.3967828766525794</v>
      </c>
      <c r="BC120">
        <f t="shared" si="97"/>
        <v>0.93093055828004978</v>
      </c>
      <c r="BD120">
        <f t="shared" si="81"/>
        <v>-126.66160792984763</v>
      </c>
      <c r="BF120">
        <f t="shared" si="82"/>
        <v>3.9256659453862413</v>
      </c>
      <c r="BG120">
        <f t="shared" si="83"/>
        <v>-118.54870236319171</v>
      </c>
      <c r="BH120">
        <f t="shared" si="98"/>
        <v>61.451297636808292</v>
      </c>
      <c r="BI120">
        <f t="shared" si="99"/>
        <v>61.451297636808292</v>
      </c>
      <c r="BJ120">
        <f t="shared" si="84"/>
        <v>0</v>
      </c>
      <c r="BK120">
        <f t="shared" si="100"/>
        <v>0</v>
      </c>
      <c r="BM120">
        <f t="shared" si="101"/>
        <v>6.3224488220388197</v>
      </c>
      <c r="BN120">
        <f t="shared" si="85"/>
        <v>-171.88709443334406</v>
      </c>
      <c r="BQ120" s="56">
        <f t="shared" si="102"/>
        <v>14.505177923632557</v>
      </c>
      <c r="BR120" s="59"/>
      <c r="BS120" s="59"/>
      <c r="BT120" s="59">
        <v>1258.925</v>
      </c>
      <c r="BU120" s="59">
        <v>13.0792</v>
      </c>
      <c r="BV120" s="59">
        <v>-259.27199999999999</v>
      </c>
      <c r="BW120" s="61"/>
      <c r="BY120" s="59"/>
      <c r="BZ120" s="59"/>
      <c r="CA120" s="59"/>
      <c r="CC120" s="59"/>
    </row>
    <row r="121" spans="1:81" x14ac:dyDescent="0.2">
      <c r="A121">
        <f t="shared" si="106"/>
        <v>43500</v>
      </c>
      <c r="B121">
        <f t="shared" si="86"/>
        <v>43.5</v>
      </c>
      <c r="C121">
        <f t="shared" si="55"/>
        <v>1.000014940495499</v>
      </c>
      <c r="D121">
        <f t="shared" si="56"/>
        <v>5.4663167647064359E-3</v>
      </c>
      <c r="F121">
        <f t="shared" si="57"/>
        <v>0.13449730035367541</v>
      </c>
      <c r="G121">
        <f t="shared" si="58"/>
        <v>0.13422303690772</v>
      </c>
      <c r="H121">
        <f t="shared" si="59"/>
        <v>-3.0073696130922802</v>
      </c>
      <c r="J121">
        <f t="shared" si="60"/>
        <v>15</v>
      </c>
      <c r="M121">
        <f t="shared" si="61"/>
        <v>4.1722174775264673E-2</v>
      </c>
      <c r="N121">
        <f t="shared" si="62"/>
        <v>-1.5707963250000001</v>
      </c>
      <c r="O121">
        <f t="shared" si="63"/>
        <v>5.2865800365964937</v>
      </c>
      <c r="P121">
        <f t="shared" si="64"/>
        <v>1.3804915209465889</v>
      </c>
      <c r="Q121">
        <f t="shared" si="65"/>
        <v>3.5326681573504417</v>
      </c>
      <c r="R121">
        <f t="shared" si="66"/>
        <v>1.2838005522925255</v>
      </c>
      <c r="S121">
        <f t="shared" si="67"/>
        <v>0.99998439514020032</v>
      </c>
      <c r="T121">
        <f t="shared" si="68"/>
        <v>-5.5865732583036511E-3</v>
      </c>
      <c r="U121">
        <f t="shared" si="69"/>
        <v>0.99606629837917016</v>
      </c>
      <c r="V121">
        <f t="shared" si="70"/>
        <v>-8.8727485380815041E-2</v>
      </c>
      <c r="X121">
        <f t="shared" si="87"/>
        <v>3.8947475423547582</v>
      </c>
      <c r="Y121">
        <f t="shared" si="71"/>
        <v>-114.74749573626735</v>
      </c>
      <c r="Z121">
        <f t="shared" si="88"/>
        <v>65.252504263732646</v>
      </c>
      <c r="AC121">
        <v>1</v>
      </c>
      <c r="AD121">
        <f t="shared" si="72"/>
        <v>5.1911394205261505</v>
      </c>
      <c r="AE121">
        <f t="shared" si="73"/>
        <v>-9.648076327421465E-5</v>
      </c>
      <c r="AF121">
        <f t="shared" si="74"/>
        <v>1.0845280482624001E-3</v>
      </c>
      <c r="AG121">
        <f t="shared" si="89"/>
        <v>4667.5753813704332</v>
      </c>
      <c r="AH121">
        <f t="shared" si="90"/>
        <v>-1337.2925096388537</v>
      </c>
      <c r="AJ121">
        <f t="shared" si="75"/>
        <v>22100</v>
      </c>
      <c r="AK121">
        <f t="shared" si="76"/>
        <v>123.4645534458882</v>
      </c>
      <c r="AL121">
        <v>1</v>
      </c>
      <c r="AM121">
        <f t="shared" si="77"/>
        <v>3.3881771367444422</v>
      </c>
      <c r="AN121">
        <f t="shared" si="91"/>
        <v>1804.3895145524762</v>
      </c>
      <c r="AO121">
        <f t="shared" si="92"/>
        <v>-5990.1267455422139</v>
      </c>
      <c r="AQ121">
        <f t="shared" si="78"/>
        <v>1.321003963011889</v>
      </c>
      <c r="AR121">
        <f t="shared" si="79"/>
        <v>-114.92734478203434</v>
      </c>
      <c r="AT121">
        <f t="shared" si="104"/>
        <v>-147525.59175324946</v>
      </c>
      <c r="AU121">
        <f t="shared" si="105"/>
        <v>-538198.61385583435</v>
      </c>
      <c r="AV121">
        <f t="shared" si="93"/>
        <v>-1.8383348713089886</v>
      </c>
      <c r="AW121">
        <f t="shared" si="94"/>
        <v>-679033.7187345702</v>
      </c>
      <c r="AX121">
        <f t="shared" si="95"/>
        <v>-262469.23549865838</v>
      </c>
      <c r="AY121">
        <f t="shared" si="103"/>
        <v>-2.7727490158385408</v>
      </c>
      <c r="BA121">
        <f t="shared" si="80"/>
        <v>0.7665594876270555</v>
      </c>
      <c r="BB121">
        <f t="shared" si="96"/>
        <v>-2.3090827354172205</v>
      </c>
      <c r="BC121">
        <f t="shared" si="97"/>
        <v>0.93441414452955218</v>
      </c>
      <c r="BD121">
        <f t="shared" si="81"/>
        <v>-126.46201313995327</v>
      </c>
      <c r="BF121">
        <f t="shared" si="82"/>
        <v>3.7871435604971122</v>
      </c>
      <c r="BG121">
        <f t="shared" si="83"/>
        <v>-118.45840272246747</v>
      </c>
      <c r="BH121">
        <f t="shared" si="98"/>
        <v>61.541597277532532</v>
      </c>
      <c r="BI121">
        <f t="shared" si="99"/>
        <v>61.541597277532532</v>
      </c>
      <c r="BJ121">
        <f t="shared" si="84"/>
        <v>0</v>
      </c>
      <c r="BK121">
        <f t="shared" si="100"/>
        <v>0</v>
      </c>
      <c r="BM121">
        <f t="shared" si="101"/>
        <v>6.0962262959143345</v>
      </c>
      <c r="BN121">
        <f t="shared" si="85"/>
        <v>-171.99638958251424</v>
      </c>
      <c r="BQ121" s="56">
        <f t="shared" si="102"/>
        <v>14.592878064867916</v>
      </c>
      <c r="BR121" s="59"/>
      <c r="BS121" s="59"/>
      <c r="BT121" s="59">
        <v>1288.25</v>
      </c>
      <c r="BU121" s="59">
        <v>12.807</v>
      </c>
      <c r="BV121" s="59">
        <v>-258.86099999999999</v>
      </c>
      <c r="BW121" s="61"/>
      <c r="BY121" s="59"/>
      <c r="BZ121" s="59"/>
      <c r="CA121" s="59"/>
      <c r="CC121" s="59"/>
    </row>
    <row r="122" spans="1:81" x14ac:dyDescent="0.2">
      <c r="A122">
        <f t="shared" si="106"/>
        <v>44000</v>
      </c>
      <c r="B122">
        <f t="shared" si="86"/>
        <v>44</v>
      </c>
      <c r="C122">
        <f t="shared" si="55"/>
        <v>1.0000152859264317</v>
      </c>
      <c r="D122">
        <f t="shared" si="56"/>
        <v>5.5291467186087302E-3</v>
      </c>
      <c r="F122">
        <f t="shared" si="57"/>
        <v>0.13108802332735817</v>
      </c>
      <c r="G122">
        <f t="shared" si="58"/>
        <v>0.13231315883937533</v>
      </c>
      <c r="H122">
        <f t="shared" si="59"/>
        <v>-3.0092794911606249</v>
      </c>
      <c r="J122">
        <f t="shared" si="60"/>
        <v>15</v>
      </c>
      <c r="M122">
        <f t="shared" si="61"/>
        <v>4.1248059152818484E-2</v>
      </c>
      <c r="N122">
        <f t="shared" si="62"/>
        <v>-1.5707963250000001</v>
      </c>
      <c r="O122">
        <f t="shared" si="63"/>
        <v>5.345183008513601</v>
      </c>
      <c r="P122">
        <f t="shared" si="64"/>
        <v>1.3826030952699444</v>
      </c>
      <c r="Q122">
        <f t="shared" si="65"/>
        <v>3.5700368565505691</v>
      </c>
      <c r="R122">
        <f t="shared" si="66"/>
        <v>1.2868885146788693</v>
      </c>
      <c r="S122">
        <f t="shared" si="67"/>
        <v>0.99998403435475103</v>
      </c>
      <c r="T122">
        <f t="shared" si="68"/>
        <v>-5.6507853848565097E-3</v>
      </c>
      <c r="U122">
        <f t="shared" si="69"/>
        <v>0.99597589700257938</v>
      </c>
      <c r="V122">
        <f t="shared" si="70"/>
        <v>-8.9741905464159069E-2</v>
      </c>
      <c r="X122">
        <f t="shared" si="87"/>
        <v>3.7588320881589836</v>
      </c>
      <c r="Y122">
        <f t="shared" si="71"/>
        <v>-114.61721336201853</v>
      </c>
      <c r="Z122">
        <f t="shared" si="88"/>
        <v>65.382786637981468</v>
      </c>
      <c r="AC122">
        <v>1</v>
      </c>
      <c r="AD122">
        <f t="shared" si="72"/>
        <v>5.2508076897276004</v>
      </c>
      <c r="AE122">
        <f t="shared" si="73"/>
        <v>-9.8711458686156478E-5</v>
      </c>
      <c r="AF122">
        <f t="shared" si="74"/>
        <v>1.0969938878976002E-3</v>
      </c>
      <c r="AG122">
        <f t="shared" si="89"/>
        <v>4666.7281765357457</v>
      </c>
      <c r="AH122">
        <f t="shared" si="90"/>
        <v>-1331.5111065905749</v>
      </c>
      <c r="AJ122">
        <f t="shared" si="75"/>
        <v>22100</v>
      </c>
      <c r="AK122">
        <f t="shared" si="76"/>
        <v>124.88368624411682</v>
      </c>
      <c r="AL122">
        <v>1</v>
      </c>
      <c r="AM122">
        <f t="shared" si="77"/>
        <v>3.4271217015346087</v>
      </c>
      <c r="AN122">
        <f t="shared" si="91"/>
        <v>1767.5718477321334</v>
      </c>
      <c r="AO122">
        <f t="shared" si="92"/>
        <v>-5932.8001521403048</v>
      </c>
      <c r="AQ122">
        <f t="shared" si="78"/>
        <v>1.2911555842479019</v>
      </c>
      <c r="AR122">
        <f t="shared" si="79"/>
        <v>-113.62169141381537</v>
      </c>
      <c r="AT122">
        <f t="shared" si="104"/>
        <v>-145263.07192180096</v>
      </c>
      <c r="AU122">
        <f t="shared" si="105"/>
        <v>-531960.73678726424</v>
      </c>
      <c r="AV122">
        <f t="shared" si="93"/>
        <v>-1.837368316519717</v>
      </c>
      <c r="AW122">
        <f t="shared" si="94"/>
        <v>-664920.06725680875</v>
      </c>
      <c r="AX122">
        <f t="shared" si="95"/>
        <v>-255178.38995547037</v>
      </c>
      <c r="AY122">
        <f t="shared" si="103"/>
        <v>-2.7751528292054219</v>
      </c>
      <c r="BA122">
        <f t="shared" si="80"/>
        <v>0.7742692433809204</v>
      </c>
      <c r="BB122">
        <f t="shared" si="96"/>
        <v>-2.2221598410821084</v>
      </c>
      <c r="BC122">
        <f t="shared" si="97"/>
        <v>0.93778451268570495</v>
      </c>
      <c r="BD122">
        <f t="shared" si="81"/>
        <v>-126.26890526897978</v>
      </c>
      <c r="BF122">
        <f t="shared" si="82"/>
        <v>3.6510584068635623</v>
      </c>
      <c r="BG122">
        <f t="shared" si="83"/>
        <v>-118.37112291313005</v>
      </c>
      <c r="BH122">
        <f t="shared" si="98"/>
        <v>61.628877086869949</v>
      </c>
      <c r="BI122">
        <f t="shared" si="99"/>
        <v>61.628877086869949</v>
      </c>
      <c r="BJ122">
        <f t="shared" si="84"/>
        <v>0</v>
      </c>
      <c r="BK122">
        <f t="shared" si="100"/>
        <v>0</v>
      </c>
      <c r="BM122">
        <f t="shared" si="101"/>
        <v>5.8732182479456707</v>
      </c>
      <c r="BN122">
        <f t="shared" si="85"/>
        <v>-172.1022176441503</v>
      </c>
      <c r="BQ122" s="56">
        <f t="shared" si="102"/>
        <v>14.679800959203028</v>
      </c>
      <c r="BR122" s="59"/>
      <c r="BS122" s="59"/>
      <c r="BT122" s="59">
        <v>1318.2570000000001</v>
      </c>
      <c r="BU122" s="59">
        <v>12.682600000000001</v>
      </c>
      <c r="BV122" s="59">
        <v>-258.68299999999999</v>
      </c>
      <c r="BW122" s="61"/>
      <c r="BY122" s="59"/>
      <c r="BZ122" s="59"/>
      <c r="CA122" s="59"/>
      <c r="CC122" s="59"/>
    </row>
    <row r="123" spans="1:81" x14ac:dyDescent="0.2">
      <c r="A123">
        <f t="shared" si="106"/>
        <v>44500</v>
      </c>
      <c r="B123">
        <f t="shared" si="86"/>
        <v>44.5</v>
      </c>
      <c r="C123">
        <f t="shared" si="55"/>
        <v>1.0000156353050251</v>
      </c>
      <c r="D123">
        <f t="shared" si="56"/>
        <v>5.5919766288568557E-3</v>
      </c>
      <c r="F123">
        <f t="shared" si="57"/>
        <v>0.12781103965000401</v>
      </c>
      <c r="G123">
        <f t="shared" si="58"/>
        <v>0.13046092534905618</v>
      </c>
      <c r="H123">
        <f t="shared" si="59"/>
        <v>-3.0111317246509439</v>
      </c>
      <c r="J123">
        <f t="shared" si="60"/>
        <v>15</v>
      </c>
      <c r="M123">
        <f t="shared" si="61"/>
        <v>4.0784597814022772E-2</v>
      </c>
      <c r="N123">
        <f t="shared" si="62"/>
        <v>-1.5707963250000001</v>
      </c>
      <c r="O123">
        <f t="shared" si="63"/>
        <v>5.4038092962616124</v>
      </c>
      <c r="P123">
        <f t="shared" si="64"/>
        <v>1.3846688614166782</v>
      </c>
      <c r="Q123">
        <f t="shared" si="65"/>
        <v>3.6074388924214036</v>
      </c>
      <c r="R123">
        <f t="shared" si="66"/>
        <v>1.2899124732288045</v>
      </c>
      <c r="S123">
        <f t="shared" si="67"/>
        <v>0.99998366944643657</v>
      </c>
      <c r="T123">
        <f t="shared" si="68"/>
        <v>-5.7149974648103025E-3</v>
      </c>
      <c r="U123">
        <f t="shared" si="69"/>
        <v>0.99588448750042524</v>
      </c>
      <c r="V123">
        <f t="shared" si="70"/>
        <v>-9.0756140386464818E-2</v>
      </c>
      <c r="X123">
        <f t="shared" si="87"/>
        <v>3.6252694677649853</v>
      </c>
      <c r="Y123">
        <f t="shared" si="71"/>
        <v>-114.48990935251213</v>
      </c>
      <c r="Z123">
        <f t="shared" si="88"/>
        <v>65.510090647487871</v>
      </c>
      <c r="AC123">
        <v>1</v>
      </c>
      <c r="AD123">
        <f t="shared" si="72"/>
        <v>5.3104759589290502</v>
      </c>
      <c r="AE123">
        <f t="shared" si="73"/>
        <v>-1.0096764775994904E-4</v>
      </c>
      <c r="AF123">
        <f t="shared" si="74"/>
        <v>1.1094597275328002E-3</v>
      </c>
      <c r="AG123">
        <f t="shared" si="89"/>
        <v>4665.8716021448781</v>
      </c>
      <c r="AH123">
        <f t="shared" si="90"/>
        <v>-1325.9625779206315</v>
      </c>
      <c r="AJ123">
        <f t="shared" si="75"/>
        <v>22100</v>
      </c>
      <c r="AK123">
        <f t="shared" si="76"/>
        <v>126.30281904234542</v>
      </c>
      <c r="AL123">
        <v>1</v>
      </c>
      <c r="AM123">
        <f t="shared" si="77"/>
        <v>3.4660662663247739</v>
      </c>
      <c r="AN123">
        <f t="shared" si="91"/>
        <v>1731.8610787648372</v>
      </c>
      <c r="AO123">
        <f t="shared" si="92"/>
        <v>-5876.4424440252888</v>
      </c>
      <c r="AQ123">
        <f t="shared" si="78"/>
        <v>1.2623074981065388</v>
      </c>
      <c r="AR123">
        <f t="shared" si="79"/>
        <v>-112.34536733148195</v>
      </c>
      <c r="AT123">
        <f t="shared" si="104"/>
        <v>-143075.98817570225</v>
      </c>
      <c r="AU123">
        <f t="shared" si="105"/>
        <v>-525862.83156881446</v>
      </c>
      <c r="AV123">
        <f t="shared" si="93"/>
        <v>-1.8364444503016171</v>
      </c>
      <c r="AW123">
        <f t="shared" si="94"/>
        <v>-651228.37573194585</v>
      </c>
      <c r="AX123">
        <f t="shared" si="95"/>
        <v>-248179.52828164966</v>
      </c>
      <c r="AY123">
        <f t="shared" si="103"/>
        <v>-2.7774896271452527</v>
      </c>
      <c r="BA123">
        <f t="shared" si="80"/>
        <v>0.78198744375468587</v>
      </c>
      <c r="BB123">
        <f t="shared" si="96"/>
        <v>-2.1360044056018364</v>
      </c>
      <c r="BC123">
        <f t="shared" si="97"/>
        <v>0.94104517684363564</v>
      </c>
      <c r="BD123">
        <f t="shared" si="81"/>
        <v>-126.08208297410729</v>
      </c>
      <c r="BF123">
        <f t="shared" si="82"/>
        <v>3.5173239316120442</v>
      </c>
      <c r="BG123">
        <f t="shared" si="83"/>
        <v>-118.28682589135839</v>
      </c>
      <c r="BH123">
        <f t="shared" si="98"/>
        <v>61.71317410864161</v>
      </c>
      <c r="BI123">
        <f t="shared" si="99"/>
        <v>61.71317410864161</v>
      </c>
      <c r="BJ123">
        <f t="shared" si="84"/>
        <v>0</v>
      </c>
      <c r="BK123">
        <f t="shared" si="100"/>
        <v>0</v>
      </c>
      <c r="BM123">
        <f t="shared" si="101"/>
        <v>5.6533283372138801</v>
      </c>
      <c r="BN123">
        <f t="shared" si="85"/>
        <v>-172.20474291725111</v>
      </c>
      <c r="BQ123" s="56">
        <f t="shared" si="102"/>
        <v>14.765956394683302</v>
      </c>
      <c r="BR123" s="59"/>
      <c r="BS123" s="59"/>
      <c r="BT123" s="59">
        <v>1348.963</v>
      </c>
      <c r="BU123" s="59">
        <v>12.475899999999999</v>
      </c>
      <c r="BV123" s="59">
        <v>-258.79700000000003</v>
      </c>
      <c r="BW123" s="61"/>
      <c r="BY123" s="59"/>
      <c r="BZ123" s="59"/>
      <c r="CA123" s="59"/>
      <c r="CC123" s="59"/>
    </row>
    <row r="124" spans="1:81" x14ac:dyDescent="0.2">
      <c r="A124">
        <f t="shared" si="106"/>
        <v>45000</v>
      </c>
      <c r="B124">
        <f t="shared" si="86"/>
        <v>45</v>
      </c>
      <c r="C124">
        <f t="shared" si="55"/>
        <v>1.0000159886312752</v>
      </c>
      <c r="D124">
        <f t="shared" si="56"/>
        <v>5.6548064949548046E-3</v>
      </c>
      <c r="F124">
        <f t="shared" si="57"/>
        <v>0.12465939931807041</v>
      </c>
      <c r="G124">
        <f t="shared" si="58"/>
        <v>0.12866365137581814</v>
      </c>
      <c r="H124">
        <f t="shared" si="59"/>
        <v>-3.0129289986241821</v>
      </c>
      <c r="J124">
        <f t="shared" si="60"/>
        <v>15</v>
      </c>
      <c r="M124">
        <f t="shared" si="61"/>
        <v>4.0331435616089192E-2</v>
      </c>
      <c r="N124">
        <f t="shared" si="62"/>
        <v>-1.5707963250000001</v>
      </c>
      <c r="O124">
        <f t="shared" si="63"/>
        <v>5.4624581491232806</v>
      </c>
      <c r="P124">
        <f t="shared" si="64"/>
        <v>1.3866902769537954</v>
      </c>
      <c r="Q124">
        <f t="shared" si="65"/>
        <v>3.644873238705709</v>
      </c>
      <c r="R124">
        <f t="shared" si="66"/>
        <v>1.2928743438070764</v>
      </c>
      <c r="S124">
        <f t="shared" si="67"/>
        <v>0.99998330041527084</v>
      </c>
      <c r="T124">
        <f t="shared" si="68"/>
        <v>-5.7792094976355608E-3</v>
      </c>
      <c r="U124">
        <f t="shared" si="69"/>
        <v>0.99579207071435971</v>
      </c>
      <c r="V124">
        <f t="shared" si="70"/>
        <v>-9.1770188112367895E-2</v>
      </c>
      <c r="X124">
        <f t="shared" si="87"/>
        <v>3.4939775332847751</v>
      </c>
      <c r="Y124">
        <f t="shared" si="71"/>
        <v>-114.36554415038646</v>
      </c>
      <c r="Z124">
        <f t="shared" si="88"/>
        <v>65.634455849613545</v>
      </c>
      <c r="AC124">
        <v>1</v>
      </c>
      <c r="AD124">
        <f t="shared" si="72"/>
        <v>5.3701442281305001</v>
      </c>
      <c r="AE124">
        <f t="shared" si="73"/>
        <v>-1.0324933049559239E-4</v>
      </c>
      <c r="AF124">
        <f t="shared" si="74"/>
        <v>1.1219255671680002E-3</v>
      </c>
      <c r="AG124">
        <f t="shared" si="89"/>
        <v>4665.0056686848193</v>
      </c>
      <c r="AH124">
        <f t="shared" si="90"/>
        <v>-1320.6390471962418</v>
      </c>
      <c r="AJ124">
        <f t="shared" si="75"/>
        <v>22100</v>
      </c>
      <c r="AK124">
        <f t="shared" si="76"/>
        <v>127.72195184057402</v>
      </c>
      <c r="AL124">
        <v>1</v>
      </c>
      <c r="AM124">
        <f t="shared" si="77"/>
        <v>3.5050108311149404</v>
      </c>
      <c r="AN124">
        <f t="shared" si="91"/>
        <v>1697.2145676401483</v>
      </c>
      <c r="AO124">
        <f t="shared" si="92"/>
        <v>-5821.0334904642068</v>
      </c>
      <c r="AQ124">
        <f t="shared" si="78"/>
        <v>1.2344155042587335</v>
      </c>
      <c r="AR124">
        <f t="shared" si="79"/>
        <v>-111.09739538328601</v>
      </c>
      <c r="AT124">
        <f t="shared" si="104"/>
        <v>-140961.00306008756</v>
      </c>
      <c r="AU124">
        <f t="shared" si="105"/>
        <v>-519900.19655453641</v>
      </c>
      <c r="AV124">
        <f t="shared" si="93"/>
        <v>-1.8355619108507581</v>
      </c>
      <c r="AW124">
        <f t="shared" si="94"/>
        <v>-637942.5197843035</v>
      </c>
      <c r="AX124">
        <f t="shared" si="95"/>
        <v>-241458.0385970209</v>
      </c>
      <c r="AY124">
        <f t="shared" si="103"/>
        <v>-2.7797614211880863</v>
      </c>
      <c r="BA124">
        <f t="shared" si="80"/>
        <v>0.78971368924794438</v>
      </c>
      <c r="BB124">
        <f t="shared" si="96"/>
        <v>-2.0506066733637782</v>
      </c>
      <c r="BC124">
        <f t="shared" si="97"/>
        <v>0.94419951033732819</v>
      </c>
      <c r="BD124">
        <f t="shared" si="81"/>
        <v>-125.90135297753542</v>
      </c>
      <c r="BF124">
        <f t="shared" si="82"/>
        <v>3.3858579796480255</v>
      </c>
      <c r="BG124">
        <f t="shared" si="83"/>
        <v>-118.20547222204057</v>
      </c>
      <c r="BH124">
        <f t="shared" si="98"/>
        <v>61.794527777959431</v>
      </c>
      <c r="BI124">
        <f t="shared" si="99"/>
        <v>61.794527777959431</v>
      </c>
      <c r="BJ124">
        <f t="shared" si="84"/>
        <v>0</v>
      </c>
      <c r="BK124">
        <f t="shared" si="100"/>
        <v>0</v>
      </c>
      <c r="BM124">
        <f t="shared" si="101"/>
        <v>5.4364646530118046</v>
      </c>
      <c r="BN124">
        <f t="shared" si="85"/>
        <v>-172.30411924450516</v>
      </c>
      <c r="BQ124" s="56">
        <f t="shared" si="102"/>
        <v>14.851354126921358</v>
      </c>
      <c r="BR124" s="59"/>
      <c r="BS124" s="59"/>
      <c r="BT124" s="59">
        <v>1380.384</v>
      </c>
      <c r="BU124" s="59">
        <v>12.2584</v>
      </c>
      <c r="BV124" s="59">
        <v>-258.41000000000003</v>
      </c>
      <c r="BW124" s="61"/>
      <c r="BY124" s="59"/>
      <c r="BZ124" s="59"/>
      <c r="CA124" s="59"/>
      <c r="CC124" s="59"/>
    </row>
    <row r="125" spans="1:81" x14ac:dyDescent="0.2">
      <c r="A125">
        <f t="shared" si="106"/>
        <v>45500</v>
      </c>
      <c r="B125">
        <f t="shared" si="86"/>
        <v>45.5</v>
      </c>
      <c r="C125">
        <f t="shared" si="55"/>
        <v>1.0000163459051774</v>
      </c>
      <c r="D125">
        <f t="shared" si="56"/>
        <v>5.717636316406571E-3</v>
      </c>
      <c r="F125">
        <f t="shared" si="57"/>
        <v>0.12162661336870199</v>
      </c>
      <c r="G125">
        <f t="shared" si="58"/>
        <v>0.1269188199082168</v>
      </c>
      <c r="H125">
        <f t="shared" si="59"/>
        <v>-3.0146738300917835</v>
      </c>
      <c r="J125">
        <f t="shared" si="60"/>
        <v>15</v>
      </c>
      <c r="M125">
        <f t="shared" si="61"/>
        <v>3.9888233026901393E-2</v>
      </c>
      <c r="N125">
        <f t="shared" si="62"/>
        <v>-1.5707963250000001</v>
      </c>
      <c r="O125">
        <f t="shared" si="63"/>
        <v>5.5211288479967795</v>
      </c>
      <c r="P125">
        <f t="shared" si="64"/>
        <v>1.3886687389783248</v>
      </c>
      <c r="Q125">
        <f t="shared" si="65"/>
        <v>3.6823389100088164</v>
      </c>
      <c r="R125">
        <f t="shared" si="66"/>
        <v>1.2957759687662209</v>
      </c>
      <c r="S125">
        <f t="shared" si="67"/>
        <v>0.99998292726126714</v>
      </c>
      <c r="T125">
        <f t="shared" si="68"/>
        <v>-5.8434214828028234E-3</v>
      </c>
      <c r="U125">
        <f t="shared" si="69"/>
        <v>0.99569864749488812</v>
      </c>
      <c r="V125">
        <f t="shared" si="70"/>
        <v>-9.2784046608795134E-2</v>
      </c>
      <c r="X125">
        <f t="shared" si="87"/>
        <v>3.3648782499331698</v>
      </c>
      <c r="Y125">
        <f t="shared" si="71"/>
        <v>-114.24407624649787</v>
      </c>
      <c r="Z125">
        <f t="shared" si="88"/>
        <v>65.755923753502131</v>
      </c>
      <c r="AC125">
        <v>1</v>
      </c>
      <c r="AD125">
        <f t="shared" si="72"/>
        <v>5.4298124973319499</v>
      </c>
      <c r="AE125">
        <f t="shared" si="73"/>
        <v>-1.0555650689308648E-4</v>
      </c>
      <c r="AF125">
        <f t="shared" si="74"/>
        <v>1.1343914068032001E-3</v>
      </c>
      <c r="AG125">
        <f t="shared" si="89"/>
        <v>4664.1303867512406</v>
      </c>
      <c r="AH125">
        <f t="shared" si="90"/>
        <v>-1315.5329830334815</v>
      </c>
      <c r="AJ125">
        <f t="shared" si="75"/>
        <v>22100</v>
      </c>
      <c r="AK125">
        <f t="shared" si="76"/>
        <v>129.14108463880262</v>
      </c>
      <c r="AL125">
        <v>1</v>
      </c>
      <c r="AM125">
        <f t="shared" si="77"/>
        <v>3.5439553959051064</v>
      </c>
      <c r="AN125">
        <f t="shared" si="91"/>
        <v>1663.5916416780333</v>
      </c>
      <c r="AO125">
        <f t="shared" si="92"/>
        <v>-5766.5534904686974</v>
      </c>
      <c r="AQ125">
        <f t="shared" si="78"/>
        <v>1.2074378169524269</v>
      </c>
      <c r="AR125">
        <f t="shared" si="79"/>
        <v>-109.87684134267086</v>
      </c>
      <c r="AT125">
        <f t="shared" si="104"/>
        <v>-138914.96144565998</v>
      </c>
      <c r="AU125">
        <f t="shared" si="105"/>
        <v>-514068.33877975895</v>
      </c>
      <c r="AV125">
        <f t="shared" si="93"/>
        <v>-1.83471939253753</v>
      </c>
      <c r="AW125">
        <f t="shared" si="94"/>
        <v>-625047.11035793344</v>
      </c>
      <c r="AX125">
        <f t="shared" si="95"/>
        <v>-235000.17384342122</v>
      </c>
      <c r="AY125">
        <f t="shared" si="103"/>
        <v>-2.7819701451052765</v>
      </c>
      <c r="BA125">
        <f t="shared" si="80"/>
        <v>0.79744759629131856</v>
      </c>
      <c r="BB125">
        <f t="shared" si="96"/>
        <v>-1.9659569337988052</v>
      </c>
      <c r="BC125">
        <f t="shared" si="97"/>
        <v>0.94725075256774649</v>
      </c>
      <c r="BD125">
        <f t="shared" si="81"/>
        <v>-125.72652967526062</v>
      </c>
      <c r="BF125">
        <f t="shared" si="82"/>
        <v>3.2565825089067739</v>
      </c>
      <c r="BG125">
        <f t="shared" si="83"/>
        <v>-118.12702051533429</v>
      </c>
      <c r="BH125">
        <f t="shared" si="98"/>
        <v>61.872979484665706</v>
      </c>
      <c r="BI125">
        <f t="shared" si="99"/>
        <v>61.872979484665706</v>
      </c>
      <c r="BJ125">
        <f t="shared" si="84"/>
        <v>0</v>
      </c>
      <c r="BK125">
        <f t="shared" si="100"/>
        <v>0</v>
      </c>
      <c r="BM125">
        <f t="shared" si="101"/>
        <v>5.2225394427055791</v>
      </c>
      <c r="BN125">
        <f t="shared" si="85"/>
        <v>-172.4004908400737</v>
      </c>
      <c r="BQ125" s="56">
        <f t="shared" si="102"/>
        <v>14.936003866486331</v>
      </c>
      <c r="BR125" s="59"/>
      <c r="BS125" s="59"/>
      <c r="BT125" s="59">
        <v>1412.538</v>
      </c>
      <c r="BU125" s="59">
        <v>12.0929</v>
      </c>
      <c r="BV125" s="59">
        <v>-258.13599999999997</v>
      </c>
      <c r="BW125" s="61"/>
      <c r="BY125" s="59"/>
      <c r="BZ125" s="59"/>
      <c r="CA125" s="59"/>
      <c r="CC125" s="59"/>
    </row>
    <row r="126" spans="1:81" x14ac:dyDescent="0.2">
      <c r="A126">
        <f t="shared" si="106"/>
        <v>46000</v>
      </c>
      <c r="B126">
        <f t="shared" si="86"/>
        <v>46</v>
      </c>
      <c r="C126">
        <f t="shared" si="55"/>
        <v>1.0000167071267279</v>
      </c>
      <c r="D126">
        <f t="shared" si="56"/>
        <v>5.7804660927161513E-3</v>
      </c>
      <c r="F126">
        <f t="shared" si="57"/>
        <v>0.11870661698074804</v>
      </c>
      <c r="G126">
        <f t="shared" si="58"/>
        <v>0.12522406889396104</v>
      </c>
      <c r="H126">
        <f t="shared" si="59"/>
        <v>-3.0163685811060392</v>
      </c>
      <c r="J126">
        <f t="shared" si="60"/>
        <v>15</v>
      </c>
      <c r="M126">
        <f t="shared" si="61"/>
        <v>3.9454665276608986E-2</v>
      </c>
      <c r="N126">
        <f t="shared" si="62"/>
        <v>-1.5707963250000001</v>
      </c>
      <c r="O126">
        <f t="shared" si="63"/>
        <v>5.579820703762814</v>
      </c>
      <c r="P126">
        <f t="shared" si="64"/>
        <v>1.3906055871834757</v>
      </c>
      <c r="Q126">
        <f t="shared" si="65"/>
        <v>3.7198349598268718</v>
      </c>
      <c r="R126">
        <f t="shared" si="66"/>
        <v>1.2986191203265598</v>
      </c>
      <c r="S126">
        <f t="shared" si="67"/>
        <v>0.99998254998443936</v>
      </c>
      <c r="T126">
        <f t="shared" si="68"/>
        <v>-5.9076334197826277E-3</v>
      </c>
      <c r="U126">
        <f t="shared" si="69"/>
        <v>0.99560421870134963</v>
      </c>
      <c r="V126">
        <f t="shared" si="70"/>
        <v>-9.3797713844988126E-2</v>
      </c>
      <c r="X126">
        <f t="shared" si="87"/>
        <v>3.2378974334215722</v>
      </c>
      <c r="Y126">
        <f t="shared" si="71"/>
        <v>-114.12546256060617</v>
      </c>
      <c r="Z126">
        <f t="shared" si="88"/>
        <v>65.874537439393833</v>
      </c>
      <c r="AC126">
        <v>1</v>
      </c>
      <c r="AD126">
        <f t="shared" si="72"/>
        <v>5.4894807665333998</v>
      </c>
      <c r="AE126">
        <f t="shared" si="73"/>
        <v>-1.0788917695243137E-4</v>
      </c>
      <c r="AF126">
        <f t="shared" si="74"/>
        <v>1.1468572464384003E-3</v>
      </c>
      <c r="AG126">
        <f t="shared" si="89"/>
        <v>4663.2457670481735</v>
      </c>
      <c r="AH126">
        <f t="shared" si="90"/>
        <v>-1310.6371803480354</v>
      </c>
      <c r="AJ126">
        <f t="shared" si="75"/>
        <v>22100</v>
      </c>
      <c r="AK126">
        <f t="shared" si="76"/>
        <v>130.56021743703121</v>
      </c>
      <c r="AL126">
        <v>1</v>
      </c>
      <c r="AM126">
        <f t="shared" si="77"/>
        <v>3.5828999606952721</v>
      </c>
      <c r="AN126">
        <f t="shared" si="91"/>
        <v>1630.9534916954365</v>
      </c>
      <c r="AO126">
        <f t="shared" si="92"/>
        <v>-5712.9829838543646</v>
      </c>
      <c r="AQ126">
        <f t="shared" si="78"/>
        <v>1.1813349084465445</v>
      </c>
      <c r="AR126">
        <f t="shared" si="79"/>
        <v>-108.68281157708211</v>
      </c>
      <c r="AT126">
        <f t="shared" si="104"/>
        <v>-136934.87870640412</v>
      </c>
      <c r="AU126">
        <f t="shared" si="105"/>
        <v>-508362.96249117545</v>
      </c>
      <c r="AV126">
        <f t="shared" si="93"/>
        <v>-1.8339156430740353</v>
      </c>
      <c r="AW126">
        <f t="shared" si="94"/>
        <v>-612527.45557705034</v>
      </c>
      <c r="AX126">
        <f t="shared" si="95"/>
        <v>-228792.99317294959</v>
      </c>
      <c r="AY126">
        <f t="shared" si="103"/>
        <v>-2.7841176585205365</v>
      </c>
      <c r="BA126">
        <f t="shared" si="80"/>
        <v>0.80518879639583552</v>
      </c>
      <c r="BB126">
        <f t="shared" si="96"/>
        <v>-1.8820455325309742</v>
      </c>
      <c r="BC126">
        <f t="shared" si="97"/>
        <v>0.95020201544650118</v>
      </c>
      <c r="BD126">
        <f t="shared" si="81"/>
        <v>-125.55743476788112</v>
      </c>
      <c r="BF126">
        <f t="shared" si="82"/>
        <v>3.1294233277473622</v>
      </c>
      <c r="BG126">
        <f t="shared" si="83"/>
        <v>-118.05142780749371</v>
      </c>
      <c r="BH126">
        <f t="shared" si="98"/>
        <v>61.94857219250629</v>
      </c>
      <c r="BI126">
        <f t="shared" si="99"/>
        <v>61.94857219250629</v>
      </c>
      <c r="BJ126">
        <f t="shared" si="84"/>
        <v>0</v>
      </c>
      <c r="BK126">
        <f t="shared" si="100"/>
        <v>0</v>
      </c>
      <c r="BM126">
        <f t="shared" si="101"/>
        <v>5.0114688602783364</v>
      </c>
      <c r="BN126">
        <f t="shared" si="85"/>
        <v>-172.4939930396126</v>
      </c>
      <c r="BQ126" s="56">
        <f t="shared" si="102"/>
        <v>15.019915267754163</v>
      </c>
      <c r="BR126" s="59"/>
      <c r="BS126" s="59"/>
      <c r="BT126" s="59">
        <v>1445.44</v>
      </c>
      <c r="BU126" s="59">
        <v>11.918900000000001</v>
      </c>
      <c r="BV126" s="59">
        <v>-257.92899999999997</v>
      </c>
      <c r="BW126" s="61"/>
      <c r="BY126" s="59"/>
      <c r="BZ126" s="59"/>
      <c r="CA126" s="59"/>
      <c r="CC126" s="59"/>
    </row>
    <row r="127" spans="1:81" x14ac:dyDescent="0.2">
      <c r="A127">
        <f t="shared" si="106"/>
        <v>46500</v>
      </c>
      <c r="B127">
        <f t="shared" si="86"/>
        <v>46.5</v>
      </c>
      <c r="C127">
        <f t="shared" si="55"/>
        <v>1.0000170722959223</v>
      </c>
      <c r="D127">
        <f t="shared" si="56"/>
        <v>5.8432958233875414E-3</v>
      </c>
      <c r="F127">
        <f t="shared" si="57"/>
        <v>0.11589373602565271</v>
      </c>
      <c r="G127">
        <f t="shared" si="58"/>
        <v>0.12357717936013968</v>
      </c>
      <c r="H127">
        <f t="shared" si="59"/>
        <v>-3.0180154706398605</v>
      </c>
      <c r="J127">
        <f t="shared" si="60"/>
        <v>15</v>
      </c>
      <c r="M127">
        <f t="shared" si="61"/>
        <v>3.9030421563957279E-2</v>
      </c>
      <c r="N127">
        <f t="shared" si="62"/>
        <v>-1.5707963250000001</v>
      </c>
      <c r="O127">
        <f t="shared" si="63"/>
        <v>5.6385330557510285</v>
      </c>
      <c r="P127">
        <f t="shared" si="64"/>
        <v>1.3925021067424441</v>
      </c>
      <c r="Q127">
        <f t="shared" si="65"/>
        <v>3.7573604786856478</v>
      </c>
      <c r="R127">
        <f t="shared" si="66"/>
        <v>1.3014055037783054</v>
      </c>
      <c r="S127">
        <f t="shared" si="67"/>
        <v>0.99998216858480182</v>
      </c>
      <c r="T127">
        <f t="shared" si="68"/>
        <v>-5.9718453080455152E-3</v>
      </c>
      <c r="U127">
        <f t="shared" si="69"/>
        <v>0.99550878520189356</v>
      </c>
      <c r="V127">
        <f t="shared" si="70"/>
        <v>-9.4811187792526772E-2</v>
      </c>
      <c r="X127">
        <f t="shared" si="87"/>
        <v>3.1129645074982912</v>
      </c>
      <c r="Y127">
        <f t="shared" si="71"/>
        <v>-114.00965877334006</v>
      </c>
      <c r="Z127">
        <f t="shared" si="88"/>
        <v>65.990341226659936</v>
      </c>
      <c r="AC127">
        <v>1</v>
      </c>
      <c r="AD127">
        <f t="shared" si="72"/>
        <v>5.5491490357348505</v>
      </c>
      <c r="AE127">
        <f t="shared" si="73"/>
        <v>-1.1024734067362699E-4</v>
      </c>
      <c r="AF127">
        <f t="shared" si="74"/>
        <v>1.1593230860736002E-3</v>
      </c>
      <c r="AG127">
        <f t="shared" si="89"/>
        <v>4662.3518203876911</v>
      </c>
      <c r="AH127">
        <f t="shared" si="90"/>
        <v>-1305.9447428156095</v>
      </c>
      <c r="AJ127">
        <f t="shared" si="75"/>
        <v>22100</v>
      </c>
      <c r="AK127">
        <f t="shared" si="76"/>
        <v>131.97935023525983</v>
      </c>
      <c r="AL127">
        <v>1</v>
      </c>
      <c r="AM127">
        <f t="shared" si="77"/>
        <v>3.6218445254854381</v>
      </c>
      <c r="AN127">
        <f t="shared" si="91"/>
        <v>1599.2630742142414</v>
      </c>
      <c r="AO127">
        <f t="shared" si="92"/>
        <v>-5660.3028599186027</v>
      </c>
      <c r="AQ127">
        <f t="shared" si="78"/>
        <v>1.1560693641618498</v>
      </c>
      <c r="AR127">
        <f t="shared" si="79"/>
        <v>-107.51445086705202</v>
      </c>
      <c r="AT127">
        <f t="shared" si="104"/>
        <v>-135017.92978203931</v>
      </c>
      <c r="AU127">
        <f t="shared" si="105"/>
        <v>-502779.95842644031</v>
      </c>
      <c r="AV127">
        <f t="shared" si="93"/>
        <v>-1.8331494608487744</v>
      </c>
      <c r="AW127">
        <f t="shared" si="94"/>
        <v>-600369.52476560115</v>
      </c>
      <c r="AX127">
        <f t="shared" si="95"/>
        <v>-222824.30778525397</v>
      </c>
      <c r="AY127">
        <f t="shared" si="103"/>
        <v>-2.7862057503282065</v>
      </c>
      <c r="BA127">
        <f t="shared" si="80"/>
        <v>0.81293693535627098</v>
      </c>
      <c r="BB127">
        <f t="shared" si="96"/>
        <v>-1.7988628812084637</v>
      </c>
      <c r="BC127">
        <f t="shared" si="97"/>
        <v>0.95305628947943211</v>
      </c>
      <c r="BD127">
        <f t="shared" si="81"/>
        <v>-125.39389691203353</v>
      </c>
      <c r="BF127">
        <f t="shared" si="82"/>
        <v>3.0043098524933169</v>
      </c>
      <c r="BG127">
        <f t="shared" si="83"/>
        <v>-117.97864989296664</v>
      </c>
      <c r="BH127">
        <f t="shared" si="98"/>
        <v>62.021350107033356</v>
      </c>
      <c r="BI127">
        <f t="shared" si="99"/>
        <v>62.021350107033356</v>
      </c>
      <c r="BJ127">
        <f t="shared" si="84"/>
        <v>0</v>
      </c>
      <c r="BK127">
        <f t="shared" si="100"/>
        <v>0</v>
      </c>
      <c r="BM127">
        <f t="shared" si="101"/>
        <v>4.8031727337017811</v>
      </c>
      <c r="BN127">
        <f t="shared" si="85"/>
        <v>-172.5847529809331</v>
      </c>
      <c r="BQ127" s="56">
        <f t="shared" si="102"/>
        <v>15.103097919076674</v>
      </c>
      <c r="BR127" s="59"/>
      <c r="BS127" s="59"/>
      <c r="BT127" s="59">
        <v>1479.1079999999999</v>
      </c>
      <c r="BU127" s="59">
        <v>11.714700000000001</v>
      </c>
      <c r="BV127" s="59">
        <v>-257.745</v>
      </c>
      <c r="BW127" s="61"/>
      <c r="BY127" s="59"/>
      <c r="BZ127" s="59"/>
      <c r="CA127" s="59"/>
      <c r="CC127" s="59"/>
    </row>
    <row r="128" spans="1:81" x14ac:dyDescent="0.2">
      <c r="A128">
        <f t="shared" si="106"/>
        <v>47000</v>
      </c>
      <c r="B128">
        <f t="shared" si="86"/>
        <v>47</v>
      </c>
      <c r="C128">
        <f t="shared" si="55"/>
        <v>1.0000174414127563</v>
      </c>
      <c r="D128">
        <f t="shared" si="56"/>
        <v>5.9061255079247438E-3</v>
      </c>
      <c r="F128">
        <f t="shared" si="57"/>
        <v>0.11318265670035216</v>
      </c>
      <c r="G128">
        <f t="shared" si="58"/>
        <v>0.12197606461521705</v>
      </c>
      <c r="H128">
        <f t="shared" si="59"/>
        <v>-3.0196165853847829</v>
      </c>
      <c r="J128">
        <f t="shared" si="60"/>
        <v>15</v>
      </c>
      <c r="M128">
        <f t="shared" si="61"/>
        <v>3.8615204313276884E-2</v>
      </c>
      <c r="N128">
        <f t="shared" si="62"/>
        <v>-1.5707963250000001</v>
      </c>
      <c r="O128">
        <f t="shared" si="63"/>
        <v>5.6972652702988054</v>
      </c>
      <c r="P128">
        <f t="shared" si="64"/>
        <v>1.3943595310222203</v>
      </c>
      <c r="Q128">
        <f t="shared" si="65"/>
        <v>3.7949145923829284</v>
      </c>
      <c r="R128">
        <f t="shared" si="66"/>
        <v>1.3041367605161103</v>
      </c>
      <c r="S128">
        <f t="shared" si="67"/>
        <v>0.9999817830623684</v>
      </c>
      <c r="T128">
        <f t="shared" si="68"/>
        <v>-6.0360571470620284E-3</v>
      </c>
      <c r="U128">
        <f t="shared" si="69"/>
        <v>0.99541234787345934</v>
      </c>
      <c r="V128">
        <f t="shared" si="70"/>
        <v>-9.5824466425352764E-2</v>
      </c>
      <c r="X128">
        <f t="shared" si="87"/>
        <v>2.990012279842535</v>
      </c>
      <c r="Y128">
        <f t="shared" si="71"/>
        <v>-113.89661961552193</v>
      </c>
      <c r="Z128">
        <f t="shared" si="88"/>
        <v>66.103380384478072</v>
      </c>
      <c r="AC128">
        <v>1</v>
      </c>
      <c r="AD128">
        <f t="shared" si="72"/>
        <v>5.6088173049363004</v>
      </c>
      <c r="AE128">
        <f t="shared" si="73"/>
        <v>-1.1263099805667338E-4</v>
      </c>
      <c r="AF128">
        <f t="shared" si="74"/>
        <v>1.1717889257088002E-3</v>
      </c>
      <c r="AG128">
        <f t="shared" si="89"/>
        <v>4661.4485576895677</v>
      </c>
      <c r="AH128">
        <f t="shared" si="90"/>
        <v>-1301.4490664519203</v>
      </c>
      <c r="AJ128">
        <f t="shared" si="75"/>
        <v>22100</v>
      </c>
      <c r="AK128">
        <f t="shared" si="76"/>
        <v>133.39848303348842</v>
      </c>
      <c r="AL128">
        <v>1</v>
      </c>
      <c r="AM128">
        <f t="shared" si="77"/>
        <v>3.6607890902756042</v>
      </c>
      <c r="AN128">
        <f t="shared" si="91"/>
        <v>1568.4850193370396</v>
      </c>
      <c r="AO128">
        <f t="shared" si="92"/>
        <v>-5608.4943640162655</v>
      </c>
      <c r="AQ128">
        <f t="shared" si="78"/>
        <v>1.1316057485572026</v>
      </c>
      <c r="AR128">
        <f t="shared" si="79"/>
        <v>-106.37094036437705</v>
      </c>
      <c r="AT128">
        <f t="shared" si="104"/>
        <v>-133161.43905034621</v>
      </c>
      <c r="AU128">
        <f t="shared" si="105"/>
        <v>-497315.39378665981</v>
      </c>
      <c r="AV128">
        <f t="shared" si="93"/>
        <v>-1.8324196924173841</v>
      </c>
      <c r="AW128">
        <f t="shared" si="94"/>
        <v>-588559.91449859692</v>
      </c>
      <c r="AX128">
        <f t="shared" si="95"/>
        <v>-217082.63084176354</v>
      </c>
      <c r="AY128">
        <f t="shared" si="103"/>
        <v>-2.7882361419301755</v>
      </c>
      <c r="BA128">
        <f t="shared" si="80"/>
        <v>0.82069167250450148</v>
      </c>
      <c r="BB128">
        <f t="shared" si="96"/>
        <v>-1.7163994661443491</v>
      </c>
      <c r="BC128">
        <f t="shared" si="97"/>
        <v>0.95581644951279143</v>
      </c>
      <c r="BD128">
        <f t="shared" si="81"/>
        <v>-125.23575139116065</v>
      </c>
      <c r="BF128">
        <f t="shared" si="82"/>
        <v>2.8811748833268798</v>
      </c>
      <c r="BG128">
        <f t="shared" si="83"/>
        <v>-117.90864161384256</v>
      </c>
      <c r="BH128">
        <f t="shared" si="98"/>
        <v>62.091358386157438</v>
      </c>
      <c r="BI128">
        <f t="shared" si="99"/>
        <v>62.091358386157438</v>
      </c>
      <c r="BJ128">
        <f t="shared" si="84"/>
        <v>0</v>
      </c>
      <c r="BK128">
        <f t="shared" si="100"/>
        <v>0</v>
      </c>
      <c r="BM128">
        <f t="shared" si="101"/>
        <v>4.5975743494712287</v>
      </c>
      <c r="BN128">
        <f t="shared" si="85"/>
        <v>-172.67289022268193</v>
      </c>
      <c r="BQ128" s="56">
        <f t="shared" si="102"/>
        <v>15.185561334140786</v>
      </c>
      <c r="BR128" s="59"/>
      <c r="BS128" s="59"/>
      <c r="BT128" s="59">
        <v>1513.5609999999999</v>
      </c>
      <c r="BU128" s="59">
        <v>11.5252</v>
      </c>
      <c r="BV128" s="59">
        <v>-257.61</v>
      </c>
      <c r="BW128" s="61"/>
      <c r="BY128" s="59"/>
      <c r="BZ128" s="59"/>
      <c r="CA128" s="59"/>
      <c r="CC128" s="59"/>
    </row>
    <row r="129" spans="1:81" x14ac:dyDescent="0.2">
      <c r="A129">
        <f t="shared" si="106"/>
        <v>47500</v>
      </c>
      <c r="B129">
        <f t="shared" si="86"/>
        <v>47.5</v>
      </c>
      <c r="C129">
        <f t="shared" si="55"/>
        <v>1.0000178144772254</v>
      </c>
      <c r="D129">
        <f t="shared" si="56"/>
        <v>5.9689551458317587E-3</v>
      </c>
      <c r="F129">
        <f t="shared" si="57"/>
        <v>0.11056839791823388</v>
      </c>
      <c r="G129">
        <f t="shared" si="58"/>
        <v>0.12041876041941595</v>
      </c>
      <c r="H129">
        <f t="shared" si="59"/>
        <v>-3.0211738895805844</v>
      </c>
      <c r="J129">
        <f t="shared" si="60"/>
        <v>15</v>
      </c>
      <c r="M129">
        <f t="shared" si="61"/>
        <v>3.8208728478400282E-2</v>
      </c>
      <c r="N129">
        <f t="shared" si="62"/>
        <v>-1.5707963250000001</v>
      </c>
      <c r="O129">
        <f t="shared" si="63"/>
        <v>5.7560167393960722</v>
      </c>
      <c r="P129">
        <f t="shared" si="64"/>
        <v>1.3961790441388293</v>
      </c>
      <c r="Q129">
        <f t="shared" si="65"/>
        <v>3.8324964603279574</v>
      </c>
      <c r="R129">
        <f t="shared" si="66"/>
        <v>1.3068144709157472</v>
      </c>
      <c r="S129">
        <f t="shared" si="67"/>
        <v>0.99998139341715364</v>
      </c>
      <c r="T129">
        <f t="shared" si="68"/>
        <v>-6.100268936302714E-3</v>
      </c>
      <c r="U129">
        <f t="shared" si="69"/>
        <v>0.9953149076017529</v>
      </c>
      <c r="V129">
        <f t="shared" si="70"/>
        <v>-9.6837547719792832E-2</v>
      </c>
      <c r="X129">
        <f t="shared" si="87"/>
        <v>2.8689767346999089</v>
      </c>
      <c r="Y129">
        <f t="shared" si="71"/>
        <v>-113.78629912013857</v>
      </c>
      <c r="Z129">
        <f t="shared" si="88"/>
        <v>66.213700879861435</v>
      </c>
      <c r="AC129">
        <v>1</v>
      </c>
      <c r="AD129">
        <f t="shared" si="72"/>
        <v>5.6684855741377502</v>
      </c>
      <c r="AE129">
        <f t="shared" si="73"/>
        <v>-1.1504014910157055E-4</v>
      </c>
      <c r="AF129">
        <f t="shared" si="74"/>
        <v>1.1842547653440002E-3</v>
      </c>
      <c r="AG129">
        <f t="shared" si="89"/>
        <v>4660.5359899809655</v>
      </c>
      <c r="AH129">
        <f t="shared" si="90"/>
        <v>-1297.1438242297706</v>
      </c>
      <c r="AJ129">
        <f t="shared" si="75"/>
        <v>22100</v>
      </c>
      <c r="AK129">
        <f t="shared" si="76"/>
        <v>134.81761583171701</v>
      </c>
      <c r="AL129">
        <v>1</v>
      </c>
      <c r="AM129">
        <f t="shared" si="77"/>
        <v>3.6997336550657707</v>
      </c>
      <c r="AN129">
        <f t="shared" si="91"/>
        <v>1538.5855439405311</v>
      </c>
      <c r="AO129">
        <f t="shared" si="92"/>
        <v>-5557.5391022827407</v>
      </c>
      <c r="AQ129">
        <f t="shared" si="78"/>
        <v>1.1079104808331486</v>
      </c>
      <c r="AR129">
        <f t="shared" si="79"/>
        <v>-105.25149567914913</v>
      </c>
      <c r="AT129">
        <f t="shared" si="104"/>
        <v>-131362.87094155466</v>
      </c>
      <c r="AU129">
        <f t="shared" si="105"/>
        <v>-491965.5028500128</v>
      </c>
      <c r="AV129">
        <f t="shared" si="93"/>
        <v>-1.8317252301390312</v>
      </c>
      <c r="AW129">
        <f t="shared" si="94"/>
        <v>-577085.81656509382</v>
      </c>
      <c r="AX129">
        <f t="shared" si="95"/>
        <v>-211557.13111863061</v>
      </c>
      <c r="AY129">
        <f t="shared" si="103"/>
        <v>-2.7902104903021594</v>
      </c>
      <c r="BA129">
        <f t="shared" si="80"/>
        <v>0.82845268000924377</v>
      </c>
      <c r="BB129">
        <f t="shared" si="96"/>
        <v>-1.6346458558832069</v>
      </c>
      <c r="BC129">
        <f t="shared" si="97"/>
        <v>0.95848526016312818</v>
      </c>
      <c r="BD129">
        <f t="shared" si="81"/>
        <v>-125.08283980440206</v>
      </c>
      <c r="BF129">
        <f t="shared" si="82"/>
        <v>2.7599543969248233</v>
      </c>
      <c r="BG129">
        <f t="shared" si="83"/>
        <v>-117.84135711193886</v>
      </c>
      <c r="BH129">
        <f t="shared" si="98"/>
        <v>62.158642888061138</v>
      </c>
      <c r="BI129">
        <f t="shared" si="99"/>
        <v>62.158642888061138</v>
      </c>
      <c r="BJ129">
        <f t="shared" si="84"/>
        <v>0</v>
      </c>
      <c r="BK129">
        <f t="shared" si="100"/>
        <v>0</v>
      </c>
      <c r="BM129">
        <f t="shared" si="101"/>
        <v>4.3946002528080301</v>
      </c>
      <c r="BN129">
        <f t="shared" si="85"/>
        <v>-172.75851730753681</v>
      </c>
      <c r="BQ129" s="56">
        <f t="shared" si="102"/>
        <v>15.267314944401928</v>
      </c>
      <c r="BR129" s="59"/>
      <c r="BS129" s="59"/>
      <c r="BT129" s="59">
        <v>1548.817</v>
      </c>
      <c r="BU129" s="59">
        <v>11.3354</v>
      </c>
      <c r="BV129" s="59">
        <v>-257.471</v>
      </c>
      <c r="BW129" s="61"/>
      <c r="BY129" s="59"/>
      <c r="BZ129" s="59"/>
      <c r="CA129" s="59"/>
      <c r="CC129" s="59"/>
    </row>
    <row r="130" spans="1:81" x14ac:dyDescent="0.2">
      <c r="A130">
        <f t="shared" si="106"/>
        <v>48000</v>
      </c>
      <c r="B130">
        <f t="shared" si="86"/>
        <v>48</v>
      </c>
      <c r="C130">
        <f t="shared" si="55"/>
        <v>1.0000181914893254</v>
      </c>
      <c r="D130">
        <f t="shared" si="56"/>
        <v>6.0317847366125931E-3</v>
      </c>
      <c r="F130">
        <f t="shared" si="57"/>
        <v>0.10804628617234616</v>
      </c>
      <c r="G130">
        <f t="shared" si="58"/>
        <v>0.1189034160234836</v>
      </c>
      <c r="H130">
        <f t="shared" si="59"/>
        <v>-3.0226892339765166</v>
      </c>
      <c r="J130">
        <f t="shared" si="60"/>
        <v>15</v>
      </c>
      <c r="M130">
        <f t="shared" si="61"/>
        <v>3.781072089008361E-2</v>
      </c>
      <c r="N130">
        <f t="shared" si="62"/>
        <v>-1.5707963250000001</v>
      </c>
      <c r="O130">
        <f t="shared" si="63"/>
        <v>5.8147868794102555</v>
      </c>
      <c r="P130">
        <f t="shared" si="64"/>
        <v>1.3979617833645692</v>
      </c>
      <c r="Q130">
        <f t="shared" si="65"/>
        <v>3.8701052739719048</v>
      </c>
      <c r="R130">
        <f t="shared" si="66"/>
        <v>1.3094401570620187</v>
      </c>
      <c r="S130">
        <f t="shared" si="67"/>
        <v>0.99998099964917164</v>
      </c>
      <c r="T130">
        <f t="shared" si="68"/>
        <v>-6.1644806752381189E-3</v>
      </c>
      <c r="U130">
        <f t="shared" si="69"/>
        <v>0.99521646528122576</v>
      </c>
      <c r="V130">
        <f t="shared" si="70"/>
        <v>-9.7850429654582211E-2</v>
      </c>
      <c r="X130">
        <f t="shared" si="87"/>
        <v>2.749796840807686</v>
      </c>
      <c r="Y130">
        <f t="shared" si="71"/>
        <v>-113.67865084156105</v>
      </c>
      <c r="Z130">
        <f t="shared" si="88"/>
        <v>66.321349158438949</v>
      </c>
      <c r="AC130">
        <v>1</v>
      </c>
      <c r="AD130">
        <f t="shared" si="72"/>
        <v>5.7281538433392001</v>
      </c>
      <c r="AE130">
        <f t="shared" si="73"/>
        <v>-1.1747479380831847E-4</v>
      </c>
      <c r="AF130">
        <f t="shared" si="74"/>
        <v>1.1967206049792003E-3</v>
      </c>
      <c r="AG130">
        <f t="shared" si="89"/>
        <v>4659.6141283960933</v>
      </c>
      <c r="AH130">
        <f t="shared" si="90"/>
        <v>-1293.0229516575869</v>
      </c>
      <c r="AJ130">
        <f t="shared" si="75"/>
        <v>22100</v>
      </c>
      <c r="AK130">
        <f t="shared" si="76"/>
        <v>136.23674862994562</v>
      </c>
      <c r="AL130">
        <v>1</v>
      </c>
      <c r="AM130">
        <f t="shared" si="77"/>
        <v>3.7386782198559358</v>
      </c>
      <c r="AN130">
        <f t="shared" si="91"/>
        <v>1509.5323698584232</v>
      </c>
      <c r="AO130">
        <f t="shared" si="92"/>
        <v>-5507.4190447272558</v>
      </c>
      <c r="AQ130">
        <f t="shared" si="78"/>
        <v>1.0849517196484757</v>
      </c>
      <c r="AR130">
        <f t="shared" si="79"/>
        <v>-104.15536508625367</v>
      </c>
      <c r="AT130">
        <f t="shared" si="104"/>
        <v>-129619.82123329962</v>
      </c>
      <c r="AU130">
        <f t="shared" si="105"/>
        <v>-486726.67817910662</v>
      </c>
      <c r="AV130">
        <f t="shared" si="93"/>
        <v>-1.8310650099488366</v>
      </c>
      <c r="AW130">
        <f t="shared" si="94"/>
        <v>-565934.98772963788</v>
      </c>
      <c r="AX130">
        <f t="shared" si="95"/>
        <v>-206237.59009068058</v>
      </c>
      <c r="AY130">
        <f t="shared" si="103"/>
        <v>-2.7921303908993633</v>
      </c>
      <c r="BA130">
        <f t="shared" si="80"/>
        <v>0.83621964221884748</v>
      </c>
      <c r="BB130">
        <f t="shared" si="96"/>
        <v>-1.5535927077984446</v>
      </c>
      <c r="BC130">
        <f t="shared" si="97"/>
        <v>0.96106538095052674</v>
      </c>
      <c r="BD130">
        <f t="shared" si="81"/>
        <v>-124.93500977248124</v>
      </c>
      <c r="BF130">
        <f t="shared" si="82"/>
        <v>2.6405873543839915</v>
      </c>
      <c r="BG130">
        <f t="shared" si="83"/>
        <v>-117.77675004812856</v>
      </c>
      <c r="BH130">
        <f t="shared" si="98"/>
        <v>62.223249951871438</v>
      </c>
      <c r="BI130">
        <f t="shared" si="99"/>
        <v>62.223249951871438</v>
      </c>
      <c r="BJ130">
        <f t="shared" si="84"/>
        <v>0</v>
      </c>
      <c r="BK130">
        <f t="shared" si="100"/>
        <v>0</v>
      </c>
      <c r="BM130">
        <f t="shared" si="101"/>
        <v>4.1941800621824354</v>
      </c>
      <c r="BN130">
        <f t="shared" si="85"/>
        <v>-172.84174027564734</v>
      </c>
      <c r="BQ130" s="56">
        <f t="shared" si="102"/>
        <v>15.348368092486693</v>
      </c>
      <c r="BR130" s="59"/>
      <c r="BS130" s="59"/>
      <c r="BT130" s="59">
        <v>1584.893</v>
      </c>
      <c r="BU130" s="59">
        <v>11.160399999999999</v>
      </c>
      <c r="BV130" s="59">
        <v>-256.94200000000001</v>
      </c>
      <c r="BW130" s="61"/>
      <c r="BY130" s="59"/>
      <c r="BZ130" s="59"/>
      <c r="CA130" s="59"/>
      <c r="CC130" s="59"/>
    </row>
    <row r="131" spans="1:81" x14ac:dyDescent="0.2">
      <c r="A131">
        <f t="shared" si="106"/>
        <v>48500</v>
      </c>
      <c r="B131">
        <f t="shared" si="86"/>
        <v>48.5</v>
      </c>
      <c r="C131">
        <f t="shared" si="55"/>
        <v>1.0000185724490516</v>
      </c>
      <c r="D131">
        <f t="shared" si="56"/>
        <v>6.0946142797712504E-3</v>
      </c>
      <c r="F131">
        <f t="shared" si="57"/>
        <v>0.1056119326182246</v>
      </c>
      <c r="G131">
        <f t="shared" si="58"/>
        <v>0.11742828598746791</v>
      </c>
      <c r="H131">
        <f t="shared" si="59"/>
        <v>-3.0241643640125324</v>
      </c>
      <c r="J131">
        <f t="shared" si="60"/>
        <v>15</v>
      </c>
      <c r="M131">
        <f t="shared" si="61"/>
        <v>3.7420919643794091E-2</v>
      </c>
      <c r="N131">
        <f t="shared" si="62"/>
        <v>-1.5707963250000001</v>
      </c>
      <c r="O131">
        <f t="shared" si="63"/>
        <v>5.8735751298859311</v>
      </c>
      <c r="P131">
        <f t="shared" si="64"/>
        <v>1.3997088413970309</v>
      </c>
      <c r="Q131">
        <f t="shared" si="65"/>
        <v>3.9077402553237044</v>
      </c>
      <c r="R131">
        <f t="shared" si="66"/>
        <v>1.3120152853364258</v>
      </c>
      <c r="S131">
        <f t="shared" si="67"/>
        <v>0.99998060175843706</v>
      </c>
      <c r="T131">
        <f t="shared" si="68"/>
        <v>-6.2286923633387958E-3</v>
      </c>
      <c r="U131">
        <f t="shared" si="69"/>
        <v>0.9951170218150508</v>
      </c>
      <c r="V131">
        <f t="shared" si="70"/>
        <v>-9.8863110210887784E-2</v>
      </c>
      <c r="X131">
        <f t="shared" si="87"/>
        <v>2.6324143733007355</v>
      </c>
      <c r="Y131">
        <f t="shared" si="71"/>
        <v>-113.57362804602808</v>
      </c>
      <c r="Z131">
        <f t="shared" si="88"/>
        <v>66.426371953971923</v>
      </c>
      <c r="AC131">
        <v>1</v>
      </c>
      <c r="AD131">
        <f t="shared" si="72"/>
        <v>5.7878221125406499</v>
      </c>
      <c r="AE131">
        <f t="shared" si="73"/>
        <v>-1.1993493217691713E-4</v>
      </c>
      <c r="AF131">
        <f t="shared" si="74"/>
        <v>1.2091864446144001E-3</v>
      </c>
      <c r="AG131">
        <f t="shared" si="89"/>
        <v>4658.6829841758736</v>
      </c>
      <c r="AH131">
        <f t="shared" si="90"/>
        <v>-1289.0806332500367</v>
      </c>
      <c r="AJ131">
        <f t="shared" si="75"/>
        <v>22100</v>
      </c>
      <c r="AK131">
        <f t="shared" si="76"/>
        <v>137.65588142817421</v>
      </c>
      <c r="AL131">
        <v>1</v>
      </c>
      <c r="AM131">
        <f t="shared" si="77"/>
        <v>3.7776227846461023</v>
      </c>
      <c r="AN131">
        <f t="shared" si="91"/>
        <v>1481.2946467464242</v>
      </c>
      <c r="AO131">
        <f t="shared" si="92"/>
        <v>-5458.1165268954164</v>
      </c>
      <c r="AQ131">
        <f t="shared" si="78"/>
        <v>1.0626992561105206</v>
      </c>
      <c r="AR131">
        <f t="shared" si="79"/>
        <v>-103.08182784272051</v>
      </c>
      <c r="AT131">
        <f t="shared" si="104"/>
        <v>-127930.00897032698</v>
      </c>
      <c r="AU131">
        <f t="shared" si="105"/>
        <v>-481595.46237865015</v>
      </c>
      <c r="AV131">
        <f t="shared" si="93"/>
        <v>-1.8304380092574066</v>
      </c>
      <c r="AW131">
        <f t="shared" si="94"/>
        <v>-555095.72118560714</v>
      </c>
      <c r="AX131">
        <f t="shared" si="95"/>
        <v>-201114.36216623598</v>
      </c>
      <c r="AY131">
        <f t="shared" si="103"/>
        <v>-2.7939973804109144</v>
      </c>
      <c r="BA131">
        <f t="shared" si="80"/>
        <v>0.84399225504408881</v>
      </c>
      <c r="BB131">
        <f t="shared" si="96"/>
        <v>-1.4732307738150481</v>
      </c>
      <c r="BC131">
        <f t="shared" si="97"/>
        <v>0.96355937115350776</v>
      </c>
      <c r="BD131">
        <f t="shared" si="81"/>
        <v>-124.79211465954015</v>
      </c>
      <c r="BF131">
        <f t="shared" si="82"/>
        <v>2.5230155231275786</v>
      </c>
      <c r="BG131">
        <f t="shared" si="83"/>
        <v>-117.71477379292494</v>
      </c>
      <c r="BH131">
        <f t="shared" si="98"/>
        <v>62.285226207075056</v>
      </c>
      <c r="BI131">
        <f t="shared" si="99"/>
        <v>62.285226207075056</v>
      </c>
      <c r="BJ131">
        <f t="shared" si="84"/>
        <v>0</v>
      </c>
      <c r="BK131">
        <f t="shared" si="100"/>
        <v>0</v>
      </c>
      <c r="BM131">
        <f t="shared" si="101"/>
        <v>3.9962462969426262</v>
      </c>
      <c r="BN131">
        <f t="shared" si="85"/>
        <v>-172.9226591333848</v>
      </c>
      <c r="BQ131" s="56">
        <f t="shared" si="102"/>
        <v>15.428730026470088</v>
      </c>
      <c r="BR131" s="59"/>
      <c r="BS131" s="59"/>
      <c r="BT131" s="59">
        <v>1621.81</v>
      </c>
      <c r="BU131" s="59">
        <v>10.9787</v>
      </c>
      <c r="BV131" s="59">
        <v>-256.75299999999999</v>
      </c>
      <c r="BW131" s="61"/>
      <c r="BY131" s="59"/>
      <c r="BZ131" s="59"/>
      <c r="CA131" s="59"/>
      <c r="CC131" s="59"/>
    </row>
    <row r="132" spans="1:81" x14ac:dyDescent="0.2">
      <c r="A132">
        <f t="shared" si="106"/>
        <v>49000</v>
      </c>
      <c r="B132">
        <f t="shared" si="86"/>
        <v>49</v>
      </c>
      <c r="C132">
        <f t="shared" si="55"/>
        <v>1.0000189573563996</v>
      </c>
      <c r="D132">
        <f t="shared" si="56"/>
        <v>6.157443774811742E-3</v>
      </c>
      <c r="F132">
        <f t="shared" si="57"/>
        <v>0.10326121215262819</v>
      </c>
      <c r="G132">
        <f t="shared" si="58"/>
        <v>0.11599172270126186</v>
      </c>
      <c r="H132">
        <f t="shared" si="59"/>
        <v>-3.0256009272987385</v>
      </c>
      <c r="J132">
        <f t="shared" si="60"/>
        <v>15</v>
      </c>
      <c r="M132">
        <f t="shared" si="61"/>
        <v>3.7039073524979864E-2</v>
      </c>
      <c r="N132">
        <f t="shared" si="62"/>
        <v>-1.5707963250000001</v>
      </c>
      <c r="O132">
        <f t="shared" si="63"/>
        <v>5.9323809524141646</v>
      </c>
      <c r="P132">
        <f t="shared" si="64"/>
        <v>1.40142126849896</v>
      </c>
      <c r="Q132">
        <f t="shared" si="65"/>
        <v>3.9454006555460226</v>
      </c>
      <c r="R132">
        <f t="shared" si="66"/>
        <v>1.3145412688726037</v>
      </c>
      <c r="S132">
        <f t="shared" si="67"/>
        <v>0.99998019974496499</v>
      </c>
      <c r="T132">
        <f t="shared" si="68"/>
        <v>-6.2929040000752976E-3</v>
      </c>
      <c r="U132">
        <f t="shared" si="69"/>
        <v>0.99501657811510091</v>
      </c>
      <c r="V132">
        <f t="shared" si="70"/>
        <v>-9.9875587372331182E-2</v>
      </c>
      <c r="X132">
        <f t="shared" si="87"/>
        <v>2.5167737484161852</v>
      </c>
      <c r="Y132">
        <f t="shared" si="71"/>
        <v>-113.47118387689714</v>
      </c>
      <c r="Z132">
        <f t="shared" si="88"/>
        <v>66.528816123102857</v>
      </c>
      <c r="AC132">
        <v>1</v>
      </c>
      <c r="AD132">
        <f t="shared" si="72"/>
        <v>5.8474903817420998</v>
      </c>
      <c r="AE132">
        <f t="shared" si="73"/>
        <v>-1.2242056420736657E-4</v>
      </c>
      <c r="AF132">
        <f t="shared" si="74"/>
        <v>1.2216522842496001E-3</v>
      </c>
      <c r="AG132">
        <f t="shared" si="89"/>
        <v>4657.7425686676052</v>
      </c>
      <c r="AH132">
        <f t="shared" si="90"/>
        <v>-1285.3112898270022</v>
      </c>
      <c r="AJ132">
        <f t="shared" si="75"/>
        <v>22100</v>
      </c>
      <c r="AK132">
        <f t="shared" si="76"/>
        <v>139.07501422640283</v>
      </c>
      <c r="AL132">
        <v>1</v>
      </c>
      <c r="AM132">
        <f t="shared" si="77"/>
        <v>3.8165673494362684</v>
      </c>
      <c r="AN132">
        <f t="shared" si="91"/>
        <v>1453.8428793414587</v>
      </c>
      <c r="AO132">
        <f t="shared" si="92"/>
        <v>-5409.6142502786206</v>
      </c>
      <c r="AQ132">
        <f t="shared" si="78"/>
        <v>1.0411244143675169</v>
      </c>
      <c r="AR132">
        <f t="shared" si="79"/>
        <v>-102.03019260801666</v>
      </c>
      <c r="AT132">
        <f t="shared" si="104"/>
        <v>-126291.26895822864</v>
      </c>
      <c r="AU132">
        <f t="shared" si="105"/>
        <v>-476568.54036361515</v>
      </c>
      <c r="AV132">
        <f t="shared" si="93"/>
        <v>-1.8298432449692101</v>
      </c>
      <c r="AW132">
        <f t="shared" si="94"/>
        <v>-544556.81960016687</v>
      </c>
      <c r="AX132">
        <f t="shared" si="95"/>
        <v>-196178.33781758856</v>
      </c>
      <c r="AY132">
        <f t="shared" si="103"/>
        <v>-2.7958129393718592</v>
      </c>
      <c r="BA132">
        <f t="shared" si="80"/>
        <v>0.85177022537814273</v>
      </c>
      <c r="BB132">
        <f t="shared" si="96"/>
        <v>-1.3935509053435213</v>
      </c>
      <c r="BC132">
        <f t="shared" si="97"/>
        <v>0.96596969440264902</v>
      </c>
      <c r="BD132">
        <f t="shared" si="81"/>
        <v>-124.6540133099443</v>
      </c>
      <c r="BF132">
        <f t="shared" si="82"/>
        <v>2.4071833116100319</v>
      </c>
      <c r="BG132">
        <f t="shared" si="83"/>
        <v>-117.65538159182731</v>
      </c>
      <c r="BH132">
        <f t="shared" si="98"/>
        <v>62.344618408172693</v>
      </c>
      <c r="BI132">
        <f t="shared" si="99"/>
        <v>62.344618408172693</v>
      </c>
      <c r="BJ132">
        <f t="shared" si="84"/>
        <v>0</v>
      </c>
      <c r="BK132">
        <f t="shared" si="100"/>
        <v>0</v>
      </c>
      <c r="BM132">
        <f t="shared" si="101"/>
        <v>3.8007342169535532</v>
      </c>
      <c r="BN132">
        <f t="shared" si="85"/>
        <v>-173.001368281883</v>
      </c>
      <c r="BQ132" s="56">
        <f t="shared" si="102"/>
        <v>15.508409894941614</v>
      </c>
      <c r="BR132" s="59"/>
      <c r="BS132" s="59"/>
      <c r="BT132" s="59">
        <v>1659.587</v>
      </c>
      <c r="BU132" s="59">
        <v>10.7578</v>
      </c>
      <c r="BV132" s="59">
        <v>-256.85699999999997</v>
      </c>
      <c r="BW132" s="61"/>
      <c r="BY132" s="59"/>
      <c r="BZ132" s="59"/>
      <c r="CA132" s="59"/>
      <c r="CC132" s="59"/>
    </row>
    <row r="133" spans="1:81" x14ac:dyDescent="0.2">
      <c r="A133">
        <f t="shared" si="106"/>
        <v>49500</v>
      </c>
      <c r="B133">
        <f t="shared" si="86"/>
        <v>49.5</v>
      </c>
      <c r="C133">
        <f t="shared" si="55"/>
        <v>1.0000193462113649</v>
      </c>
      <c r="D133">
        <f t="shared" si="56"/>
        <v>6.2202732212380792E-3</v>
      </c>
      <c r="F133">
        <f t="shared" si="57"/>
        <v>0.100990244289747</v>
      </c>
      <c r="G133">
        <f t="shared" si="58"/>
        <v>0.11459216953751929</v>
      </c>
      <c r="H133">
        <f t="shared" si="59"/>
        <v>-3.027000480462481</v>
      </c>
      <c r="J133">
        <f t="shared" si="60"/>
        <v>15</v>
      </c>
      <c r="M133">
        <f t="shared" si="61"/>
        <v>3.6664941469171985E-2</v>
      </c>
      <c r="N133">
        <f t="shared" si="62"/>
        <v>-1.5707963250000001</v>
      </c>
      <c r="O133">
        <f t="shared" si="63"/>
        <v>5.9912038295669126</v>
      </c>
      <c r="P133">
        <f t="shared" si="64"/>
        <v>1.4031000745173539</v>
      </c>
      <c r="Q133">
        <f t="shared" si="65"/>
        <v>3.9830857536264501</v>
      </c>
      <c r="R133">
        <f t="shared" si="66"/>
        <v>1.3170194698870421</v>
      </c>
      <c r="S133">
        <f t="shared" si="67"/>
        <v>0.99997979360877021</v>
      </c>
      <c r="T133">
        <f t="shared" si="68"/>
        <v>-6.3571155849181807E-3</v>
      </c>
      <c r="U133">
        <f t="shared" si="69"/>
        <v>0.99491513510192586</v>
      </c>
      <c r="V133">
        <f t="shared" si="70"/>
        <v>-0.10088785912501201</v>
      </c>
      <c r="X133">
        <f t="shared" si="87"/>
        <v>2.4028218699280974</v>
      </c>
      <c r="Y133">
        <f t="shared" si="71"/>
        <v>-113.37127149772898</v>
      </c>
      <c r="Z133">
        <f t="shared" si="88"/>
        <v>66.628728502271017</v>
      </c>
      <c r="AC133">
        <v>1</v>
      </c>
      <c r="AD133">
        <f t="shared" si="72"/>
        <v>5.9071586509435505</v>
      </c>
      <c r="AE133">
        <f t="shared" si="73"/>
        <v>-1.2493168989966677E-4</v>
      </c>
      <c r="AF133">
        <f t="shared" si="74"/>
        <v>1.2341181238848002E-3</v>
      </c>
      <c r="AG133">
        <f t="shared" si="89"/>
        <v>4656.7928933246176</v>
      </c>
      <c r="AH133">
        <f t="shared" si="90"/>
        <v>-1281.7095665823442</v>
      </c>
      <c r="AJ133">
        <f t="shared" si="75"/>
        <v>22100</v>
      </c>
      <c r="AK133">
        <f t="shared" si="76"/>
        <v>140.49414702463142</v>
      </c>
      <c r="AL133">
        <v>1</v>
      </c>
      <c r="AM133">
        <f t="shared" si="77"/>
        <v>3.855511914226434</v>
      </c>
      <c r="AN133">
        <f t="shared" si="91"/>
        <v>1427.1488588454972</v>
      </c>
      <c r="AO133">
        <f t="shared" si="92"/>
        <v>-5361.8952816288429</v>
      </c>
      <c r="AQ133">
        <f t="shared" si="78"/>
        <v>1.0201999591920017</v>
      </c>
      <c r="AR133">
        <f t="shared" si="79"/>
        <v>-100.99979596000816</v>
      </c>
      <c r="AT133">
        <f t="shared" si="104"/>
        <v>-124701.54478507188</v>
      </c>
      <c r="AU133">
        <f t="shared" si="105"/>
        <v>-471642.73210132576</v>
      </c>
      <c r="AV133">
        <f t="shared" si="93"/>
        <v>-1.8292797716121294</v>
      </c>
      <c r="AW133">
        <f t="shared" si="94"/>
        <v>-534307.56965651305</v>
      </c>
      <c r="AX133">
        <f t="shared" si="95"/>
        <v>-191420.90937440839</v>
      </c>
      <c r="AY133">
        <f t="shared" si="103"/>
        <v>-2.7975784946409572</v>
      </c>
      <c r="BA133">
        <f t="shared" si="80"/>
        <v>0.85955327055115993</v>
      </c>
      <c r="BB133">
        <f t="shared" si="96"/>
        <v>-1.3145440575023613</v>
      </c>
      <c r="BC133">
        <f t="shared" si="97"/>
        <v>0.9682987230288278</v>
      </c>
      <c r="BD133">
        <f t="shared" si="81"/>
        <v>-124.52056979914661</v>
      </c>
      <c r="BF133">
        <f t="shared" si="82"/>
        <v>2.2930376157520711</v>
      </c>
      <c r="BG133">
        <f t="shared" si="83"/>
        <v>-117.5985267084944</v>
      </c>
      <c r="BH133">
        <f t="shared" si="98"/>
        <v>62.401473291505596</v>
      </c>
      <c r="BI133">
        <f t="shared" si="99"/>
        <v>62.401473291505596</v>
      </c>
      <c r="BJ133">
        <f t="shared" si="84"/>
        <v>0</v>
      </c>
      <c r="BK133">
        <f t="shared" si="100"/>
        <v>0</v>
      </c>
      <c r="BM133">
        <f t="shared" si="101"/>
        <v>3.6075816732544324</v>
      </c>
      <c r="BN133">
        <f t="shared" si="85"/>
        <v>-173.07795690934779</v>
      </c>
      <c r="BQ133" s="56">
        <f t="shared" si="102"/>
        <v>15.587416742782775</v>
      </c>
      <c r="BR133" s="59"/>
      <c r="BS133" s="59"/>
      <c r="BT133" s="59">
        <v>1698.2439999999999</v>
      </c>
      <c r="BU133" s="59">
        <v>10.580500000000001</v>
      </c>
      <c r="BV133" s="59">
        <v>-256.31299999999999</v>
      </c>
      <c r="BW133" s="61"/>
      <c r="BY133" s="59"/>
      <c r="BZ133" s="59"/>
      <c r="CA133" s="59"/>
      <c r="CC133" s="59"/>
    </row>
    <row r="134" spans="1:81" x14ac:dyDescent="0.2">
      <c r="A134">
        <f t="shared" si="106"/>
        <v>50000</v>
      </c>
      <c r="B134">
        <f t="shared" si="86"/>
        <v>50</v>
      </c>
      <c r="C134">
        <f t="shared" si="55"/>
        <v>1.0000197390139427</v>
      </c>
      <c r="D134">
        <f t="shared" si="56"/>
        <v>6.2831026185542751E-3</v>
      </c>
      <c r="F134">
        <f t="shared" si="57"/>
        <v>9.8795375658557782E-2</v>
      </c>
      <c r="G134">
        <f t="shared" si="58"/>
        <v>0.11322815457528133</v>
      </c>
      <c r="H134">
        <f t="shared" si="59"/>
        <v>-3.0283644954247189</v>
      </c>
      <c r="J134">
        <f t="shared" si="60"/>
        <v>15</v>
      </c>
      <c r="M134">
        <f t="shared" si="61"/>
        <v>3.6298292054480263E-2</v>
      </c>
      <c r="N134">
        <f t="shared" si="62"/>
        <v>-1.5707963250000001</v>
      </c>
      <c r="O134">
        <f t="shared" si="63"/>
        <v>6.0500432638921753</v>
      </c>
      <c r="P134">
        <f t="shared" si="64"/>
        <v>1.4047462307895844</v>
      </c>
      <c r="Q134">
        <f t="shared" si="65"/>
        <v>4.0207948551193677</v>
      </c>
      <c r="R134">
        <f t="shared" si="66"/>
        <v>1.319451201892142</v>
      </c>
      <c r="S134">
        <f t="shared" si="67"/>
        <v>0.99997938334986747</v>
      </c>
      <c r="T134">
        <f t="shared" si="68"/>
        <v>-6.4213271173380014E-3</v>
      </c>
      <c r="U134">
        <f t="shared" si="69"/>
        <v>0.99481269370472869</v>
      </c>
      <c r="V134">
        <f t="shared" si="70"/>
        <v>-0.10189992345753078</v>
      </c>
      <c r="X134">
        <f t="shared" si="87"/>
        <v>2.2905079863446978</v>
      </c>
      <c r="Y134">
        <f t="shared" si="71"/>
        <v>-113.27384421588687</v>
      </c>
      <c r="Z134">
        <f t="shared" si="88"/>
        <v>66.726155784113132</v>
      </c>
      <c r="AC134">
        <v>1</v>
      </c>
      <c r="AD134">
        <f t="shared" si="72"/>
        <v>5.9668269201450004</v>
      </c>
      <c r="AE134">
        <f t="shared" si="73"/>
        <v>-1.2746830925381778E-4</v>
      </c>
      <c r="AF134">
        <f t="shared" si="74"/>
        <v>1.2465839635200002E-3</v>
      </c>
      <c r="AG134">
        <f t="shared" si="89"/>
        <v>4655.8339697059346</v>
      </c>
      <c r="AH134">
        <f t="shared" si="90"/>
        <v>-1278.2703218685683</v>
      </c>
      <c r="AJ134">
        <f t="shared" si="75"/>
        <v>22100</v>
      </c>
      <c r="AK134">
        <f t="shared" si="76"/>
        <v>141.91327982286003</v>
      </c>
      <c r="AL134">
        <v>1</v>
      </c>
      <c r="AM134">
        <f t="shared" si="77"/>
        <v>3.8944564790166001</v>
      </c>
      <c r="AN134">
        <f t="shared" si="91"/>
        <v>1401.1855981816066</v>
      </c>
      <c r="AO134">
        <f t="shared" si="92"/>
        <v>-5314.9430513202469</v>
      </c>
      <c r="AQ134">
        <f t="shared" si="78"/>
        <v>0.99990000999900008</v>
      </c>
      <c r="AR134">
        <f t="shared" si="79"/>
        <v>-99.990000999900005</v>
      </c>
      <c r="AT134">
        <f t="shared" si="104"/>
        <v>-123158.88232891799</v>
      </c>
      <c r="AU134">
        <f t="shared" si="105"/>
        <v>-466814.98579388263</v>
      </c>
      <c r="AV134">
        <f t="shared" si="93"/>
        <v>-1.8287466795710743</v>
      </c>
      <c r="AW134">
        <f t="shared" si="94"/>
        <v>-524337.71800473717</v>
      </c>
      <c r="AX134">
        <f t="shared" si="95"/>
        <v>-186833.93926776067</v>
      </c>
      <c r="AY134">
        <f t="shared" si="103"/>
        <v>-2.7992954217519985</v>
      </c>
      <c r="BA134">
        <f t="shared" si="80"/>
        <v>0.86734111781705325</v>
      </c>
      <c r="BB134">
        <f t="shared" si="96"/>
        <v>-1.2362012926992869</v>
      </c>
      <c r="BC134">
        <f t="shared" si="97"/>
        <v>0.97054874218092424</v>
      </c>
      <c r="BD134">
        <f t="shared" si="81"/>
        <v>-124.39165319776058</v>
      </c>
      <c r="BF134">
        <f t="shared" si="82"/>
        <v>2.1805276761382224</v>
      </c>
      <c r="BG134">
        <f t="shared" si="83"/>
        <v>-117.5441625484269</v>
      </c>
      <c r="BH134">
        <f t="shared" si="98"/>
        <v>62.455837451573103</v>
      </c>
      <c r="BI134">
        <f t="shared" si="99"/>
        <v>62.455837451573103</v>
      </c>
      <c r="BJ134">
        <f t="shared" si="84"/>
        <v>0</v>
      </c>
      <c r="BK134">
        <f t="shared" si="100"/>
        <v>0</v>
      </c>
      <c r="BM134">
        <f t="shared" si="101"/>
        <v>3.4167289688375089</v>
      </c>
      <c r="BN134">
        <f t="shared" si="85"/>
        <v>-173.15250935066632</v>
      </c>
      <c r="BQ134" s="56">
        <f t="shared" si="102"/>
        <v>15.66575950758585</v>
      </c>
      <c r="BR134" s="59"/>
      <c r="BS134" s="59"/>
      <c r="BT134" s="59">
        <v>1737.8009999999999</v>
      </c>
      <c r="BU134" s="59">
        <v>10.4643</v>
      </c>
      <c r="BV134" s="59">
        <v>-256.37900000000002</v>
      </c>
      <c r="BW134" s="61"/>
      <c r="BY134" s="59"/>
      <c r="BZ134" s="59"/>
      <c r="CA134" s="59"/>
      <c r="CC134" s="59"/>
    </row>
    <row r="135" spans="1:81" x14ac:dyDescent="0.2">
      <c r="A135">
        <f t="shared" si="106"/>
        <v>50500</v>
      </c>
      <c r="B135">
        <f t="shared" si="86"/>
        <v>50.5</v>
      </c>
      <c r="C135">
        <f t="shared" si="55"/>
        <v>1.0000201357641287</v>
      </c>
      <c r="D135">
        <f t="shared" si="56"/>
        <v>6.3459319662643445E-3</v>
      </c>
      <c r="F135">
        <f t="shared" si="57"/>
        <v>9.667316396439754E-2</v>
      </c>
      <c r="G135">
        <f t="shared" si="58"/>
        <v>0.11189828483943333</v>
      </c>
      <c r="H135">
        <f t="shared" si="59"/>
        <v>-3.0296943651605668</v>
      </c>
      <c r="J135">
        <f t="shared" si="60"/>
        <v>15</v>
      </c>
      <c r="M135">
        <f t="shared" si="61"/>
        <v>3.5938903024237884E-2</v>
      </c>
      <c r="N135">
        <f t="shared" si="62"/>
        <v>-1.5707963250000001</v>
      </c>
      <c r="O135">
        <f t="shared" si="63"/>
        <v>6.1088987769659369</v>
      </c>
      <c r="P135">
        <f t="shared" si="64"/>
        <v>1.4063606719437676</v>
      </c>
      <c r="Q135">
        <f t="shared" si="65"/>
        <v>4.0585272909542152</v>
      </c>
      <c r="R135">
        <f t="shared" si="66"/>
        <v>1.3218377317982368</v>
      </c>
      <c r="S135">
        <f t="shared" si="67"/>
        <v>0.99997896896827243</v>
      </c>
      <c r="T135">
        <f t="shared" si="68"/>
        <v>-6.4855385968053221E-3</v>
      </c>
      <c r="U135">
        <f t="shared" si="69"/>
        <v>0.99470925486134232</v>
      </c>
      <c r="V135">
        <f t="shared" si="70"/>
        <v>-0.10291177836101179</v>
      </c>
      <c r="X135">
        <f t="shared" si="87"/>
        <v>2.1797835579913243</v>
      </c>
      <c r="Y135">
        <f t="shared" si="71"/>
        <v>-113.17885558900221</v>
      </c>
      <c r="Z135">
        <f t="shared" si="88"/>
        <v>66.821144410997789</v>
      </c>
      <c r="AC135">
        <v>1</v>
      </c>
      <c r="AD135">
        <f t="shared" si="72"/>
        <v>6.0264951893464502</v>
      </c>
      <c r="AE135">
        <f t="shared" si="73"/>
        <v>-1.3003042226981951E-4</v>
      </c>
      <c r="AF135">
        <f t="shared" si="74"/>
        <v>1.2590498031552E-3</v>
      </c>
      <c r="AG135">
        <f t="shared" si="89"/>
        <v>4654.8658094759194</v>
      </c>
      <c r="AH135">
        <f t="shared" si="90"/>
        <v>-1274.9886166477727</v>
      </c>
      <c r="AJ135">
        <f t="shared" si="75"/>
        <v>22100</v>
      </c>
      <c r="AK135">
        <f t="shared" si="76"/>
        <v>143.33241262108862</v>
      </c>
      <c r="AL135">
        <v>1</v>
      </c>
      <c r="AM135">
        <f t="shared" si="77"/>
        <v>3.9334010438067666</v>
      </c>
      <c r="AN135">
        <f t="shared" si="91"/>
        <v>1375.9272708859155</v>
      </c>
      <c r="AO135">
        <f t="shared" si="92"/>
        <v>-5268.7413508837662</v>
      </c>
      <c r="AQ135">
        <f t="shared" si="78"/>
        <v>0.98019996079200156</v>
      </c>
      <c r="AR135">
        <f t="shared" si="79"/>
        <v>-99.000196039992161</v>
      </c>
      <c r="AT135">
        <f t="shared" si="104"/>
        <v>-121661.42371294758</v>
      </c>
      <c r="AU135">
        <f t="shared" si="105"/>
        <v>-462082.37147002126</v>
      </c>
      <c r="AV135">
        <f t="shared" si="93"/>
        <v>-1.8282430934190488</v>
      </c>
      <c r="AW135">
        <f t="shared" si="94"/>
        <v>-514637.44853797503</v>
      </c>
      <c r="AX135">
        <f t="shared" si="95"/>
        <v>-182409.73053085094</v>
      </c>
      <c r="AY135">
        <f t="shared" si="103"/>
        <v>-2.80096504714587</v>
      </c>
      <c r="BA135">
        <f t="shared" si="80"/>
        <v>0.87513350387029909</v>
      </c>
      <c r="BB135">
        <f t="shared" si="96"/>
        <v>-1.1585137836346497</v>
      </c>
      <c r="BC135">
        <f t="shared" si="97"/>
        <v>0.97272195372682124</v>
      </c>
      <c r="BD135">
        <f t="shared" si="81"/>
        <v>-124.26713734804932</v>
      </c>
      <c r="BF135">
        <f t="shared" si="82"/>
        <v>2.069604945100056</v>
      </c>
      <c r="BG135">
        <f t="shared" si="83"/>
        <v>-117.49224276551149</v>
      </c>
      <c r="BH135">
        <f t="shared" si="98"/>
        <v>62.507757234488508</v>
      </c>
      <c r="BI135">
        <f t="shared" si="99"/>
        <v>62.507757234488508</v>
      </c>
      <c r="BJ135">
        <f t="shared" si="84"/>
        <v>0</v>
      </c>
      <c r="BK135">
        <f t="shared" si="100"/>
        <v>0</v>
      </c>
      <c r="BM135">
        <f t="shared" si="101"/>
        <v>3.2281187287347053</v>
      </c>
      <c r="BN135">
        <f t="shared" si="85"/>
        <v>-173.2251054174622</v>
      </c>
      <c r="BQ135" s="56">
        <f t="shared" si="102"/>
        <v>15.743447016650487</v>
      </c>
      <c r="BR135" s="59"/>
      <c r="BS135" s="59"/>
      <c r="BT135" s="59">
        <v>1778.279</v>
      </c>
      <c r="BU135" s="59">
        <v>10.213699999999999</v>
      </c>
      <c r="BV135" s="59">
        <v>-256.01499999999999</v>
      </c>
      <c r="BW135" s="61"/>
      <c r="BY135" s="59"/>
      <c r="BZ135" s="59"/>
      <c r="CA135" s="59"/>
      <c r="CC135" s="59"/>
    </row>
    <row r="136" spans="1:81" x14ac:dyDescent="0.2">
      <c r="A136">
        <f t="shared" si="106"/>
        <v>51000</v>
      </c>
      <c r="B136">
        <f t="shared" si="86"/>
        <v>51</v>
      </c>
      <c r="C136">
        <f t="shared" si="55"/>
        <v>1.0000205364619177</v>
      </c>
      <c r="D136">
        <f t="shared" si="56"/>
        <v>6.4087612638723075E-3</v>
      </c>
      <c r="F136">
        <f t="shared" si="57"/>
        <v>9.4620363274858857E-2</v>
      </c>
      <c r="G136">
        <f t="shared" si="58"/>
        <v>0.11060124100706464</v>
      </c>
      <c r="H136">
        <f t="shared" si="59"/>
        <v>-3.0309914089929357</v>
      </c>
      <c r="J136">
        <f t="shared" si="60"/>
        <v>15</v>
      </c>
      <c r="M136">
        <f t="shared" si="61"/>
        <v>3.5586560837725753E-2</v>
      </c>
      <c r="N136">
        <f t="shared" si="62"/>
        <v>-1.5707963250000001</v>
      </c>
      <c r="O136">
        <f t="shared" si="63"/>
        <v>6.167769908497216</v>
      </c>
      <c r="P136">
        <f t="shared" si="64"/>
        <v>1.4079442976000895</v>
      </c>
      <c r="Q136">
        <f t="shared" si="65"/>
        <v>4.0962824163061962</v>
      </c>
      <c r="R136">
        <f t="shared" si="66"/>
        <v>1.3241802819107946</v>
      </c>
      <c r="S136">
        <f t="shared" si="67"/>
        <v>0.99997855046400019</v>
      </c>
      <c r="T136">
        <f t="shared" si="68"/>
        <v>-6.549750022790706E-3</v>
      </c>
      <c r="U136">
        <f t="shared" si="69"/>
        <v>0.99460481951820678</v>
      </c>
      <c r="V136">
        <f t="shared" si="70"/>
        <v>-0.10392342182912608</v>
      </c>
      <c r="X136">
        <f t="shared" si="87"/>
        <v>2.0706021331831423</v>
      </c>
      <c r="Y136">
        <f t="shared" si="71"/>
        <v>-113.08625951636897</v>
      </c>
      <c r="Z136">
        <f t="shared" si="88"/>
        <v>66.913740483631031</v>
      </c>
      <c r="AC136">
        <v>1</v>
      </c>
      <c r="AD136">
        <f t="shared" si="72"/>
        <v>6.0861634585479001</v>
      </c>
      <c r="AE136">
        <f t="shared" si="73"/>
        <v>-1.3261802894767201E-4</v>
      </c>
      <c r="AF136">
        <f t="shared" si="74"/>
        <v>1.2715156427904003E-3</v>
      </c>
      <c r="AG136">
        <f t="shared" si="89"/>
        <v>4653.8884244039291</v>
      </c>
      <c r="AH136">
        <f t="shared" si="90"/>
        <v>-1271.8597045631607</v>
      </c>
      <c r="AJ136">
        <f t="shared" si="75"/>
        <v>22100</v>
      </c>
      <c r="AK136">
        <f t="shared" si="76"/>
        <v>144.75154541931721</v>
      </c>
      <c r="AL136">
        <v>1</v>
      </c>
      <c r="AM136">
        <f t="shared" si="77"/>
        <v>3.9723456085969318</v>
      </c>
      <c r="AN136">
        <f t="shared" si="91"/>
        <v>1351.3491534142822</v>
      </c>
      <c r="AO136">
        <f t="shared" si="92"/>
        <v>-5223.274329827088</v>
      </c>
      <c r="AQ136">
        <f t="shared" si="78"/>
        <v>0.96107640557424312</v>
      </c>
      <c r="AR136">
        <f t="shared" si="79"/>
        <v>-98.029793368572797</v>
      </c>
      <c r="AT136">
        <f t="shared" si="104"/>
        <v>-120207.40167327097</v>
      </c>
      <c r="AU136">
        <f t="shared" si="105"/>
        <v>-457442.07495796628</v>
      </c>
      <c r="AV136">
        <f t="shared" si="93"/>
        <v>-1.8277681703395336</v>
      </c>
      <c r="AW136">
        <f t="shared" si="94"/>
        <v>-505197.36091554945</v>
      </c>
      <c r="AX136">
        <f t="shared" si="95"/>
        <v>-178140.99937934408</v>
      </c>
      <c r="AY136">
        <f t="shared" si="103"/>
        <v>-2.8025886502901614</v>
      </c>
      <c r="BA136">
        <f t="shared" si="80"/>
        <v>0.88293017439072696</v>
      </c>
      <c r="BB136">
        <f t="shared" si="96"/>
        <v>-1.0814728157844558</v>
      </c>
      <c r="BC136">
        <f t="shared" si="97"/>
        <v>0.97482047995062771</v>
      </c>
      <c r="BD136">
        <f t="shared" si="81"/>
        <v>-124.14690065209028</v>
      </c>
      <c r="BF136">
        <f t="shared" si="82"/>
        <v>1.9602229628892311</v>
      </c>
      <c r="BG136">
        <f t="shared" si="83"/>
        <v>-117.44272135348878</v>
      </c>
      <c r="BH136">
        <f t="shared" si="98"/>
        <v>62.557278646511222</v>
      </c>
      <c r="BI136">
        <f t="shared" si="99"/>
        <v>62.557278646511222</v>
      </c>
      <c r="BJ136">
        <f t="shared" si="84"/>
        <v>0</v>
      </c>
      <c r="BK136">
        <f t="shared" si="100"/>
        <v>0</v>
      </c>
      <c r="BM136">
        <f t="shared" si="101"/>
        <v>3.041695778673688</v>
      </c>
      <c r="BN136">
        <f t="shared" si="85"/>
        <v>-173.2958207013985</v>
      </c>
      <c r="BQ136" s="56">
        <f t="shared" si="102"/>
        <v>15.820487984500682</v>
      </c>
      <c r="BR136" s="59"/>
      <c r="BS136" s="59"/>
      <c r="BT136" s="59">
        <v>1819.701</v>
      </c>
      <c r="BU136" s="59">
        <v>10.045199999999999</v>
      </c>
      <c r="BV136" s="59">
        <v>-255.833</v>
      </c>
      <c r="BW136" s="61"/>
      <c r="BY136" s="59"/>
      <c r="BZ136" s="59"/>
      <c r="CA136" s="59"/>
      <c r="CC136" s="59"/>
    </row>
    <row r="137" spans="1:81" x14ac:dyDescent="0.2">
      <c r="A137">
        <f t="shared" si="106"/>
        <v>51500</v>
      </c>
      <c r="B137">
        <f t="shared" si="86"/>
        <v>51.5</v>
      </c>
      <c r="C137">
        <f t="shared" ref="C137:C200" si="107">SQRT((A137/Fesr)^2+1)</f>
        <v>1.0000209411073053</v>
      </c>
      <c r="D137">
        <f t="shared" ref="D137:D200" si="108">ATAN(A137/Fesr)</f>
        <v>6.4715905108821831E-3</v>
      </c>
      <c r="F137">
        <f t="shared" ref="F137:F200" si="109">(Ro/(Ro+Rdcr))/SQRT((A137/(Q*Fo))^2+(1-(A137^2/Fo^2))^2)</f>
        <v>9.2633910505103209E-2</v>
      </c>
      <c r="G137">
        <f t="shared" ref="G137:G200" si="110">-ATAN(A137*Fo/(Q*(Fo^2-A137^2)))</f>
        <v>0.10933577253704117</v>
      </c>
      <c r="H137">
        <f t="shared" ref="H137:H200" si="111">IF(G137&gt;0,G137-Pi,G137)</f>
        <v>-3.032256877462959</v>
      </c>
      <c r="J137">
        <f t="shared" ref="J137:J200" si="112">Vin/Vramp</f>
        <v>15</v>
      </c>
      <c r="M137">
        <f t="shared" ref="M137:M200" si="113">1/(2*Pi*_Rfb1*(Cc1ea_u+Cc2ea_u)*A137)</f>
        <v>3.5241060247068225E-2</v>
      </c>
      <c r="N137">
        <f t="shared" ref="N137:N200" si="114">-Pi/2</f>
        <v>-1.5707963250000001</v>
      </c>
      <c r="O137">
        <f t="shared" ref="O137:O200" si="115">SQRT(1+(A137/Fz1_u)^2)</f>
        <v>6.2266562154827998</v>
      </c>
      <c r="P137">
        <f t="shared" ref="P137:P200" si="116">ATAN2(Fz1_u,A137)</f>
        <v>1.409497973979319</v>
      </c>
      <c r="Q137">
        <f t="shared" ref="Q137:Q200" si="117">SQRT(1+(A137/Fz2_u)^2)</f>
        <v>4.1340596095257141</v>
      </c>
      <c r="R137">
        <f t="shared" ref="R137:R200" si="118">ATAN2(Fz2_u,A137)</f>
        <v>1.3264800318286478</v>
      </c>
      <c r="S137">
        <f t="shared" ref="S137:S200" si="119">1/SQRT(1+(A137/Fp1_u)^2)</f>
        <v>0.99997812783706674</v>
      </c>
      <c r="T137">
        <f t="shared" ref="T137:T200" si="120">-ATAN2(Fp1_u,A137)</f>
        <v>-6.6139613947647207E-3</v>
      </c>
      <c r="U137">
        <f t="shared" ref="U137:U200" si="121">1/SQRT(1+(A137/Fp2_u)^2)</f>
        <v>0.99449938863034548</v>
      </c>
      <c r="V137">
        <f t="shared" ref="V137:V200" si="122">-ATAN2(Fp2_u,A137)</f>
        <v>-0.1049348518581142</v>
      </c>
      <c r="X137">
        <f t="shared" si="87"/>
        <v>1.9629192327647005</v>
      </c>
      <c r="Y137">
        <f t="shared" ref="Y137:Y200" si="123">(180/Pi)*(D137+H137+N137+P137+R137+T137+V137)</f>
        <v>-112.9960103170785</v>
      </c>
      <c r="Z137">
        <f t="shared" si="88"/>
        <v>67.0039896829215</v>
      </c>
      <c r="AC137">
        <v>1</v>
      </c>
      <c r="AD137">
        <f t="shared" ref="AD137:AD200" si="124">Rcea1_u*Cc1ea_u*A137*2*Pi</f>
        <v>6.1458317277493499</v>
      </c>
      <c r="AE137">
        <f t="shared" ref="AE137:AE200" si="125">-Rcea1_u*Cc1ea_u*Cc2ea_u*(A137*2*Pi)^2</f>
        <v>-1.3523112928737527E-4</v>
      </c>
      <c r="AF137">
        <f t="shared" ref="AF137:AF200" si="126">(Cc2ea_u+Cc1ea_u)*A137*2*Pi</f>
        <v>1.2839814824256001E-3</v>
      </c>
      <c r="AG137">
        <f t="shared" si="89"/>
        <v>4652.9018263639655</v>
      </c>
      <c r="AH137">
        <f t="shared" si="90"/>
        <v>-1268.879022588937</v>
      </c>
      <c r="AJ137">
        <f t="shared" ref="AJ137:AJ200" si="127">_Rfb1</f>
        <v>22100</v>
      </c>
      <c r="AK137">
        <f t="shared" ref="AK137:AK200" si="128">_Rfb1*Rcea2_u*Cc3ea_u*A137*2*Pi</f>
        <v>146.17067821754583</v>
      </c>
      <c r="AL137">
        <v>1</v>
      </c>
      <c r="AM137">
        <f t="shared" ref="AM137:AM200" si="129">(_Rfb1+Rcea2_u)*Cc3ea_u*A137*2*Pi</f>
        <v>4.0112901733870983</v>
      </c>
      <c r="AN137">
        <f t="shared" si="91"/>
        <v>1327.4275706565595</v>
      </c>
      <c r="AO137">
        <f t="shared" si="92"/>
        <v>-5178.5264918402199</v>
      </c>
      <c r="AQ137">
        <f t="shared" ref="AQ137:AQ200" si="130">Eadcg/(1+(Eadcg*A137/GBP)^2)</f>
        <v>0.94250706880301605</v>
      </c>
      <c r="AR137">
        <f t="shared" ref="AR137:AR200" si="131">-(A137*Eadcg*Eadcg/GBP)/(1+(Eadcg*A137/GBP)^2)</f>
        <v>-97.078228086710652</v>
      </c>
      <c r="AT137">
        <f t="shared" si="104"/>
        <v>-118795.13430753681</v>
      </c>
      <c r="AU137">
        <f t="shared" si="105"/>
        <v>-452891.39221307955</v>
      </c>
      <c r="AV137">
        <f t="shared" si="93"/>
        <v>-1.8273210986344794</v>
      </c>
      <c r="AW137">
        <f t="shared" si="94"/>
        <v>-496008.45025956939</v>
      </c>
      <c r="AX137">
        <f t="shared" si="95"/>
        <v>-174020.84970926589</v>
      </c>
      <c r="AY137">
        <f t="shared" si="103"/>
        <v>-2.8041674656926721</v>
      </c>
      <c r="BA137">
        <f t="shared" ref="BA137:BA200" si="132">SQRT(AT137^2+AU137^2)/SQRT(AW137^2+AX137^2)</f>
        <v>0.89073088361442643</v>
      </c>
      <c r="BB137">
        <f t="shared" si="96"/>
        <v>-1.0050697894150167</v>
      </c>
      <c r="BC137">
        <f t="shared" si="97"/>
        <v>0.97684636705819261</v>
      </c>
      <c r="BD137">
        <f t="shared" ref="BD137:BD200" si="133">BC137*180/Pi-180</f>
        <v>-124.03082587092422</v>
      </c>
      <c r="BF137">
        <f t="shared" ref="BF137:BF200" si="134">20*LOG(BA137*J137*F137*C137)</f>
        <v>1.8523372422173678</v>
      </c>
      <c r="BG137">
        <f t="shared" ref="BG137:BG200" si="135">(180/Pi)*(D137+H137+BC137)</f>
        <v>-117.39555272415701</v>
      </c>
      <c r="BH137">
        <f t="shared" si="98"/>
        <v>62.604447275842986</v>
      </c>
      <c r="BI137">
        <f t="shared" si="99"/>
        <v>62.604447275842986</v>
      </c>
      <c r="BJ137">
        <f t="shared" ref="BJ137:BJ200" si="136">SUM((BF138&lt;0)*(BF137&gt;0))*A137</f>
        <v>0</v>
      </c>
      <c r="BK137">
        <f t="shared" si="100"/>
        <v>0</v>
      </c>
      <c r="BM137">
        <f t="shared" si="101"/>
        <v>2.8574070316323836</v>
      </c>
      <c r="BN137">
        <f t="shared" ref="BN137:BN200" si="137">(H137+D137)*180/Pi</f>
        <v>-173.36472685323281</v>
      </c>
      <c r="BQ137" s="56">
        <f t="shared" si="102"/>
        <v>15.896891010870121</v>
      </c>
      <c r="BR137" s="59"/>
      <c r="BS137" s="59"/>
      <c r="BT137" s="59">
        <v>1862.087</v>
      </c>
      <c r="BU137" s="59">
        <v>9.8767200000000006</v>
      </c>
      <c r="BV137" s="59">
        <v>-255.47</v>
      </c>
      <c r="BW137" s="61"/>
      <c r="BY137" s="59"/>
      <c r="BZ137" s="59"/>
      <c r="CA137" s="59"/>
      <c r="CC137" s="59"/>
    </row>
    <row r="138" spans="1:81" x14ac:dyDescent="0.2">
      <c r="A138">
        <f t="shared" si="106"/>
        <v>52000</v>
      </c>
      <c r="B138">
        <f t="shared" ref="B138:B201" si="138">A138/1000</f>
        <v>52</v>
      </c>
      <c r="C138">
        <f t="shared" si="107"/>
        <v>1.0000213497002868</v>
      </c>
      <c r="D138">
        <f t="shared" si="108"/>
        <v>6.5344197067979965E-3</v>
      </c>
      <c r="F138">
        <f t="shared" si="109"/>
        <v>9.0710912990902531E-2</v>
      </c>
      <c r="G138">
        <f t="shared" si="110"/>
        <v>0.10810069318371475</v>
      </c>
      <c r="H138">
        <f t="shared" si="111"/>
        <v>-3.0334919568162855</v>
      </c>
      <c r="J138">
        <f t="shared" si="112"/>
        <v>15</v>
      </c>
      <c r="M138">
        <f t="shared" si="113"/>
        <v>3.4902203898538722E-2</v>
      </c>
      <c r="N138">
        <f t="shared" si="114"/>
        <v>-1.5707963250000001</v>
      </c>
      <c r="O138">
        <f t="shared" si="115"/>
        <v>6.2855572714085106</v>
      </c>
      <c r="P138">
        <f t="shared" si="116"/>
        <v>1.4110225354243013</v>
      </c>
      <c r="Q138">
        <f t="shared" si="117"/>
        <v>4.1718582711230567</v>
      </c>
      <c r="R138">
        <f t="shared" si="118"/>
        <v>1.3287381202487354</v>
      </c>
      <c r="S138">
        <f t="shared" si="119"/>
        <v>0.99997770108748718</v>
      </c>
      <c r="T138">
        <f t="shared" si="120"/>
        <v>-6.678172712197933E-3</v>
      </c>
      <c r="U138">
        <f t="shared" si="121"/>
        <v>0.99439296316133996</v>
      </c>
      <c r="V138">
        <f t="shared" si="122"/>
        <v>-0.10594606644680882</v>
      </c>
      <c r="X138">
        <f t="shared" ref="X138:X201" si="139">20*LOG(C138*J138*O138*Q138*F138*M138*S138*U138)</f>
        <v>1.8566922423583314</v>
      </c>
      <c r="Y138">
        <f t="shared" si="123"/>
        <v>-112.9080627964871</v>
      </c>
      <c r="Z138">
        <f t="shared" ref="Z138:Z201" si="140">Y138+180</f>
        <v>67.091937203512899</v>
      </c>
      <c r="AC138">
        <v>1</v>
      </c>
      <c r="AD138">
        <f t="shared" si="124"/>
        <v>6.2054999969507998</v>
      </c>
      <c r="AE138">
        <f t="shared" si="125"/>
        <v>-1.3786972328892931E-4</v>
      </c>
      <c r="AF138">
        <f t="shared" si="126"/>
        <v>1.2964473220608002E-3</v>
      </c>
      <c r="AG138">
        <f t="shared" ref="AG138:AG201" si="141">AC138*AE138/(AE138^2+AF138^2)+AD138*AF138/(AE138^2+AF138^2)</f>
        <v>4651.9060273343121</v>
      </c>
      <c r="AH138">
        <f t="shared" ref="AH138:AH201" si="142">AD138*AE138/(AE138^2+AF138^2)-AC138*AF138/(AE138^2+AF138^2)</f>
        <v>-1266.0421822196554</v>
      </c>
      <c r="AJ138">
        <f t="shared" si="127"/>
        <v>22100</v>
      </c>
      <c r="AK138">
        <f t="shared" si="128"/>
        <v>147.58981101577442</v>
      </c>
      <c r="AL138">
        <v>1</v>
      </c>
      <c r="AM138">
        <f t="shared" si="129"/>
        <v>4.0502347381772639</v>
      </c>
      <c r="AN138">
        <f t="shared" ref="AN138:AN201" si="143">AJ138*AL138/(AL138^2+AM138^2)+AK138*AM138/(AL138^2+AM138^2)</f>
        <v>1304.1398444646161</v>
      </c>
      <c r="AO138">
        <f t="shared" ref="AO138:AO201" si="144">AK138*AL138/(AL138^2+AM138^2)-AJ138*AM138/(AL138^2+AM138^2)</f>
        <v>-5134.4826904759084</v>
      </c>
      <c r="AQ138">
        <f t="shared" si="130"/>
        <v>0.92447074050106315</v>
      </c>
      <c r="AR138">
        <f t="shared" si="131"/>
        <v>-96.144957012110567</v>
      </c>
      <c r="AT138">
        <f t="shared" si="104"/>
        <v>-117423.02017519632</v>
      </c>
      <c r="AU138">
        <f t="shared" si="105"/>
        <v>-448427.7239761377</v>
      </c>
      <c r="AV138">
        <f t="shared" ref="AV138:AV201" si="145">ATAN2(AT138,AU138)</f>
        <v>-1.8269010963125982</v>
      </c>
      <c r="AW138">
        <f t="shared" ref="AW138:AW201" si="146">AG138-AH138*AO138/_Rfb2+AG138*AN138/_Rfb2+AN138-AO138*AR138+AQ138*AN138</f>
        <v>-487062.08795592812</v>
      </c>
      <c r="AX138">
        <f t="shared" ref="AX138:AX201" si="147">AH138+AH138*AN138/_Rfb2+AG138*AO138/_Rfb2+AO138+AO138*AQ138+AN138*AR138</f>
        <v>-170042.74936426588</v>
      </c>
      <c r="AY138">
        <f t="shared" si="103"/>
        <v>-2.8057026848147828</v>
      </c>
      <c r="BA138">
        <f t="shared" si="132"/>
        <v>0.8985353939290307</v>
      </c>
      <c r="BB138">
        <f t="shared" ref="BB138:BB201" si="148">20*LOG(BA138)</f>
        <v>-0.92929622117644928</v>
      </c>
      <c r="BC138">
        <f t="shared" ref="BC138:BC201" si="149">AV138-AY138</f>
        <v>0.97880158850218457</v>
      </c>
      <c r="BD138">
        <f t="shared" si="133"/>
        <v>-123.91879993404199</v>
      </c>
      <c r="BF138">
        <f t="shared" si="134"/>
        <v>1.7459051605047551</v>
      </c>
      <c r="BG138">
        <f t="shared" si="135"/>
        <v>-117.3506917739047</v>
      </c>
      <c r="BH138">
        <f t="shared" ref="BH138:BH201" si="150">IF(BG138&gt;180,BG138-180,BG138+180)</f>
        <v>62.6493082260953</v>
      </c>
      <c r="BI138">
        <f t="shared" ref="BI138:BI201" si="151">IF(BH138&gt;180,BH138-360,BH138)</f>
        <v>62.6493082260953</v>
      </c>
      <c r="BJ138">
        <f t="shared" si="136"/>
        <v>0</v>
      </c>
      <c r="BK138">
        <f t="shared" ref="BK138:BK201" si="152">IF(BJ138&gt;0,BI138,0)</f>
        <v>0</v>
      </c>
      <c r="BM138">
        <f t="shared" ref="BM138:BM201" si="153">20*LOG(J138*F138*C138)</f>
        <v>2.6752013816812066</v>
      </c>
      <c r="BN138">
        <f t="shared" si="137"/>
        <v>-173.43189183986274</v>
      </c>
      <c r="BQ138" s="56">
        <f t="shared" ref="BQ138:BQ201" si="154">20*LOG(BA138*7)</f>
        <v>15.972664579108688</v>
      </c>
      <c r="BR138" s="59"/>
      <c r="BS138" s="59"/>
      <c r="BT138" s="59">
        <v>1905.461</v>
      </c>
      <c r="BU138" s="59">
        <v>9.7134199999999993</v>
      </c>
      <c r="BV138" s="59">
        <v>-255.059</v>
      </c>
      <c r="BW138" s="61"/>
      <c r="BY138" s="59"/>
      <c r="BZ138" s="59"/>
      <c r="CA138" s="59"/>
      <c r="CC138" s="59"/>
    </row>
    <row r="139" spans="1:81" x14ac:dyDescent="0.2">
      <c r="A139">
        <f t="shared" si="106"/>
        <v>52500</v>
      </c>
      <c r="B139">
        <f t="shared" si="138"/>
        <v>52.5</v>
      </c>
      <c r="C139">
        <f t="shared" si="107"/>
        <v>1.0000217622408571</v>
      </c>
      <c r="D139">
        <f t="shared" si="108"/>
        <v>6.5972488511237704E-3</v>
      </c>
      <c r="F139">
        <f t="shared" si="109"/>
        <v>8.8848637049389223E-2</v>
      </c>
      <c r="G139">
        <f t="shared" si="110"/>
        <v>0.10689487685976769</v>
      </c>
      <c r="H139">
        <f t="shared" si="111"/>
        <v>-3.0346977731402327</v>
      </c>
      <c r="J139">
        <f t="shared" si="112"/>
        <v>15</v>
      </c>
      <c r="M139">
        <f t="shared" si="113"/>
        <v>3.4569801956647876E-2</v>
      </c>
      <c r="N139">
        <f t="shared" si="114"/>
        <v>-1.5707963250000001</v>
      </c>
      <c r="O139">
        <f t="shared" si="115"/>
        <v>6.3444726654940524</v>
      </c>
      <c r="P139">
        <f t="shared" si="116"/>
        <v>1.4125187858398172</v>
      </c>
      <c r="Q139">
        <f t="shared" si="117"/>
        <v>4.2096778228051139</v>
      </c>
      <c r="R139">
        <f t="shared" si="118"/>
        <v>1.3309556466825165</v>
      </c>
      <c r="S139">
        <f t="shared" si="119"/>
        <v>0.99997727021527749</v>
      </c>
      <c r="T139">
        <f t="shared" si="120"/>
        <v>-6.7423839745609174E-3</v>
      </c>
      <c r="U139">
        <f t="shared" si="121"/>
        <v>0.99428554408330749</v>
      </c>
      <c r="V139">
        <f t="shared" si="122"/>
        <v>-0.10695706359665749</v>
      </c>
      <c r="X139">
        <f t="shared" si="139"/>
        <v>1.7518803117226365</v>
      </c>
      <c r="Y139">
        <f t="shared" si="123"/>
        <v>-112.82237230241763</v>
      </c>
      <c r="Z139">
        <f t="shared" si="140"/>
        <v>67.177627697582366</v>
      </c>
      <c r="AC139">
        <v>1</v>
      </c>
      <c r="AD139">
        <f t="shared" si="124"/>
        <v>6.2651682661522505</v>
      </c>
      <c r="AE139">
        <f t="shared" si="125"/>
        <v>-1.405338109523341E-4</v>
      </c>
      <c r="AF139">
        <f t="shared" si="126"/>
        <v>1.3089131616960002E-3</v>
      </c>
      <c r="AG139">
        <f t="shared" si="141"/>
        <v>4650.9010393971794</v>
      </c>
      <c r="AH139">
        <f t="shared" si="142"/>
        <v>-1263.3449611630645</v>
      </c>
      <c r="AJ139">
        <f t="shared" si="127"/>
        <v>22100</v>
      </c>
      <c r="AK139">
        <f t="shared" si="128"/>
        <v>149.00894381400303</v>
      </c>
      <c r="AL139">
        <v>1</v>
      </c>
      <c r="AM139">
        <f t="shared" si="129"/>
        <v>4.0891793029674304</v>
      </c>
      <c r="AN139">
        <f t="shared" si="143"/>
        <v>1281.4642450125832</v>
      </c>
      <c r="AO139">
        <f t="shared" si="144"/>
        <v>-5091.1281243842368</v>
      </c>
      <c r="AQ139">
        <f t="shared" si="130"/>
        <v>0.90694721567204784</v>
      </c>
      <c r="AR139">
        <f t="shared" si="131"/>
        <v>-95.229457645565034</v>
      </c>
      <c r="AT139">
        <f t="shared" si="104"/>
        <v>-116089.53372276855</v>
      </c>
      <c r="AU139">
        <f t="shared" si="105"/>
        <v>-444048.57073994825</v>
      </c>
      <c r="AV139">
        <f t="shared" si="145"/>
        <v>-1.8265074097530207</v>
      </c>
      <c r="AW139">
        <f t="shared" si="146"/>
        <v>-478350.00349485496</v>
      </c>
      <c r="AX139">
        <f t="shared" si="147"/>
        <v>-166200.50803651602</v>
      </c>
      <c r="AY139">
        <f t="shared" ref="AY139:AY202" si="155">ATAN2(AW139,AX139)</f>
        <v>-2.8071954578902978</v>
      </c>
      <c r="BA139">
        <f t="shared" si="132"/>
        <v>0.90634347549179073</v>
      </c>
      <c r="BB139">
        <f t="shared" si="148"/>
        <v>-0.85414374531758441</v>
      </c>
      <c r="BC139">
        <f t="shared" si="149"/>
        <v>0.98068804813727706</v>
      </c>
      <c r="BD139">
        <f t="shared" si="133"/>
        <v>-123.81071375860589</v>
      </c>
      <c r="BF139">
        <f t="shared" si="134"/>
        <v>1.6408858592391544</v>
      </c>
      <c r="BG139">
        <f t="shared" si="135"/>
        <v>-117.3080939399733</v>
      </c>
      <c r="BH139">
        <f t="shared" si="150"/>
        <v>62.691906060026696</v>
      </c>
      <c r="BI139">
        <f t="shared" si="151"/>
        <v>62.691906060026696</v>
      </c>
      <c r="BJ139">
        <f t="shared" si="136"/>
        <v>0</v>
      </c>
      <c r="BK139">
        <f t="shared" si="152"/>
        <v>0</v>
      </c>
      <c r="BM139">
        <f t="shared" si="153"/>
        <v>2.4950296045567395</v>
      </c>
      <c r="BN139">
        <f t="shared" si="137"/>
        <v>-173.49738018136742</v>
      </c>
      <c r="BQ139" s="56">
        <f t="shared" si="154"/>
        <v>16.047817054967553</v>
      </c>
      <c r="BR139" s="59"/>
      <c r="BS139" s="59"/>
      <c r="BT139" s="59">
        <v>1949.845</v>
      </c>
      <c r="BU139" s="59">
        <v>9.5268499999999996</v>
      </c>
      <c r="BV139" s="59">
        <v>-254.971</v>
      </c>
      <c r="BW139" s="61"/>
      <c r="BY139" s="59"/>
      <c r="BZ139" s="59"/>
      <c r="CA139" s="59"/>
      <c r="CC139" s="59"/>
    </row>
    <row r="140" spans="1:81" x14ac:dyDescent="0.2">
      <c r="A140">
        <f t="shared" si="106"/>
        <v>53000</v>
      </c>
      <c r="B140">
        <f t="shared" si="138"/>
        <v>53</v>
      </c>
      <c r="C140">
        <f t="shared" si="107"/>
        <v>1.0000221787290116</v>
      </c>
      <c r="D140">
        <f t="shared" si="108"/>
        <v>6.6600779433635343E-3</v>
      </c>
      <c r="F140">
        <f t="shared" si="109"/>
        <v>8.7044497437813659E-2</v>
      </c>
      <c r="G140">
        <f t="shared" si="110"/>
        <v>0.10571725381679226</v>
      </c>
      <c r="H140">
        <f t="shared" si="111"/>
        <v>-3.0358753961832079</v>
      </c>
      <c r="J140">
        <f t="shared" si="112"/>
        <v>15</v>
      </c>
      <c r="M140">
        <f t="shared" si="113"/>
        <v>3.4243671749509687E-2</v>
      </c>
      <c r="N140">
        <f t="shared" si="114"/>
        <v>-1.5707963250000001</v>
      </c>
      <c r="O140">
        <f t="shared" si="115"/>
        <v>6.4034020019787148</v>
      </c>
      <c r="P140">
        <f t="shared" si="116"/>
        <v>1.4139875000558251</v>
      </c>
      <c r="Q140">
        <f t="shared" si="117"/>
        <v>4.2475177065610845</v>
      </c>
      <c r="R140">
        <f t="shared" si="118"/>
        <v>1.3331336730889063</v>
      </c>
      <c r="S140">
        <f t="shared" si="119"/>
        <v>0.99997683522045389</v>
      </c>
      <c r="T140">
        <f t="shared" si="120"/>
        <v>-6.8065951813242459E-3</v>
      </c>
      <c r="U140">
        <f t="shared" si="121"/>
        <v>0.99417713237687566</v>
      </c>
      <c r="V140">
        <f t="shared" si="122"/>
        <v>-0.10796784131174514</v>
      </c>
      <c r="X140">
        <f t="shared" si="139"/>
        <v>1.648444260674589</v>
      </c>
      <c r="Y140">
        <f t="shared" si="123"/>
        <v>-112.73889477232922</v>
      </c>
      <c r="Z140">
        <f t="shared" si="140"/>
        <v>67.261105227670782</v>
      </c>
      <c r="AC140">
        <v>1</v>
      </c>
      <c r="AD140">
        <f t="shared" si="124"/>
        <v>6.3248365353537004</v>
      </c>
      <c r="AE140">
        <f t="shared" si="125"/>
        <v>-1.4322339227758966E-4</v>
      </c>
      <c r="AF140">
        <f t="shared" si="126"/>
        <v>1.3213790013312003E-3</v>
      </c>
      <c r="AG140">
        <f t="shared" si="141"/>
        <v>4649.8868747383485</v>
      </c>
      <c r="AH140">
        <f t="shared" si="142"/>
        <v>-1260.7832955031909</v>
      </c>
      <c r="AJ140">
        <f t="shared" si="127"/>
        <v>22100</v>
      </c>
      <c r="AK140">
        <f t="shared" si="128"/>
        <v>150.42807661223162</v>
      </c>
      <c r="AL140">
        <v>1</v>
      </c>
      <c r="AM140">
        <f t="shared" si="129"/>
        <v>4.128123867757596</v>
      </c>
      <c r="AN140">
        <f t="shared" si="143"/>
        <v>1259.3799448194238</v>
      </c>
      <c r="AO140">
        <f t="shared" si="144"/>
        <v>-5048.4483321720763</v>
      </c>
      <c r="AQ140">
        <f t="shared" si="130"/>
        <v>0.88991723769689424</v>
      </c>
      <c r="AR140">
        <f t="shared" si="131"/>
        <v>-94.331227195870781</v>
      </c>
      <c r="AT140">
        <f t="shared" si="104"/>
        <v>-114793.22100969999</v>
      </c>
      <c r="AU140">
        <f t="shared" si="105"/>
        <v>-439751.52800370927</v>
      </c>
      <c r="AV140">
        <f t="shared" si="145"/>
        <v>-1.8261393124397125</v>
      </c>
      <c r="AW140">
        <f t="shared" si="146"/>
        <v>-469864.26729014545</v>
      </c>
      <c r="AX140">
        <f t="shared" si="147"/>
        <v>-162488.25667688882</v>
      </c>
      <c r="AY140">
        <f t="shared" si="155"/>
        <v>-2.8086468956550115</v>
      </c>
      <c r="BA140">
        <f t="shared" si="132"/>
        <v>0.91415490586894632</v>
      </c>
      <c r="BB140">
        <f t="shared" si="148"/>
        <v>-0.77960411456109435</v>
      </c>
      <c r="BC140">
        <f t="shared" si="149"/>
        <v>0.98250758321529896</v>
      </c>
      <c r="BD140">
        <f t="shared" si="133"/>
        <v>-123.7064620778401</v>
      </c>
      <c r="BF140">
        <f t="shared" si="134"/>
        <v>1.5372401498982309</v>
      </c>
      <c r="BG140">
        <f t="shared" si="135"/>
        <v>-117.26771524768438</v>
      </c>
      <c r="BH140">
        <f t="shared" si="150"/>
        <v>62.732284752315621</v>
      </c>
      <c r="BI140">
        <f t="shared" si="151"/>
        <v>62.732284752315621</v>
      </c>
      <c r="BJ140">
        <f t="shared" si="136"/>
        <v>0</v>
      </c>
      <c r="BK140">
        <f t="shared" si="152"/>
        <v>0</v>
      </c>
      <c r="BM140">
        <f t="shared" si="153"/>
        <v>2.3168442644593239</v>
      </c>
      <c r="BN140">
        <f t="shared" si="137"/>
        <v>-173.56125316984429</v>
      </c>
      <c r="BQ140" s="56">
        <f t="shared" si="154"/>
        <v>16.122356685724043</v>
      </c>
      <c r="BR140" s="59"/>
      <c r="BS140" s="59"/>
      <c r="BT140" s="59">
        <v>1995.2619999999999</v>
      </c>
      <c r="BU140" s="59">
        <v>9.3349399999999996</v>
      </c>
      <c r="BV140" s="59">
        <v>-254.804</v>
      </c>
      <c r="BW140" s="61"/>
      <c r="BY140" s="59"/>
      <c r="BZ140" s="59"/>
      <c r="CA140" s="59"/>
      <c r="CC140" s="59"/>
    </row>
    <row r="141" spans="1:81" x14ac:dyDescent="0.2">
      <c r="A141">
        <f t="shared" si="106"/>
        <v>53500</v>
      </c>
      <c r="B141">
        <f t="shared" si="138"/>
        <v>53.5</v>
      </c>
      <c r="C141">
        <f t="shared" si="107"/>
        <v>1.0000225991647449</v>
      </c>
      <c r="D141">
        <f t="shared" si="108"/>
        <v>6.7229069830213178E-3</v>
      </c>
      <c r="F141">
        <f t="shared" si="109"/>
        <v>8.5296047629752708E-2</v>
      </c>
      <c r="G141">
        <f t="shared" si="110"/>
        <v>0.10456680711539583</v>
      </c>
      <c r="H141">
        <f t="shared" si="111"/>
        <v>-3.0370258428846042</v>
      </c>
      <c r="J141">
        <f t="shared" si="112"/>
        <v>15</v>
      </c>
      <c r="M141">
        <f t="shared" si="113"/>
        <v>3.3923637434093705E-2</v>
      </c>
      <c r="N141">
        <f t="shared" si="114"/>
        <v>-1.5707963250000001</v>
      </c>
      <c r="O141">
        <f t="shared" si="115"/>
        <v>6.4623448994453865</v>
      </c>
      <c r="P141">
        <f t="shared" si="116"/>
        <v>1.415429425118752</v>
      </c>
      <c r="Q141">
        <f t="shared" si="117"/>
        <v>4.2853773837943452</v>
      </c>
      <c r="R141">
        <f t="shared" si="118"/>
        <v>1.3352732254282851</v>
      </c>
      <c r="S141">
        <f t="shared" si="119"/>
        <v>0.99997639610303224</v>
      </c>
      <c r="T141">
        <f t="shared" si="120"/>
        <v>-6.8708063319584964E-3</v>
      </c>
      <c r="U141">
        <f t="shared" si="121"/>
        <v>0.99406772903115814</v>
      </c>
      <c r="V141">
        <f t="shared" si="122"/>
        <v>-0.10897839759881645</v>
      </c>
      <c r="X141">
        <f t="shared" si="139"/>
        <v>1.54634649107699</v>
      </c>
      <c r="Y141">
        <f t="shared" si="123"/>
        <v>-112.65758677254277</v>
      </c>
      <c r="Z141">
        <f t="shared" si="140"/>
        <v>67.342413227457229</v>
      </c>
      <c r="AC141">
        <v>1</v>
      </c>
      <c r="AD141">
        <f t="shared" si="124"/>
        <v>6.3845048045551502</v>
      </c>
      <c r="AE141">
        <f t="shared" si="125"/>
        <v>-1.4593846726469595E-4</v>
      </c>
      <c r="AF141">
        <f t="shared" si="126"/>
        <v>1.3338448409664001E-3</v>
      </c>
      <c r="AG141">
        <f t="shared" si="141"/>
        <v>4648.8635456467991</v>
      </c>
      <c r="AH141">
        <f t="shared" si="142"/>
        <v>-1258.3532723029025</v>
      </c>
      <c r="AJ141">
        <f t="shared" si="127"/>
        <v>22100</v>
      </c>
      <c r="AK141">
        <f t="shared" si="128"/>
        <v>151.84720941046021</v>
      </c>
      <c r="AL141">
        <v>1</v>
      </c>
      <c r="AM141">
        <f t="shared" si="129"/>
        <v>4.1670684325477625</v>
      </c>
      <c r="AN141">
        <f t="shared" si="143"/>
        <v>1237.8669752746823</v>
      </c>
      <c r="AO141">
        <f t="shared" si="144"/>
        <v>-5006.4291869500503</v>
      </c>
      <c r="AQ141">
        <f t="shared" si="130"/>
        <v>0.8733624454148472</v>
      </c>
      <c r="AR141">
        <f t="shared" si="131"/>
        <v>-93.449781659388648</v>
      </c>
      <c r="AT141">
        <f t="shared" si="104"/>
        <v>-113532.69571245744</v>
      </c>
      <c r="AU141">
        <f t="shared" si="105"/>
        <v>-435534.28179607895</v>
      </c>
      <c r="AV141">
        <f t="shared" si="145"/>
        <v>-1.8257961037623676</v>
      </c>
      <c r="AW141">
        <f t="shared" si="146"/>
        <v>-461597.27441991307</v>
      </c>
      <c r="AX141">
        <f t="shared" si="147"/>
        <v>-158900.42830038874</v>
      </c>
      <c r="AY141">
        <f t="shared" si="155"/>
        <v>-2.8100580709919365</v>
      </c>
      <c r="BA141">
        <f t="shared" si="132"/>
        <v>0.92196946969502735</v>
      </c>
      <c r="BB141">
        <f t="shared" si="148"/>
        <v>-0.70566920067385897</v>
      </c>
      <c r="BC141">
        <f t="shared" si="149"/>
        <v>0.98426196722956893</v>
      </c>
      <c r="BD141">
        <f t="shared" si="133"/>
        <v>-123.60594327806236</v>
      </c>
      <c r="BF141">
        <f t="shared" si="134"/>
        <v>1.4349304259373274</v>
      </c>
      <c r="BG141">
        <f t="shared" si="135"/>
        <v>-117.22951234971931</v>
      </c>
      <c r="BH141">
        <f t="shared" si="150"/>
        <v>62.770487650280685</v>
      </c>
      <c r="BI141">
        <f t="shared" si="151"/>
        <v>62.770487650280685</v>
      </c>
      <c r="BJ141">
        <f t="shared" si="136"/>
        <v>0</v>
      </c>
      <c r="BK141">
        <f t="shared" si="152"/>
        <v>0</v>
      </c>
      <c r="BM141">
        <f t="shared" si="153"/>
        <v>2.1405996266111869</v>
      </c>
      <c r="BN141">
        <f t="shared" si="137"/>
        <v>-173.62356907165696</v>
      </c>
      <c r="BQ141" s="56">
        <f t="shared" si="154"/>
        <v>16.196291599611278</v>
      </c>
      <c r="BR141" s="59"/>
      <c r="BS141" s="59"/>
      <c r="BT141" s="59">
        <v>2041.7380000000001</v>
      </c>
      <c r="BU141" s="59">
        <v>9.0884699999999992</v>
      </c>
      <c r="BV141" s="59">
        <v>-254.411</v>
      </c>
      <c r="BW141" s="61"/>
      <c r="BY141" s="59"/>
      <c r="BZ141" s="59"/>
      <c r="CA141" s="59"/>
      <c r="CC141" s="59"/>
    </row>
    <row r="142" spans="1:81" x14ac:dyDescent="0.2">
      <c r="A142">
        <f t="shared" si="106"/>
        <v>54000</v>
      </c>
      <c r="B142">
        <f t="shared" si="138"/>
        <v>54</v>
      </c>
      <c r="C142">
        <f t="shared" si="107"/>
        <v>1.0000230235480523</v>
      </c>
      <c r="D142">
        <f t="shared" si="108"/>
        <v>6.7857359696011556E-3</v>
      </c>
      <c r="F142">
        <f t="shared" si="109"/>
        <v>8.3600970836322328E-2</v>
      </c>
      <c r="G142">
        <f t="shared" si="110"/>
        <v>0.10344256935945281</v>
      </c>
      <c r="H142">
        <f t="shared" si="111"/>
        <v>-3.0381500806405475</v>
      </c>
      <c r="J142">
        <f t="shared" si="112"/>
        <v>15</v>
      </c>
      <c r="M142">
        <f t="shared" si="113"/>
        <v>3.3609529680074322E-2</v>
      </c>
      <c r="N142">
        <f t="shared" si="114"/>
        <v>-1.5707963250000001</v>
      </c>
      <c r="O142">
        <f t="shared" si="115"/>
        <v>6.5213009901805341</v>
      </c>
      <c r="P142">
        <f t="shared" si="116"/>
        <v>1.4168452815151844</v>
      </c>
      <c r="Q142">
        <f t="shared" si="117"/>
        <v>4.3232563344978265</v>
      </c>
      <c r="R142">
        <f t="shared" si="118"/>
        <v>1.3373752951418714</v>
      </c>
      <c r="S142">
        <f t="shared" si="119"/>
        <v>0.99997595286302909</v>
      </c>
      <c r="T142">
        <f t="shared" si="120"/>
        <v>-6.9350174259342479E-3</v>
      </c>
      <c r="U142">
        <f t="shared" si="121"/>
        <v>0.99395733504373052</v>
      </c>
      <c r="V142">
        <f t="shared" si="122"/>
        <v>-0.10998873046729842</v>
      </c>
      <c r="X142">
        <f t="shared" si="139"/>
        <v>1.4455509044356882</v>
      </c>
      <c r="Y142">
        <f t="shared" si="123"/>
        <v>-112.57840553048219</v>
      </c>
      <c r="Z142">
        <f t="shared" si="140"/>
        <v>67.421594469517814</v>
      </c>
      <c r="AC142">
        <v>1</v>
      </c>
      <c r="AD142">
        <f t="shared" si="124"/>
        <v>6.444173073756601</v>
      </c>
      <c r="AE142">
        <f t="shared" si="125"/>
        <v>-1.4867903591365302E-4</v>
      </c>
      <c r="AF142">
        <f t="shared" si="126"/>
        <v>1.3463106806016003E-3</v>
      </c>
      <c r="AG142">
        <f t="shared" si="141"/>
        <v>4647.8310645143501</v>
      </c>
      <c r="AH142">
        <f t="shared" si="142"/>
        <v>-1256.0511226174635</v>
      </c>
      <c r="AJ142">
        <f t="shared" si="127"/>
        <v>22100</v>
      </c>
      <c r="AK142">
        <f t="shared" si="128"/>
        <v>153.2663422086888</v>
      </c>
      <c r="AL142">
        <v>1</v>
      </c>
      <c r="AM142">
        <f t="shared" si="129"/>
        <v>4.2060129973379281</v>
      </c>
      <c r="AN142">
        <f t="shared" si="143"/>
        <v>1216.9061855184327</v>
      </c>
      <c r="AO142">
        <f t="shared" si="144"/>
        <v>-4965.05689062276</v>
      </c>
      <c r="AQ142">
        <f t="shared" si="130"/>
        <v>0.85726532361765961</v>
      </c>
      <c r="AR142">
        <f t="shared" si="131"/>
        <v>-92.584654950707247</v>
      </c>
      <c r="AT142">
        <f t="shared" si="104"/>
        <v>-112306.63538634522</v>
      </c>
      <c r="AU142">
        <f t="shared" si="105"/>
        <v>-431394.60444935045</v>
      </c>
      <c r="AV142">
        <f t="shared" si="145"/>
        <v>-1.825477107879784</v>
      </c>
      <c r="AW142">
        <f t="shared" si="146"/>
        <v>-453541.72923521261</v>
      </c>
      <c r="AX142">
        <f t="shared" si="147"/>
        <v>-155431.74008222262</v>
      </c>
      <c r="AY142">
        <f t="shared" si="155"/>
        <v>-2.8114300204968314</v>
      </c>
      <c r="BA142">
        <f t="shared" si="132"/>
        <v>0.92978695835080982</v>
      </c>
      <c r="BB142">
        <f t="shared" si="148"/>
        <v>-0.63233099476438759</v>
      </c>
      <c r="BC142">
        <f t="shared" si="149"/>
        <v>0.98595291261704743</v>
      </c>
      <c r="BD142">
        <f t="shared" si="133"/>
        <v>-123.50905924386203</v>
      </c>
      <c r="BF142">
        <f t="shared" si="134"/>
        <v>1.3339205803870082</v>
      </c>
      <c r="BG142">
        <f t="shared" si="135"/>
        <v>-117.19344255841118</v>
      </c>
      <c r="BH142">
        <f t="shared" si="150"/>
        <v>62.806557441588822</v>
      </c>
      <c r="BI142">
        <f t="shared" si="151"/>
        <v>62.806557441588822</v>
      </c>
      <c r="BJ142">
        <f t="shared" si="136"/>
        <v>0</v>
      </c>
      <c r="BK142">
        <f t="shared" si="152"/>
        <v>0</v>
      </c>
      <c r="BM142">
        <f t="shared" si="153"/>
        <v>1.9662515751513969</v>
      </c>
      <c r="BN142">
        <f t="shared" si="137"/>
        <v>-173.68438331454917</v>
      </c>
      <c r="BQ142" s="56">
        <f t="shared" si="154"/>
        <v>16.269629805520751</v>
      </c>
      <c r="BR142" s="59"/>
      <c r="BS142" s="59"/>
      <c r="BT142" s="59">
        <v>2089.2959999999998</v>
      </c>
      <c r="BU142" s="59">
        <v>8.9698600000000006</v>
      </c>
      <c r="BV142" s="59">
        <v>-254.113</v>
      </c>
      <c r="BW142" s="61"/>
      <c r="BY142" s="59"/>
      <c r="BZ142" s="59"/>
      <c r="CA142" s="59"/>
      <c r="CC142" s="59"/>
    </row>
    <row r="143" spans="1:81" x14ac:dyDescent="0.2">
      <c r="A143">
        <f t="shared" si="106"/>
        <v>54500</v>
      </c>
      <c r="B143">
        <f t="shared" si="138"/>
        <v>54.5</v>
      </c>
      <c r="C143">
        <f t="shared" si="107"/>
        <v>1.000023451878929</v>
      </c>
      <c r="D143">
        <f t="shared" si="108"/>
        <v>6.8485649026070808E-3</v>
      </c>
      <c r="F143">
        <f t="shared" si="109"/>
        <v>8.1957071707156381E-2</v>
      </c>
      <c r="G143">
        <f t="shared" si="110"/>
        <v>0.10234361967163853</v>
      </c>
      <c r="H143">
        <f t="shared" si="111"/>
        <v>-3.0392490303283615</v>
      </c>
      <c r="J143">
        <f t="shared" si="112"/>
        <v>15</v>
      </c>
      <c r="M143">
        <f t="shared" si="113"/>
        <v>3.3301185371082814E-2</v>
      </c>
      <c r="N143">
        <f t="shared" si="114"/>
        <v>-1.5707963250000001</v>
      </c>
      <c r="O143">
        <f t="shared" si="115"/>
        <v>6.5802699195679191</v>
      </c>
      <c r="P143">
        <f t="shared" si="116"/>
        <v>1.4182357643320114</v>
      </c>
      <c r="Q143">
        <f t="shared" si="117"/>
        <v>4.361154056470431</v>
      </c>
      <c r="R143">
        <f t="shared" si="118"/>
        <v>1.3394408405604885</v>
      </c>
      <c r="S143">
        <f t="shared" si="119"/>
        <v>0.99997550550046066</v>
      </c>
      <c r="T143">
        <f t="shared" si="120"/>
        <v>-6.9992284627220852E-3</v>
      </c>
      <c r="U143">
        <f t="shared" si="121"/>
        <v>0.99384595142060528</v>
      </c>
      <c r="V143">
        <f t="shared" si="122"/>
        <v>-0.11099883792932255</v>
      </c>
      <c r="X143">
        <f t="shared" si="139"/>
        <v>1.3460228246900061</v>
      </c>
      <c r="Y143">
        <f t="shared" si="123"/>
        <v>-112.50130896077627</v>
      </c>
      <c r="Z143">
        <f t="shared" si="140"/>
        <v>67.498691039223729</v>
      </c>
      <c r="AC143">
        <v>1</v>
      </c>
      <c r="AD143">
        <f t="shared" si="124"/>
        <v>6.5038413429580508</v>
      </c>
      <c r="AE143">
        <f t="shared" si="125"/>
        <v>-1.5144509822446087E-4</v>
      </c>
      <c r="AF143">
        <f t="shared" si="126"/>
        <v>1.3587765202368002E-3</v>
      </c>
      <c r="AG143">
        <f t="shared" si="141"/>
        <v>4646.789443835286</v>
      </c>
      <c r="AH143">
        <f t="shared" si="142"/>
        <v>-1253.8732148926929</v>
      </c>
      <c r="AJ143">
        <f t="shared" si="127"/>
        <v>22100</v>
      </c>
      <c r="AK143">
        <f t="shared" si="128"/>
        <v>154.68547500691741</v>
      </c>
      <c r="AL143">
        <v>1</v>
      </c>
      <c r="AM143">
        <f t="shared" si="129"/>
        <v>4.2449575621280937</v>
      </c>
      <c r="AN143">
        <f t="shared" si="143"/>
        <v>1196.4792035358453</v>
      </c>
      <c r="AO143">
        <f t="shared" si="144"/>
        <v>-4924.3179679715677</v>
      </c>
      <c r="AQ143">
        <f t="shared" si="130"/>
        <v>0.84160915670762493</v>
      </c>
      <c r="AR143">
        <f t="shared" si="131"/>
        <v>-91.735398081131123</v>
      </c>
      <c r="AT143">
        <f t="shared" si="104"/>
        <v>-111113.77796622473</v>
      </c>
      <c r="AU143">
        <f t="shared" si="105"/>
        <v>-427330.35060843197</v>
      </c>
      <c r="AV143">
        <f t="shared" si="145"/>
        <v>-1.8251816726419943</v>
      </c>
      <c r="AW143">
        <f t="shared" si="146"/>
        <v>-445690.63078616402</v>
      </c>
      <c r="AX143">
        <f t="shared" si="147"/>
        <v>-152077.17664845902</v>
      </c>
      <c r="AY143">
        <f t="shared" si="155"/>
        <v>-2.812763745968379</v>
      </c>
      <c r="BA143">
        <f t="shared" si="132"/>
        <v>0.93760716965875046</v>
      </c>
      <c r="BB143">
        <f t="shared" si="148"/>
        <v>-0.55958160733608642</v>
      </c>
      <c r="BC143">
        <f t="shared" si="149"/>
        <v>0.9875820733263847</v>
      </c>
      <c r="BD143">
        <f t="shared" si="133"/>
        <v>-123.41571521096179</v>
      </c>
      <c r="BF143">
        <f t="shared" si="134"/>
        <v>1.2341759286438316</v>
      </c>
      <c r="BG143">
        <f t="shared" si="135"/>
        <v>-117.1594638718952</v>
      </c>
      <c r="BH143">
        <f t="shared" si="150"/>
        <v>62.840536128104802</v>
      </c>
      <c r="BI143">
        <f t="shared" si="151"/>
        <v>62.840536128104802</v>
      </c>
      <c r="BJ143">
        <f t="shared" si="136"/>
        <v>0</v>
      </c>
      <c r="BK143">
        <f t="shared" si="152"/>
        <v>0</v>
      </c>
      <c r="BM143">
        <f t="shared" si="153"/>
        <v>1.7937575359799198</v>
      </c>
      <c r="BN143">
        <f t="shared" si="137"/>
        <v>-173.74374866093342</v>
      </c>
      <c r="BQ143" s="56">
        <f t="shared" si="154"/>
        <v>16.34237919294905</v>
      </c>
      <c r="BR143" s="59"/>
      <c r="BS143" s="59"/>
      <c r="BT143" s="59">
        <v>2137.962</v>
      </c>
      <c r="BU143" s="59">
        <v>8.68736</v>
      </c>
      <c r="BV143" s="59">
        <v>-254.34</v>
      </c>
      <c r="BW143" s="61"/>
      <c r="BY143" s="59"/>
      <c r="BZ143" s="59"/>
      <c r="CA143" s="59"/>
      <c r="CC143" s="59"/>
    </row>
    <row r="144" spans="1:81" x14ac:dyDescent="0.2">
      <c r="A144">
        <f t="shared" si="106"/>
        <v>55000</v>
      </c>
      <c r="B144">
        <f t="shared" si="138"/>
        <v>55</v>
      </c>
      <c r="C144">
        <f t="shared" si="107"/>
        <v>1.0000238841573696</v>
      </c>
      <c r="D144">
        <f t="shared" si="108"/>
        <v>6.9113937815431323E-3</v>
      </c>
      <c r="F144">
        <f t="shared" si="109"/>
        <v>8.0362268652326763E-2</v>
      </c>
      <c r="G144">
        <f t="shared" si="110"/>
        <v>0.10126908088961876</v>
      </c>
      <c r="H144">
        <f t="shared" si="111"/>
        <v>-3.0403235691103814</v>
      </c>
      <c r="J144">
        <f t="shared" si="112"/>
        <v>15</v>
      </c>
      <c r="M144">
        <f t="shared" si="113"/>
        <v>3.2998447322254786E-2</v>
      </c>
      <c r="N144">
        <f t="shared" si="114"/>
        <v>-1.5707963250000001</v>
      </c>
      <c r="O144">
        <f t="shared" si="115"/>
        <v>6.6392513455140536</v>
      </c>
      <c r="P144">
        <f t="shared" si="116"/>
        <v>1.4196015443568075</v>
      </c>
      <c r="Q144">
        <f t="shared" si="117"/>
        <v>4.3990700645721468</v>
      </c>
      <c r="R144">
        <f t="shared" si="118"/>
        <v>1.3414707882465153</v>
      </c>
      <c r="S144">
        <f t="shared" si="119"/>
        <v>0.9999750540153437</v>
      </c>
      <c r="T144">
        <f t="shared" si="120"/>
        <v>-7.0634394417925924E-3</v>
      </c>
      <c r="U144">
        <f t="shared" si="121"/>
        <v>0.99373357917620531</v>
      </c>
      <c r="V144">
        <f t="shared" si="122"/>
        <v>-0.11200871799974713</v>
      </c>
      <c r="X144">
        <f t="shared" si="139"/>
        <v>1.2477289258149407</v>
      </c>
      <c r="Y144">
        <f t="shared" si="123"/>
        <v>-112.42625568597185</v>
      </c>
      <c r="Z144">
        <f t="shared" si="140"/>
        <v>67.573744314028147</v>
      </c>
      <c r="AC144">
        <v>1</v>
      </c>
      <c r="AD144">
        <f t="shared" si="124"/>
        <v>6.5635096121594998</v>
      </c>
      <c r="AE144">
        <f t="shared" si="125"/>
        <v>-1.542366541971195E-4</v>
      </c>
      <c r="AF144">
        <f t="shared" si="126"/>
        <v>1.3712423598720002E-3</v>
      </c>
      <c r="AG144">
        <f t="shared" si="141"/>
        <v>4645.7386962059891</v>
      </c>
      <c r="AH144">
        <f t="shared" si="142"/>
        <v>-1251.8160487232412</v>
      </c>
      <c r="AJ144">
        <f t="shared" si="127"/>
        <v>22100</v>
      </c>
      <c r="AK144">
        <f t="shared" si="128"/>
        <v>156.10460780514603</v>
      </c>
      <c r="AL144">
        <v>1</v>
      </c>
      <c r="AM144">
        <f t="shared" si="129"/>
        <v>4.2839021269182602</v>
      </c>
      <c r="AN144">
        <f t="shared" si="143"/>
        <v>1176.5683993356636</v>
      </c>
      <c r="AO144">
        <f t="shared" si="144"/>
        <v>-4884.1992605737159</v>
      </c>
      <c r="AQ144">
        <f t="shared" si="130"/>
        <v>0.82637798529047191</v>
      </c>
      <c r="AR144">
        <f t="shared" si="131"/>
        <v>-90.901578381951907</v>
      </c>
      <c r="AT144">
        <f t="shared" si="104"/>
        <v>-109952.91848884436</v>
      </c>
      <c r="AU144">
        <f t="shared" si="105"/>
        <v>-423339.45345953398</v>
      </c>
      <c r="AV144">
        <f t="shared" si="145"/>
        <v>-1.824909168567673</v>
      </c>
      <c r="AW144">
        <f t="shared" si="146"/>
        <v>-438037.25901829533</v>
      </c>
      <c r="AX144">
        <f t="shared" si="147"/>
        <v>-148831.97447303939</v>
      </c>
      <c r="AY144">
        <f t="shared" si="155"/>
        <v>-2.8140602158271175</v>
      </c>
      <c r="BA144">
        <f t="shared" si="132"/>
        <v>0.94542990759480006</v>
      </c>
      <c r="BB144">
        <f t="shared" si="148"/>
        <v>-0.48741326812253605</v>
      </c>
      <c r="BC144">
        <f t="shared" si="149"/>
        <v>0.98915104725944447</v>
      </c>
      <c r="BD144">
        <f t="shared" si="133"/>
        <v>-123.32581962632871</v>
      </c>
      <c r="BF144">
        <f t="shared" si="134"/>
        <v>1.1356631360728633</v>
      </c>
      <c r="BG144">
        <f t="shared" si="135"/>
        <v>-117.12753499486665</v>
      </c>
      <c r="BH144">
        <f t="shared" si="150"/>
        <v>62.87246500513335</v>
      </c>
      <c r="BI144">
        <f t="shared" si="151"/>
        <v>62.87246500513335</v>
      </c>
      <c r="BJ144">
        <f t="shared" si="136"/>
        <v>0</v>
      </c>
      <c r="BK144">
        <f t="shared" si="152"/>
        <v>0</v>
      </c>
      <c r="BM144">
        <f t="shared" si="153"/>
        <v>1.6230764041953996</v>
      </c>
      <c r="BN144">
        <f t="shared" si="137"/>
        <v>-173.80171536853794</v>
      </c>
      <c r="BQ144" s="56">
        <f t="shared" si="154"/>
        <v>16.414547532162601</v>
      </c>
      <c r="BR144" s="59"/>
      <c r="BS144" s="59"/>
      <c r="BT144" s="59">
        <v>2187.7620000000002</v>
      </c>
      <c r="BU144" s="59">
        <v>8.5308799999999998</v>
      </c>
      <c r="BV144" s="59">
        <v>-253.785</v>
      </c>
      <c r="BW144" s="61"/>
      <c r="BY144" s="59"/>
      <c r="BZ144" s="59"/>
      <c r="CA144" s="59"/>
      <c r="CC144" s="59"/>
    </row>
    <row r="145" spans="1:81" x14ac:dyDescent="0.2">
      <c r="A145">
        <f t="shared" si="106"/>
        <v>55500</v>
      </c>
      <c r="B145">
        <f t="shared" si="138"/>
        <v>55.5</v>
      </c>
      <c r="C145">
        <f t="shared" si="107"/>
        <v>1.0000243203833692</v>
      </c>
      <c r="D145">
        <f t="shared" si="108"/>
        <v>6.9742226059133512E-3</v>
      </c>
      <c r="F145">
        <f t="shared" si="109"/>
        <v>7.8814586732096487E-2</v>
      </c>
      <c r="G145">
        <f t="shared" si="110"/>
        <v>0.10021811696426271</v>
      </c>
      <c r="H145">
        <f t="shared" si="111"/>
        <v>-3.0413745330357376</v>
      </c>
      <c r="J145">
        <f t="shared" si="112"/>
        <v>15</v>
      </c>
      <c r="M145">
        <f t="shared" si="113"/>
        <v>3.2701164013045285E-2</v>
      </c>
      <c r="N145">
        <f t="shared" si="114"/>
        <v>-1.5707963250000001</v>
      </c>
      <c r="O145">
        <f t="shared" si="115"/>
        <v>6.6982449379034312</v>
      </c>
      <c r="P145">
        <f t="shared" si="116"/>
        <v>1.420943269121977</v>
      </c>
      <c r="Q145">
        <f t="shared" si="117"/>
        <v>4.4370038900157036</v>
      </c>
      <c r="R145">
        <f t="shared" si="118"/>
        <v>1.3434660342725921</v>
      </c>
      <c r="S145">
        <f t="shared" si="119"/>
        <v>0.99997459840769498</v>
      </c>
      <c r="T145">
        <f t="shared" si="120"/>
        <v>-7.1276503626163589E-3</v>
      </c>
      <c r="U145">
        <f t="shared" si="121"/>
        <v>0.99362021933334133</v>
      </c>
      <c r="V145">
        <f t="shared" si="122"/>
        <v>-0.11301836869617936</v>
      </c>
      <c r="X145">
        <f t="shared" si="139"/>
        <v>1.150637163885621</v>
      </c>
      <c r="Y145">
        <f t="shared" si="123"/>
        <v>-112.35320505251666</v>
      </c>
      <c r="Z145">
        <f t="shared" si="140"/>
        <v>67.646794947483343</v>
      </c>
      <c r="AC145">
        <v>1</v>
      </c>
      <c r="AD145">
        <f t="shared" si="124"/>
        <v>6.6231778813609496</v>
      </c>
      <c r="AE145">
        <f t="shared" si="125"/>
        <v>-1.5705370383162887E-4</v>
      </c>
      <c r="AF145">
        <f t="shared" si="126"/>
        <v>1.3837081995072002E-3</v>
      </c>
      <c r="AG145">
        <f t="shared" si="141"/>
        <v>4644.6788343245598</v>
      </c>
      <c r="AH145">
        <f t="shared" si="142"/>
        <v>-1249.8762489482851</v>
      </c>
      <c r="AJ145">
        <f t="shared" si="127"/>
        <v>22100</v>
      </c>
      <c r="AK145">
        <f t="shared" si="128"/>
        <v>157.52374060337462</v>
      </c>
      <c r="AL145">
        <v>1</v>
      </c>
      <c r="AM145">
        <f t="shared" si="129"/>
        <v>4.3228466917084267</v>
      </c>
      <c r="AN145">
        <f t="shared" si="143"/>
        <v>1157.156850090108</v>
      </c>
      <c r="AO145">
        <f t="shared" si="144"/>
        <v>-4844.6879205963933</v>
      </c>
      <c r="AQ145">
        <f t="shared" si="130"/>
        <v>0.81155656549261479</v>
      </c>
      <c r="AR145">
        <f t="shared" si="131"/>
        <v>-90.082778769680246</v>
      </c>
      <c r="AT145">
        <f t="shared" si="104"/>
        <v>-108822.90602088548</v>
      </c>
      <c r="AU145">
        <f t="shared" si="105"/>
        <v>-419419.92116456293</v>
      </c>
      <c r="AV145">
        <f t="shared" si="145"/>
        <v>-1.8246589878735786</v>
      </c>
      <c r="AW145">
        <f t="shared" si="146"/>
        <v>-430575.16169470729</v>
      </c>
      <c r="AX145">
        <f t="shared" si="147"/>
        <v>-145691.60730002547</v>
      </c>
      <c r="AY145">
        <f t="shared" si="155"/>
        <v>-2.8153203664669646</v>
      </c>
      <c r="BA145">
        <f t="shared" si="132"/>
        <v>0.95325498201557768</v>
      </c>
      <c r="BB145">
        <f t="shared" si="148"/>
        <v>-0.41581832572847632</v>
      </c>
      <c r="BC145">
        <f t="shared" si="149"/>
        <v>0.99066137859338599</v>
      </c>
      <c r="BD145">
        <f t="shared" si="133"/>
        <v>-123.23928401512862</v>
      </c>
      <c r="BF145">
        <f t="shared" si="134"/>
        <v>1.0383501500724517</v>
      </c>
      <c r="BG145">
        <f t="shared" si="135"/>
        <v>-117.09761535460649</v>
      </c>
      <c r="BH145">
        <f t="shared" si="150"/>
        <v>62.902384645393511</v>
      </c>
      <c r="BI145">
        <f t="shared" si="151"/>
        <v>62.902384645393511</v>
      </c>
      <c r="BJ145">
        <f t="shared" si="136"/>
        <v>0</v>
      </c>
      <c r="BK145">
        <f t="shared" si="152"/>
        <v>0</v>
      </c>
      <c r="BM145">
        <f t="shared" si="153"/>
        <v>1.4541684758009294</v>
      </c>
      <c r="BN145">
        <f t="shared" si="137"/>
        <v>-173.85833133947787</v>
      </c>
      <c r="BQ145" s="56">
        <f t="shared" si="154"/>
        <v>16.486142474556658</v>
      </c>
      <c r="BR145" s="59"/>
      <c r="BS145" s="59"/>
      <c r="BT145" s="59">
        <v>2238.721</v>
      </c>
      <c r="BU145" s="59">
        <v>8.3496900000000007</v>
      </c>
      <c r="BV145" s="59">
        <v>-253.78300000000002</v>
      </c>
      <c r="BW145" s="61"/>
      <c r="BY145" s="59"/>
      <c r="BZ145" s="59"/>
      <c r="CA145" s="59"/>
      <c r="CC145" s="59"/>
    </row>
    <row r="146" spans="1:81" x14ac:dyDescent="0.2">
      <c r="A146">
        <f t="shared" si="106"/>
        <v>56000</v>
      </c>
      <c r="B146">
        <f t="shared" si="138"/>
        <v>56</v>
      </c>
      <c r="C146">
        <f t="shared" si="107"/>
        <v>1.0000247605569221</v>
      </c>
      <c r="D146">
        <f t="shared" si="108"/>
        <v>7.0370513752217798E-3</v>
      </c>
      <c r="F146">
        <f t="shared" si="109"/>
        <v>7.7312151066498094E-2</v>
      </c>
      <c r="G146">
        <f t="shared" si="110"/>
        <v>9.9189930543026647E-2</v>
      </c>
      <c r="H146">
        <f t="shared" si="111"/>
        <v>-3.0424027194569736</v>
      </c>
      <c r="J146">
        <f t="shared" si="112"/>
        <v>15</v>
      </c>
      <c r="M146">
        <f t="shared" si="113"/>
        <v>3.240918933435738E-2</v>
      </c>
      <c r="N146">
        <f t="shared" si="114"/>
        <v>-1.5707963250000001</v>
      </c>
      <c r="O146">
        <f t="shared" si="115"/>
        <v>6.7572503780818058</v>
      </c>
      <c r="P146">
        <f t="shared" si="116"/>
        <v>1.4222615638959615</v>
      </c>
      <c r="Q146">
        <f t="shared" si="117"/>
        <v>4.474955079692708</v>
      </c>
      <c r="R146">
        <f t="shared" si="118"/>
        <v>1.3454274454404411</v>
      </c>
      <c r="S146">
        <f t="shared" si="119"/>
        <v>0.99997413867753149</v>
      </c>
      <c r="T146">
        <f t="shared" si="120"/>
        <v>-7.191861224663974E-3</v>
      </c>
      <c r="U146">
        <f t="shared" si="121"/>
        <v>0.99350587292318404</v>
      </c>
      <c r="V146">
        <f t="shared" si="122"/>
        <v>-0.11402778803899746</v>
      </c>
      <c r="X146">
        <f t="shared" si="139"/>
        <v>1.0547167132832418</v>
      </c>
      <c r="Y146">
        <f t="shared" si="123"/>
        <v>-112.28211714259704</v>
      </c>
      <c r="Z146">
        <f t="shared" si="140"/>
        <v>67.717882857402955</v>
      </c>
      <c r="AC146">
        <v>1</v>
      </c>
      <c r="AD146">
        <f t="shared" si="124"/>
        <v>6.6828461505623995</v>
      </c>
      <c r="AE146">
        <f t="shared" si="125"/>
        <v>-1.59896247127989E-4</v>
      </c>
      <c r="AF146">
        <f t="shared" si="126"/>
        <v>1.3961740391424003E-3</v>
      </c>
      <c r="AG146">
        <f t="shared" si="141"/>
        <v>4643.6098709904481</v>
      </c>
      <c r="AH146">
        <f t="shared" si="142"/>
        <v>-1248.0505600635474</v>
      </c>
      <c r="AJ146">
        <f t="shared" si="127"/>
        <v>22100</v>
      </c>
      <c r="AK146">
        <f t="shared" si="128"/>
        <v>158.94287340160321</v>
      </c>
      <c r="AL146">
        <v>1</v>
      </c>
      <c r="AM146">
        <f t="shared" si="129"/>
        <v>4.3617912564985923</v>
      </c>
      <c r="AN146">
        <f t="shared" si="143"/>
        <v>1138.2283071214392</v>
      </c>
      <c r="AO146">
        <f t="shared" si="144"/>
        <v>-4805.7714044998847</v>
      </c>
      <c r="AQ146">
        <f t="shared" si="130"/>
        <v>0.79713033080908724</v>
      </c>
      <c r="AR146">
        <f t="shared" si="131"/>
        <v>-89.278597050617776</v>
      </c>
      <c r="AT146">
        <f t="shared" si="104"/>
        <v>-107722.64077810034</v>
      </c>
      <c r="AU146">
        <f t="shared" si="105"/>
        <v>-415569.83348823735</v>
      </c>
      <c r="AV146">
        <f t="shared" si="145"/>
        <v>-1.8244305435529924</v>
      </c>
      <c r="AW146">
        <f t="shared" si="146"/>
        <v>-423298.14200238179</v>
      </c>
      <c r="AX146">
        <f t="shared" si="147"/>
        <v>-142651.77251646775</v>
      </c>
      <c r="AY146">
        <f t="shared" si="155"/>
        <v>-2.8165451035429574</v>
      </c>
      <c r="BA146">
        <f t="shared" si="132"/>
        <v>0.96108220839996816</v>
      </c>
      <c r="BB146">
        <f t="shared" si="148"/>
        <v>-0.34478924709789671</v>
      </c>
      <c r="BC146">
        <f t="shared" si="149"/>
        <v>0.99211455998996501</v>
      </c>
      <c r="BD146">
        <f t="shared" si="133"/>
        <v>-123.15602285414256</v>
      </c>
      <c r="BF146">
        <f t="shared" si="134"/>
        <v>0.94220613628056349</v>
      </c>
      <c r="BG146">
        <f t="shared" si="135"/>
        <v>-117.06966511285974</v>
      </c>
      <c r="BH146">
        <f t="shared" si="150"/>
        <v>62.930334887140262</v>
      </c>
      <c r="BI146">
        <f t="shared" si="151"/>
        <v>62.930334887140262</v>
      </c>
      <c r="BJ146">
        <f t="shared" si="136"/>
        <v>0</v>
      </c>
      <c r="BK146">
        <f t="shared" si="152"/>
        <v>0</v>
      </c>
      <c r="BM146">
        <f t="shared" si="153"/>
        <v>1.2869953833784611</v>
      </c>
      <c r="BN146">
        <f t="shared" si="137"/>
        <v>-173.91364225871718</v>
      </c>
      <c r="BQ146" s="56">
        <f t="shared" si="154"/>
        <v>16.557171553187239</v>
      </c>
      <c r="BR146" s="59"/>
      <c r="BS146" s="59"/>
      <c r="BT146" s="59">
        <v>2290.8679999999999</v>
      </c>
      <c r="BU146" s="59">
        <v>8.2818299999999994</v>
      </c>
      <c r="BV146" s="59">
        <v>-253.62</v>
      </c>
      <c r="BW146" s="61"/>
      <c r="BY146" s="59"/>
      <c r="BZ146" s="59"/>
      <c r="CA146" s="59"/>
      <c r="CC146" s="59"/>
    </row>
    <row r="147" spans="1:81" x14ac:dyDescent="0.2">
      <c r="A147">
        <f t="shared" si="106"/>
        <v>56500</v>
      </c>
      <c r="B147">
        <f t="shared" si="138"/>
        <v>56.5</v>
      </c>
      <c r="C147">
        <f t="shared" si="107"/>
        <v>1.000025204678024</v>
      </c>
      <c r="D147">
        <f t="shared" si="108"/>
        <v>7.0998800889724625E-3</v>
      </c>
      <c r="F147">
        <f t="shared" si="109"/>
        <v>7.5853180721288119E-2</v>
      </c>
      <c r="G147">
        <f t="shared" si="110"/>
        <v>9.8183760723247013E-2</v>
      </c>
      <c r="H147">
        <f t="shared" si="111"/>
        <v>-3.043408889276753</v>
      </c>
      <c r="J147">
        <f t="shared" si="112"/>
        <v>15</v>
      </c>
      <c r="M147">
        <f t="shared" si="113"/>
        <v>3.2122382349097582E-2</v>
      </c>
      <c r="N147">
        <f t="shared" si="114"/>
        <v>-1.5707963250000001</v>
      </c>
      <c r="O147">
        <f t="shared" si="115"/>
        <v>6.8162673583658293</v>
      </c>
      <c r="P147">
        <f t="shared" si="116"/>
        <v>1.4235570326245852</v>
      </c>
      <c r="Q147">
        <f t="shared" si="117"/>
        <v>4.5129231955323643</v>
      </c>
      <c r="R147">
        <f t="shared" si="118"/>
        <v>1.3473558604429645</v>
      </c>
      <c r="S147">
        <f t="shared" si="119"/>
        <v>0.99997367482486987</v>
      </c>
      <c r="T147">
        <f t="shared" si="120"/>
        <v>-7.2560720274060337E-3</v>
      </c>
      <c r="U147">
        <f t="shared" si="121"/>
        <v>0.99339054098523982</v>
      </c>
      <c r="V147">
        <f t="shared" si="122"/>
        <v>-0.11503697405137259</v>
      </c>
      <c r="X147">
        <f t="shared" si="139"/>
        <v>0.95993790674810819</v>
      </c>
      <c r="Y147">
        <f t="shared" si="123"/>
        <v>-112.21295278234801</v>
      </c>
      <c r="Z147">
        <f t="shared" si="140"/>
        <v>67.787047217651988</v>
      </c>
      <c r="AC147">
        <v>1</v>
      </c>
      <c r="AD147">
        <f t="shared" si="124"/>
        <v>6.7425144197638502</v>
      </c>
      <c r="AE147">
        <f t="shared" si="125"/>
        <v>-1.6276428408619991E-4</v>
      </c>
      <c r="AF147">
        <f t="shared" si="126"/>
        <v>1.4086398787776001E-3</v>
      </c>
      <c r="AG147">
        <f t="shared" si="141"/>
        <v>4642.5318191040642</v>
      </c>
      <c r="AH147">
        <f t="shared" si="142"/>
        <v>-1246.3358409300445</v>
      </c>
      <c r="AJ147">
        <f t="shared" si="127"/>
        <v>22100</v>
      </c>
      <c r="AK147">
        <f t="shared" si="128"/>
        <v>160.36200619983182</v>
      </c>
      <c r="AL147">
        <v>1</v>
      </c>
      <c r="AM147">
        <f t="shared" si="129"/>
        <v>4.400735821288758</v>
      </c>
      <c r="AN147">
        <f t="shared" si="143"/>
        <v>1119.7671646276249</v>
      </c>
      <c r="AO147">
        <f t="shared" si="144"/>
        <v>-4767.4374666799031</v>
      </c>
      <c r="AQ147">
        <f t="shared" si="130"/>
        <v>0.78308535630383713</v>
      </c>
      <c r="AR147">
        <f t="shared" si="131"/>
        <v>-88.488645262333591</v>
      </c>
      <c r="AT147">
        <f t="shared" si="104"/>
        <v>-106651.07142207593</v>
      </c>
      <c r="AU147">
        <f t="shared" si="105"/>
        <v>-411787.33860586473</v>
      </c>
      <c r="AV147">
        <f t="shared" si="145"/>
        <v>-1.8242232685003228</v>
      </c>
      <c r="AW147">
        <f t="shared" si="146"/>
        <v>-416200.24680349702</v>
      </c>
      <c r="AX147">
        <f t="shared" si="147"/>
        <v>-139708.37840721908</v>
      </c>
      <c r="AY147">
        <f t="shared" si="155"/>
        <v>-2.8177353031986176</v>
      </c>
      <c r="BA147">
        <f t="shared" si="132"/>
        <v>0.96891140760424455</v>
      </c>
      <c r="BB147">
        <f t="shared" si="148"/>
        <v>-0.27431861682887587</v>
      </c>
      <c r="BC147">
        <f t="shared" si="149"/>
        <v>0.99351203469829485</v>
      </c>
      <c r="BD147">
        <f t="shared" si="133"/>
        <v>-123.07595345128749</v>
      </c>
      <c r="BF147">
        <f t="shared" si="134"/>
        <v>0.84720141862808718</v>
      </c>
      <c r="BG147">
        <f t="shared" si="135"/>
        <v>-117.04364517408308</v>
      </c>
      <c r="BH147">
        <f t="shared" si="150"/>
        <v>62.956354825916918</v>
      </c>
      <c r="BI147">
        <f t="shared" si="151"/>
        <v>62.956354825916918</v>
      </c>
      <c r="BJ147">
        <f t="shared" si="136"/>
        <v>0</v>
      </c>
      <c r="BK147">
        <f t="shared" si="152"/>
        <v>0</v>
      </c>
      <c r="BM147">
        <f t="shared" si="153"/>
        <v>1.1215200354569612</v>
      </c>
      <c r="BN147">
        <f t="shared" si="137"/>
        <v>-173.96769172279559</v>
      </c>
      <c r="BQ147" s="56">
        <f t="shared" si="154"/>
        <v>16.62764218345626</v>
      </c>
      <c r="BR147" s="59"/>
      <c r="BS147" s="59"/>
      <c r="BT147" s="59">
        <v>2344.2289999999998</v>
      </c>
      <c r="BU147" s="59">
        <v>8.0662299999999991</v>
      </c>
      <c r="BV147" s="59">
        <v>-253.17099999999999</v>
      </c>
      <c r="BW147" s="61"/>
      <c r="BY147" s="59"/>
      <c r="BZ147" s="59"/>
      <c r="CA147" s="59"/>
      <c r="CC147" s="59"/>
    </row>
    <row r="148" spans="1:81" x14ac:dyDescent="0.2">
      <c r="A148">
        <f t="shared" si="106"/>
        <v>57000</v>
      </c>
      <c r="B148">
        <f t="shared" si="138"/>
        <v>57</v>
      </c>
      <c r="C148">
        <f t="shared" si="107"/>
        <v>1.0000256527466689</v>
      </c>
      <c r="D148">
        <f t="shared" si="108"/>
        <v>7.1627087466694496E-3</v>
      </c>
      <c r="F148">
        <f t="shared" si="109"/>
        <v>7.4435983030908356E-2</v>
      </c>
      <c r="G148">
        <f t="shared" si="110"/>
        <v>9.7198880961504752E-2</v>
      </c>
      <c r="H148">
        <f t="shared" si="111"/>
        <v>-3.0443937690384955</v>
      </c>
      <c r="J148">
        <f t="shared" si="112"/>
        <v>15</v>
      </c>
      <c r="M148">
        <f t="shared" si="113"/>
        <v>3.1840607065333572E-2</v>
      </c>
      <c r="N148">
        <f t="shared" si="114"/>
        <v>-1.5707963250000001</v>
      </c>
      <c r="O148">
        <f t="shared" si="115"/>
        <v>6.8752955815775092</v>
      </c>
      <c r="P148">
        <f t="shared" si="116"/>
        <v>1.4248302588254171</v>
      </c>
      <c r="Q148">
        <f t="shared" si="117"/>
        <v>4.550907813890972</v>
      </c>
      <c r="R148">
        <f t="shared" si="118"/>
        <v>1.3492520909725998</v>
      </c>
      <c r="S148">
        <f t="shared" si="119"/>
        <v>0.99997320684972779</v>
      </c>
      <c r="T148">
        <f t="shared" si="120"/>
        <v>-7.3202827703131345E-3</v>
      </c>
      <c r="U148">
        <f t="shared" si="121"/>
        <v>0.99327422456732528</v>
      </c>
      <c r="V148">
        <f t="shared" si="122"/>
        <v>-0.11604592475929081</v>
      </c>
      <c r="X148">
        <f t="shared" si="139"/>
        <v>0.86627217900909814</v>
      </c>
      <c r="Y148">
        <f t="shared" si="123"/>
        <v>-112.14567354689167</v>
      </c>
      <c r="Z148">
        <f t="shared" si="140"/>
        <v>67.854326453108328</v>
      </c>
      <c r="AC148">
        <v>1</v>
      </c>
      <c r="AD148">
        <f t="shared" si="124"/>
        <v>6.8021826889653001</v>
      </c>
      <c r="AE148">
        <f t="shared" si="125"/>
        <v>-1.6565781470626156E-4</v>
      </c>
      <c r="AF148">
        <f t="shared" si="126"/>
        <v>1.4211057184128002E-3</v>
      </c>
      <c r="AG148">
        <f t="shared" si="141"/>
        <v>4641.4446916663992</v>
      </c>
      <c r="AH148">
        <f t="shared" si="142"/>
        <v>-1244.7290597613437</v>
      </c>
      <c r="AJ148">
        <f t="shared" si="127"/>
        <v>22100</v>
      </c>
      <c r="AK148">
        <f t="shared" si="128"/>
        <v>161.78113899806044</v>
      </c>
      <c r="AL148">
        <v>1</v>
      </c>
      <c r="AM148">
        <f t="shared" si="129"/>
        <v>4.4396803860789245</v>
      </c>
      <c r="AN148">
        <f t="shared" si="143"/>
        <v>1101.758430046275</v>
      </c>
      <c r="AO148">
        <f t="shared" si="144"/>
        <v>-4729.6741530754953</v>
      </c>
      <c r="AQ148">
        <f t="shared" si="130"/>
        <v>0.76940832499807643</v>
      </c>
      <c r="AR148">
        <f t="shared" si="131"/>
        <v>-87.712549049780719</v>
      </c>
      <c r="AT148">
        <f t="shared" si="104"/>
        <v>-105607.19252221803</v>
      </c>
      <c r="AU148">
        <f t="shared" si="105"/>
        <v>-408070.65008058079</v>
      </c>
      <c r="AV148">
        <f t="shared" si="145"/>
        <v>-1.824036614679224</v>
      </c>
      <c r="AW148">
        <f t="shared" si="146"/>
        <v>-409275.75549499044</v>
      </c>
      <c r="AX148">
        <f t="shared" si="147"/>
        <v>-136857.53222844121</v>
      </c>
      <c r="AY148">
        <f t="shared" si="155"/>
        <v>-2.8188918132361387</v>
      </c>
      <c r="BA148">
        <f t="shared" si="132"/>
        <v>0.97674240562991965</v>
      </c>
      <c r="BB148">
        <f t="shared" si="148"/>
        <v>-0.20439913635260817</v>
      </c>
      <c r="BC148">
        <f t="shared" si="149"/>
        <v>0.99485519855691473</v>
      </c>
      <c r="BD148">
        <f t="shared" si="133"/>
        <v>-122.99899583090614</v>
      </c>
      <c r="BF148">
        <f t="shared" si="134"/>
        <v>0.75330742296866704</v>
      </c>
      <c r="BG148">
        <f t="shared" si="135"/>
        <v>-117.01951719051927</v>
      </c>
      <c r="BH148">
        <f t="shared" si="150"/>
        <v>62.980482809480733</v>
      </c>
      <c r="BI148">
        <f t="shared" si="151"/>
        <v>62.980482809480733</v>
      </c>
      <c r="BJ148">
        <f t="shared" si="136"/>
        <v>0</v>
      </c>
      <c r="BK148">
        <f t="shared" si="152"/>
        <v>0</v>
      </c>
      <c r="BM148">
        <f t="shared" si="153"/>
        <v>0.9577065593212768</v>
      </c>
      <c r="BN148">
        <f t="shared" si="137"/>
        <v>-174.02052135961313</v>
      </c>
      <c r="BQ148" s="56">
        <f t="shared" si="154"/>
        <v>16.697561663932529</v>
      </c>
      <c r="BR148" s="59"/>
      <c r="BS148" s="59"/>
      <c r="BT148" s="59">
        <v>2398.8330000000001</v>
      </c>
      <c r="BU148" s="59">
        <v>7.8140200000000002</v>
      </c>
      <c r="BV148" s="59">
        <v>-252.65800000000002</v>
      </c>
      <c r="BW148" s="61"/>
      <c r="BY148" s="59"/>
      <c r="BZ148" s="59"/>
      <c r="CA148" s="59"/>
      <c r="CC148" s="59"/>
    </row>
    <row r="149" spans="1:81" x14ac:dyDescent="0.2">
      <c r="A149">
        <f t="shared" si="106"/>
        <v>57500</v>
      </c>
      <c r="B149">
        <f t="shared" si="138"/>
        <v>57.5</v>
      </c>
      <c r="C149">
        <f t="shared" si="107"/>
        <v>1.000026104762852</v>
      </c>
      <c r="D149">
        <f t="shared" si="108"/>
        <v>7.2255373478167908E-3</v>
      </c>
      <c r="F149">
        <f t="shared" si="109"/>
        <v>7.3058948322738279E-2</v>
      </c>
      <c r="G149">
        <f t="shared" si="110"/>
        <v>9.623459712649883E-2</v>
      </c>
      <c r="H149">
        <f t="shared" si="111"/>
        <v>-3.0453580528735014</v>
      </c>
      <c r="J149">
        <f t="shared" si="112"/>
        <v>15</v>
      </c>
      <c r="M149">
        <f t="shared" si="113"/>
        <v>3.1563732221287194E-2</v>
      </c>
      <c r="N149">
        <f t="shared" si="114"/>
        <v>-1.5707963250000001</v>
      </c>
      <c r="O149">
        <f t="shared" si="115"/>
        <v>6.9343347606020558</v>
      </c>
      <c r="P149">
        <f t="shared" si="116"/>
        <v>1.4260818064378409</v>
      </c>
      <c r="Q149">
        <f t="shared" si="117"/>
        <v>4.5889085249705248</v>
      </c>
      <c r="R149">
        <f t="shared" si="118"/>
        <v>1.351116922778741</v>
      </c>
      <c r="S149">
        <f t="shared" si="119"/>
        <v>0.99997273475212212</v>
      </c>
      <c r="T149">
        <f t="shared" si="120"/>
        <v>-7.3844934528558767E-3</v>
      </c>
      <c r="U149">
        <f t="shared" si="121"/>
        <v>0.99315692472553918</v>
      </c>
      <c r="V149">
        <f t="shared" si="122"/>
        <v>-0.1170546381915749</v>
      </c>
      <c r="X149">
        <f t="shared" si="139"/>
        <v>0.77369201374053509</v>
      </c>
      <c r="Y149">
        <f t="shared" si="123"/>
        <v>-112.08024176260915</v>
      </c>
      <c r="Z149">
        <f t="shared" si="140"/>
        <v>67.919758237390852</v>
      </c>
      <c r="AC149">
        <v>1</v>
      </c>
      <c r="AD149">
        <f t="shared" si="124"/>
        <v>6.8618509581667499</v>
      </c>
      <c r="AE149">
        <f t="shared" si="125"/>
        <v>-1.6857683898817403E-4</v>
      </c>
      <c r="AF149">
        <f t="shared" si="126"/>
        <v>1.4335715580480002E-3</v>
      </c>
      <c r="AG149">
        <f t="shared" si="141"/>
        <v>4640.348501778647</v>
      </c>
      <c r="AH149">
        <f t="shared" si="142"/>
        <v>-1243.2272893723791</v>
      </c>
      <c r="AJ149">
        <f t="shared" si="127"/>
        <v>22100</v>
      </c>
      <c r="AK149">
        <f t="shared" si="128"/>
        <v>163.20027179628903</v>
      </c>
      <c r="AL149">
        <v>1</v>
      </c>
      <c r="AM149">
        <f t="shared" si="129"/>
        <v>4.4786249508690901</v>
      </c>
      <c r="AN149">
        <f t="shared" si="143"/>
        <v>1084.1876959623146</v>
      </c>
      <c r="AO149">
        <f t="shared" si="144"/>
        <v>-4692.4697947658024</v>
      </c>
      <c r="AQ149">
        <f t="shared" si="130"/>
        <v>0.75608649629517621</v>
      </c>
      <c r="AR149">
        <f t="shared" si="131"/>
        <v>-86.949947073945253</v>
      </c>
      <c r="AT149">
        <f t="shared" si="104"/>
        <v>-104590.0421715144</v>
      </c>
      <c r="AU149">
        <f t="shared" si="105"/>
        <v>-404418.04399963462</v>
      </c>
      <c r="AV149">
        <f t="shared" si="145"/>
        <v>-1.8238700523317486</v>
      </c>
      <c r="AW149">
        <f t="shared" si="146"/>
        <v>-402519.16944185598</v>
      </c>
      <c r="AX149">
        <f t="shared" si="147"/>
        <v>-134095.5290415175</v>
      </c>
      <c r="AY149">
        <f t="shared" si="155"/>
        <v>-2.8200154542324167</v>
      </c>
      <c r="BA149">
        <f t="shared" si="132"/>
        <v>0.98457503340354446</v>
      </c>
      <c r="BB149">
        <f t="shared" si="148"/>
        <v>-0.13502362299279766</v>
      </c>
      <c r="BC149">
        <f t="shared" si="149"/>
        <v>0.99614540190066814</v>
      </c>
      <c r="BD149">
        <f t="shared" si="133"/>
        <v>-122.92507262451093</v>
      </c>
      <c r="BF149">
        <f t="shared" si="134"/>
        <v>0.66049662403595222</v>
      </c>
      <c r="BG149">
        <f t="shared" si="135"/>
        <v>-116.99724356450315</v>
      </c>
      <c r="BH149">
        <f t="shared" si="150"/>
        <v>63.002756435496849</v>
      </c>
      <c r="BI149">
        <f t="shared" si="151"/>
        <v>63.002756435496849</v>
      </c>
      <c r="BJ149">
        <f t="shared" si="136"/>
        <v>0</v>
      </c>
      <c r="BK149">
        <f t="shared" si="152"/>
        <v>0</v>
      </c>
      <c r="BM149">
        <f t="shared" si="153"/>
        <v>0.79552024702875146</v>
      </c>
      <c r="BN149">
        <f t="shared" si="137"/>
        <v>-174.07217093999222</v>
      </c>
      <c r="BQ149" s="56">
        <f t="shared" si="154"/>
        <v>16.766937177292338</v>
      </c>
      <c r="BR149" s="59"/>
      <c r="BS149" s="59"/>
      <c r="BT149" s="59">
        <v>2454.7089999999998</v>
      </c>
      <c r="BU149" s="59">
        <v>7.6423899999999998</v>
      </c>
      <c r="BV149" s="59">
        <v>-251.97399999999999</v>
      </c>
      <c r="BW149" s="61"/>
      <c r="BY149" s="59"/>
      <c r="BZ149" s="59"/>
      <c r="CA149" s="59"/>
      <c r="CC149" s="59"/>
    </row>
    <row r="150" spans="1:81" x14ac:dyDescent="0.2">
      <c r="A150">
        <f t="shared" si="106"/>
        <v>58000</v>
      </c>
      <c r="B150">
        <f t="shared" si="138"/>
        <v>58</v>
      </c>
      <c r="C150">
        <f t="shared" si="107"/>
        <v>1.0000265607265675</v>
      </c>
      <c r="D150">
        <f t="shared" si="108"/>
        <v>7.2883658919185414E-3</v>
      </c>
      <c r="F150">
        <f t="shared" si="109"/>
        <v>7.1720545010203571E-2</v>
      </c>
      <c r="G150">
        <f t="shared" si="110"/>
        <v>9.5290245684012412E-2</v>
      </c>
      <c r="H150">
        <f t="shared" si="111"/>
        <v>-3.0463024043159876</v>
      </c>
      <c r="J150">
        <f t="shared" si="112"/>
        <v>15</v>
      </c>
      <c r="M150">
        <f t="shared" si="113"/>
        <v>3.1291631081448508E-2</v>
      </c>
      <c r="N150">
        <f t="shared" si="114"/>
        <v>-1.5707963250000001</v>
      </c>
      <c r="O150">
        <f t="shared" si="115"/>
        <v>6.9933846179677337</v>
      </c>
      <c r="P150">
        <f t="shared" si="116"/>
        <v>1.4273122206313487</v>
      </c>
      <c r="Q150">
        <f t="shared" si="117"/>
        <v>4.6269249322648198</v>
      </c>
      <c r="R150">
        <f t="shared" si="118"/>
        <v>1.35295111667687</v>
      </c>
      <c r="S150">
        <f t="shared" si="119"/>
        <v>0.99997225853207095</v>
      </c>
      <c r="T150">
        <f t="shared" si="120"/>
        <v>-7.4487040745048628E-3</v>
      </c>
      <c r="U150">
        <f t="shared" si="121"/>
        <v>0.99303864252423901</v>
      </c>
      <c r="V150">
        <f t="shared" si="122"/>
        <v>-0.11806311237990604</v>
      </c>
      <c r="X150">
        <f t="shared" si="139"/>
        <v>0.68217089361727712</v>
      </c>
      <c r="Y150">
        <f t="shared" si="123"/>
        <v>-112.01662050700527</v>
      </c>
      <c r="Z150">
        <f t="shared" si="140"/>
        <v>67.983379492994729</v>
      </c>
      <c r="AC150">
        <v>1</v>
      </c>
      <c r="AD150">
        <f t="shared" si="124"/>
        <v>6.9215192273681998</v>
      </c>
      <c r="AE150">
        <f t="shared" si="125"/>
        <v>-1.7152135693193721E-4</v>
      </c>
      <c r="AF150">
        <f t="shared" si="126"/>
        <v>1.4460373976832002E-3</v>
      </c>
      <c r="AG150">
        <f t="shared" si="141"/>
        <v>4639.2432626418067</v>
      </c>
      <c r="AH150">
        <f t="shared" si="142"/>
        <v>-1241.8277026740363</v>
      </c>
      <c r="AJ150">
        <f t="shared" si="127"/>
        <v>22100</v>
      </c>
      <c r="AK150">
        <f t="shared" si="128"/>
        <v>164.61940459451762</v>
      </c>
      <c r="AL150">
        <v>1</v>
      </c>
      <c r="AM150">
        <f t="shared" si="129"/>
        <v>4.5175695156592557</v>
      </c>
      <c r="AN150">
        <f t="shared" si="143"/>
        <v>1067.0411134707156</v>
      </c>
      <c r="AO150">
        <f t="shared" si="144"/>
        <v>-4655.8130015758961</v>
      </c>
      <c r="AQ150">
        <f t="shared" si="130"/>
        <v>0.74310767630229624</v>
      </c>
      <c r="AR150">
        <f t="shared" si="131"/>
        <v>-86.200490451066358</v>
      </c>
      <c r="AT150">
        <f t="shared" ref="AT150:AT213" si="156">-AR150*AH150+AG150*AQ150</f>
        <v>-103598.69974552011</v>
      </c>
      <c r="AU150">
        <f t="shared" ref="AU150:AU213" si="157">AQ150*AH150+AG150*AR150</f>
        <v>-400827.85626003094</v>
      </c>
      <c r="AV150">
        <f t="shared" si="145"/>
        <v>-1.8237230692262143</v>
      </c>
      <c r="AW150">
        <f t="shared" si="146"/>
        <v>-395925.20195174421</v>
      </c>
      <c r="AX150">
        <f t="shared" si="147"/>
        <v>-131418.84125362075</v>
      </c>
      <c r="AY150">
        <f t="shared" si="155"/>
        <v>-2.821107020603761</v>
      </c>
      <c r="BA150">
        <f t="shared" si="132"/>
        <v>0.99240912656774949</v>
      </c>
      <c r="BB150">
        <f t="shared" si="148"/>
        <v>-6.6185008919850935E-2</v>
      </c>
      <c r="BC150">
        <f t="shared" si="149"/>
        <v>0.99738395137754665</v>
      </c>
      <c r="BD150">
        <f t="shared" si="133"/>
        <v>-122.85410896668657</v>
      </c>
      <c r="BF150">
        <f t="shared" si="134"/>
        <v>0.56874249549897493</v>
      </c>
      <c r="BG150">
        <f t="shared" si="135"/>
        <v>-116.97678744835808</v>
      </c>
      <c r="BH150">
        <f t="shared" si="150"/>
        <v>63.023212551641919</v>
      </c>
      <c r="BI150">
        <f t="shared" si="151"/>
        <v>63.023212551641919</v>
      </c>
      <c r="BJ150">
        <f t="shared" si="136"/>
        <v>0</v>
      </c>
      <c r="BK150">
        <f t="shared" si="152"/>
        <v>0</v>
      </c>
      <c r="BM150">
        <f t="shared" si="153"/>
        <v>0.63492750441882539</v>
      </c>
      <c r="BN150">
        <f t="shared" si="137"/>
        <v>-174.12267848167153</v>
      </c>
      <c r="BQ150" s="56">
        <f t="shared" si="154"/>
        <v>16.835775791365286</v>
      </c>
      <c r="BR150" s="59"/>
      <c r="BS150" s="59"/>
      <c r="BT150" s="59">
        <v>2511.886</v>
      </c>
      <c r="BU150" s="59">
        <v>7.45716</v>
      </c>
      <c r="BV150" s="59">
        <v>-252.25200000000001</v>
      </c>
      <c r="BW150" s="61"/>
      <c r="BY150" s="59"/>
      <c r="BZ150" s="59"/>
      <c r="CA150" s="59"/>
      <c r="CC150" s="59"/>
    </row>
    <row r="151" spans="1:81" x14ac:dyDescent="0.2">
      <c r="A151">
        <f t="shared" si="106"/>
        <v>58500</v>
      </c>
      <c r="B151">
        <f t="shared" si="138"/>
        <v>58.5</v>
      </c>
      <c r="C151">
        <f t="shared" si="107"/>
        <v>1.0000270206378101</v>
      </c>
      <c r="D151">
        <f t="shared" si="108"/>
        <v>7.3511943784787554E-3</v>
      </c>
      <c r="F151">
        <f t="shared" si="109"/>
        <v>7.0419315025250215E-2</v>
      </c>
      <c r="G151">
        <f t="shared" si="110"/>
        <v>9.4365192003582579E-2</v>
      </c>
      <c r="H151">
        <f t="shared" si="111"/>
        <v>-3.0472274579964176</v>
      </c>
      <c r="J151">
        <f t="shared" si="112"/>
        <v>15</v>
      </c>
      <c r="M151">
        <f t="shared" si="113"/>
        <v>3.1024181243145526E-2</v>
      </c>
      <c r="N151">
        <f t="shared" si="114"/>
        <v>-1.5707963250000001</v>
      </c>
      <c r="O151">
        <f t="shared" si="115"/>
        <v>7.0524448854464961</v>
      </c>
      <c r="P151">
        <f t="shared" si="116"/>
        <v>1.4285220285744185</v>
      </c>
      <c r="Q151">
        <f t="shared" si="117"/>
        <v>4.6649566520315968</v>
      </c>
      <c r="R151">
        <f t="shared" si="118"/>
        <v>1.3547554095118925</v>
      </c>
      <c r="S151">
        <f t="shared" si="119"/>
        <v>0.99997177818959182</v>
      </c>
      <c r="T151">
        <f t="shared" si="120"/>
        <v>-7.512914634730701E-3</v>
      </c>
      <c r="U151">
        <f t="shared" si="121"/>
        <v>0.99291937903601268</v>
      </c>
      <c r="V151">
        <f t="shared" si="122"/>
        <v>-0.11907134535884555</v>
      </c>
      <c r="X151">
        <f t="shared" si="139"/>
        <v>0.59168325325671189</v>
      </c>
      <c r="Y151">
        <f t="shared" si="123"/>
        <v>-111.95477360648161</v>
      </c>
      <c r="Z151">
        <f t="shared" si="140"/>
        <v>68.045226393518391</v>
      </c>
      <c r="AC151">
        <v>1</v>
      </c>
      <c r="AD151">
        <f t="shared" si="124"/>
        <v>6.9811874965696505</v>
      </c>
      <c r="AE151">
        <f t="shared" si="125"/>
        <v>-1.744913685375511E-4</v>
      </c>
      <c r="AF151">
        <f t="shared" si="126"/>
        <v>1.4585032373184003E-3</v>
      </c>
      <c r="AG151">
        <f t="shared" si="141"/>
        <v>4638.1289875563025</v>
      </c>
      <c r="AH151">
        <f t="shared" si="142"/>
        <v>-1240.5275683988084</v>
      </c>
      <c r="AJ151">
        <f t="shared" si="127"/>
        <v>22100</v>
      </c>
      <c r="AK151">
        <f t="shared" si="128"/>
        <v>166.03853739274621</v>
      </c>
      <c r="AL151">
        <v>1</v>
      </c>
      <c r="AM151">
        <f t="shared" si="129"/>
        <v>4.5565140804494222</v>
      </c>
      <c r="AN151">
        <f t="shared" si="143"/>
        <v>1050.3053669111364</v>
      </c>
      <c r="AO151">
        <f t="shared" si="144"/>
        <v>-4619.6926557094439</v>
      </c>
      <c r="AQ151">
        <f t="shared" si="130"/>
        <v>0.73046018991964934</v>
      </c>
      <c r="AR151">
        <f t="shared" si="131"/>
        <v>-85.463842220598977</v>
      </c>
      <c r="AT151">
        <f t="shared" si="156"/>
        <v>-102632.28379481686</v>
      </c>
      <c r="AU151">
        <f t="shared" si="157"/>
        <v>-397298.47999451146</v>
      </c>
      <c r="AV151">
        <f t="shared" si="145"/>
        <v>-1.8235951699416086</v>
      </c>
      <c r="AW151">
        <f t="shared" si="146"/>
        <v>-389488.76876040193</v>
      </c>
      <c r="AX151">
        <f t="shared" si="147"/>
        <v>-128824.1088153481</v>
      </c>
      <c r="AY151">
        <f t="shared" si="155"/>
        <v>-2.8221672816219643</v>
      </c>
      <c r="BA151">
        <f t="shared" si="132"/>
        <v>1.0002445252828718</v>
      </c>
      <c r="BB151">
        <f t="shared" si="148"/>
        <v>2.1236599870416671E-3</v>
      </c>
      <c r="BC151">
        <f t="shared" si="149"/>
        <v>0.99857211168035565</v>
      </c>
      <c r="BD151">
        <f t="shared" si="133"/>
        <v>-122.78603239587284</v>
      </c>
      <c r="BF151">
        <f t="shared" si="134"/>
        <v>0.47801946290453423</v>
      </c>
      <c r="BG151">
        <f t="shared" si="135"/>
        <v>-116.95811274219936</v>
      </c>
      <c r="BH151">
        <f t="shared" si="150"/>
        <v>63.041887257800639</v>
      </c>
      <c r="BI151">
        <f t="shared" si="151"/>
        <v>63.041887257800639</v>
      </c>
      <c r="BJ151">
        <f t="shared" si="136"/>
        <v>0</v>
      </c>
      <c r="BK151">
        <f t="shared" si="152"/>
        <v>0</v>
      </c>
      <c r="BM151">
        <f t="shared" si="153"/>
        <v>0.47589580291749367</v>
      </c>
      <c r="BN151">
        <f t="shared" si="137"/>
        <v>-174.17208034632654</v>
      </c>
      <c r="BQ151" s="56">
        <f t="shared" si="154"/>
        <v>16.904084460272177</v>
      </c>
      <c r="BR151" s="59"/>
      <c r="BS151" s="59"/>
      <c r="BT151" s="59">
        <v>2570.3960000000002</v>
      </c>
      <c r="BU151" s="59">
        <v>7.31271</v>
      </c>
      <c r="BV151" s="59">
        <v>-251.702</v>
      </c>
      <c r="BW151" s="61"/>
      <c r="BY151" s="59"/>
      <c r="BZ151" s="59"/>
      <c r="CA151" s="59"/>
      <c r="CC151" s="59"/>
    </row>
    <row r="152" spans="1:81" x14ac:dyDescent="0.2">
      <c r="A152">
        <f t="shared" si="106"/>
        <v>59000</v>
      </c>
      <c r="B152">
        <f t="shared" si="138"/>
        <v>59</v>
      </c>
      <c r="C152">
        <f t="shared" si="107"/>
        <v>1.0000274844965744</v>
      </c>
      <c r="D152">
        <f t="shared" si="108"/>
        <v>7.4140228070014936E-3</v>
      </c>
      <c r="F152">
        <f t="shared" si="109"/>
        <v>6.9153869563343642E-2</v>
      </c>
      <c r="G152">
        <f t="shared" si="110"/>
        <v>9.3458828777411865E-2</v>
      </c>
      <c r="H152">
        <f t="shared" si="111"/>
        <v>-3.0481338212225881</v>
      </c>
      <c r="J152">
        <f t="shared" si="112"/>
        <v>15</v>
      </c>
      <c r="M152">
        <f t="shared" si="113"/>
        <v>3.0761264452949379E-2</v>
      </c>
      <c r="N152">
        <f t="shared" si="114"/>
        <v>-1.5707963250000001</v>
      </c>
      <c r="O152">
        <f t="shared" si="115"/>
        <v>7.1115153036741869</v>
      </c>
      <c r="P152">
        <f t="shared" si="116"/>
        <v>1.4297117401661787</v>
      </c>
      <c r="Q152">
        <f t="shared" si="117"/>
        <v>4.7030033127893152</v>
      </c>
      <c r="R152">
        <f t="shared" si="118"/>
        <v>1.3565305150780336</v>
      </c>
      <c r="S152">
        <f t="shared" si="119"/>
        <v>0.99997129372470228</v>
      </c>
      <c r="T152">
        <f t="shared" si="120"/>
        <v>-7.5771251330039972E-3</v>
      </c>
      <c r="U152">
        <f t="shared" si="121"/>
        <v>0.99279913534165309</v>
      </c>
      <c r="V152">
        <f t="shared" si="122"/>
        <v>-0.12007933516585635</v>
      </c>
      <c r="X152">
        <f t="shared" si="139"/>
        <v>0.50220443485279831</v>
      </c>
      <c r="Y152">
        <f t="shared" si="123"/>
        <v>-111.89466563230032</v>
      </c>
      <c r="Z152">
        <f t="shared" si="140"/>
        <v>68.105334367699683</v>
      </c>
      <c r="AC152">
        <v>1</v>
      </c>
      <c r="AD152">
        <f t="shared" si="124"/>
        <v>7.0408557657711004</v>
      </c>
      <c r="AE152">
        <f t="shared" si="125"/>
        <v>-1.7748687380501584E-4</v>
      </c>
      <c r="AF152">
        <f t="shared" si="126"/>
        <v>1.4709690769536003E-3</v>
      </c>
      <c r="AG152">
        <f t="shared" si="141"/>
        <v>4637.0056899215806</v>
      </c>
      <c r="AH152">
        <f t="shared" si="142"/>
        <v>-1239.324247043812</v>
      </c>
      <c r="AJ152">
        <f t="shared" si="127"/>
        <v>22100</v>
      </c>
      <c r="AK152">
        <f t="shared" si="128"/>
        <v>167.45767019097482</v>
      </c>
      <c r="AL152">
        <v>1</v>
      </c>
      <c r="AM152">
        <f t="shared" si="129"/>
        <v>4.5954586452395887</v>
      </c>
      <c r="AN152">
        <f t="shared" si="143"/>
        <v>1033.9676498964227</v>
      </c>
      <c r="AO152">
        <f t="shared" si="144"/>
        <v>-4584.0979054236004</v>
      </c>
      <c r="AQ152">
        <f t="shared" si="130"/>
        <v>0.71813285457809695</v>
      </c>
      <c r="AR152">
        <f t="shared" si="131"/>
        <v>-84.739676840215438</v>
      </c>
      <c r="AT152">
        <f t="shared" si="156"/>
        <v>-101689.95006193768</v>
      </c>
      <c r="AU152">
        <f t="shared" si="157"/>
        <v>-393828.36312947242</v>
      </c>
      <c r="AV152">
        <f t="shared" si="145"/>
        <v>-1.8234858751865</v>
      </c>
      <c r="AW152">
        <f t="shared" si="146"/>
        <v>-383204.97899932851</v>
      </c>
      <c r="AX152">
        <f t="shared" si="147"/>
        <v>-126308.13002964036</v>
      </c>
      <c r="AY152">
        <f t="shared" si="155"/>
        <v>-2.8231969823842515</v>
      </c>
      <c r="BA152">
        <f t="shared" si="132"/>
        <v>1.008081074038536</v>
      </c>
      <c r="BB152">
        <f t="shared" si="148"/>
        <v>6.9909225357923335E-2</v>
      </c>
      <c r="BC152">
        <f t="shared" si="149"/>
        <v>0.99971110719775158</v>
      </c>
      <c r="BD152">
        <f t="shared" si="133"/>
        <v>-122.72077275976716</v>
      </c>
      <c r="BF152">
        <f t="shared" si="134"/>
        <v>0.38830285931157055</v>
      </c>
      <c r="BG152">
        <f t="shared" si="135"/>
        <v>-116.94118408992658</v>
      </c>
      <c r="BH152">
        <f t="shared" si="150"/>
        <v>63.05881591007342</v>
      </c>
      <c r="BI152">
        <f t="shared" si="151"/>
        <v>63.05881591007342</v>
      </c>
      <c r="BJ152">
        <f t="shared" si="136"/>
        <v>0</v>
      </c>
      <c r="BK152">
        <f t="shared" si="152"/>
        <v>0</v>
      </c>
      <c r="BM152">
        <f t="shared" si="153"/>
        <v>0.31839363395364922</v>
      </c>
      <c r="BN152">
        <f t="shared" si="137"/>
        <v>-174.22041133015944</v>
      </c>
      <c r="BQ152" s="56">
        <f t="shared" si="154"/>
        <v>16.97187002564306</v>
      </c>
      <c r="BR152" s="59"/>
      <c r="BS152" s="59"/>
      <c r="BT152" s="59">
        <v>2630.268</v>
      </c>
      <c r="BU152" s="59">
        <v>7.13504</v>
      </c>
      <c r="BV152" s="59">
        <v>-251.40100000000001</v>
      </c>
      <c r="BW152" s="61"/>
      <c r="BY152" s="59"/>
      <c r="BZ152" s="59"/>
      <c r="CA152" s="59"/>
      <c r="CC152" s="59"/>
    </row>
    <row r="153" spans="1:81" x14ac:dyDescent="0.2">
      <c r="A153">
        <f t="shared" si="106"/>
        <v>59500</v>
      </c>
      <c r="B153">
        <f t="shared" si="138"/>
        <v>59.5</v>
      </c>
      <c r="C153">
        <f t="shared" si="107"/>
        <v>1.0000279523028552</v>
      </c>
      <c r="D153">
        <f t="shared" si="108"/>
        <v>7.4768511769908166E-3</v>
      </c>
      <c r="F153">
        <f t="shared" si="109"/>
        <v>6.7922885116537407E-2</v>
      </c>
      <c r="G153">
        <f t="shared" si="110"/>
        <v>9.2570574542891984E-2</v>
      </c>
      <c r="H153">
        <f t="shared" si="111"/>
        <v>-3.049022075457108</v>
      </c>
      <c r="J153">
        <f t="shared" si="112"/>
        <v>15</v>
      </c>
      <c r="M153">
        <f t="shared" si="113"/>
        <v>3.0502766432336355E-2</v>
      </c>
      <c r="N153">
        <f t="shared" si="114"/>
        <v>-1.5707963250000001</v>
      </c>
      <c r="O153">
        <f t="shared" si="115"/>
        <v>7.1705956217892313</v>
      </c>
      <c r="P153">
        <f t="shared" si="116"/>
        <v>1.4308818487329318</v>
      </c>
      <c r="Q153">
        <f t="shared" si="117"/>
        <v>4.7410645548372461</v>
      </c>
      <c r="R153">
        <f t="shared" si="118"/>
        <v>1.3582771249975034</v>
      </c>
      <c r="S153">
        <f t="shared" si="119"/>
        <v>0.99997080513742032</v>
      </c>
      <c r="T153">
        <f t="shared" si="120"/>
        <v>-7.6413355687953658E-3</v>
      </c>
      <c r="U153">
        <f t="shared" si="121"/>
        <v>0.99267791253013093</v>
      </c>
      <c r="V153">
        <f t="shared" si="122"/>
        <v>-0.12108707984132455</v>
      </c>
      <c r="X153">
        <f t="shared" si="139"/>
        <v>0.41371064632224774</v>
      </c>
      <c r="Y153">
        <f t="shared" si="123"/>
        <v>-111.83626189498639</v>
      </c>
      <c r="Z153">
        <f t="shared" si="140"/>
        <v>68.163738105013607</v>
      </c>
      <c r="AC153">
        <v>1</v>
      </c>
      <c r="AD153">
        <f t="shared" si="124"/>
        <v>7.1005240349725502</v>
      </c>
      <c r="AE153">
        <f t="shared" si="125"/>
        <v>-1.8050787273433131E-4</v>
      </c>
      <c r="AF153">
        <f t="shared" si="126"/>
        <v>1.4834349165888001E-3</v>
      </c>
      <c r="AG153">
        <f t="shared" si="141"/>
        <v>4635.8733832357229</v>
      </c>
      <c r="AH153">
        <f t="shared" si="142"/>
        <v>-1238.2151870183743</v>
      </c>
      <c r="AJ153">
        <f t="shared" si="127"/>
        <v>22100</v>
      </c>
      <c r="AK153">
        <f t="shared" si="128"/>
        <v>168.87680298920344</v>
      </c>
      <c r="AL153">
        <v>1</v>
      </c>
      <c r="AM153">
        <f t="shared" si="129"/>
        <v>4.6344032100297543</v>
      </c>
      <c r="AN153">
        <f t="shared" si="143"/>
        <v>1018.0156425617367</v>
      </c>
      <c r="AO153">
        <f t="shared" si="144"/>
        <v>-4549.0181587594125</v>
      </c>
      <c r="AQ153">
        <f t="shared" si="130"/>
        <v>0.70611495551475778</v>
      </c>
      <c r="AR153">
        <f t="shared" si="131"/>
        <v>-84.02767970625618</v>
      </c>
      <c r="AT153">
        <f t="shared" si="156"/>
        <v>-100770.8896144265</v>
      </c>
      <c r="AU153">
        <f t="shared" si="157"/>
        <v>-390416.00606698875</v>
      </c>
      <c r="AV153">
        <f t="shared" si="145"/>
        <v>-1.8233947211505388</v>
      </c>
      <c r="AW153">
        <f t="shared" si="146"/>
        <v>-377069.12661874271</v>
      </c>
      <c r="AX153">
        <f t="shared" si="147"/>
        <v>-123867.85292969675</v>
      </c>
      <c r="AY153">
        <f t="shared" si="155"/>
        <v>-2.824196844739479</v>
      </c>
      <c r="BA153">
        <f t="shared" si="132"/>
        <v>1.0159186214746199</v>
      </c>
      <c r="BB153">
        <f t="shared" si="148"/>
        <v>0.13717841761948504</v>
      </c>
      <c r="BC153">
        <f t="shared" si="149"/>
        <v>1.0008021235889402</v>
      </c>
      <c r="BD153">
        <f t="shared" si="133"/>
        <v>-122.65826212510103</v>
      </c>
      <c r="BF153">
        <f t="shared" si="134"/>
        <v>0.29956888343769394</v>
      </c>
      <c r="BG153">
        <f t="shared" si="135"/>
        <v>-116.92596687365302</v>
      </c>
      <c r="BH153">
        <f t="shared" si="150"/>
        <v>63.074033126346976</v>
      </c>
      <c r="BI153">
        <f t="shared" si="151"/>
        <v>63.074033126346976</v>
      </c>
      <c r="BJ153">
        <f t="shared" si="136"/>
        <v>0</v>
      </c>
      <c r="BK153">
        <f t="shared" si="152"/>
        <v>0</v>
      </c>
      <c r="BM153">
        <f t="shared" si="153"/>
        <v>0.16239046581820751</v>
      </c>
      <c r="BN153">
        <f t="shared" si="137"/>
        <v>-174.26770474855201</v>
      </c>
      <c r="BQ153" s="56">
        <f t="shared" si="154"/>
        <v>17.039139217904623</v>
      </c>
      <c r="BR153" s="59"/>
      <c r="BS153" s="59"/>
      <c r="BT153" s="59">
        <v>2691.5349999999999</v>
      </c>
      <c r="BU153" s="59">
        <v>6.8809300000000002</v>
      </c>
      <c r="BV153" s="59">
        <v>-251.244</v>
      </c>
      <c r="BW153" s="61"/>
      <c r="BY153" s="59"/>
      <c r="BZ153" s="59"/>
      <c r="CA153" s="59"/>
      <c r="CC153" s="59"/>
    </row>
    <row r="154" spans="1:81" x14ac:dyDescent="0.2">
      <c r="A154">
        <f t="shared" si="106"/>
        <v>60000</v>
      </c>
      <c r="B154">
        <f t="shared" si="138"/>
        <v>60</v>
      </c>
      <c r="C154">
        <f t="shared" si="107"/>
        <v>1.0000284240566466</v>
      </c>
      <c r="D154">
        <f t="shared" si="108"/>
        <v>7.5396794879507905E-3</v>
      </c>
      <c r="F154">
        <f t="shared" si="109"/>
        <v>6.6725099772306659E-2</v>
      </c>
      <c r="G154">
        <f t="shared" si="110"/>
        <v>9.1699872300863072E-2</v>
      </c>
      <c r="H154">
        <f t="shared" si="111"/>
        <v>-3.0498927776991369</v>
      </c>
      <c r="J154">
        <f t="shared" si="112"/>
        <v>15</v>
      </c>
      <c r="M154">
        <f t="shared" si="113"/>
        <v>3.0248576712066891E-2</v>
      </c>
      <c r="N154">
        <f t="shared" si="114"/>
        <v>-1.5707963250000001</v>
      </c>
      <c r="O154">
        <f t="shared" si="115"/>
        <v>7.2296855970887561</v>
      </c>
      <c r="P154">
        <f t="shared" si="116"/>
        <v>1.4320328316914726</v>
      </c>
      <c r="Q154">
        <f t="shared" si="117"/>
        <v>4.7791400297976523</v>
      </c>
      <c r="R154">
        <f t="shared" si="118"/>
        <v>1.3599959095600378</v>
      </c>
      <c r="S154">
        <f t="shared" si="119"/>
        <v>0.99997031242776413</v>
      </c>
      <c r="T154">
        <f t="shared" si="120"/>
        <v>-7.7055459415754212E-3</v>
      </c>
      <c r="U154">
        <f t="shared" si="121"/>
        <v>0.99255571169856827</v>
      </c>
      <c r="V154">
        <f t="shared" si="122"/>
        <v>-0.12209457742858078</v>
      </c>
      <c r="X154">
        <f t="shared" si="139"/>
        <v>0.32617892179667979</v>
      </c>
      <c r="Y154">
        <f t="shared" si="123"/>
        <v>-111.77952843738977</v>
      </c>
      <c r="Z154">
        <f t="shared" si="140"/>
        <v>68.220471562610228</v>
      </c>
      <c r="AC154">
        <v>1</v>
      </c>
      <c r="AD154">
        <f t="shared" si="124"/>
        <v>7.160192304174001</v>
      </c>
      <c r="AE154">
        <f t="shared" si="125"/>
        <v>-1.8355436532549755E-4</v>
      </c>
      <c r="AF154">
        <f t="shared" si="126"/>
        <v>1.4959007562240002E-3</v>
      </c>
      <c r="AG154">
        <f t="shared" si="141"/>
        <v>4634.7320810950441</v>
      </c>
      <c r="AH154">
        <f t="shared" si="142"/>
        <v>-1237.1979209842652</v>
      </c>
      <c r="AJ154">
        <f t="shared" si="127"/>
        <v>22100</v>
      </c>
      <c r="AK154">
        <f t="shared" si="128"/>
        <v>170.29593578743203</v>
      </c>
      <c r="AL154">
        <v>1</v>
      </c>
      <c r="AM154">
        <f t="shared" si="129"/>
        <v>4.6733477748199199</v>
      </c>
      <c r="AN154">
        <f t="shared" si="143"/>
        <v>1002.4374899655676</v>
      </c>
      <c r="AO154">
        <f t="shared" si="144"/>
        <v>-4514.4430773392196</v>
      </c>
      <c r="AQ154">
        <f t="shared" si="130"/>
        <v>0.69439622248454969</v>
      </c>
      <c r="AR154">
        <f t="shared" si="131"/>
        <v>-83.327546698145966</v>
      </c>
      <c r="AT154">
        <f t="shared" si="156"/>
        <v>-99874.327086325109</v>
      </c>
      <c r="AU154">
        <f t="shared" si="157"/>
        <v>-387059.95948363974</v>
      </c>
      <c r="AV154">
        <f t="shared" si="145"/>
        <v>-1.8233212588867653</v>
      </c>
      <c r="AW154">
        <f t="shared" si="146"/>
        <v>-371076.68224057095</v>
      </c>
      <c r="AX154">
        <f t="shared" si="147"/>
        <v>-121500.36718680002</v>
      </c>
      <c r="AY154">
        <f t="shared" si="155"/>
        <v>-2.8251675681728319</v>
      </c>
      <c r="BA154">
        <f t="shared" si="132"/>
        <v>1.0237570202110704</v>
      </c>
      <c r="BB154">
        <f t="shared" si="148"/>
        <v>0.20393785734217162</v>
      </c>
      <c r="BC154">
        <f t="shared" si="149"/>
        <v>1.0018463092860665</v>
      </c>
      <c r="BD154">
        <f t="shared" si="133"/>
        <v>-122.59843469155939</v>
      </c>
      <c r="BF154">
        <f t="shared" si="134"/>
        <v>0.21179456015171486</v>
      </c>
      <c r="BG154">
        <f t="shared" si="135"/>
        <v>-116.91242720679318</v>
      </c>
      <c r="BH154">
        <f t="shared" si="150"/>
        <v>63.087572793206817</v>
      </c>
      <c r="BI154">
        <f t="shared" si="151"/>
        <v>63.087572793206817</v>
      </c>
      <c r="BJ154">
        <f t="shared" si="136"/>
        <v>0</v>
      </c>
      <c r="BK154">
        <f t="shared" si="152"/>
        <v>0</v>
      </c>
      <c r="BM154">
        <f t="shared" si="153"/>
        <v>7.8567028095430941E-3</v>
      </c>
      <c r="BN154">
        <f t="shared" si="137"/>
        <v>-174.31399251523379</v>
      </c>
      <c r="BQ154" s="56">
        <f t="shared" si="154"/>
        <v>17.105898657627311</v>
      </c>
      <c r="BR154" s="59"/>
      <c r="BS154" s="59"/>
      <c r="BT154" s="59">
        <v>2754.2289999999998</v>
      </c>
      <c r="BU154" s="59">
        <v>6.7009400000000001</v>
      </c>
      <c r="BV154" s="59">
        <v>-251.05099999999999</v>
      </c>
      <c r="BW154" s="61"/>
      <c r="BY154" s="59"/>
      <c r="BZ154" s="59"/>
      <c r="CA154" s="59"/>
      <c r="CC154" s="59"/>
    </row>
    <row r="155" spans="1:81" x14ac:dyDescent="0.2">
      <c r="A155">
        <f t="shared" si="106"/>
        <v>60500</v>
      </c>
      <c r="B155">
        <f t="shared" si="138"/>
        <v>60.5</v>
      </c>
      <c r="C155">
        <f t="shared" si="107"/>
        <v>1.0000288997579432</v>
      </c>
      <c r="D155">
        <f t="shared" si="108"/>
        <v>7.6025077393854805E-3</v>
      </c>
      <c r="F155">
        <f t="shared" si="109"/>
        <v>6.5559309757782777E-2</v>
      </c>
      <c r="G155">
        <f t="shared" si="110"/>
        <v>9.0846188222410237E-2</v>
      </c>
      <c r="H155">
        <f t="shared" si="111"/>
        <v>-3.0507464617775901</v>
      </c>
      <c r="J155">
        <f t="shared" si="112"/>
        <v>15</v>
      </c>
      <c r="M155">
        <f t="shared" si="113"/>
        <v>2.9998588474777082E-2</v>
      </c>
      <c r="N155">
        <f t="shared" si="114"/>
        <v>-1.5707963250000001</v>
      </c>
      <c r="O155">
        <f t="shared" si="115"/>
        <v>7.2887849947011958</v>
      </c>
      <c r="P155">
        <f t="shared" si="116"/>
        <v>1.4331651511810239</v>
      </c>
      <c r="Q155">
        <f t="shared" si="117"/>
        <v>4.8172294001788938</v>
      </c>
      <c r="R155">
        <f t="shared" si="118"/>
        <v>1.3616875185252779</v>
      </c>
      <c r="S155">
        <f t="shared" si="119"/>
        <v>0.99996981559575226</v>
      </c>
      <c r="T155">
        <f t="shared" si="120"/>
        <v>-7.7697562508147822E-3</v>
      </c>
      <c r="U155">
        <f t="shared" si="121"/>
        <v>0.99243253395221043</v>
      </c>
      <c r="V155">
        <f t="shared" si="122"/>
        <v>-0.12310182597392147</v>
      </c>
      <c r="X155">
        <f t="shared" si="139"/>
        <v>0.23958708430705727</v>
      </c>
      <c r="Y155">
        <f t="shared" si="123"/>
        <v>-111.72443202660121</v>
      </c>
      <c r="Z155">
        <f t="shared" si="140"/>
        <v>68.275567973398793</v>
      </c>
      <c r="AC155">
        <v>1</v>
      </c>
      <c r="AD155">
        <f t="shared" si="124"/>
        <v>7.2198605733754508</v>
      </c>
      <c r="AE155">
        <f t="shared" si="125"/>
        <v>-1.8662635157851458E-4</v>
      </c>
      <c r="AF155">
        <f t="shared" si="126"/>
        <v>1.5083665958592002E-3</v>
      </c>
      <c r="AG155">
        <f t="shared" si="141"/>
        <v>4633.5817971936958</v>
      </c>
      <c r="AH155">
        <f t="shared" si="142"/>
        <v>-1236.2700623774235</v>
      </c>
      <c r="AJ155">
        <f t="shared" si="127"/>
        <v>22100</v>
      </c>
      <c r="AK155">
        <f t="shared" si="128"/>
        <v>171.71506858566062</v>
      </c>
      <c r="AL155">
        <v>1</v>
      </c>
      <c r="AM155">
        <f t="shared" si="129"/>
        <v>4.7122923396100864</v>
      </c>
      <c r="AN155">
        <f t="shared" si="143"/>
        <v>987.221781578069</v>
      </c>
      <c r="AO155">
        <f t="shared" si="144"/>
        <v>-4480.3625702408954</v>
      </c>
      <c r="AQ155">
        <f t="shared" si="130"/>
        <v>0.68296680781314023</v>
      </c>
      <c r="AR155">
        <f t="shared" si="131"/>
        <v>-82.638983745389979</v>
      </c>
      <c r="AT155">
        <f t="shared" si="156"/>
        <v>-98999.519020949709</v>
      </c>
      <c r="AU155">
        <f t="shared" si="157"/>
        <v>-383758.82223932154</v>
      </c>
      <c r="AV155">
        <f t="shared" si="145"/>
        <v>-1.8232650537230393</v>
      </c>
      <c r="AW155">
        <f t="shared" si="146"/>
        <v>-365223.28541768412</v>
      </c>
      <c r="AX155">
        <f t="shared" si="147"/>
        <v>-119202.89651190717</v>
      </c>
      <c r="AY155">
        <f t="shared" si="155"/>
        <v>-2.826109830651129</v>
      </c>
      <c r="BA155">
        <f t="shared" si="132"/>
        <v>1.0315961266860485</v>
      </c>
      <c r="BB155">
        <f t="shared" si="148"/>
        <v>0.27019405663800949</v>
      </c>
      <c r="BC155">
        <f t="shared" si="149"/>
        <v>1.0028447769280897</v>
      </c>
      <c r="BD155">
        <f t="shared" si="133"/>
        <v>-122.54122670962573</v>
      </c>
      <c r="BF155">
        <f t="shared" si="134"/>
        <v>0.12495770315841433</v>
      </c>
      <c r="BG155">
        <f t="shared" si="135"/>
        <v>-116.90053192600278</v>
      </c>
      <c r="BH155">
        <f t="shared" si="150"/>
        <v>63.099468073997215</v>
      </c>
      <c r="BI155">
        <f t="shared" si="151"/>
        <v>63.099468073997215</v>
      </c>
      <c r="BJ155">
        <f t="shared" si="136"/>
        <v>0</v>
      </c>
      <c r="BK155">
        <f t="shared" si="152"/>
        <v>0</v>
      </c>
      <c r="BM155">
        <f t="shared" si="153"/>
        <v>-0.14523635347959576</v>
      </c>
      <c r="BN155">
        <f t="shared" si="137"/>
        <v>-174.35930521637707</v>
      </c>
      <c r="BQ155" s="56">
        <f t="shared" si="154"/>
        <v>17.172154856923147</v>
      </c>
      <c r="BR155" s="59"/>
      <c r="BS155" s="59"/>
      <c r="BT155" s="59">
        <v>2818.3829999999998</v>
      </c>
      <c r="BU155" s="59">
        <v>6.5356199999999998</v>
      </c>
      <c r="BV155" s="59">
        <v>-250.48</v>
      </c>
      <c r="BW155" s="61"/>
      <c r="BY155" s="59"/>
      <c r="BZ155" s="59"/>
      <c r="CA155" s="59"/>
      <c r="CC155" s="59"/>
    </row>
    <row r="156" spans="1:81" x14ac:dyDescent="0.2">
      <c r="A156">
        <f t="shared" si="106"/>
        <v>61000</v>
      </c>
      <c r="B156">
        <f t="shared" si="138"/>
        <v>61</v>
      </c>
      <c r="C156">
        <f t="shared" si="107"/>
        <v>1.0000293794067392</v>
      </c>
      <c r="D156">
        <f t="shared" si="108"/>
        <v>7.6653359307989584E-3</v>
      </c>
      <c r="F156">
        <f t="shared" si="109"/>
        <v>6.4424366210778905E-2</v>
      </c>
      <c r="G156">
        <f t="shared" si="110"/>
        <v>9.0009010437612877E-2</v>
      </c>
      <c r="H156">
        <f t="shared" si="111"/>
        <v>-3.0515836395623874</v>
      </c>
      <c r="J156">
        <f t="shared" si="112"/>
        <v>15</v>
      </c>
      <c r="M156">
        <f t="shared" si="113"/>
        <v>2.9752698405311695E-2</v>
      </c>
      <c r="N156">
        <f t="shared" si="114"/>
        <v>-1.5707963250000001</v>
      </c>
      <c r="O156">
        <f t="shared" si="115"/>
        <v>7.3478935872744513</v>
      </c>
      <c r="P156">
        <f t="shared" si="116"/>
        <v>1.4342792546654917</v>
      </c>
      <c r="Q156">
        <f t="shared" si="117"/>
        <v>4.8553323389583634</v>
      </c>
      <c r="R156">
        <f t="shared" si="118"/>
        <v>1.3633525818898626</v>
      </c>
      <c r="S156">
        <f t="shared" si="119"/>
        <v>0.99996931464140304</v>
      </c>
      <c r="T156">
        <f t="shared" si="120"/>
        <v>-7.833966495984071E-3</v>
      </c>
      <c r="U156">
        <f t="shared" si="121"/>
        <v>0.99230838040440039</v>
      </c>
      <c r="V156">
        <f t="shared" si="122"/>
        <v>-0.12410882352663016</v>
      </c>
      <c r="X156">
        <f t="shared" si="139"/>
        <v>0.15391371051815195</v>
      </c>
      <c r="Y156">
        <f t="shared" si="123"/>
        <v>-111.67094014489523</v>
      </c>
      <c r="Z156">
        <f t="shared" si="140"/>
        <v>68.329059855104774</v>
      </c>
      <c r="AC156">
        <v>1</v>
      </c>
      <c r="AD156">
        <f t="shared" si="124"/>
        <v>7.2795288425768998</v>
      </c>
      <c r="AE156">
        <f t="shared" si="125"/>
        <v>-1.8972383149338235E-4</v>
      </c>
      <c r="AF156">
        <f t="shared" si="126"/>
        <v>1.5208324354944003E-3</v>
      </c>
      <c r="AG156">
        <f t="shared" si="141"/>
        <v>4632.422545323263</v>
      </c>
      <c r="AH156">
        <f t="shared" si="142"/>
        <v>-1235.4293021007666</v>
      </c>
      <c r="AJ156">
        <f t="shared" si="127"/>
        <v>22100</v>
      </c>
      <c r="AK156">
        <f t="shared" si="128"/>
        <v>173.13420138388921</v>
      </c>
      <c r="AL156">
        <v>1</v>
      </c>
      <c r="AM156">
        <f t="shared" si="129"/>
        <v>4.751236904400252</v>
      </c>
      <c r="AN156">
        <f t="shared" si="143"/>
        <v>972.35753179609526</v>
      </c>
      <c r="AO156">
        <f t="shared" si="144"/>
        <v>-4446.7667879572609</v>
      </c>
      <c r="AQ156">
        <f t="shared" si="130"/>
        <v>0.67181726570372857</v>
      </c>
      <c r="AR156">
        <f t="shared" si="131"/>
        <v>-81.961706415854891</v>
      </c>
      <c r="AT156">
        <f t="shared" si="156"/>
        <v>-98145.752308344148</v>
      </c>
      <c r="AU156">
        <f t="shared" si="157"/>
        <v>-380511.23938968015</v>
      </c>
      <c r="AV156">
        <f t="shared" si="145"/>
        <v>-1.8232256847010191</v>
      </c>
      <c r="AW156">
        <f t="shared" si="146"/>
        <v>-359504.73727702181</v>
      </c>
      <c r="AX156">
        <f t="shared" si="147"/>
        <v>-116972.79151756159</v>
      </c>
      <c r="AY156">
        <f t="shared" si="155"/>
        <v>-2.8270242894307231</v>
      </c>
      <c r="BA156">
        <f t="shared" si="132"/>
        <v>1.0394358010019462</v>
      </c>
      <c r="BB156">
        <f t="shared" si="148"/>
        <v>0.33595342060131217</v>
      </c>
      <c r="BC156">
        <f t="shared" si="149"/>
        <v>1.0037986047297041</v>
      </c>
      <c r="BD156">
        <f t="shared" si="133"/>
        <v>-122.48657640214853</v>
      </c>
      <c r="BF156">
        <f t="shared" si="134"/>
        <v>3.903687973338308E-2</v>
      </c>
      <c r="BG156">
        <f t="shared" si="135"/>
        <v>-116.89024858214485</v>
      </c>
      <c r="BH156">
        <f t="shared" si="150"/>
        <v>63.109751417855151</v>
      </c>
      <c r="BI156">
        <f t="shared" si="151"/>
        <v>63.109751417855151</v>
      </c>
      <c r="BJ156">
        <f t="shared" si="136"/>
        <v>61000</v>
      </c>
      <c r="BK156">
        <f t="shared" si="152"/>
        <v>63.109751417855151</v>
      </c>
      <c r="BM156">
        <f t="shared" si="153"/>
        <v>-0.29691654086792818</v>
      </c>
      <c r="BN156">
        <f t="shared" si="137"/>
        <v>-174.40367217999631</v>
      </c>
      <c r="BQ156" s="56">
        <f t="shared" si="154"/>
        <v>17.237914220886449</v>
      </c>
      <c r="BR156" s="59"/>
      <c r="BS156" s="59"/>
      <c r="BT156" s="59">
        <v>2884.0320000000002</v>
      </c>
      <c r="BU156" s="59">
        <v>6.3265200000000004</v>
      </c>
      <c r="BV156" s="59">
        <v>-250.202</v>
      </c>
      <c r="BW156" s="61"/>
      <c r="BY156" s="59"/>
      <c r="BZ156" s="59"/>
      <c r="CA156" s="59"/>
      <c r="CC156" s="59"/>
    </row>
    <row r="157" spans="1:81" x14ac:dyDescent="0.2">
      <c r="A157">
        <f t="shared" si="106"/>
        <v>61500</v>
      </c>
      <c r="B157">
        <f t="shared" si="138"/>
        <v>61.5</v>
      </c>
      <c r="C157">
        <f t="shared" si="107"/>
        <v>1.0000298630030291</v>
      </c>
      <c r="D157">
        <f t="shared" si="108"/>
        <v>7.7281640616952965E-3</v>
      </c>
      <c r="F157">
        <f t="shared" si="109"/>
        <v>6.3319172160583068E-2</v>
      </c>
      <c r="G157">
        <f t="shared" si="110"/>
        <v>8.918784790021779E-2</v>
      </c>
      <c r="H157">
        <f t="shared" si="111"/>
        <v>-3.0524048020997823</v>
      </c>
      <c r="J157">
        <f t="shared" si="112"/>
        <v>15</v>
      </c>
      <c r="M157">
        <f t="shared" si="113"/>
        <v>2.9510806548357943E-2</v>
      </c>
      <c r="N157">
        <f t="shared" si="114"/>
        <v>-1.5707963250000001</v>
      </c>
      <c r="O157">
        <f t="shared" si="115"/>
        <v>7.4070111546787674</v>
      </c>
      <c r="P157">
        <f t="shared" si="116"/>
        <v>1.4353755755076447</v>
      </c>
      <c r="Q157">
        <f t="shared" si="117"/>
        <v>4.8934485291842273</v>
      </c>
      <c r="R157">
        <f t="shared" si="118"/>
        <v>1.3649917106209903</v>
      </c>
      <c r="S157">
        <f t="shared" si="119"/>
        <v>0.99996880956473477</v>
      </c>
      <c r="T157">
        <f t="shared" si="120"/>
        <v>-7.8981766765539099E-3</v>
      </c>
      <c r="U157">
        <f t="shared" si="121"/>
        <v>0.99218325217655023</v>
      </c>
      <c r="V157">
        <f t="shared" si="122"/>
        <v>-0.12511556813899857</v>
      </c>
      <c r="X157">
        <f t="shared" si="139"/>
        <v>6.9138097381446051E-2</v>
      </c>
      <c r="Y157">
        <f t="shared" si="123"/>
        <v>-111.61902097985262</v>
      </c>
      <c r="Z157">
        <f t="shared" si="140"/>
        <v>68.380979020147379</v>
      </c>
      <c r="AC157">
        <v>1</v>
      </c>
      <c r="AD157">
        <f t="shared" si="124"/>
        <v>7.3391971117783497</v>
      </c>
      <c r="AE157">
        <f t="shared" si="125"/>
        <v>-1.9284680507010091E-4</v>
      </c>
      <c r="AF157">
        <f t="shared" si="126"/>
        <v>1.5332982751296001E-3</v>
      </c>
      <c r="AG157">
        <f t="shared" si="141"/>
        <v>4631.2543393723599</v>
      </c>
      <c r="AH157">
        <f t="shared" si="142"/>
        <v>-1234.6734053783416</v>
      </c>
      <c r="AJ157">
        <f t="shared" si="127"/>
        <v>22100</v>
      </c>
      <c r="AK157">
        <f t="shared" si="128"/>
        <v>174.55333418211782</v>
      </c>
      <c r="AL157">
        <v>1</v>
      </c>
      <c r="AM157">
        <f t="shared" si="129"/>
        <v>4.7901814691904177</v>
      </c>
      <c r="AN157">
        <f t="shared" si="143"/>
        <v>957.83416142797284</v>
      </c>
      <c r="AO157">
        <f t="shared" si="144"/>
        <v>-4413.6461164477005</v>
      </c>
      <c r="AQ157">
        <f t="shared" si="130"/>
        <v>0.66093853271645742</v>
      </c>
      <c r="AR157">
        <f t="shared" si="131"/>
        <v>-81.295439524124262</v>
      </c>
      <c r="AT157">
        <f t="shared" si="156"/>
        <v>-97312.342711278034</v>
      </c>
      <c r="AU157">
        <f t="shared" si="157"/>
        <v>-377315.90029621858</v>
      </c>
      <c r="AV157">
        <f t="shared" si="145"/>
        <v>-1.8232027440412031</v>
      </c>
      <c r="AW157">
        <f t="shared" si="146"/>
        <v>-353916.99352557369</v>
      </c>
      <c r="AX157">
        <f t="shared" si="147"/>
        <v>-114807.52300916467</v>
      </c>
      <c r="AY157">
        <f t="shared" si="155"/>
        <v>-2.8279115818298917</v>
      </c>
      <c r="BA157">
        <f t="shared" si="132"/>
        <v>1.0472759067788302</v>
      </c>
      <c r="BB157">
        <f t="shared" si="148"/>
        <v>0.40122224878501561</v>
      </c>
      <c r="BC157">
        <f t="shared" si="149"/>
        <v>1.0047088377886886</v>
      </c>
      <c r="BD157">
        <f t="shared" si="133"/>
        <v>-122.43442388943585</v>
      </c>
      <c r="BF157">
        <f t="shared" si="134"/>
        <v>-4.5988622623705296E-2</v>
      </c>
      <c r="BG157">
        <f t="shared" si="135"/>
        <v>-116.88154543043373</v>
      </c>
      <c r="BH157">
        <f t="shared" si="150"/>
        <v>63.118454569566268</v>
      </c>
      <c r="BI157">
        <f t="shared" si="151"/>
        <v>63.118454569566268</v>
      </c>
      <c r="BJ157">
        <f t="shared" si="136"/>
        <v>0</v>
      </c>
      <c r="BK157">
        <f t="shared" si="152"/>
        <v>0</v>
      </c>
      <c r="BM157">
        <f t="shared" si="153"/>
        <v>-0.44721087140872084</v>
      </c>
      <c r="BN157">
        <f t="shared" si="137"/>
        <v>-174.4471215409979</v>
      </c>
      <c r="BQ157" s="56">
        <f t="shared" si="154"/>
        <v>17.303183049070153</v>
      </c>
      <c r="BR157" s="59"/>
      <c r="BS157" s="59"/>
      <c r="BT157" s="59">
        <v>2951.2089999999998</v>
      </c>
      <c r="BU157" s="59">
        <v>6.1830800000000004</v>
      </c>
      <c r="BV157" s="59">
        <v>-249.92599999999999</v>
      </c>
      <c r="BW157" s="61"/>
      <c r="BY157" s="59"/>
      <c r="BZ157" s="59"/>
      <c r="CA157" s="59"/>
      <c r="CC157" s="59"/>
    </row>
    <row r="158" spans="1:81" x14ac:dyDescent="0.2">
      <c r="A158">
        <f t="shared" si="106"/>
        <v>62000</v>
      </c>
      <c r="B158">
        <f t="shared" si="138"/>
        <v>62</v>
      </c>
      <c r="C158">
        <f t="shared" si="107"/>
        <v>1.0000303505468071</v>
      </c>
      <c r="D158">
        <f t="shared" si="108"/>
        <v>7.7909921315785727E-3</v>
      </c>
      <c r="F158">
        <f t="shared" si="109"/>
        <v>6.2242679702931347E-2</v>
      </c>
      <c r="G158">
        <f t="shared" si="110"/>
        <v>8.8382229322710268E-2</v>
      </c>
      <c r="H158">
        <f t="shared" si="111"/>
        <v>-3.0532104206772899</v>
      </c>
      <c r="J158">
        <f t="shared" si="112"/>
        <v>15</v>
      </c>
      <c r="M158">
        <f t="shared" si="113"/>
        <v>2.9272816172967956E-2</v>
      </c>
      <c r="N158">
        <f t="shared" si="114"/>
        <v>-1.5707963250000001</v>
      </c>
      <c r="O158">
        <f t="shared" si="115"/>
        <v>7.4661374837235215</v>
      </c>
      <c r="P158">
        <f t="shared" si="116"/>
        <v>1.4364545335167229</v>
      </c>
      <c r="Q158">
        <f t="shared" si="117"/>
        <v>4.9315776635949922</v>
      </c>
      <c r="R158">
        <f t="shared" si="118"/>
        <v>1.3666054973581163</v>
      </c>
      <c r="S158">
        <f t="shared" si="119"/>
        <v>0.99996830036576656</v>
      </c>
      <c r="T158">
        <f t="shared" si="120"/>
        <v>-7.9623867919949298E-3</v>
      </c>
      <c r="U158">
        <f t="shared" si="121"/>
        <v>0.99205715039811404</v>
      </c>
      <c r="V158">
        <f t="shared" si="122"/>
        <v>-0.12612205786634764</v>
      </c>
      <c r="X158">
        <f t="shared" si="139"/>
        <v>-1.4759769415672837E-2</v>
      </c>
      <c r="Y158">
        <f t="shared" si="123"/>
        <v>-111.56864341379799</v>
      </c>
      <c r="Z158">
        <f t="shared" si="140"/>
        <v>68.431356586202014</v>
      </c>
      <c r="AC158">
        <v>1</v>
      </c>
      <c r="AD158">
        <f t="shared" si="124"/>
        <v>7.3988653809797995</v>
      </c>
      <c r="AE158">
        <f t="shared" si="125"/>
        <v>-1.9599527230867024E-4</v>
      </c>
      <c r="AF158">
        <f t="shared" si="126"/>
        <v>1.5457641147648001E-3</v>
      </c>
      <c r="AG158">
        <f t="shared" si="141"/>
        <v>4630.0771933262176</v>
      </c>
      <c r="AH158">
        <f t="shared" si="142"/>
        <v>-1234.0002087617181</v>
      </c>
      <c r="AJ158">
        <f t="shared" si="127"/>
        <v>22100</v>
      </c>
      <c r="AK158">
        <f t="shared" si="128"/>
        <v>175.97246698034641</v>
      </c>
      <c r="AL158">
        <v>1</v>
      </c>
      <c r="AM158">
        <f t="shared" si="129"/>
        <v>4.8291260339805842</v>
      </c>
      <c r="AN158">
        <f t="shared" si="143"/>
        <v>943.64148009448559</v>
      </c>
      <c r="AO158">
        <f t="shared" si="144"/>
        <v>-4380.9911712879057</v>
      </c>
      <c r="AQ158">
        <f t="shared" si="130"/>
        <v>0.65032190934512579</v>
      </c>
      <c r="AR158">
        <f t="shared" si="131"/>
        <v>-80.639916758795607</v>
      </c>
      <c r="AT158">
        <f t="shared" si="156"/>
        <v>-96498.633474102113</v>
      </c>
      <c r="AU158">
        <f t="shared" si="157"/>
        <v>-374171.53682851838</v>
      </c>
      <c r="AV158">
        <f t="shared" si="145"/>
        <v>-1.8231958366326511</v>
      </c>
      <c r="AW158">
        <f t="shared" si="146"/>
        <v>-348456.15779943659</v>
      </c>
      <c r="AX158">
        <f t="shared" si="147"/>
        <v>-112704.67567692716</v>
      </c>
      <c r="AY158">
        <f t="shared" si="155"/>
        <v>-2.8287723259674795</v>
      </c>
      <c r="BA158">
        <f t="shared" si="132"/>
        <v>1.0551163110148909</v>
      </c>
      <c r="BB158">
        <f t="shared" si="148"/>
        <v>0.46600673670607556</v>
      </c>
      <c r="BC158">
        <f t="shared" si="149"/>
        <v>1.0055764893348285</v>
      </c>
      <c r="BD158">
        <f t="shared" si="133"/>
        <v>-122.38471111769724</v>
      </c>
      <c r="BF158">
        <f t="shared" si="134"/>
        <v>-0.13013882773957799</v>
      </c>
      <c r="BG158">
        <f t="shared" si="135"/>
        <v>-116.87439141989297</v>
      </c>
      <c r="BH158">
        <f t="shared" si="150"/>
        <v>63.125608580107027</v>
      </c>
      <c r="BI158">
        <f t="shared" si="151"/>
        <v>63.125608580107027</v>
      </c>
      <c r="BJ158">
        <f t="shared" si="136"/>
        <v>0</v>
      </c>
      <c r="BK158">
        <f t="shared" si="152"/>
        <v>0</v>
      </c>
      <c r="BM158">
        <f t="shared" si="153"/>
        <v>-0.59614556444565459</v>
      </c>
      <c r="BN158">
        <f t="shared" si="137"/>
        <v>-174.48968030219575</v>
      </c>
      <c r="BQ158" s="56">
        <f t="shared" si="154"/>
        <v>17.367967536991213</v>
      </c>
      <c r="BR158" s="59"/>
      <c r="BS158" s="59"/>
      <c r="BT158" s="59">
        <v>3019.9520000000002</v>
      </c>
      <c r="BU158" s="59">
        <v>6.0130600000000003</v>
      </c>
      <c r="BV158" s="59">
        <v>-249.65100000000001</v>
      </c>
      <c r="BW158" s="61"/>
      <c r="BY158" s="59"/>
      <c r="BZ158" s="59"/>
      <c r="CA158" s="59"/>
      <c r="CC158" s="59"/>
    </row>
    <row r="159" spans="1:81" x14ac:dyDescent="0.2">
      <c r="A159">
        <f t="shared" si="106"/>
        <v>62500</v>
      </c>
      <c r="B159">
        <f t="shared" si="138"/>
        <v>62.5</v>
      </c>
      <c r="C159">
        <f t="shared" si="107"/>
        <v>1.0000308420380672</v>
      </c>
      <c r="D159">
        <f t="shared" si="108"/>
        <v>7.853820139952861E-3</v>
      </c>
      <c r="F159">
        <f t="shared" si="109"/>
        <v>6.1193887354876034E-2</v>
      </c>
      <c r="G159">
        <f t="shared" si="110"/>
        <v>8.7591702176713346E-2</v>
      </c>
      <c r="H159">
        <f t="shared" si="111"/>
        <v>-3.0540009478232868</v>
      </c>
      <c r="J159">
        <f t="shared" si="112"/>
        <v>15</v>
      </c>
      <c r="M159">
        <f t="shared" si="113"/>
        <v>2.9038633643584215E-2</v>
      </c>
      <c r="N159">
        <f t="shared" si="114"/>
        <v>-1.5707963250000001</v>
      </c>
      <c r="O159">
        <f t="shared" si="115"/>
        <v>7.5252723678871636</v>
      </c>
      <c r="P159">
        <f t="shared" si="116"/>
        <v>1.4375165354708876</v>
      </c>
      <c r="Q159">
        <f t="shared" si="117"/>
        <v>4.9697194442560049</v>
      </c>
      <c r="R159">
        <f t="shared" si="118"/>
        <v>1.3681945170843568</v>
      </c>
      <c r="S159">
        <f t="shared" si="119"/>
        <v>0.99996778704451694</v>
      </c>
      <c r="T159">
        <f t="shared" si="120"/>
        <v>-8.0265968417777608E-3</v>
      </c>
      <c r="U159">
        <f t="shared" si="121"/>
        <v>0.99193007620656026</v>
      </c>
      <c r="V159">
        <f t="shared" si="122"/>
        <v>-0.1271282907670486</v>
      </c>
      <c r="X159">
        <f t="shared" si="139"/>
        <v>-9.779924531762027E-2</v>
      </c>
      <c r="Y159">
        <f t="shared" si="123"/>
        <v>-111.5197770126706</v>
      </c>
      <c r="Z159">
        <f t="shared" si="140"/>
        <v>68.480222987329398</v>
      </c>
      <c r="AC159">
        <v>1</v>
      </c>
      <c r="AD159">
        <f t="shared" si="124"/>
        <v>7.4585336501812503</v>
      </c>
      <c r="AE159">
        <f t="shared" si="125"/>
        <v>-1.9916923320909029E-4</v>
      </c>
      <c r="AF159">
        <f t="shared" si="126"/>
        <v>1.5582299544000002E-3</v>
      </c>
      <c r="AG159">
        <f t="shared" si="141"/>
        <v>4628.8911212662806</v>
      </c>
      <c r="AH159">
        <f t="shared" si="142"/>
        <v>-1233.4076172800924</v>
      </c>
      <c r="AJ159">
        <f t="shared" si="127"/>
        <v>22100</v>
      </c>
      <c r="AK159">
        <f t="shared" si="128"/>
        <v>177.39159977857503</v>
      </c>
      <c r="AL159">
        <v>1</v>
      </c>
      <c r="AM159">
        <f t="shared" si="129"/>
        <v>4.8680705987707507</v>
      </c>
      <c r="AN159">
        <f t="shared" si="143"/>
        <v>929.76966949575979</v>
      </c>
      <c r="AO159">
        <f t="shared" si="144"/>
        <v>-4348.7927919225303</v>
      </c>
      <c r="AQ159">
        <f t="shared" si="130"/>
        <v>0.63995904262127223</v>
      </c>
      <c r="AR159">
        <f t="shared" si="131"/>
        <v>-79.994880327659033</v>
      </c>
      <c r="AT159">
        <f t="shared" si="156"/>
        <v>-95703.994009180387</v>
      </c>
      <c r="AU159">
        <f t="shared" si="157"/>
        <v>-371076.9216533759</v>
      </c>
      <c r="AV159">
        <f t="shared" si="145"/>
        <v>-1.8232045795460676</v>
      </c>
      <c r="AW159">
        <f t="shared" si="146"/>
        <v>-343118.475337326</v>
      </c>
      <c r="AX159">
        <f t="shared" si="147"/>
        <v>-110661.94216192089</v>
      </c>
      <c r="AY159">
        <f t="shared" si="155"/>
        <v>-2.8296071214694805</v>
      </c>
      <c r="BA159">
        <f t="shared" si="132"/>
        <v>1.0629568839535233</v>
      </c>
      <c r="BB159">
        <f t="shared" si="148"/>
        <v>0.53031297737416505</v>
      </c>
      <c r="BC159">
        <f t="shared" si="149"/>
        <v>1.0064025419234128</v>
      </c>
      <c r="BD159">
        <f t="shared" si="133"/>
        <v>-122.3373817906614</v>
      </c>
      <c r="BF159">
        <f t="shared" si="134"/>
        <v>-0.21343310063464743</v>
      </c>
      <c r="BG159">
        <f t="shared" si="135"/>
        <v>-116.8687561822459</v>
      </c>
      <c r="BH159">
        <f t="shared" si="150"/>
        <v>63.131243817754097</v>
      </c>
      <c r="BI159">
        <f t="shared" si="151"/>
        <v>63.131243817754097</v>
      </c>
      <c r="BJ159">
        <f t="shared" si="136"/>
        <v>0</v>
      </c>
      <c r="BK159">
        <f t="shared" si="152"/>
        <v>0</v>
      </c>
      <c r="BM159">
        <f t="shared" si="153"/>
        <v>-0.74374607800881209</v>
      </c>
      <c r="BN159">
        <f t="shared" si="137"/>
        <v>-174.53137439158451</v>
      </c>
      <c r="BQ159" s="56">
        <f t="shared" si="154"/>
        <v>17.432273777659301</v>
      </c>
      <c r="BR159" s="59"/>
      <c r="BS159" s="59"/>
      <c r="BT159" s="59">
        <v>3090.2950000000001</v>
      </c>
      <c r="BU159" s="59">
        <v>5.8544900000000002</v>
      </c>
      <c r="BV159" s="59">
        <v>-248.41800000000001</v>
      </c>
      <c r="BW159" s="61"/>
      <c r="BY159" s="59"/>
      <c r="BZ159" s="59"/>
      <c r="CA159" s="59"/>
      <c r="CC159" s="59"/>
    </row>
    <row r="160" spans="1:81" x14ac:dyDescent="0.2">
      <c r="A160">
        <f t="shared" si="106"/>
        <v>63000</v>
      </c>
      <c r="B160">
        <f t="shared" si="138"/>
        <v>63</v>
      </c>
      <c r="C160">
        <f t="shared" si="107"/>
        <v>1.0000313374768039</v>
      </c>
      <c r="D160">
        <f t="shared" si="108"/>
        <v>7.9166480863222498E-3</v>
      </c>
      <c r="F160">
        <f t="shared" si="109"/>
        <v>6.017183757644514E-2</v>
      </c>
      <c r="G160">
        <f t="shared" si="110"/>
        <v>8.681583175406013E-2</v>
      </c>
      <c r="H160">
        <f t="shared" si="111"/>
        <v>-3.0547768182459403</v>
      </c>
      <c r="J160">
        <f t="shared" si="112"/>
        <v>15</v>
      </c>
      <c r="M160">
        <f t="shared" si="113"/>
        <v>2.880816829720656E-2</v>
      </c>
      <c r="N160">
        <f t="shared" si="114"/>
        <v>-1.5707963250000001</v>
      </c>
      <c r="O160">
        <f t="shared" si="115"/>
        <v>7.5844156070596327</v>
      </c>
      <c r="P160">
        <f t="shared" si="116"/>
        <v>1.4385619756158439</v>
      </c>
      <c r="Q160">
        <f t="shared" si="117"/>
        <v>5.0078735822119915</v>
      </c>
      <c r="R160">
        <f t="shared" si="118"/>
        <v>1.3697593277690863</v>
      </c>
      <c r="S160">
        <f t="shared" si="119"/>
        <v>0.99996726960100524</v>
      </c>
      <c r="T160">
        <f t="shared" si="120"/>
        <v>-8.0908068253730363E-3</v>
      </c>
      <c r="U160">
        <f t="shared" si="121"/>
        <v>0.99180203074734319</v>
      </c>
      <c r="V160">
        <f t="shared" si="122"/>
        <v>-0.12813426490254359</v>
      </c>
      <c r="X160">
        <f t="shared" si="139"/>
        <v>-0.17999905519021608</v>
      </c>
      <c r="Y160">
        <f t="shared" si="123"/>
        <v>-111.47239201443536</v>
      </c>
      <c r="Z160">
        <f t="shared" si="140"/>
        <v>68.527607985564643</v>
      </c>
      <c r="AC160">
        <v>1</v>
      </c>
      <c r="AD160">
        <f t="shared" si="124"/>
        <v>7.5182019193827001</v>
      </c>
      <c r="AE160">
        <f t="shared" si="125"/>
        <v>-2.023686877713611E-4</v>
      </c>
      <c r="AF160">
        <f t="shared" si="126"/>
        <v>1.5706957940352002E-3</v>
      </c>
      <c r="AG160">
        <f t="shared" si="141"/>
        <v>4627.696137369795</v>
      </c>
      <c r="AH160">
        <f t="shared" si="142"/>
        <v>-1232.8936017261174</v>
      </c>
      <c r="AJ160">
        <f t="shared" si="127"/>
        <v>22100</v>
      </c>
      <c r="AK160">
        <f t="shared" si="128"/>
        <v>178.81073257680362</v>
      </c>
      <c r="AL160">
        <v>1</v>
      </c>
      <c r="AM160">
        <f t="shared" si="129"/>
        <v>4.9070151635609163</v>
      </c>
      <c r="AN160">
        <f t="shared" si="143"/>
        <v>916.20926749673879</v>
      </c>
      <c r="AO160">
        <f t="shared" si="144"/>
        <v>-4317.0420360247335</v>
      </c>
      <c r="AQ160">
        <f t="shared" si="130"/>
        <v>0.62984190968067011</v>
      </c>
      <c r="AR160">
        <f t="shared" si="131"/>
        <v>-79.360080619764446</v>
      </c>
      <c r="AT160">
        <f t="shared" si="156"/>
        <v>-94927.818655993571</v>
      </c>
      <c r="AU160">
        <f t="shared" si="157"/>
        <v>-368030.86660598376</v>
      </c>
      <c r="AV160">
        <f t="shared" si="145"/>
        <v>-1.8232286015690269</v>
      </c>
      <c r="AW160">
        <f t="shared" si="146"/>
        <v>-337900.32696102286</v>
      </c>
      <c r="AX160">
        <f t="shared" si="147"/>
        <v>-108677.11747158332</v>
      </c>
      <c r="AY160">
        <f t="shared" si="155"/>
        <v>-2.8304165501451379</v>
      </c>
      <c r="BA160">
        <f t="shared" si="132"/>
        <v>1.0707974989566618</v>
      </c>
      <c r="BB160">
        <f t="shared" si="148"/>
        <v>0.59414696283825741</v>
      </c>
      <c r="BC160">
        <f t="shared" si="149"/>
        <v>1.007187948576111</v>
      </c>
      <c r="BD160">
        <f t="shared" si="133"/>
        <v>-122.29238130420887</v>
      </c>
      <c r="BF160">
        <f t="shared" si="134"/>
        <v>-0.29589017581228694</v>
      </c>
      <c r="BG160">
        <f t="shared" si="135"/>
        <v>-116.86461002034468</v>
      </c>
      <c r="BH160">
        <f t="shared" si="150"/>
        <v>63.135389979655315</v>
      </c>
      <c r="BI160">
        <f t="shared" si="151"/>
        <v>63.135389979655315</v>
      </c>
      <c r="BJ160">
        <f t="shared" si="136"/>
        <v>0</v>
      </c>
      <c r="BK160">
        <f t="shared" si="152"/>
        <v>0</v>
      </c>
      <c r="BM160">
        <f t="shared" si="153"/>
        <v>-0.89003713865054446</v>
      </c>
      <c r="BN160">
        <f t="shared" si="137"/>
        <v>-174.57222871613581</v>
      </c>
      <c r="BQ160" s="56">
        <f t="shared" si="154"/>
        <v>17.496107763123394</v>
      </c>
      <c r="BR160" s="59"/>
      <c r="BS160" s="59"/>
      <c r="BT160" s="59">
        <v>3162.2779999999998</v>
      </c>
      <c r="BU160" s="59">
        <v>5.6099300000000003</v>
      </c>
      <c r="BV160" s="59">
        <v>-248.626</v>
      </c>
      <c r="BW160" s="61"/>
      <c r="BY160" s="59"/>
      <c r="BZ160" s="59"/>
      <c r="CA160" s="59"/>
      <c r="CC160" s="59"/>
    </row>
    <row r="161" spans="1:81" x14ac:dyDescent="0.2">
      <c r="A161">
        <f t="shared" si="106"/>
        <v>63500</v>
      </c>
      <c r="B161">
        <f t="shared" si="138"/>
        <v>63.5</v>
      </c>
      <c r="C161">
        <f t="shared" si="107"/>
        <v>1.0000318368630114</v>
      </c>
      <c r="D161">
        <f t="shared" si="108"/>
        <v>7.9794759701908181E-3</v>
      </c>
      <c r="F161">
        <f t="shared" si="109"/>
        <v>5.9175614447062652E-2</v>
      </c>
      <c r="G161">
        <f t="shared" si="110"/>
        <v>8.6054200284260529E-2</v>
      </c>
      <c r="H161">
        <f t="shared" si="111"/>
        <v>-3.0555384497157396</v>
      </c>
      <c r="J161">
        <f t="shared" si="112"/>
        <v>15</v>
      </c>
      <c r="M161">
        <f t="shared" si="113"/>
        <v>2.8581332326362417E-2</v>
      </c>
      <c r="N161">
        <f t="shared" si="114"/>
        <v>-1.5707963250000001</v>
      </c>
      <c r="O161">
        <f t="shared" si="115"/>
        <v>7.6435670072965545</v>
      </c>
      <c r="P161">
        <f t="shared" si="116"/>
        <v>1.4395912361408834</v>
      </c>
      <c r="Q161">
        <f t="shared" si="117"/>
        <v>5.0460397971548661</v>
      </c>
      <c r="R161">
        <f t="shared" si="118"/>
        <v>1.3713004709831345</v>
      </c>
      <c r="S161">
        <f t="shared" si="119"/>
        <v>0.99996674803525076</v>
      </c>
      <c r="T161">
        <f t="shared" si="120"/>
        <v>-8.1550167422513933E-3</v>
      </c>
      <c r="U161">
        <f t="shared" si="121"/>
        <v>0.99167301517387585</v>
      </c>
      <c r="V161">
        <f t="shared" si="122"/>
        <v>-0.12913997833736668</v>
      </c>
      <c r="X161">
        <f t="shared" si="139"/>
        <v>-0.26137732012984349</v>
      </c>
      <c r="Y161">
        <f t="shared" si="123"/>
        <v>-111.42645931712589</v>
      </c>
      <c r="Z161">
        <f t="shared" si="140"/>
        <v>68.573540682874111</v>
      </c>
      <c r="AC161">
        <v>1</v>
      </c>
      <c r="AD161">
        <f t="shared" si="124"/>
        <v>7.57787018858415</v>
      </c>
      <c r="AE161">
        <f t="shared" si="125"/>
        <v>-2.0559363599548263E-4</v>
      </c>
      <c r="AF161">
        <f t="shared" si="126"/>
        <v>1.5831616336704003E-3</v>
      </c>
      <c r="AG161">
        <f t="shared" si="141"/>
        <v>4626.4922559093884</v>
      </c>
      <c r="AH161">
        <f t="shared" si="142"/>
        <v>-1232.4561960699784</v>
      </c>
      <c r="AJ161">
        <f t="shared" si="127"/>
        <v>22100</v>
      </c>
      <c r="AK161">
        <f t="shared" si="128"/>
        <v>180.22986537503223</v>
      </c>
      <c r="AL161">
        <v>1</v>
      </c>
      <c r="AM161">
        <f t="shared" si="129"/>
        <v>4.9459597283510819</v>
      </c>
      <c r="AN161">
        <f t="shared" si="143"/>
        <v>902.95115298676046</v>
      </c>
      <c r="AO161">
        <f t="shared" si="144"/>
        <v>-4285.7301739656614</v>
      </c>
      <c r="AQ161">
        <f t="shared" si="130"/>
        <v>0.61996280223186606</v>
      </c>
      <c r="AR161">
        <f t="shared" si="131"/>
        <v>-78.735275883446988</v>
      </c>
      <c r="AT161">
        <f t="shared" si="156"/>
        <v>-94169.525508355771</v>
      </c>
      <c r="AU161">
        <f t="shared" si="157"/>
        <v>-365032.22113860026</v>
      </c>
      <c r="AV161">
        <f t="shared" si="145"/>
        <v>-1.8232675427621761</v>
      </c>
      <c r="AW161">
        <f t="shared" si="146"/>
        <v>-332798.22334625461</v>
      </c>
      <c r="AX161">
        <f t="shared" si="147"/>
        <v>-106748.0937218086</v>
      </c>
      <c r="AY161">
        <f t="shared" si="155"/>
        <v>-2.8312011766340639</v>
      </c>
      <c r="BA161">
        <f t="shared" si="132"/>
        <v>1.0786380323840408</v>
      </c>
      <c r="BB161">
        <f t="shared" si="148"/>
        <v>0.65751458574643062</v>
      </c>
      <c r="BC161">
        <f t="shared" si="149"/>
        <v>1.0079336338718878</v>
      </c>
      <c r="BD161">
        <f t="shared" si="133"/>
        <v>-122.24965668386709</v>
      </c>
      <c r="BF161">
        <f t="shared" si="134"/>
        <v>-0.37752818406761757</v>
      </c>
      <c r="BG161">
        <f t="shared" si="135"/>
        <v>-116.86192389623108</v>
      </c>
      <c r="BH161">
        <f t="shared" si="150"/>
        <v>63.138076103768924</v>
      </c>
      <c r="BI161">
        <f t="shared" si="151"/>
        <v>63.138076103768924</v>
      </c>
      <c r="BJ161">
        <f t="shared" si="136"/>
        <v>0</v>
      </c>
      <c r="BK161">
        <f t="shared" si="152"/>
        <v>0</v>
      </c>
      <c r="BM161">
        <f t="shared" si="153"/>
        <v>-1.035042769814047</v>
      </c>
      <c r="BN161">
        <f t="shared" si="137"/>
        <v>-174.612267212364</v>
      </c>
      <c r="BQ161" s="56">
        <f t="shared" si="154"/>
        <v>17.559475386031565</v>
      </c>
      <c r="BR161" s="59"/>
      <c r="BS161" s="59"/>
      <c r="BT161" s="59">
        <v>3235.9369999999999</v>
      </c>
      <c r="BU161" s="59">
        <v>5.4320899999999996</v>
      </c>
      <c r="BV161" s="59">
        <v>-248.57499999999999</v>
      </c>
      <c r="BW161" s="61"/>
      <c r="BY161" s="59"/>
      <c r="BZ161" s="59"/>
      <c r="CA161" s="59"/>
      <c r="CC161" s="59"/>
    </row>
    <row r="162" spans="1:81" x14ac:dyDescent="0.2">
      <c r="A162">
        <f t="shared" si="106"/>
        <v>64000</v>
      </c>
      <c r="B162">
        <f t="shared" si="138"/>
        <v>64</v>
      </c>
      <c r="C162">
        <f t="shared" si="107"/>
        <v>1.0000323401966833</v>
      </c>
      <c r="D162">
        <f t="shared" si="108"/>
        <v>8.0423037910626553E-3</v>
      </c>
      <c r="F162">
        <f t="shared" si="109"/>
        <v>5.8204341485674459E-2</v>
      </c>
      <c r="G162">
        <f t="shared" si="110"/>
        <v>8.5306406104425969E-2</v>
      </c>
      <c r="H162">
        <f t="shared" si="111"/>
        <v>-3.056286243895574</v>
      </c>
      <c r="J162">
        <f t="shared" si="112"/>
        <v>15</v>
      </c>
      <c r="M162">
        <f t="shared" si="113"/>
        <v>2.8358040667562708E-2</v>
      </c>
      <c r="N162">
        <f t="shared" si="114"/>
        <v>-1.5707963250000001</v>
      </c>
      <c r="O162">
        <f t="shared" si="115"/>
        <v>7.7027263805846085</v>
      </c>
      <c r="P162">
        <f t="shared" si="116"/>
        <v>1.4406046876335263</v>
      </c>
      <c r="Q162">
        <f t="shared" si="117"/>
        <v>5.0842178171059951</v>
      </c>
      <c r="R162">
        <f t="shared" si="118"/>
        <v>1.37281847248791</v>
      </c>
      <c r="S162">
        <f t="shared" si="119"/>
        <v>0.99996622234727239</v>
      </c>
      <c r="T162">
        <f t="shared" si="120"/>
        <v>-8.2192265918834759E-3</v>
      </c>
      <c r="U162">
        <f t="shared" si="121"/>
        <v>0.99154303064750104</v>
      </c>
      <c r="V162">
        <f t="shared" si="122"/>
        <v>-0.13014542913916452</v>
      </c>
      <c r="X162">
        <f t="shared" si="139"/>
        <v>-0.34195158288290256</v>
      </c>
      <c r="Y162">
        <f t="shared" si="123"/>
        <v>-111.38195046660239</v>
      </c>
      <c r="Z162">
        <f t="shared" si="140"/>
        <v>68.61804953339761</v>
      </c>
      <c r="AC162">
        <v>1</v>
      </c>
      <c r="AD162">
        <f t="shared" si="124"/>
        <v>7.6375384577856007</v>
      </c>
      <c r="AE162">
        <f t="shared" si="125"/>
        <v>-2.08844077881455E-4</v>
      </c>
      <c r="AF162">
        <f t="shared" si="126"/>
        <v>1.5956274733056001E-3</v>
      </c>
      <c r="AG162">
        <f t="shared" si="141"/>
        <v>4625.2794912526588</v>
      </c>
      <c r="AH162">
        <f t="shared" si="142"/>
        <v>-1232.0934949947048</v>
      </c>
      <c r="AJ162">
        <f t="shared" si="127"/>
        <v>22100</v>
      </c>
      <c r="AK162">
        <f t="shared" si="128"/>
        <v>181.64899817326082</v>
      </c>
      <c r="AL162">
        <v>1</v>
      </c>
      <c r="AM162">
        <f t="shared" si="129"/>
        <v>4.9849042931412484</v>
      </c>
      <c r="AN162">
        <f t="shared" si="143"/>
        <v>889.98653147137861</v>
      </c>
      <c r="AO162">
        <f t="shared" si="144"/>
        <v>-4254.8486833963043</v>
      </c>
      <c r="AQ162">
        <f t="shared" si="130"/>
        <v>0.61031431187061336</v>
      </c>
      <c r="AR162">
        <f t="shared" si="131"/>
        <v>-78.12023191943851</v>
      </c>
      <c r="AT162">
        <f t="shared" si="156"/>
        <v>-93428.555305504764</v>
      </c>
      <c r="AU162">
        <f t="shared" si="157"/>
        <v>-362079.87084243825</v>
      </c>
      <c r="AV162">
        <f t="shared" si="145"/>
        <v>-1.8233210540353302</v>
      </c>
      <c r="AW162">
        <f t="shared" si="146"/>
        <v>-327808.79956848145</v>
      </c>
      <c r="AX162">
        <f t="shared" si="147"/>
        <v>-104872.85518440057</v>
      </c>
      <c r="AY162">
        <f t="shared" si="155"/>
        <v>-2.8319615490257926</v>
      </c>
      <c r="BA162">
        <f t="shared" si="132"/>
        <v>1.0864783634780544</v>
      </c>
      <c r="BB162">
        <f t="shared" si="148"/>
        <v>0.72042164091454297</v>
      </c>
      <c r="BC162">
        <f t="shared" si="149"/>
        <v>1.0086404949904624</v>
      </c>
      <c r="BD162">
        <f t="shared" si="133"/>
        <v>-122.20915652502458</v>
      </c>
      <c r="BF162">
        <f t="shared" si="134"/>
        <v>-0.45836467790654195</v>
      </c>
      <c r="BG162">
        <f t="shared" si="135"/>
        <v>-116.86066941891045</v>
      </c>
      <c r="BH162">
        <f t="shared" si="150"/>
        <v>63.139330581089553</v>
      </c>
      <c r="BI162">
        <f t="shared" si="151"/>
        <v>63.139330581089553</v>
      </c>
      <c r="BJ162">
        <f t="shared" si="136"/>
        <v>0</v>
      </c>
      <c r="BK162">
        <f t="shared" si="152"/>
        <v>0</v>
      </c>
      <c r="BM162">
        <f t="shared" si="153"/>
        <v>-1.1787863188210839</v>
      </c>
      <c r="BN162">
        <f t="shared" si="137"/>
        <v>-174.65151289388584</v>
      </c>
      <c r="BQ162" s="56">
        <f t="shared" si="154"/>
        <v>17.622382441199679</v>
      </c>
      <c r="BR162" s="59"/>
      <c r="BS162" s="59"/>
      <c r="BT162" s="59">
        <v>3311.3110000000001</v>
      </c>
      <c r="BU162" s="59">
        <v>5.2356100000000003</v>
      </c>
      <c r="BV162" s="59">
        <v>-247.75799999999998</v>
      </c>
      <c r="BW162" s="61"/>
      <c r="BY162" s="59"/>
      <c r="BZ162" s="59"/>
      <c r="CA162" s="59"/>
      <c r="CC162" s="59"/>
    </row>
    <row r="163" spans="1:81" x14ac:dyDescent="0.2">
      <c r="A163">
        <f t="shared" si="106"/>
        <v>64500</v>
      </c>
      <c r="B163">
        <f t="shared" si="138"/>
        <v>64.5</v>
      </c>
      <c r="C163">
        <f t="shared" si="107"/>
        <v>1.0000328474778142</v>
      </c>
      <c r="D163">
        <f t="shared" si="108"/>
        <v>8.1051315484418525E-3</v>
      </c>
      <c r="F163">
        <f t="shared" si="109"/>
        <v>5.7257179604413143E-2</v>
      </c>
      <c r="G163">
        <f t="shared" si="110"/>
        <v>8.4572062878028154E-2</v>
      </c>
      <c r="H163">
        <f t="shared" si="111"/>
        <v>-3.057020587121972</v>
      </c>
      <c r="J163">
        <f t="shared" si="112"/>
        <v>15</v>
      </c>
      <c r="M163">
        <f t="shared" si="113"/>
        <v>2.8138210894945944E-2</v>
      </c>
      <c r="N163">
        <f t="shared" si="114"/>
        <v>-1.5707963250000001</v>
      </c>
      <c r="O163">
        <f t="shared" si="115"/>
        <v>7.7618935446174939</v>
      </c>
      <c r="P163">
        <f t="shared" si="116"/>
        <v>1.4416026895138681</v>
      </c>
      <c r="Q163">
        <f t="shared" si="117"/>
        <v>5.1224073781122472</v>
      </c>
      <c r="R163">
        <f t="shared" si="118"/>
        <v>1.3743138427997106</v>
      </c>
      <c r="S163">
        <f t="shared" si="119"/>
        <v>0.99996569253708978</v>
      </c>
      <c r="T163">
        <f t="shared" si="120"/>
        <v>-8.2834363737399261E-3</v>
      </c>
      <c r="U163">
        <f t="shared" si="121"/>
        <v>0.99141207833746381</v>
      </c>
      <c r="V163">
        <f t="shared" si="122"/>
        <v>-0.13115061537871681</v>
      </c>
      <c r="X163">
        <f t="shared" si="139"/>
        <v>-0.42173883195976436</v>
      </c>
      <c r="Y163">
        <f t="shared" si="123"/>
        <v>-111.33883764409539</v>
      </c>
      <c r="Z163">
        <f t="shared" si="140"/>
        <v>68.661162355904608</v>
      </c>
      <c r="AC163">
        <v>1</v>
      </c>
      <c r="AD163">
        <f t="shared" si="124"/>
        <v>7.6972067269870506</v>
      </c>
      <c r="AE163">
        <f t="shared" si="125"/>
        <v>-2.1212001342927814E-4</v>
      </c>
      <c r="AF163">
        <f t="shared" si="126"/>
        <v>1.6080933129408001E-3</v>
      </c>
      <c r="AG163">
        <f t="shared" si="141"/>
        <v>4624.0578578617569</v>
      </c>
      <c r="AH163">
        <f t="shared" si="142"/>
        <v>-1231.8036515461324</v>
      </c>
      <c r="AJ163">
        <f t="shared" si="127"/>
        <v>22100</v>
      </c>
      <c r="AK163">
        <f t="shared" si="128"/>
        <v>183.06813097148941</v>
      </c>
      <c r="AL163">
        <v>1</v>
      </c>
      <c r="AM163">
        <f t="shared" si="129"/>
        <v>5.0238488579314149</v>
      </c>
      <c r="AN163">
        <f t="shared" si="143"/>
        <v>877.30692135704567</v>
      </c>
      <c r="AO163">
        <f t="shared" si="144"/>
        <v>-4224.3892439434303</v>
      </c>
      <c r="AQ163">
        <f t="shared" si="130"/>
        <v>0.60088931618795816</v>
      </c>
      <c r="AR163">
        <f t="shared" si="131"/>
        <v>-77.514721788246604</v>
      </c>
      <c r="AT163">
        <f t="shared" si="156"/>
        <v>-92704.370383120608</v>
      </c>
      <c r="AU163">
        <f t="shared" si="157"/>
        <v>-359172.73603876506</v>
      </c>
      <c r="AV163">
        <f t="shared" si="145"/>
        <v>-1.8233887967424349</v>
      </c>
      <c r="AW163">
        <f t="shared" si="146"/>
        <v>-322928.80990895053</v>
      </c>
      <c r="AX163">
        <f t="shared" si="147"/>
        <v>-103049.4736201746</v>
      </c>
      <c r="AY163">
        <f t="shared" si="155"/>
        <v>-2.8326981994531026</v>
      </c>
      <c r="BA163">
        <f t="shared" si="132"/>
        <v>1.0943183742539173</v>
      </c>
      <c r="BB163">
        <f t="shared" si="148"/>
        <v>0.78287382689994933</v>
      </c>
      <c r="BC163">
        <f t="shared" si="149"/>
        <v>1.0093094027106677</v>
      </c>
      <c r="BD163">
        <f t="shared" si="133"/>
        <v>-122.1708309357293</v>
      </c>
      <c r="BF163">
        <f t="shared" si="134"/>
        <v>-0.53841665565937802</v>
      </c>
      <c r="BG163">
        <f t="shared" si="135"/>
        <v>-116.86081883191164</v>
      </c>
      <c r="BH163">
        <f t="shared" si="150"/>
        <v>63.139181168088356</v>
      </c>
      <c r="BI163">
        <f t="shared" si="151"/>
        <v>63.139181168088356</v>
      </c>
      <c r="BJ163">
        <f t="shared" si="136"/>
        <v>0</v>
      </c>
      <c r="BK163">
        <f t="shared" si="152"/>
        <v>0</v>
      </c>
      <c r="BM163">
        <f t="shared" si="153"/>
        <v>-1.3212904825593277</v>
      </c>
      <c r="BN163">
        <f t="shared" si="137"/>
        <v>-174.68998789618234</v>
      </c>
      <c r="BQ163" s="56">
        <f t="shared" si="154"/>
        <v>17.684834627185086</v>
      </c>
      <c r="BR163" s="59"/>
      <c r="BS163" s="59"/>
      <c r="BT163" s="59">
        <v>3388.442</v>
      </c>
      <c r="BU163" s="59">
        <v>5.0528199999999996</v>
      </c>
      <c r="BV163" s="59">
        <v>-247.756</v>
      </c>
      <c r="BW163" s="61"/>
      <c r="BY163" s="59"/>
      <c r="BZ163" s="59"/>
      <c r="CA163" s="59"/>
      <c r="CC163" s="59"/>
    </row>
    <row r="164" spans="1:81" x14ac:dyDescent="0.2">
      <c r="A164">
        <f t="shared" si="106"/>
        <v>65000</v>
      </c>
      <c r="B164">
        <f t="shared" si="138"/>
        <v>65</v>
      </c>
      <c r="C164">
        <f t="shared" si="107"/>
        <v>1.0000333587063979</v>
      </c>
      <c r="D164">
        <f t="shared" si="108"/>
        <v>8.1679592418325026E-3</v>
      </c>
      <c r="F164">
        <f t="shared" si="109"/>
        <v>5.633332518644335E-2</v>
      </c>
      <c r="G164">
        <f t="shared" si="110"/>
        <v>8.3850798859151796E-2</v>
      </c>
      <c r="H164">
        <f t="shared" si="111"/>
        <v>-3.0577418511408485</v>
      </c>
      <c r="J164">
        <f t="shared" si="112"/>
        <v>15</v>
      </c>
      <c r="M164">
        <f t="shared" si="113"/>
        <v>2.7921763118830972E-2</v>
      </c>
      <c r="N164">
        <f t="shared" si="114"/>
        <v>-1.5707963250000001</v>
      </c>
      <c r="O164">
        <f t="shared" si="115"/>
        <v>7.8210683225819206</v>
      </c>
      <c r="P164">
        <f t="shared" si="116"/>
        <v>1.4425855904496723</v>
      </c>
      <c r="Q164">
        <f t="shared" si="117"/>
        <v>5.160608223955089</v>
      </c>
      <c r="R164">
        <f t="shared" si="118"/>
        <v>1.3757870777304055</v>
      </c>
      <c r="S164">
        <f t="shared" si="119"/>
        <v>0.99996515860472313</v>
      </c>
      <c r="T164">
        <f t="shared" si="120"/>
        <v>-8.3476460872913914E-3</v>
      </c>
      <c r="U164">
        <f t="shared" si="121"/>
        <v>0.99128015942088155</v>
      </c>
      <c r="V164">
        <f t="shared" si="122"/>
        <v>-0.13215553512995684</v>
      </c>
      <c r="X164">
        <f t="shared" si="139"/>
        <v>-0.50075552452199146</v>
      </c>
      <c r="Y164">
        <f t="shared" si="123"/>
        <v>-111.29709365360067</v>
      </c>
      <c r="Z164">
        <f t="shared" si="140"/>
        <v>68.702906346399331</v>
      </c>
      <c r="AC164">
        <v>1</v>
      </c>
      <c r="AD164">
        <f t="shared" si="124"/>
        <v>7.7568749961885004</v>
      </c>
      <c r="AE164">
        <f t="shared" si="125"/>
        <v>-2.1542144263895203E-4</v>
      </c>
      <c r="AF164">
        <f t="shared" si="126"/>
        <v>1.6205591525760002E-3</v>
      </c>
      <c r="AG164">
        <f t="shared" si="141"/>
        <v>4622.8273702929564</v>
      </c>
      <c r="AH164">
        <f t="shared" si="142"/>
        <v>-1231.5848748913477</v>
      </c>
      <c r="AJ164">
        <f t="shared" si="127"/>
        <v>22100</v>
      </c>
      <c r="AK164">
        <f t="shared" si="128"/>
        <v>184.48726376971803</v>
      </c>
      <c r="AL164">
        <v>1</v>
      </c>
      <c r="AM164">
        <f t="shared" si="129"/>
        <v>5.0627934227215796</v>
      </c>
      <c r="AN164">
        <f t="shared" si="143"/>
        <v>864.90414089157514</v>
      </c>
      <c r="AO164">
        <f t="shared" si="144"/>
        <v>-4194.3437320208077</v>
      </c>
      <c r="AQ164">
        <f t="shared" si="130"/>
        <v>0.59168096562333594</v>
      </c>
      <c r="AR164">
        <f t="shared" si="131"/>
        <v>-76.918525531033666</v>
      </c>
      <c r="AT164">
        <f t="shared" si="156"/>
        <v>-91996.453680600112</v>
      </c>
      <c r="AU164">
        <f t="shared" si="157"/>
        <v>-356309.77043546282</v>
      </c>
      <c r="AV164">
        <f t="shared" si="145"/>
        <v>-1.8234704422944288</v>
      </c>
      <c r="AW164">
        <f t="shared" si="146"/>
        <v>-318155.12290723808</v>
      </c>
      <c r="AX164">
        <f t="shared" si="147"/>
        <v>-101276.10387939209</v>
      </c>
      <c r="AY164">
        <f t="shared" si="155"/>
        <v>-2.8334116446603819</v>
      </c>
      <c r="BA164">
        <f t="shared" si="132"/>
        <v>1.1021579493948381</v>
      </c>
      <c r="BB164">
        <f t="shared" si="148"/>
        <v>0.84487674757674591</v>
      </c>
      <c r="BC164">
        <f t="shared" si="149"/>
        <v>1.0099412023659531</v>
      </c>
      <c r="BD164">
        <f t="shared" si="133"/>
        <v>-122.13463148194228</v>
      </c>
      <c r="BF164">
        <f t="shared" si="134"/>
        <v>-0.61770058436769504</v>
      </c>
      <c r="BG164">
        <f t="shared" si="135"/>
        <v>-116.86234500069614</v>
      </c>
      <c r="BH164">
        <f t="shared" si="150"/>
        <v>63.137654999303862</v>
      </c>
      <c r="BI164">
        <f t="shared" si="151"/>
        <v>63.137654999303862</v>
      </c>
      <c r="BJ164">
        <f t="shared" si="136"/>
        <v>0</v>
      </c>
      <c r="BK164">
        <f t="shared" si="152"/>
        <v>0</v>
      </c>
      <c r="BM164">
        <f t="shared" si="153"/>
        <v>-1.4625773319444417</v>
      </c>
      <c r="BN164">
        <f t="shared" si="137"/>
        <v>-174.72771351875389</v>
      </c>
      <c r="BQ164" s="56">
        <f t="shared" si="154"/>
        <v>17.746837547861883</v>
      </c>
      <c r="BR164" s="59"/>
      <c r="BS164" s="59"/>
      <c r="BT164" s="59">
        <v>3467.3690000000001</v>
      </c>
      <c r="BU164" s="59">
        <v>4.9028999999999998</v>
      </c>
      <c r="BV164" s="59">
        <v>-247.51300000000001</v>
      </c>
      <c r="BW164" s="61"/>
      <c r="BY164" s="59"/>
      <c r="BZ164" s="59"/>
      <c r="CA164" s="59"/>
      <c r="CC164" s="59"/>
    </row>
    <row r="165" spans="1:81" x14ac:dyDescent="0.2">
      <c r="A165">
        <f t="shared" si="106"/>
        <v>65500</v>
      </c>
      <c r="B165">
        <f t="shared" si="138"/>
        <v>65.5</v>
      </c>
      <c r="C165">
        <f t="shared" si="107"/>
        <v>1.0000338738824281</v>
      </c>
      <c r="D165">
        <f t="shared" si="108"/>
        <v>8.2307868707387037E-3</v>
      </c>
      <c r="F165">
        <f t="shared" si="109"/>
        <v>5.5432008279366951E-2</v>
      </c>
      <c r="G165">
        <f t="shared" si="110"/>
        <v>8.3142256199161269E-2</v>
      </c>
      <c r="H165">
        <f t="shared" si="111"/>
        <v>-3.0584503938008387</v>
      </c>
      <c r="J165">
        <f t="shared" si="112"/>
        <v>15</v>
      </c>
      <c r="M165">
        <f t="shared" si="113"/>
        <v>2.7708619888916236E-2</v>
      </c>
      <c r="N165">
        <f t="shared" si="114"/>
        <v>-1.5707963250000001</v>
      </c>
      <c r="O165">
        <f t="shared" si="115"/>
        <v>7.8802505429531244</v>
      </c>
      <c r="P165">
        <f t="shared" si="116"/>
        <v>1.4435537287531959</v>
      </c>
      <c r="Q165">
        <f t="shared" si="117"/>
        <v>5.1988201058721391</v>
      </c>
      <c r="R165">
        <f t="shared" si="118"/>
        <v>1.3772386589056231</v>
      </c>
      <c r="S165">
        <f t="shared" si="119"/>
        <v>0.99996462055019142</v>
      </c>
      <c r="T165">
        <f t="shared" si="120"/>
        <v>-8.4118557320085243E-3</v>
      </c>
      <c r="U165">
        <f t="shared" si="121"/>
        <v>0.99114727508271672</v>
      </c>
      <c r="V165">
        <f t="shared" si="122"/>
        <v>-0.13316018646999203</v>
      </c>
      <c r="X165">
        <f t="shared" si="139"/>
        <v>-0.57901760811573277</v>
      </c>
      <c r="Y165">
        <f t="shared" si="123"/>
        <v>-111.25669190917881</v>
      </c>
      <c r="Z165">
        <f t="shared" si="140"/>
        <v>68.743308090821188</v>
      </c>
      <c r="AC165">
        <v>1</v>
      </c>
      <c r="AD165">
        <f t="shared" si="124"/>
        <v>7.8165432653899503</v>
      </c>
      <c r="AE165">
        <f t="shared" si="125"/>
        <v>-2.1874836551047665E-4</v>
      </c>
      <c r="AF165">
        <f t="shared" si="126"/>
        <v>1.6330249922112004E-3</v>
      </c>
      <c r="AG165">
        <f t="shared" si="141"/>
        <v>4621.5880431962414</v>
      </c>
      <c r="AH165">
        <f t="shared" si="142"/>
        <v>-1231.435428179816</v>
      </c>
      <c r="AJ165">
        <f t="shared" si="127"/>
        <v>22100</v>
      </c>
      <c r="AK165">
        <f t="shared" si="128"/>
        <v>185.90639656794662</v>
      </c>
      <c r="AL165">
        <v>1</v>
      </c>
      <c r="AM165">
        <f t="shared" si="129"/>
        <v>5.1017379875117461</v>
      </c>
      <c r="AN165">
        <f t="shared" si="143"/>
        <v>852.7702957254794</v>
      </c>
      <c r="AO165">
        <f t="shared" si="144"/>
        <v>-4164.7042157563565</v>
      </c>
      <c r="AQ165">
        <f t="shared" si="130"/>
        <v>0.58268267101736393</v>
      </c>
      <c r="AR165">
        <f t="shared" si="131"/>
        <v>-76.331429903274682</v>
      </c>
      <c r="AT165">
        <f t="shared" si="156"/>
        <v>-91304.307801165181</v>
      </c>
      <c r="AU165">
        <f t="shared" si="157"/>
        <v>-353489.95984552352</v>
      </c>
      <c r="AV165">
        <f t="shared" si="145"/>
        <v>-1.8235656717890965</v>
      </c>
      <c r="AW165">
        <f t="shared" si="146"/>
        <v>-313484.71664728306</v>
      </c>
      <c r="AX165">
        <f t="shared" si="147"/>
        <v>-99550.979752500425</v>
      </c>
      <c r="AY165">
        <f t="shared" si="155"/>
        <v>-2.8341023865482211</v>
      </c>
      <c r="BA165">
        <f t="shared" si="132"/>
        <v>1.1099969761519626</v>
      </c>
      <c r="BB165">
        <f t="shared" si="148"/>
        <v>0.90643591370962562</v>
      </c>
      <c r="BC165">
        <f t="shared" si="149"/>
        <v>1.0105367147591247</v>
      </c>
      <c r="BD165">
        <f t="shared" si="133"/>
        <v>-122.10051113512682</v>
      </c>
      <c r="BF165">
        <f t="shared" si="134"/>
        <v>-0.69623242151728371</v>
      </c>
      <c r="BG165">
        <f t="shared" si="135"/>
        <v>-116.86522139997224</v>
      </c>
      <c r="BH165">
        <f t="shared" si="150"/>
        <v>63.134778600027758</v>
      </c>
      <c r="BI165">
        <f t="shared" si="151"/>
        <v>63.134778600027758</v>
      </c>
      <c r="BJ165">
        <f t="shared" si="136"/>
        <v>0</v>
      </c>
      <c r="BK165">
        <f t="shared" si="152"/>
        <v>0</v>
      </c>
      <c r="BM165">
        <f t="shared" si="153"/>
        <v>-1.6026683352269091</v>
      </c>
      <c r="BN165">
        <f t="shared" si="137"/>
        <v>-174.76471026484543</v>
      </c>
      <c r="BQ165" s="56">
        <f t="shared" si="154"/>
        <v>17.808396713994764</v>
      </c>
      <c r="BR165" s="59"/>
      <c r="BS165" s="59"/>
      <c r="BT165" s="59">
        <v>3548.134</v>
      </c>
      <c r="BU165" s="59">
        <v>4.6522600000000001</v>
      </c>
      <c r="BV165" s="59">
        <v>-246.726</v>
      </c>
      <c r="BW165" s="61"/>
      <c r="BY165" s="59"/>
      <c r="BZ165" s="59"/>
      <c r="CA165" s="59"/>
      <c r="CC165" s="59"/>
    </row>
    <row r="166" spans="1:81" x14ac:dyDescent="0.2">
      <c r="A166">
        <f t="shared" ref="A166:A200" si="158">A165+500</f>
        <v>66000</v>
      </c>
      <c r="B166">
        <f t="shared" si="138"/>
        <v>66</v>
      </c>
      <c r="C166">
        <f t="shared" si="107"/>
        <v>1.000034393005899</v>
      </c>
      <c r="D166">
        <f t="shared" si="108"/>
        <v>8.2936144346645538E-3</v>
      </c>
      <c r="F166">
        <f t="shared" si="109"/>
        <v>5.4552490896240272E-2</v>
      </c>
      <c r="G166">
        <f t="shared" si="110"/>
        <v>8.2446090292937299E-2</v>
      </c>
      <c r="H166">
        <f t="shared" si="111"/>
        <v>-3.0591465597070631</v>
      </c>
      <c r="J166">
        <f t="shared" si="112"/>
        <v>15</v>
      </c>
      <c r="M166">
        <f t="shared" si="113"/>
        <v>2.7498706101878993E-2</v>
      </c>
      <c r="N166">
        <f t="shared" si="114"/>
        <v>-1.5707963250000001</v>
      </c>
      <c r="O166">
        <f t="shared" si="115"/>
        <v>7.939440039299412</v>
      </c>
      <c r="P166">
        <f t="shared" si="116"/>
        <v>1.4445074327606671</v>
      </c>
      <c r="Q166">
        <f t="shared" si="117"/>
        <v>5.2370427822905272</v>
      </c>
      <c r="R166">
        <f t="shared" si="118"/>
        <v>1.3786690542615037</v>
      </c>
      <c r="S166">
        <f t="shared" si="119"/>
        <v>0.99996407837351509</v>
      </c>
      <c r="T166">
        <f t="shared" si="120"/>
        <v>-8.4760653073619775E-3</v>
      </c>
      <c r="U166">
        <f t="shared" si="121"/>
        <v>0.99101342651574675</v>
      </c>
      <c r="V166">
        <f t="shared" si="122"/>
        <v>-0.13416456747912417</v>
      </c>
      <c r="X166">
        <f t="shared" si="139"/>
        <v>-0.65654054131958561</v>
      </c>
      <c r="Y166">
        <f t="shared" si="123"/>
        <v>-111.21760642221024</v>
      </c>
      <c r="Z166">
        <f t="shared" si="140"/>
        <v>68.782393577789762</v>
      </c>
      <c r="AC166">
        <v>1</v>
      </c>
      <c r="AD166">
        <f t="shared" si="124"/>
        <v>7.876211534591401</v>
      </c>
      <c r="AE166">
        <f t="shared" si="125"/>
        <v>-2.221007820438521E-4</v>
      </c>
      <c r="AF166">
        <f t="shared" si="126"/>
        <v>1.6454908318464E-3</v>
      </c>
      <c r="AG166">
        <f t="shared" si="141"/>
        <v>4620.3398913148803</v>
      </c>
      <c r="AH166">
        <f t="shared" si="142"/>
        <v>-1231.3536265017474</v>
      </c>
      <c r="AJ166">
        <f t="shared" si="127"/>
        <v>22100</v>
      </c>
      <c r="AK166">
        <f t="shared" si="128"/>
        <v>187.32552936617523</v>
      </c>
      <c r="AL166">
        <v>1</v>
      </c>
      <c r="AM166">
        <f t="shared" si="129"/>
        <v>5.1406825523019126</v>
      </c>
      <c r="AN166">
        <f t="shared" si="143"/>
        <v>840.89776706130999</v>
      </c>
      <c r="AO166">
        <f t="shared" si="144"/>
        <v>-4135.4629500355386</v>
      </c>
      <c r="AQ166">
        <f t="shared" si="130"/>
        <v>0.57388809182209466</v>
      </c>
      <c r="AR166">
        <f t="shared" si="131"/>
        <v>-75.753228120516496</v>
      </c>
      <c r="AT166">
        <f t="shared" si="156"/>
        <v>-90627.454121615927</v>
      </c>
      <c r="AU166">
        <f t="shared" si="157"/>
        <v>-350712.3209641698</v>
      </c>
      <c r="AV166">
        <f t="shared" si="145"/>
        <v>-1.8236741756570549</v>
      </c>
      <c r="AW166">
        <f t="shared" si="146"/>
        <v>-308914.67426467407</v>
      </c>
      <c r="AX166">
        <f t="shared" si="147"/>
        <v>-97872.410055341257</v>
      </c>
      <c r="AY166">
        <f t="shared" si="155"/>
        <v>-2.8347709126953844</v>
      </c>
      <c r="BA166">
        <f t="shared" si="132"/>
        <v>1.1178353442488067</v>
      </c>
      <c r="BB166">
        <f t="shared" si="148"/>
        <v>0.96755674452333595</v>
      </c>
      <c r="BC166">
        <f t="shared" si="149"/>
        <v>1.0110967370383295</v>
      </c>
      <c r="BD166">
        <f t="shared" si="133"/>
        <v>-122.06842422205843</v>
      </c>
      <c r="BF166">
        <f t="shared" si="134"/>
        <v>-0.77402763568567501</v>
      </c>
      <c r="BG166">
        <f t="shared" si="135"/>
        <v>-116.86942210096281</v>
      </c>
      <c r="BH166">
        <f t="shared" si="150"/>
        <v>63.130577899037192</v>
      </c>
      <c r="BI166">
        <f t="shared" si="151"/>
        <v>63.130577899037192</v>
      </c>
      <c r="BJ166">
        <f t="shared" si="136"/>
        <v>0</v>
      </c>
      <c r="BK166">
        <f t="shared" si="152"/>
        <v>0</v>
      </c>
      <c r="BM166">
        <f t="shared" si="153"/>
        <v>-1.7415843802090112</v>
      </c>
      <c r="BN166">
        <f t="shared" si="137"/>
        <v>-174.80099787890444</v>
      </c>
      <c r="BQ166" s="56">
        <f t="shared" si="154"/>
        <v>17.869517544808474</v>
      </c>
      <c r="BR166" s="59"/>
      <c r="BS166" s="59"/>
      <c r="BT166" s="59">
        <v>3630.7809999999999</v>
      </c>
      <c r="BU166" s="59">
        <v>4.4950999999999999</v>
      </c>
      <c r="BV166" s="59">
        <v>-246.21199999999999</v>
      </c>
      <c r="BW166" s="61"/>
      <c r="BY166" s="59"/>
      <c r="BZ166" s="59"/>
      <c r="CA166" s="59"/>
      <c r="CC166" s="59"/>
    </row>
    <row r="167" spans="1:81" x14ac:dyDescent="0.2">
      <c r="A167">
        <f t="shared" si="158"/>
        <v>66500</v>
      </c>
      <c r="B167">
        <f t="shared" si="138"/>
        <v>66.5</v>
      </c>
      <c r="C167">
        <f t="shared" si="107"/>
        <v>1.0000349160768041</v>
      </c>
      <c r="D167">
        <f t="shared" si="108"/>
        <v>8.3564419331141563E-3</v>
      </c>
      <c r="F167">
        <f t="shared" si="109"/>
        <v>5.3694065416870392E-2</v>
      </c>
      <c r="G167">
        <f t="shared" si="110"/>
        <v>8.1761969162057302E-2</v>
      </c>
      <c r="H167">
        <f t="shared" si="111"/>
        <v>-3.0598306808379427</v>
      </c>
      <c r="J167">
        <f t="shared" si="112"/>
        <v>15</v>
      </c>
      <c r="M167">
        <f t="shared" si="113"/>
        <v>2.7291948913143058E-2</v>
      </c>
      <c r="N167">
        <f t="shared" si="114"/>
        <v>-1.5707963250000001</v>
      </c>
      <c r="O167">
        <f t="shared" si="115"/>
        <v>7.9986366500952695</v>
      </c>
      <c r="P167">
        <f t="shared" si="116"/>
        <v>1.4454470211952948</v>
      </c>
      <c r="Q167">
        <f t="shared" si="117"/>
        <v>5.2752760185715015</v>
      </c>
      <c r="R167">
        <f t="shared" si="118"/>
        <v>1.3800787185210317</v>
      </c>
      <c r="S167">
        <f t="shared" si="119"/>
        <v>0.99996353207471456</v>
      </c>
      <c r="T167">
        <f t="shared" si="120"/>
        <v>-8.5402748128224088E-3</v>
      </c>
      <c r="U167">
        <f t="shared" si="121"/>
        <v>0.99087861492053642</v>
      </c>
      <c r="V167">
        <f t="shared" si="122"/>
        <v>-0.13516867624086959</v>
      </c>
      <c r="X167">
        <f t="shared" si="139"/>
        <v>-0.73333931337045533</v>
      </c>
      <c r="Y167">
        <f t="shared" si="123"/>
        <v>-111.1798117886464</v>
      </c>
      <c r="Z167">
        <f t="shared" si="140"/>
        <v>68.820188211353596</v>
      </c>
      <c r="AC167">
        <v>1</v>
      </c>
      <c r="AD167">
        <f t="shared" si="124"/>
        <v>7.9358798037928509</v>
      </c>
      <c r="AE167">
        <f t="shared" si="125"/>
        <v>-2.2547869223907827E-4</v>
      </c>
      <c r="AF167">
        <f t="shared" si="126"/>
        <v>1.6579566714816003E-3</v>
      </c>
      <c r="AG167">
        <f t="shared" si="141"/>
        <v>4619.0829294849827</v>
      </c>
      <c r="AH167">
        <f t="shared" si="142"/>
        <v>-1231.3378349385778</v>
      </c>
      <c r="AJ167">
        <f t="shared" si="127"/>
        <v>22100</v>
      </c>
      <c r="AK167">
        <f t="shared" si="128"/>
        <v>188.74466216440382</v>
      </c>
      <c r="AL167">
        <v>1</v>
      </c>
      <c r="AM167">
        <f t="shared" si="129"/>
        <v>5.1796271170920782</v>
      </c>
      <c r="AN167">
        <f t="shared" si="143"/>
        <v>829.27920036001774</v>
      </c>
      <c r="AO167">
        <f t="shared" si="144"/>
        <v>-4106.6123716607781</v>
      </c>
      <c r="AQ167">
        <f t="shared" si="130"/>
        <v>0.56529112492933864</v>
      </c>
      <c r="AR167">
        <f t="shared" si="131"/>
        <v>-75.18371961560203</v>
      </c>
      <c r="AT167">
        <f t="shared" si="156"/>
        <v>-89965.431948754005</v>
      </c>
      <c r="AU167">
        <f t="shared" si="157"/>
        <v>-347975.90020149306</v>
      </c>
      <c r="AV167">
        <f t="shared" si="145"/>
        <v>-1.8237956533230641</v>
      </c>
      <c r="AW167">
        <f t="shared" si="146"/>
        <v>-304442.17966363806</v>
      </c>
      <c r="AX167">
        <f t="shared" si="147"/>
        <v>-96238.774934088608</v>
      </c>
      <c r="AY167">
        <f t="shared" si="155"/>
        <v>-2.8354176968592166</v>
      </c>
      <c r="BA167">
        <f t="shared" si="132"/>
        <v>1.1256729457899655</v>
      </c>
      <c r="BB167">
        <f t="shared" si="148"/>
        <v>1.0282445692654252</v>
      </c>
      <c r="BC167">
        <f t="shared" si="149"/>
        <v>1.0116220435361525</v>
      </c>
      <c r="BD167">
        <f t="shared" si="133"/>
        <v>-122.03832637674797</v>
      </c>
      <c r="BF167">
        <f t="shared" si="134"/>
        <v>-0.85110122616763451</v>
      </c>
      <c r="BG167">
        <f t="shared" si="135"/>
        <v>-116.87492175866966</v>
      </c>
      <c r="BH167">
        <f t="shared" si="150"/>
        <v>63.125078241330343</v>
      </c>
      <c r="BI167">
        <f t="shared" si="151"/>
        <v>63.125078241330343</v>
      </c>
      <c r="BJ167">
        <f t="shared" si="136"/>
        <v>0</v>
      </c>
      <c r="BK167">
        <f t="shared" si="152"/>
        <v>0</v>
      </c>
      <c r="BM167">
        <f t="shared" si="153"/>
        <v>-1.8793457954330601</v>
      </c>
      <c r="BN167">
        <f t="shared" si="137"/>
        <v>-174.83659538192168</v>
      </c>
      <c r="BQ167" s="56">
        <f t="shared" si="154"/>
        <v>17.930205369550563</v>
      </c>
      <c r="BR167" s="59"/>
      <c r="BS167" s="59"/>
      <c r="BT167" s="59">
        <v>3715.3519999999999</v>
      </c>
      <c r="BU167" s="59">
        <v>4.3437000000000001</v>
      </c>
      <c r="BV167" s="59">
        <v>-245.97</v>
      </c>
      <c r="BW167" s="61"/>
      <c r="BY167" s="59"/>
      <c r="BZ167" s="59"/>
      <c r="CA167" s="59"/>
      <c r="CC167" s="59"/>
    </row>
    <row r="168" spans="1:81" x14ac:dyDescent="0.2">
      <c r="A168">
        <f t="shared" si="158"/>
        <v>67000</v>
      </c>
      <c r="B168">
        <f t="shared" si="138"/>
        <v>67</v>
      </c>
      <c r="C168">
        <f t="shared" si="107"/>
        <v>1.0000354430951377</v>
      </c>
      <c r="D168">
        <f t="shared" si="108"/>
        <v>8.4192693655916161E-3</v>
      </c>
      <c r="F168">
        <f t="shared" si="109"/>
        <v>5.2856053082619342E-2</v>
      </c>
      <c r="G168">
        <f t="shared" si="110"/>
        <v>8.1089572872490481E-2</v>
      </c>
      <c r="H168">
        <f t="shared" si="111"/>
        <v>-3.0605030771275099</v>
      </c>
      <c r="J168">
        <f t="shared" si="112"/>
        <v>15</v>
      </c>
      <c r="M168">
        <f t="shared" si="113"/>
        <v>2.7088277652597217E-2</v>
      </c>
      <c r="N168">
        <f t="shared" si="114"/>
        <v>-1.5707963250000001</v>
      </c>
      <c r="O168">
        <f t="shared" si="115"/>
        <v>8.0578402185426139</v>
      </c>
      <c r="P168">
        <f t="shared" si="116"/>
        <v>1.4463728035146262</v>
      </c>
      <c r="Q168">
        <f t="shared" si="117"/>
        <v>5.313519586765751</v>
      </c>
      <c r="R168">
        <f t="shared" si="118"/>
        <v>1.3814680936509036</v>
      </c>
      <c r="S168">
        <f t="shared" si="119"/>
        <v>0.99996298165380937</v>
      </c>
      <c r="T168">
        <f t="shared" si="120"/>
        <v>-8.6044842478604812E-3</v>
      </c>
      <c r="U168">
        <f t="shared" si="121"/>
        <v>0.99074284150540759</v>
      </c>
      <c r="V168">
        <f t="shared" si="122"/>
        <v>-0.13617251084197934</v>
      </c>
      <c r="X168">
        <f t="shared" si="139"/>
        <v>-0.80942846282673242</v>
      </c>
      <c r="Y168">
        <f t="shared" si="123"/>
        <v>-111.14328317629628</v>
      </c>
      <c r="Z168">
        <f t="shared" si="140"/>
        <v>68.856716823703721</v>
      </c>
      <c r="AC168">
        <v>1</v>
      </c>
      <c r="AD168">
        <f t="shared" si="124"/>
        <v>7.9955480729942998</v>
      </c>
      <c r="AE168">
        <f t="shared" si="125"/>
        <v>-2.288820960961552E-4</v>
      </c>
      <c r="AF168">
        <f t="shared" si="126"/>
        <v>1.6704225111168003E-3</v>
      </c>
      <c r="AG168">
        <f t="shared" si="141"/>
        <v>4617.8171726350893</v>
      </c>
      <c r="AH168">
        <f t="shared" si="142"/>
        <v>-1231.3864667007674</v>
      </c>
      <c r="AJ168">
        <f t="shared" si="127"/>
        <v>22100</v>
      </c>
      <c r="AK168">
        <f t="shared" si="128"/>
        <v>190.16379496263241</v>
      </c>
      <c r="AL168">
        <v>1</v>
      </c>
      <c r="AM168">
        <f t="shared" si="129"/>
        <v>5.2185716818822439</v>
      </c>
      <c r="AN168">
        <f t="shared" si="143"/>
        <v>817.90749457515039</v>
      </c>
      <c r="AO168">
        <f t="shared" si="144"/>
        <v>-4078.1450946265022</v>
      </c>
      <c r="AQ168">
        <f t="shared" si="130"/>
        <v>0.55688589408030298</v>
      </c>
      <c r="AR168">
        <f t="shared" si="131"/>
        <v>-74.622709806760597</v>
      </c>
      <c r="AT168">
        <f t="shared" si="156"/>
        <v>-89317.797719701368</v>
      </c>
      <c r="AU168">
        <f t="shared" si="157"/>
        <v>-345279.77256769105</v>
      </c>
      <c r="AV168">
        <f t="shared" si="145"/>
        <v>-1.8239298128818973</v>
      </c>
      <c r="AW168">
        <f t="shared" si="146"/>
        <v>-300064.51343284681</v>
      </c>
      <c r="AX168">
        <f t="shared" si="147"/>
        <v>-94648.522376197536</v>
      </c>
      <c r="AY168">
        <f t="shared" si="155"/>
        <v>-2.8360431994555126</v>
      </c>
      <c r="BA168">
        <f t="shared" si="132"/>
        <v>1.1335096751738796</v>
      </c>
      <c r="BB168">
        <f t="shared" si="148"/>
        <v>1.0885046287601117</v>
      </c>
      <c r="BC168">
        <f t="shared" si="149"/>
        <v>1.0121133865736154</v>
      </c>
      <c r="BD168">
        <f t="shared" si="133"/>
        <v>-122.01017449437605</v>
      </c>
      <c r="BF168">
        <f t="shared" si="134"/>
        <v>-0.92746774163788515</v>
      </c>
      <c r="BG168">
        <f t="shared" si="135"/>
        <v>-116.88169559917149</v>
      </c>
      <c r="BH168">
        <f t="shared" si="150"/>
        <v>63.118304400828507</v>
      </c>
      <c r="BI168">
        <f t="shared" si="151"/>
        <v>63.118304400828507</v>
      </c>
      <c r="BJ168">
        <f t="shared" si="136"/>
        <v>0</v>
      </c>
      <c r="BK168">
        <f t="shared" si="152"/>
        <v>0</v>
      </c>
      <c r="BM168">
        <f t="shared" si="153"/>
        <v>-2.0159723703979973</v>
      </c>
      <c r="BN168">
        <f t="shared" si="137"/>
        <v>-174.87152110479545</v>
      </c>
      <c r="BQ168" s="56">
        <f t="shared" si="154"/>
        <v>17.990465429045248</v>
      </c>
      <c r="BR168" s="59"/>
      <c r="BS168" s="59"/>
      <c r="BT168" s="59">
        <v>3801.8939999999998</v>
      </c>
      <c r="BU168" s="59">
        <v>4.1437400000000002</v>
      </c>
      <c r="BV168" s="59">
        <v>-245.16899999999998</v>
      </c>
      <c r="BW168" s="61"/>
      <c r="BY168" s="59"/>
      <c r="BZ168" s="59"/>
      <c r="CA168" s="59"/>
      <c r="CC168" s="59"/>
    </row>
    <row r="169" spans="1:81" x14ac:dyDescent="0.2">
      <c r="A169">
        <f t="shared" si="158"/>
        <v>67500</v>
      </c>
      <c r="B169">
        <f t="shared" si="138"/>
        <v>67.5</v>
      </c>
      <c r="C169">
        <f t="shared" si="107"/>
        <v>1.0000359740608933</v>
      </c>
      <c r="D169">
        <f t="shared" si="108"/>
        <v>8.4820967316010451E-3</v>
      </c>
      <c r="F169">
        <f t="shared" si="109"/>
        <v>5.2037802578459399E-2</v>
      </c>
      <c r="G169">
        <f t="shared" si="110"/>
        <v>8.0428592984560704E-2</v>
      </c>
      <c r="H169">
        <f t="shared" si="111"/>
        <v>-3.0611640570154397</v>
      </c>
      <c r="J169">
        <f t="shared" si="112"/>
        <v>15</v>
      </c>
      <c r="M169">
        <f t="shared" si="113"/>
        <v>2.6887623744059456E-2</v>
      </c>
      <c r="N169">
        <f t="shared" si="114"/>
        <v>-1.5707963250000001</v>
      </c>
      <c r="O169">
        <f t="shared" si="115"/>
        <v>8.1170505923997727</v>
      </c>
      <c r="P169">
        <f t="shared" si="116"/>
        <v>1.4472850802430368</v>
      </c>
      <c r="Q169">
        <f t="shared" si="117"/>
        <v>5.3517732653789016</v>
      </c>
      <c r="R169">
        <f t="shared" si="118"/>
        <v>1.3828376092998376</v>
      </c>
      <c r="S169">
        <f t="shared" si="119"/>
        <v>0.9999624271108204</v>
      </c>
      <c r="T169">
        <f t="shared" si="120"/>
        <v>-8.6686936119468594E-3</v>
      </c>
      <c r="U169">
        <f t="shared" si="121"/>
        <v>0.99060610748640965</v>
      </c>
      <c r="V169">
        <f t="shared" si="122"/>
        <v>-0.1371760693724593</v>
      </c>
      <c r="X169">
        <f t="shared" si="139"/>
        <v>-0.88482209532413425</v>
      </c>
      <c r="Y169">
        <f t="shared" si="123"/>
        <v>-111.10799631217836</v>
      </c>
      <c r="Z169">
        <f t="shared" si="140"/>
        <v>68.892003687821642</v>
      </c>
      <c r="AC169">
        <v>1</v>
      </c>
      <c r="AD169">
        <f t="shared" si="124"/>
        <v>8.0552163421957506</v>
      </c>
      <c r="AE169">
        <f t="shared" si="125"/>
        <v>-2.323109936150829E-4</v>
      </c>
      <c r="AF169">
        <f t="shared" si="126"/>
        <v>1.6828883507520004E-3</v>
      </c>
      <c r="AG169">
        <f t="shared" si="141"/>
        <v>4616.5426357857305</v>
      </c>
      <c r="AH169">
        <f t="shared" si="142"/>
        <v>-1231.4979813483706</v>
      </c>
      <c r="AJ169">
        <f t="shared" si="127"/>
        <v>22100</v>
      </c>
      <c r="AK169">
        <f t="shared" si="128"/>
        <v>191.58292776086103</v>
      </c>
      <c r="AL169">
        <v>1</v>
      </c>
      <c r="AM169">
        <f t="shared" si="129"/>
        <v>5.2575162466724104</v>
      </c>
      <c r="AN169">
        <f t="shared" si="143"/>
        <v>806.77579188737309</v>
      </c>
      <c r="AO169">
        <f t="shared" si="144"/>
        <v>-4050.0539055090021</v>
      </c>
      <c r="AQ169">
        <f t="shared" si="130"/>
        <v>0.54866673982223202</v>
      </c>
      <c r="AR169">
        <f t="shared" si="131"/>
        <v>-74.070009876001322</v>
      </c>
      <c r="AT169">
        <f t="shared" si="156"/>
        <v>-88684.124243522616</v>
      </c>
      <c r="AU169">
        <f t="shared" si="157"/>
        <v>-342623.04060815426</v>
      </c>
      <c r="AV169">
        <f t="shared" si="145"/>
        <v>-1.8240763707880505</v>
      </c>
      <c r="AW169">
        <f t="shared" si="146"/>
        <v>-295779.04894976789</v>
      </c>
      <c r="AX169">
        <f t="shared" si="147"/>
        <v>-93100.16491458271</v>
      </c>
      <c r="AY169">
        <f t="shared" si="155"/>
        <v>-2.8366478680188081</v>
      </c>
      <c r="BA169">
        <f t="shared" si="132"/>
        <v>1.1413454290094345</v>
      </c>
      <c r="BB169">
        <f t="shared" si="148"/>
        <v>1.1483420769511801</v>
      </c>
      <c r="BC169">
        <f t="shared" si="149"/>
        <v>1.0125714972307576</v>
      </c>
      <c r="BD169">
        <f t="shared" si="133"/>
        <v>-121.98392668714183</v>
      </c>
      <c r="BF169">
        <f t="shared" si="134"/>
        <v>-1.0031412979066388</v>
      </c>
      <c r="BG169">
        <f t="shared" si="135"/>
        <v>-116.88971940698761</v>
      </c>
      <c r="BH169">
        <f t="shared" si="150"/>
        <v>63.110280593012391</v>
      </c>
      <c r="BI169">
        <f t="shared" si="151"/>
        <v>63.110280593012391</v>
      </c>
      <c r="BJ169">
        <f t="shared" si="136"/>
        <v>0</v>
      </c>
      <c r="BK169">
        <f t="shared" si="152"/>
        <v>0</v>
      </c>
      <c r="BM169">
        <f t="shared" si="153"/>
        <v>-2.1514833748578197</v>
      </c>
      <c r="BN169">
        <f t="shared" si="137"/>
        <v>-174.90579271984578</v>
      </c>
      <c r="BQ169" s="56">
        <f t="shared" si="154"/>
        <v>18.050302877236316</v>
      </c>
      <c r="BR169" s="59"/>
      <c r="BS169" s="59"/>
      <c r="BT169" s="59">
        <v>3890.451</v>
      </c>
      <c r="BU169" s="59">
        <v>3.9573</v>
      </c>
      <c r="BV169" s="59">
        <v>-244.768</v>
      </c>
      <c r="BW169" s="61"/>
      <c r="BY169" s="59"/>
      <c r="BZ169" s="59"/>
      <c r="CA169" s="59"/>
      <c r="CC169" s="59"/>
    </row>
    <row r="170" spans="1:81" x14ac:dyDescent="0.2">
      <c r="A170">
        <f t="shared" si="158"/>
        <v>68000</v>
      </c>
      <c r="B170">
        <f t="shared" si="138"/>
        <v>68</v>
      </c>
      <c r="C170">
        <f t="shared" si="107"/>
        <v>1.0000365089740644</v>
      </c>
      <c r="D170">
        <f t="shared" si="108"/>
        <v>8.5449240306465519E-3</v>
      </c>
      <c r="F170">
        <f t="shared" si="109"/>
        <v>5.123868869649336E-2</v>
      </c>
      <c r="G170">
        <f t="shared" si="110"/>
        <v>7.97787320330961E-2</v>
      </c>
      <c r="H170">
        <f t="shared" si="111"/>
        <v>-3.0618139179669042</v>
      </c>
      <c r="J170">
        <f t="shared" si="112"/>
        <v>15</v>
      </c>
      <c r="M170">
        <f t="shared" si="113"/>
        <v>2.6689920628294315E-2</v>
      </c>
      <c r="N170">
        <f t="shared" si="114"/>
        <v>-1.5707963250000001</v>
      </c>
      <c r="O170">
        <f t="shared" si="115"/>
        <v>8.1762676238177967</v>
      </c>
      <c r="P170">
        <f t="shared" si="116"/>
        <v>1.4481841432900793</v>
      </c>
      <c r="Q170">
        <f t="shared" si="117"/>
        <v>5.3900368391467248</v>
      </c>
      <c r="R170">
        <f t="shared" si="118"/>
        <v>1.3841876832191875</v>
      </c>
      <c r="S170">
        <f t="shared" si="119"/>
        <v>0.99996186844576807</v>
      </c>
      <c r="T170">
        <f t="shared" si="120"/>
        <v>-8.7329029045522099E-3</v>
      </c>
      <c r="U170">
        <f t="shared" si="121"/>
        <v>0.99046841408729147</v>
      </c>
      <c r="V170">
        <f t="shared" si="122"/>
        <v>-0.13817934992559</v>
      </c>
      <c r="X170">
        <f t="shared" si="139"/>
        <v>-0.95953390047602061</v>
      </c>
      <c r="Y170">
        <f t="shared" si="123"/>
        <v>-111.0739274699678</v>
      </c>
      <c r="Z170">
        <f t="shared" si="140"/>
        <v>68.926072530032201</v>
      </c>
      <c r="AC170">
        <v>1</v>
      </c>
      <c r="AD170">
        <f t="shared" si="124"/>
        <v>8.1148846113971995</v>
      </c>
      <c r="AE170">
        <f t="shared" si="125"/>
        <v>-2.3576538479586136E-4</v>
      </c>
      <c r="AF170">
        <f t="shared" si="126"/>
        <v>1.6953541903872004E-3</v>
      </c>
      <c r="AG170">
        <f t="shared" si="141"/>
        <v>4615.2593340489911</v>
      </c>
      <c r="AH170">
        <f t="shared" si="142"/>
        <v>-1231.6708830901275</v>
      </c>
      <c r="AJ170">
        <f t="shared" si="127"/>
        <v>22100</v>
      </c>
      <c r="AK170">
        <f t="shared" si="128"/>
        <v>193.00206055908964</v>
      </c>
      <c r="AL170">
        <v>1</v>
      </c>
      <c r="AM170">
        <f t="shared" si="129"/>
        <v>5.2964608114625769</v>
      </c>
      <c r="AN170">
        <f t="shared" si="143"/>
        <v>795.87746791336838</v>
      </c>
      <c r="AO170">
        <f t="shared" si="144"/>
        <v>-4022.3317589701305</v>
      </c>
      <c r="AQ170">
        <f t="shared" si="130"/>
        <v>0.54062820997999672</v>
      </c>
      <c r="AR170">
        <f t="shared" si="131"/>
        <v>-73.525436557279562</v>
      </c>
      <c r="AT170">
        <f t="shared" si="156"/>
        <v>-88063.999981731293</v>
      </c>
      <c r="AU170">
        <f t="shared" si="157"/>
        <v>-340004.83338582091</v>
      </c>
      <c r="AV170">
        <f t="shared" si="145"/>
        <v>-1.824235051558613</v>
      </c>
      <c r="AW170">
        <f t="shared" si="146"/>
        <v>-291583.24866386928</v>
      </c>
      <c r="AX170">
        <f t="shared" si="147"/>
        <v>-91592.276513117991</v>
      </c>
      <c r="AY170">
        <f t="shared" si="155"/>
        <v>-2.8372321376440048</v>
      </c>
      <c r="BA170">
        <f t="shared" si="132"/>
        <v>1.1491801060362181</v>
      </c>
      <c r="BB170">
        <f t="shared" si="148"/>
        <v>1.2077619824323558</v>
      </c>
      <c r="BC170">
        <f t="shared" si="149"/>
        <v>1.0129970860853919</v>
      </c>
      <c r="BD170">
        <f t="shared" si="133"/>
        <v>-121.95954224193562</v>
      </c>
      <c r="BF170">
        <f t="shared" si="134"/>
        <v>-1.0781355948194551</v>
      </c>
      <c r="BG170">
        <f t="shared" si="135"/>
        <v>-116.89896951253553</v>
      </c>
      <c r="BH170">
        <f t="shared" si="150"/>
        <v>63.10103048746447</v>
      </c>
      <c r="BI170">
        <f t="shared" si="151"/>
        <v>63.10103048746447</v>
      </c>
      <c r="BJ170">
        <f t="shared" si="136"/>
        <v>0</v>
      </c>
      <c r="BK170">
        <f t="shared" si="152"/>
        <v>0</v>
      </c>
      <c r="BM170">
        <f t="shared" si="153"/>
        <v>-2.2858975772518106</v>
      </c>
      <c r="BN170">
        <f t="shared" si="137"/>
        <v>-174.93942727059994</v>
      </c>
      <c r="BQ170" s="56">
        <f t="shared" si="154"/>
        <v>18.10972278271749</v>
      </c>
      <c r="BR170" s="59"/>
      <c r="BS170" s="59"/>
      <c r="BT170" s="59">
        <v>3981.0720000000001</v>
      </c>
      <c r="BU170" s="59">
        <v>3.8980899999999998</v>
      </c>
      <c r="BV170" s="59">
        <v>-244.315</v>
      </c>
      <c r="BW170" s="61"/>
      <c r="BY170" s="59"/>
      <c r="BZ170" s="59"/>
      <c r="CA170" s="59"/>
      <c r="CC170" s="59"/>
    </row>
    <row r="171" spans="1:81" x14ac:dyDescent="0.2">
      <c r="A171">
        <f t="shared" si="158"/>
        <v>68500</v>
      </c>
      <c r="B171">
        <f t="shared" si="138"/>
        <v>68.5</v>
      </c>
      <c r="C171">
        <f t="shared" si="107"/>
        <v>1.0000370478346452</v>
      </c>
      <c r="D171">
        <f t="shared" si="108"/>
        <v>8.6077512622322518E-3</v>
      </c>
      <c r="F171">
        <f t="shared" si="109"/>
        <v>5.0458111075585454E-2</v>
      </c>
      <c r="G171">
        <f t="shared" si="110"/>
        <v>7.913970303583745E-2</v>
      </c>
      <c r="H171">
        <f t="shared" si="111"/>
        <v>-3.0624529469641626</v>
      </c>
      <c r="J171">
        <f t="shared" si="112"/>
        <v>15</v>
      </c>
      <c r="M171">
        <f t="shared" si="113"/>
        <v>2.6495103689401653E-2</v>
      </c>
      <c r="N171">
        <f t="shared" si="114"/>
        <v>-1.5707963250000001</v>
      </c>
      <c r="O171">
        <f t="shared" si="115"/>
        <v>8.2354911691837618</v>
      </c>
      <c r="P171">
        <f t="shared" si="116"/>
        <v>1.4490702762553884</v>
      </c>
      <c r="Q171">
        <f t="shared" si="117"/>
        <v>5.4283100988195825</v>
      </c>
      <c r="R171">
        <f t="shared" si="118"/>
        <v>1.3855187216666731</v>
      </c>
      <c r="S171">
        <f t="shared" si="119"/>
        <v>0.99996130565867325</v>
      </c>
      <c r="T171">
        <f t="shared" si="120"/>
        <v>-8.7971121251472079E-3</v>
      </c>
      <c r="U171">
        <f t="shared" si="121"/>
        <v>0.99032976253946992</v>
      </c>
      <c r="V171">
        <f t="shared" si="122"/>
        <v>-0.13918235059794659</v>
      </c>
      <c r="X171">
        <f t="shared" si="139"/>
        <v>-1.0335771679665031</v>
      </c>
      <c r="Y171">
        <f t="shared" si="123"/>
        <v>-111.04105345756179</v>
      </c>
      <c r="Z171">
        <f t="shared" si="140"/>
        <v>68.958946542438213</v>
      </c>
      <c r="AC171">
        <v>1</v>
      </c>
      <c r="AD171">
        <f t="shared" si="124"/>
        <v>8.1745528805986503</v>
      </c>
      <c r="AE171">
        <f t="shared" si="125"/>
        <v>-2.3924526963849054E-4</v>
      </c>
      <c r="AF171">
        <f t="shared" si="126"/>
        <v>1.7078200300224002E-3</v>
      </c>
      <c r="AG171">
        <f t="shared" si="141"/>
        <v>4613.9672826280785</v>
      </c>
      <c r="AH171">
        <f t="shared" si="142"/>
        <v>-1231.9037191570667</v>
      </c>
      <c r="AJ171">
        <f t="shared" si="127"/>
        <v>22100</v>
      </c>
      <c r="AK171">
        <f t="shared" si="128"/>
        <v>194.42119335731823</v>
      </c>
      <c r="AL171">
        <v>1</v>
      </c>
      <c r="AM171">
        <f t="shared" si="129"/>
        <v>5.3354053762527425</v>
      </c>
      <c r="AN171">
        <f t="shared" si="143"/>
        <v>785.20612236464558</v>
      </c>
      <c r="AO171">
        <f t="shared" si="144"/>
        <v>-3994.9717733735806</v>
      </c>
      <c r="AQ171">
        <f t="shared" si="130"/>
        <v>0.53276505061267976</v>
      </c>
      <c r="AR171">
        <f t="shared" si="131"/>
        <v>-72.988811933937129</v>
      </c>
      <c r="AT171">
        <f t="shared" si="156"/>
        <v>-87457.028365418257</v>
      </c>
      <c r="AU171">
        <f t="shared" si="157"/>
        <v>-337424.30550836638</v>
      </c>
      <c r="AV171">
        <f t="shared" si="145"/>
        <v>-1.8244055874886542</v>
      </c>
      <c r="AW171">
        <f t="shared" si="146"/>
        <v>-287474.66054953012</v>
      </c>
      <c r="AX171">
        <f t="shared" si="147"/>
        <v>-90123.48962235378</v>
      </c>
      <c r="AY171">
        <f t="shared" si="155"/>
        <v>-2.8377964314101956</v>
      </c>
      <c r="BA171">
        <f t="shared" si="132"/>
        <v>1.1570136070482313</v>
      </c>
      <c r="BB171">
        <f t="shared" si="148"/>
        <v>1.2667693299634717</v>
      </c>
      <c r="BC171">
        <f t="shared" si="149"/>
        <v>1.0133908439215413</v>
      </c>
      <c r="BD171">
        <f t="shared" si="133"/>
        <v>-121.93698157974828</v>
      </c>
      <c r="BF171">
        <f t="shared" si="134"/>
        <v>-1.1524639323500014</v>
      </c>
      <c r="BG171">
        <f t="shared" si="135"/>
        <v>-116.90942277970696</v>
      </c>
      <c r="BH171">
        <f t="shared" si="150"/>
        <v>63.090577220293042</v>
      </c>
      <c r="BI171">
        <f t="shared" si="151"/>
        <v>63.090577220293042</v>
      </c>
      <c r="BJ171">
        <f t="shared" si="136"/>
        <v>0</v>
      </c>
      <c r="BK171">
        <f t="shared" si="152"/>
        <v>0</v>
      </c>
      <c r="BM171">
        <f t="shared" si="153"/>
        <v>-2.4192332623134734</v>
      </c>
      <c r="BN171">
        <f t="shared" si="137"/>
        <v>-174.97244119995869</v>
      </c>
      <c r="BQ171" s="56">
        <f t="shared" si="154"/>
        <v>18.168730130248608</v>
      </c>
      <c r="BR171" s="59"/>
      <c r="BS171" s="59"/>
      <c r="BT171" s="59">
        <v>4073.8029999999999</v>
      </c>
      <c r="BU171" s="59">
        <v>3.5600999999999998</v>
      </c>
      <c r="BV171" s="59">
        <v>-244.142</v>
      </c>
      <c r="BW171" s="61"/>
      <c r="BY171" s="59"/>
      <c r="BZ171" s="59"/>
      <c r="CA171" s="59"/>
      <c r="CC171" s="59"/>
    </row>
    <row r="172" spans="1:81" x14ac:dyDescent="0.2">
      <c r="A172">
        <f t="shared" si="158"/>
        <v>69000</v>
      </c>
      <c r="B172">
        <f t="shared" si="138"/>
        <v>69</v>
      </c>
      <c r="C172">
        <f t="shared" si="107"/>
        <v>1.0000375906426286</v>
      </c>
      <c r="D172">
        <f t="shared" si="108"/>
        <v>8.6705784258622673E-3</v>
      </c>
      <c r="F172">
        <f t="shared" si="109"/>
        <v>4.9695493012144105E-2</v>
      </c>
      <c r="G172">
        <f t="shared" si="110"/>
        <v>7.8511229028316837E-2</v>
      </c>
      <c r="H172">
        <f t="shared" si="111"/>
        <v>-3.0630814209716832</v>
      </c>
      <c r="J172">
        <f t="shared" si="112"/>
        <v>15</v>
      </c>
      <c r="M172">
        <f t="shared" si="113"/>
        <v>2.6303110184405992E-2</v>
      </c>
      <c r="N172">
        <f t="shared" si="114"/>
        <v>-1.5707963250000001</v>
      </c>
      <c r="O172">
        <f t="shared" si="115"/>
        <v>8.2947210889707019</v>
      </c>
      <c r="P172">
        <f t="shared" si="116"/>
        <v>1.4499437547207945</v>
      </c>
      <c r="Q172">
        <f t="shared" si="117"/>
        <v>5.4665928409556823</v>
      </c>
      <c r="R172">
        <f t="shared" si="118"/>
        <v>1.3868311197940038</v>
      </c>
      <c r="S172">
        <f t="shared" si="119"/>
        <v>0.99996073874955682</v>
      </c>
      <c r="T172">
        <f t="shared" si="120"/>
        <v>-8.861321273202525E-3</v>
      </c>
      <c r="U172">
        <f t="shared" si="121"/>
        <v>0.99019015408200206</v>
      </c>
      <c r="V172">
        <f t="shared" si="122"/>
        <v>-0.14018506948941853</v>
      </c>
      <c r="X172">
        <f t="shared" si="139"/>
        <v>-1.1069648028816175</v>
      </c>
      <c r="Y172">
        <f t="shared" si="123"/>
        <v>-111.00935160478424</v>
      </c>
      <c r="Z172">
        <f t="shared" si="140"/>
        <v>68.990648395215757</v>
      </c>
      <c r="AC172">
        <v>1</v>
      </c>
      <c r="AD172">
        <f t="shared" si="124"/>
        <v>8.234221149800101</v>
      </c>
      <c r="AE172">
        <f t="shared" si="125"/>
        <v>-2.4275064814297055E-4</v>
      </c>
      <c r="AF172">
        <f t="shared" si="126"/>
        <v>1.7202858696576003E-3</v>
      </c>
      <c r="AG172">
        <f t="shared" si="141"/>
        <v>4612.6664968168807</v>
      </c>
      <c r="AH172">
        <f t="shared" si="142"/>
        <v>-1232.1950782468302</v>
      </c>
      <c r="AJ172">
        <f t="shared" si="127"/>
        <v>22100</v>
      </c>
      <c r="AK172">
        <f t="shared" si="128"/>
        <v>195.84032615554682</v>
      </c>
      <c r="AL172">
        <v>1</v>
      </c>
      <c r="AM172">
        <f t="shared" si="129"/>
        <v>5.3743499410429081</v>
      </c>
      <c r="AN172">
        <f t="shared" si="143"/>
        <v>774.75557013317507</v>
      </c>
      <c r="AO172">
        <f t="shared" si="144"/>
        <v>-3967.9672265123472</v>
      </c>
      <c r="AQ172">
        <f t="shared" si="130"/>
        <v>0.52507219742714628</v>
      </c>
      <c r="AR172">
        <f t="shared" si="131"/>
        <v>-72.459963244946181</v>
      </c>
      <c r="AT172">
        <f t="shared" si="156"/>
        <v>-86862.827146886688</v>
      </c>
      <c r="AU172">
        <f t="shared" si="157"/>
        <v>-334880.63619793986</v>
      </c>
      <c r="AV172">
        <f t="shared" si="145"/>
        <v>-1.82458771837852</v>
      </c>
      <c r="AW172">
        <f t="shared" si="146"/>
        <v>-283450.91472002101</v>
      </c>
      <c r="AX172">
        <f t="shared" si="147"/>
        <v>-88692.492395095731</v>
      </c>
      <c r="AY172">
        <f t="shared" si="155"/>
        <v>-2.8383411607875089</v>
      </c>
      <c r="BA172">
        <f t="shared" si="132"/>
        <v>1.1648458348208999</v>
      </c>
      <c r="BB172">
        <f t="shared" si="148"/>
        <v>1.325369021971269</v>
      </c>
      <c r="BC172">
        <f t="shared" si="149"/>
        <v>1.0137534424089889</v>
      </c>
      <c r="BD172">
        <f t="shared" si="133"/>
        <v>-121.91620621673596</v>
      </c>
      <c r="BF172">
        <f t="shared" si="134"/>
        <v>-1.2261392259308186</v>
      </c>
      <c r="BG172">
        <f t="shared" si="135"/>
        <v>-116.92105659358151</v>
      </c>
      <c r="BH172">
        <f t="shared" si="150"/>
        <v>63.078943406418489</v>
      </c>
      <c r="BI172">
        <f t="shared" si="151"/>
        <v>63.078943406418489</v>
      </c>
      <c r="BJ172">
        <f t="shared" si="136"/>
        <v>0</v>
      </c>
      <c r="BK172">
        <f t="shared" si="152"/>
        <v>0</v>
      </c>
      <c r="BM172">
        <f t="shared" si="153"/>
        <v>-2.5515082479020883</v>
      </c>
      <c r="BN172">
        <f t="shared" si="137"/>
        <v>-175.00485037684558</v>
      </c>
      <c r="BQ172" s="56">
        <f t="shared" si="154"/>
        <v>18.227329822256408</v>
      </c>
      <c r="BR172" s="59"/>
      <c r="BS172" s="59"/>
      <c r="BT172" s="59">
        <v>4168.6940000000004</v>
      </c>
      <c r="BU172" s="59">
        <v>3.4098799999999998</v>
      </c>
      <c r="BV172" s="59">
        <v>-243.709</v>
      </c>
      <c r="BW172" s="61"/>
      <c r="BY172" s="59"/>
      <c r="BZ172" s="59"/>
      <c r="CA172" s="59"/>
      <c r="CC172" s="59"/>
    </row>
    <row r="173" spans="1:81" x14ac:dyDescent="0.2">
      <c r="A173">
        <f t="shared" si="158"/>
        <v>69500</v>
      </c>
      <c r="B173">
        <f t="shared" si="138"/>
        <v>69.5</v>
      </c>
      <c r="C173">
        <f t="shared" si="107"/>
        <v>1.000038137398009</v>
      </c>
      <c r="D173">
        <f t="shared" si="108"/>
        <v>8.7334055210407154E-3</v>
      </c>
      <c r="F173">
        <f t="shared" si="109"/>
        <v>4.8950280337461446E-2</v>
      </c>
      <c r="G173">
        <f t="shared" si="110"/>
        <v>7.7893042623547362E-2</v>
      </c>
      <c r="H173">
        <f t="shared" si="111"/>
        <v>-3.0636996073764529</v>
      </c>
      <c r="J173">
        <f t="shared" si="112"/>
        <v>15</v>
      </c>
      <c r="M173">
        <f t="shared" si="113"/>
        <v>2.6113879175885084E-2</v>
      </c>
      <c r="N173">
        <f t="shared" si="114"/>
        <v>-1.5707963250000001</v>
      </c>
      <c r="O173">
        <f t="shared" si="115"/>
        <v>8.3539572475938542</v>
      </c>
      <c r="P173">
        <f t="shared" si="116"/>
        <v>1.4508048465302643</v>
      </c>
      <c r="Q173">
        <f t="shared" si="117"/>
        <v>5.5048848677227165</v>
      </c>
      <c r="R173">
        <f t="shared" si="118"/>
        <v>1.3881252620191267</v>
      </c>
      <c r="S173">
        <f t="shared" si="119"/>
        <v>0.99996016771843976</v>
      </c>
      <c r="T173">
        <f t="shared" si="120"/>
        <v>-8.9255303481888416E-3</v>
      </c>
      <c r="U173">
        <f t="shared" si="121"/>
        <v>0.99004958996155357</v>
      </c>
      <c r="V173">
        <f t="shared" si="122"/>
        <v>-0.14118750470322927</v>
      </c>
      <c r="X173">
        <f t="shared" si="139"/>
        <v>-1.1797093403209338</v>
      </c>
      <c r="Y173">
        <f t="shared" si="123"/>
        <v>-110.97879975124691</v>
      </c>
      <c r="Z173">
        <f t="shared" si="140"/>
        <v>69.02120024875309</v>
      </c>
      <c r="AC173">
        <v>1</v>
      </c>
      <c r="AD173">
        <f t="shared" si="124"/>
        <v>8.29388941900155</v>
      </c>
      <c r="AE173">
        <f t="shared" si="125"/>
        <v>-2.4628152030930128E-4</v>
      </c>
      <c r="AF173">
        <f t="shared" si="126"/>
        <v>1.7327517092928003E-3</v>
      </c>
      <c r="AG173">
        <f t="shared" si="141"/>
        <v>4611.3569919995271</v>
      </c>
      <c r="AH173">
        <f t="shared" si="142"/>
        <v>-1232.5435890351678</v>
      </c>
      <c r="AJ173">
        <f t="shared" si="127"/>
        <v>22100</v>
      </c>
      <c r="AK173">
        <f t="shared" si="128"/>
        <v>197.25945895377541</v>
      </c>
      <c r="AL173">
        <v>1</v>
      </c>
      <c r="AM173">
        <f t="shared" si="129"/>
        <v>5.4132945058330746</v>
      </c>
      <c r="AN173">
        <f t="shared" si="143"/>
        <v>764.51983278206399</v>
      </c>
      <c r="AO173">
        <f t="shared" si="144"/>
        <v>-3941.3115514457918</v>
      </c>
      <c r="AQ173">
        <f t="shared" si="130"/>
        <v>0.51754476762239932</v>
      </c>
      <c r="AR173">
        <f t="shared" si="131"/>
        <v>-71.938722699513505</v>
      </c>
      <c r="AT173">
        <f t="shared" si="156"/>
        <v>-86281.027783815749</v>
      </c>
      <c r="AU173">
        <f t="shared" si="157"/>
        <v>-332373.02840128838</v>
      </c>
      <c r="AV173">
        <f t="shared" si="145"/>
        <v>-1.8247811912724659</v>
      </c>
      <c r="AW173">
        <f t="shared" si="146"/>
        <v>-279509.72019439988</v>
      </c>
      <c r="AX173">
        <f t="shared" si="147"/>
        <v>-87298.026052181143</v>
      </c>
      <c r="AY173">
        <f t="shared" si="155"/>
        <v>-2.8388667260277516</v>
      </c>
      <c r="BA173">
        <f t="shared" si="132"/>
        <v>1.172676694041203</v>
      </c>
      <c r="BB173">
        <f t="shared" si="148"/>
        <v>1.383565880033502</v>
      </c>
      <c r="BC173">
        <f t="shared" si="149"/>
        <v>1.0140855347552857</v>
      </c>
      <c r="BD173">
        <f t="shared" si="133"/>
        <v>-121.89717872686282</v>
      </c>
      <c r="BF173">
        <f t="shared" si="134"/>
        <v>-1.2991740210645348</v>
      </c>
      <c r="BG173">
        <f t="shared" si="135"/>
        <v>-116.93384884829761</v>
      </c>
      <c r="BH173">
        <f t="shared" si="150"/>
        <v>63.066151151702385</v>
      </c>
      <c r="BI173">
        <f t="shared" si="151"/>
        <v>63.066151151702385</v>
      </c>
      <c r="BJ173">
        <f t="shared" si="136"/>
        <v>0</v>
      </c>
      <c r="BK173">
        <f t="shared" si="152"/>
        <v>0</v>
      </c>
      <c r="BM173">
        <f t="shared" si="153"/>
        <v>-2.682739901098036</v>
      </c>
      <c r="BN173">
        <f t="shared" si="137"/>
        <v>-175.03667012143478</v>
      </c>
      <c r="BQ173" s="56">
        <f t="shared" si="154"/>
        <v>18.28552668031864</v>
      </c>
      <c r="BR173" s="59"/>
      <c r="BS173" s="59"/>
      <c r="BT173" s="59">
        <v>4265.7950000000001</v>
      </c>
      <c r="BU173" s="59">
        <v>3.2244999999999999</v>
      </c>
      <c r="BV173" s="59">
        <v>-243.32400000000001</v>
      </c>
      <c r="BW173" s="61"/>
      <c r="BY173" s="59"/>
      <c r="BZ173" s="59"/>
      <c r="CA173" s="59"/>
      <c r="CC173" s="59"/>
    </row>
    <row r="174" spans="1:81" x14ac:dyDescent="0.2">
      <c r="A174">
        <f t="shared" si="158"/>
        <v>70000</v>
      </c>
      <c r="B174">
        <f t="shared" si="138"/>
        <v>70</v>
      </c>
      <c r="C174">
        <f t="shared" si="107"/>
        <v>1.0000386881007792</v>
      </c>
      <c r="D174">
        <f t="shared" si="108"/>
        <v>8.7962325472717238E-3</v>
      </c>
      <c r="F174">
        <f t="shared" si="109"/>
        <v>4.8221940357347941E-2</v>
      </c>
      <c r="G174">
        <f t="shared" si="110"/>
        <v>7.7284885594982713E-2</v>
      </c>
      <c r="H174">
        <f t="shared" si="111"/>
        <v>-3.0643077644050174</v>
      </c>
      <c r="J174">
        <f t="shared" si="112"/>
        <v>15</v>
      </c>
      <c r="M174">
        <f t="shared" si="113"/>
        <v>2.5927351467485905E-2</v>
      </c>
      <c r="N174">
        <f t="shared" si="114"/>
        <v>-1.5707963250000001</v>
      </c>
      <c r="O174">
        <f t="shared" si="115"/>
        <v>8.4131995132729074</v>
      </c>
      <c r="P174">
        <f t="shared" si="116"/>
        <v>1.4516538120582536</v>
      </c>
      <c r="Q174">
        <f t="shared" si="117"/>
        <v>5.5431859867075159</v>
      </c>
      <c r="R174">
        <f t="shared" si="118"/>
        <v>1.389401522383799</v>
      </c>
      <c r="S174">
        <f t="shared" si="119"/>
        <v>0.99995959256534306</v>
      </c>
      <c r="T174">
        <f t="shared" si="120"/>
        <v>-8.9897393495768398E-3</v>
      </c>
      <c r="U174">
        <f t="shared" si="121"/>
        <v>0.98990807143236892</v>
      </c>
      <c r="V174">
        <f t="shared" si="122"/>
        <v>-0.14218965434595576</v>
      </c>
      <c r="X174">
        <f t="shared" si="139"/>
        <v>-1.2518229593292278</v>
      </c>
      <c r="Y174">
        <f t="shared" si="123"/>
        <v>-110.94937623438241</v>
      </c>
      <c r="Z174">
        <f t="shared" si="140"/>
        <v>69.050623765617587</v>
      </c>
      <c r="AC174">
        <v>1</v>
      </c>
      <c r="AD174">
        <f t="shared" si="124"/>
        <v>8.3535576882030007</v>
      </c>
      <c r="AE174">
        <f t="shared" si="125"/>
        <v>-2.4983788613748277E-4</v>
      </c>
      <c r="AF174">
        <f t="shared" si="126"/>
        <v>1.7452175489280004E-3</v>
      </c>
      <c r="AG174">
        <f t="shared" si="141"/>
        <v>4610.0387836499476</v>
      </c>
      <c r="AH174">
        <f t="shared" si="142"/>
        <v>-1232.9479187512379</v>
      </c>
      <c r="AJ174">
        <f t="shared" si="127"/>
        <v>22100</v>
      </c>
      <c r="AK174">
        <f t="shared" si="128"/>
        <v>198.67859175200402</v>
      </c>
      <c r="AL174">
        <v>1</v>
      </c>
      <c r="AM174">
        <f t="shared" si="129"/>
        <v>5.4522390706232402</v>
      </c>
      <c r="AN174">
        <f t="shared" si="143"/>
        <v>754.4931304207056</v>
      </c>
      <c r="AO174">
        <f t="shared" si="144"/>
        <v>-3914.9983324446025</v>
      </c>
      <c r="AQ174">
        <f t="shared" si="130"/>
        <v>0.51017805214019696</v>
      </c>
      <c r="AR174">
        <f t="shared" si="131"/>
        <v>-71.424927299627569</v>
      </c>
      <c r="AT174">
        <f t="shared" si="156"/>
        <v>-85711.274854100993</v>
      </c>
      <c r="AU174">
        <f t="shared" si="157"/>
        <v>-329900.70793823985</v>
      </c>
      <c r="AV174">
        <f t="shared" si="145"/>
        <v>-1.8249857602080817</v>
      </c>
      <c r="AW174">
        <f t="shared" si="146"/>
        <v>-275648.86180961988</v>
      </c>
      <c r="AX174">
        <f t="shared" si="147"/>
        <v>-85938.882389430801</v>
      </c>
      <c r="AY174">
        <f t="shared" si="155"/>
        <v>-2.8393735165395855</v>
      </c>
      <c r="BA174">
        <f t="shared" si="132"/>
        <v>1.1805060912407841</v>
      </c>
      <c r="BB174">
        <f t="shared" si="148"/>
        <v>1.4413646463454972</v>
      </c>
      <c r="BC174">
        <f t="shared" si="149"/>
        <v>1.0143877563315038</v>
      </c>
      <c r="BD174">
        <f t="shared" si="133"/>
        <v>-121.87986270604794</v>
      </c>
      <c r="BF174">
        <f t="shared" si="134"/>
        <v>-1.3715805072551208</v>
      </c>
      <c r="BG174">
        <f t="shared" si="135"/>
        <v>-116.947777935094</v>
      </c>
      <c r="BH174">
        <f t="shared" si="150"/>
        <v>63.052222064906005</v>
      </c>
      <c r="BI174">
        <f t="shared" si="151"/>
        <v>63.052222064906005</v>
      </c>
      <c r="BJ174">
        <f t="shared" si="136"/>
        <v>0</v>
      </c>
      <c r="BK174">
        <f t="shared" si="152"/>
        <v>0</v>
      </c>
      <c r="BM174">
        <f t="shared" si="153"/>
        <v>-2.8129451536006176</v>
      </c>
      <c r="BN174">
        <f t="shared" si="137"/>
        <v>-175.06791522904606</v>
      </c>
      <c r="BQ174" s="56">
        <f t="shared" si="154"/>
        <v>18.343325446630633</v>
      </c>
      <c r="BR174" s="59"/>
      <c r="BS174" s="59"/>
      <c r="BT174" s="59">
        <v>4365.1580000000004</v>
      </c>
      <c r="BU174" s="59">
        <v>3.07782</v>
      </c>
      <c r="BV174" s="59">
        <v>-242.172</v>
      </c>
      <c r="BW174" s="61"/>
      <c r="BY174" s="59"/>
      <c r="BZ174" s="59"/>
      <c r="CA174" s="59"/>
      <c r="CC174" s="59"/>
    </row>
    <row r="175" spans="1:81" x14ac:dyDescent="0.2">
      <c r="A175">
        <f t="shared" si="158"/>
        <v>70500</v>
      </c>
      <c r="B175">
        <f t="shared" si="138"/>
        <v>70.5</v>
      </c>
      <c r="C175">
        <f t="shared" si="107"/>
        <v>1.000039242750933</v>
      </c>
      <c r="D175">
        <f t="shared" si="108"/>
        <v>8.8590595040594217E-3</v>
      </c>
      <c r="F175">
        <f t="shared" si="109"/>
        <v>4.750996085010778E-2</v>
      </c>
      <c r="G175">
        <f t="shared" si="110"/>
        <v>7.6686508481314308E-2</v>
      </c>
      <c r="H175">
        <f t="shared" si="111"/>
        <v>-3.0649061415186858</v>
      </c>
      <c r="J175">
        <f t="shared" si="112"/>
        <v>15</v>
      </c>
      <c r="M175">
        <f t="shared" si="113"/>
        <v>2.5743469542184583E-2</v>
      </c>
      <c r="N175">
        <f t="shared" si="114"/>
        <v>-1.5707963250000001</v>
      </c>
      <c r="O175">
        <f t="shared" si="115"/>
        <v>8.4724477578999586</v>
      </c>
      <c r="P175">
        <f t="shared" si="116"/>
        <v>1.4524909044670238</v>
      </c>
      <c r="Q175">
        <f t="shared" si="117"/>
        <v>5.5814960107333231</v>
      </c>
      <c r="R175">
        <f t="shared" si="118"/>
        <v>1.3906602648971409</v>
      </c>
      <c r="S175">
        <f t="shared" si="119"/>
        <v>0.99995901329028825</v>
      </c>
      <c r="T175">
        <f t="shared" si="120"/>
        <v>-9.0539482768372068E-3</v>
      </c>
      <c r="U175">
        <f t="shared" si="121"/>
        <v>0.98976559975624223</v>
      </c>
      <c r="V175">
        <f t="shared" si="122"/>
        <v>-0.14319151652754811</v>
      </c>
      <c r="X175">
        <f t="shared" si="139"/>
        <v>-1.3233174961854082</v>
      </c>
      <c r="Y175">
        <f t="shared" si="123"/>
        <v>-110.92105987766186</v>
      </c>
      <c r="Z175">
        <f t="shared" si="140"/>
        <v>69.078940122338139</v>
      </c>
      <c r="AC175">
        <v>1</v>
      </c>
      <c r="AD175">
        <f t="shared" si="124"/>
        <v>8.4132259574044497</v>
      </c>
      <c r="AE175">
        <f t="shared" si="125"/>
        <v>-2.5341974562751509E-4</v>
      </c>
      <c r="AF175">
        <f t="shared" si="126"/>
        <v>1.7576833885632002E-3</v>
      </c>
      <c r="AG175">
        <f t="shared" si="141"/>
        <v>4608.7118873314275</v>
      </c>
      <c r="AH175">
        <f t="shared" si="142"/>
        <v>-1233.4067718135484</v>
      </c>
      <c r="AJ175">
        <f t="shared" si="127"/>
        <v>22100</v>
      </c>
      <c r="AK175">
        <f t="shared" si="128"/>
        <v>200.09772455023264</v>
      </c>
      <c r="AL175">
        <v>1</v>
      </c>
      <c r="AM175">
        <f t="shared" si="129"/>
        <v>5.4911836354134058</v>
      </c>
      <c r="AN175">
        <f t="shared" si="143"/>
        <v>744.66987394498335</v>
      </c>
      <c r="AO175">
        <f t="shared" si="144"/>
        <v>-3889.0213010418242</v>
      </c>
      <c r="AQ175">
        <f t="shared" si="130"/>
        <v>0.50296750829896386</v>
      </c>
      <c r="AR175">
        <f t="shared" si="131"/>
        <v>-70.918418670153912</v>
      </c>
      <c r="AT175">
        <f t="shared" si="156"/>
        <v>-85153.225499637309</v>
      </c>
      <c r="AU175">
        <f t="shared" si="157"/>
        <v>-327462.92268662347</v>
      </c>
      <c r="AV175">
        <f t="shared" si="145"/>
        <v>-1.8252011859759978</v>
      </c>
      <c r="AW175">
        <f t="shared" si="146"/>
        <v>-271866.19727057108</v>
      </c>
      <c r="AX175">
        <f t="shared" si="147"/>
        <v>-84613.901417349392</v>
      </c>
      <c r="AY175">
        <f t="shared" si="155"/>
        <v>-2.8398619112489425</v>
      </c>
      <c r="BA175">
        <f t="shared" si="132"/>
        <v>1.1883339347318778</v>
      </c>
      <c r="BB175">
        <f t="shared" si="148"/>
        <v>1.4987699851681384</v>
      </c>
      <c r="BC175">
        <f t="shared" si="149"/>
        <v>1.0146607252729447</v>
      </c>
      <c r="BD175">
        <f t="shared" si="133"/>
        <v>-121.86422273774735</v>
      </c>
      <c r="BF175">
        <f t="shared" si="134"/>
        <v>-1.4433705312964342</v>
      </c>
      <c r="BG175">
        <f t="shared" si="135"/>
        <v>-116.96282273053531</v>
      </c>
      <c r="BH175">
        <f t="shared" si="150"/>
        <v>63.037177269464692</v>
      </c>
      <c r="BI175">
        <f t="shared" si="151"/>
        <v>63.037177269464692</v>
      </c>
      <c r="BJ175">
        <f t="shared" si="136"/>
        <v>0</v>
      </c>
      <c r="BK175">
        <f t="shared" si="152"/>
        <v>0</v>
      </c>
      <c r="BM175">
        <f t="shared" si="153"/>
        <v>-2.9421405164645718</v>
      </c>
      <c r="BN175">
        <f t="shared" si="137"/>
        <v>-175.09859999278794</v>
      </c>
      <c r="BQ175" s="56">
        <f t="shared" si="154"/>
        <v>18.400730785453273</v>
      </c>
      <c r="BR175" s="59"/>
      <c r="BS175" s="59"/>
      <c r="BT175" s="59">
        <v>4466.8360000000002</v>
      </c>
      <c r="BU175" s="59">
        <v>2.9233199999999999</v>
      </c>
      <c r="BV175" s="59">
        <v>-240.90300000000002</v>
      </c>
      <c r="BW175" s="61"/>
      <c r="BY175" s="59"/>
      <c r="BZ175" s="59"/>
      <c r="CA175" s="59"/>
      <c r="CC175" s="59"/>
    </row>
    <row r="176" spans="1:81" x14ac:dyDescent="0.2">
      <c r="A176">
        <f t="shared" si="158"/>
        <v>71000</v>
      </c>
      <c r="B176">
        <f t="shared" si="138"/>
        <v>71</v>
      </c>
      <c r="C176">
        <f t="shared" si="107"/>
        <v>1.0000398013484642</v>
      </c>
      <c r="D176">
        <f t="shared" si="108"/>
        <v>8.9218863909079366E-3</v>
      </c>
      <c r="F176">
        <f t="shared" si="109"/>
        <v>4.6813849119182793E-2</v>
      </c>
      <c r="G176">
        <f t="shared" si="110"/>
        <v>7.6097670211774104E-2</v>
      </c>
      <c r="H176">
        <f t="shared" si="111"/>
        <v>-3.0654949797882263</v>
      </c>
      <c r="J176">
        <f t="shared" si="112"/>
        <v>15</v>
      </c>
      <c r="M176">
        <f t="shared" si="113"/>
        <v>2.5562177503155117E-2</v>
      </c>
      <c r="N176">
        <f t="shared" si="114"/>
        <v>-1.5707963250000001</v>
      </c>
      <c r="O176">
        <f t="shared" si="115"/>
        <v>8.5317018569129353</v>
      </c>
      <c r="P176">
        <f t="shared" si="116"/>
        <v>1.4533163699534477</v>
      </c>
      <c r="Q176">
        <f t="shared" si="117"/>
        <v>5.6198147576843489</v>
      </c>
      <c r="R176">
        <f t="shared" si="118"/>
        <v>1.3919018438658044</v>
      </c>
      <c r="S176">
        <f t="shared" si="119"/>
        <v>0.99995842989329686</v>
      </c>
      <c r="T176">
        <f t="shared" si="120"/>
        <v>-9.1181571294406336E-3</v>
      </c>
      <c r="U176">
        <f t="shared" si="121"/>
        <v>0.98962217620248605</v>
      </c>
      <c r="V176">
        <f t="shared" si="122"/>
        <v>-0.1441930893613487</v>
      </c>
      <c r="X176">
        <f t="shared" si="139"/>
        <v>-1.3942044570834733</v>
      </c>
      <c r="Y176">
        <f t="shared" si="123"/>
        <v>-110.89382997900572</v>
      </c>
      <c r="Z176">
        <f t="shared" si="140"/>
        <v>69.106170020994284</v>
      </c>
      <c r="AC176">
        <v>1</v>
      </c>
      <c r="AD176">
        <f t="shared" si="124"/>
        <v>8.4728942266059004</v>
      </c>
      <c r="AE176">
        <f t="shared" si="125"/>
        <v>-2.5702709877939819E-4</v>
      </c>
      <c r="AF176">
        <f t="shared" si="126"/>
        <v>1.7701492281984002E-3</v>
      </c>
      <c r="AG176">
        <f t="shared" si="141"/>
        <v>4607.3763186961605</v>
      </c>
      <c r="AH176">
        <f t="shared" si="142"/>
        <v>-1233.918888523543</v>
      </c>
      <c r="AJ176">
        <f t="shared" si="127"/>
        <v>22100</v>
      </c>
      <c r="AK176">
        <f t="shared" si="128"/>
        <v>201.5168573484612</v>
      </c>
      <c r="AL176">
        <v>1</v>
      </c>
      <c r="AM176">
        <f t="shared" si="129"/>
        <v>5.5301282002035723</v>
      </c>
      <c r="AN176">
        <f t="shared" si="143"/>
        <v>735.04465762419079</v>
      </c>
      <c r="AO176">
        <f t="shared" si="144"/>
        <v>-3863.3743321880556</v>
      </c>
      <c r="AQ176">
        <f t="shared" si="130"/>
        <v>0.49590875278948676</v>
      </c>
      <c r="AR176">
        <f t="shared" si="131"/>
        <v>-70.419042896107115</v>
      </c>
      <c r="AT176">
        <f t="shared" si="156"/>
        <v>-84606.548897419751</v>
      </c>
      <c r="AU176">
        <f t="shared" si="157"/>
        <v>-325058.94180182408</v>
      </c>
      <c r="AV176">
        <f t="shared" si="145"/>
        <v>-1.8254272358893817</v>
      </c>
      <c r="AW176">
        <f t="shared" si="146"/>
        <v>-268159.65433117782</v>
      </c>
      <c r="AX176">
        <f t="shared" si="147"/>
        <v>-83321.969125701362</v>
      </c>
      <c r="AY176">
        <f t="shared" si="155"/>
        <v>-2.8403322789453389</v>
      </c>
      <c r="BA176">
        <f t="shared" si="132"/>
        <v>1.1961601345459338</v>
      </c>
      <c r="BB176">
        <f t="shared" si="148"/>
        <v>1.5557864842566809</v>
      </c>
      <c r="BC176">
        <f t="shared" si="149"/>
        <v>1.0149050430559572</v>
      </c>
      <c r="BD176">
        <f t="shared" si="133"/>
        <v>-121.85022435990476</v>
      </c>
      <c r="BF176">
        <f t="shared" si="134"/>
        <v>-1.5145556099527822</v>
      </c>
      <c r="BG176">
        <f t="shared" si="135"/>
        <v>-116.97896258493124</v>
      </c>
      <c r="BH176">
        <f t="shared" si="150"/>
        <v>63.021037415068761</v>
      </c>
      <c r="BI176">
        <f t="shared" si="151"/>
        <v>63.021037415068761</v>
      </c>
      <c r="BJ176">
        <f t="shared" si="136"/>
        <v>0</v>
      </c>
      <c r="BK176">
        <f t="shared" si="152"/>
        <v>0</v>
      </c>
      <c r="BM176">
        <f t="shared" si="153"/>
        <v>-3.0703420942094621</v>
      </c>
      <c r="BN176">
        <f t="shared" si="137"/>
        <v>-175.12873822502652</v>
      </c>
      <c r="BQ176" s="56">
        <f t="shared" si="154"/>
        <v>18.457747284541817</v>
      </c>
      <c r="BR176" s="59"/>
      <c r="BS176" s="59"/>
      <c r="BT176" s="59">
        <v>4570.8819999999996</v>
      </c>
      <c r="BU176" s="59">
        <v>2.7266900000000001</v>
      </c>
      <c r="BV176" s="59">
        <v>-241.25200000000001</v>
      </c>
      <c r="BW176" s="61"/>
      <c r="BY176" s="59"/>
      <c r="BZ176" s="59"/>
      <c r="CA176" s="59"/>
      <c r="CC176" s="59"/>
    </row>
    <row r="177" spans="1:81" x14ac:dyDescent="0.2">
      <c r="A177">
        <f t="shared" si="158"/>
        <v>71500</v>
      </c>
      <c r="B177">
        <f t="shared" si="138"/>
        <v>71.5</v>
      </c>
      <c r="C177">
        <f t="shared" si="107"/>
        <v>1.0000403638933653</v>
      </c>
      <c r="D177">
        <f t="shared" si="108"/>
        <v>8.9847132073214084E-3</v>
      </c>
      <c r="F177">
        <f t="shared" si="109"/>
        <v>4.613313109705261E-2</v>
      </c>
      <c r="G177">
        <f t="shared" si="110"/>
        <v>7.5518137750703901E-2</v>
      </c>
      <c r="H177">
        <f t="shared" si="111"/>
        <v>-3.0660745122492963</v>
      </c>
      <c r="J177">
        <f t="shared" si="112"/>
        <v>15</v>
      </c>
      <c r="M177">
        <f t="shared" si="113"/>
        <v>2.5383421017119066E-2</v>
      </c>
      <c r="N177">
        <f t="shared" si="114"/>
        <v>-1.5707963250000001</v>
      </c>
      <c r="O177">
        <f t="shared" si="115"/>
        <v>8.5909616891741631</v>
      </c>
      <c r="P177">
        <f t="shared" si="116"/>
        <v>1.4541304479857973</v>
      </c>
      <c r="Q177">
        <f t="shared" si="117"/>
        <v>5.6581420503372843</v>
      </c>
      <c r="R177">
        <f t="shared" si="118"/>
        <v>1.3931266042113464</v>
      </c>
      <c r="S177">
        <f t="shared" si="119"/>
        <v>0.99995784237439045</v>
      </c>
      <c r="T177">
        <f t="shared" si="120"/>
        <v>-9.1823659068578107E-3</v>
      </c>
      <c r="U177">
        <f t="shared" si="121"/>
        <v>0.98947780204789992</v>
      </c>
      <c r="V177">
        <f t="shared" si="122"/>
        <v>-0.14519437096411161</v>
      </c>
      <c r="X177">
        <f t="shared" si="139"/>
        <v>-1.4644950302383661</v>
      </c>
      <c r="Y177">
        <f t="shared" si="123"/>
        <v>-110.86766629939886</v>
      </c>
      <c r="Z177">
        <f t="shared" si="140"/>
        <v>69.132333700601137</v>
      </c>
      <c r="AC177">
        <v>1</v>
      </c>
      <c r="AD177">
        <f t="shared" si="124"/>
        <v>8.5325624958073512</v>
      </c>
      <c r="AE177">
        <f t="shared" si="125"/>
        <v>-2.6065994559313195E-4</v>
      </c>
      <c r="AF177">
        <f t="shared" si="126"/>
        <v>1.7826150678336003E-3</v>
      </c>
      <c r="AG177">
        <f t="shared" si="141"/>
        <v>4606.0320934847978</v>
      </c>
      <c r="AH177">
        <f t="shared" si="142"/>
        <v>-1234.4830438140248</v>
      </c>
      <c r="AJ177">
        <f t="shared" si="127"/>
        <v>22100</v>
      </c>
      <c r="AK177">
        <f t="shared" si="128"/>
        <v>202.93599014668985</v>
      </c>
      <c r="AL177">
        <v>1</v>
      </c>
      <c r="AM177">
        <f t="shared" si="129"/>
        <v>5.5690727649937388</v>
      </c>
      <c r="AN177">
        <f t="shared" si="143"/>
        <v>725.61225201733464</v>
      </c>
      <c r="AO177">
        <f t="shared" si="144"/>
        <v>-3838.0514405088211</v>
      </c>
      <c r="AQ177">
        <f t="shared" si="130"/>
        <v>0.48899755501222492</v>
      </c>
      <c r="AR177">
        <f t="shared" si="131"/>
        <v>-69.926650366748163</v>
      </c>
      <c r="AT177">
        <f t="shared" si="156"/>
        <v>-84070.925756440454</v>
      </c>
      <c r="AU177">
        <f t="shared" si="157"/>
        <v>-322688.05496926163</v>
      </c>
      <c r="AV177">
        <f t="shared" si="145"/>
        <v>-1.825663683562774</v>
      </c>
      <c r="AW177">
        <f t="shared" si="146"/>
        <v>-264527.22810004972</v>
      </c>
      <c r="AX177">
        <f t="shared" si="147"/>
        <v>-82062.015365601328</v>
      </c>
      <c r="AY177">
        <f t="shared" si="155"/>
        <v>-2.840784978614721</v>
      </c>
      <c r="BA177">
        <f t="shared" si="132"/>
        <v>1.2039846023747913</v>
      </c>
      <c r="BB177">
        <f t="shared" si="148"/>
        <v>1.6124186562696254</v>
      </c>
      <c r="BC177">
        <f t="shared" si="149"/>
        <v>1.015121295051947</v>
      </c>
      <c r="BD177">
        <f t="shared" si="133"/>
        <v>-121.83783403320911</v>
      </c>
      <c r="BF177">
        <f t="shared" si="134"/>
        <v>-1.5851469420643471</v>
      </c>
      <c r="BG177">
        <f t="shared" si="135"/>
        <v>-116.9961773109588</v>
      </c>
      <c r="BH177">
        <f t="shared" si="150"/>
        <v>63.003822689041201</v>
      </c>
      <c r="BI177">
        <f t="shared" si="151"/>
        <v>63.003822689041201</v>
      </c>
      <c r="BJ177">
        <f t="shared" si="136"/>
        <v>0</v>
      </c>
      <c r="BK177">
        <f t="shared" si="152"/>
        <v>0</v>
      </c>
      <c r="BM177">
        <f t="shared" si="153"/>
        <v>-3.1975655983339735</v>
      </c>
      <c r="BN177">
        <f t="shared" si="137"/>
        <v>-175.15834327774974</v>
      </c>
      <c r="BQ177" s="56">
        <f t="shared" si="154"/>
        <v>18.51437945655476</v>
      </c>
      <c r="BR177" s="59"/>
      <c r="BS177" s="59"/>
      <c r="BT177" s="59">
        <v>4677.3509999999997</v>
      </c>
      <c r="BU177" s="59">
        <v>2.54392</v>
      </c>
      <c r="BV177" s="59">
        <v>-240.63800000000001</v>
      </c>
      <c r="BW177" s="61"/>
      <c r="BY177" s="59"/>
      <c r="BZ177" s="59"/>
      <c r="CA177" s="59"/>
      <c r="CC177" s="59"/>
    </row>
    <row r="178" spans="1:81" x14ac:dyDescent="0.2">
      <c r="A178">
        <f t="shared" si="158"/>
        <v>72000</v>
      </c>
      <c r="B178">
        <f t="shared" si="138"/>
        <v>72</v>
      </c>
      <c r="C178">
        <f t="shared" si="107"/>
        <v>1.0000409303856304</v>
      </c>
      <c r="D178">
        <f t="shared" si="108"/>
        <v>9.0475399528039714E-3</v>
      </c>
      <c r="F178">
        <f t="shared" si="109"/>
        <v>4.5467350497218784E-2</v>
      </c>
      <c r="G178">
        <f t="shared" si="110"/>
        <v>7.4947685760236415E-2</v>
      </c>
      <c r="H178">
        <f t="shared" si="111"/>
        <v>-3.0666449642397637</v>
      </c>
      <c r="J178">
        <f t="shared" si="112"/>
        <v>15</v>
      </c>
      <c r="M178">
        <f t="shared" si="113"/>
        <v>2.520714726005574E-2</v>
      </c>
      <c r="N178">
        <f t="shared" si="114"/>
        <v>-1.5707963250000001</v>
      </c>
      <c r="O178">
        <f t="shared" si="115"/>
        <v>8.650227136853907</v>
      </c>
      <c r="P178">
        <f t="shared" si="116"/>
        <v>1.4549333715309838</v>
      </c>
      <c r="Q178">
        <f t="shared" si="117"/>
        <v>5.6964777161994231</v>
      </c>
      <c r="R178">
        <f t="shared" si="118"/>
        <v>1.3943348817753793</v>
      </c>
      <c r="S178">
        <f t="shared" si="119"/>
        <v>0.99995725073359099</v>
      </c>
      <c r="T178">
        <f t="shared" si="120"/>
        <v>-9.2465746085594377E-3</v>
      </c>
      <c r="U178">
        <f t="shared" si="121"/>
        <v>0.98933247857674189</v>
      </c>
      <c r="V178">
        <f t="shared" si="122"/>
        <v>-0.14619535945602186</v>
      </c>
      <c r="X178">
        <f t="shared" si="139"/>
        <v>-1.5342000974470758</v>
      </c>
      <c r="Y178">
        <f t="shared" si="123"/>
        <v>-110.84254905171488</v>
      </c>
      <c r="Z178">
        <f t="shared" si="140"/>
        <v>69.157450948285117</v>
      </c>
      <c r="AC178">
        <v>1</v>
      </c>
      <c r="AD178">
        <f t="shared" si="124"/>
        <v>8.5922307650088001</v>
      </c>
      <c r="AE178">
        <f t="shared" si="125"/>
        <v>-2.6431828606871655E-4</v>
      </c>
      <c r="AF178">
        <f t="shared" si="126"/>
        <v>1.7950809074688005E-3</v>
      </c>
      <c r="AG178">
        <f t="shared" si="141"/>
        <v>4604.6792275260041</v>
      </c>
      <c r="AH178">
        <f t="shared" si="142"/>
        <v>-1235.0980460497319</v>
      </c>
      <c r="AJ178">
        <f t="shared" si="127"/>
        <v>22100</v>
      </c>
      <c r="AK178">
        <f t="shared" si="128"/>
        <v>204.35512294491843</v>
      </c>
      <c r="AL178">
        <v>1</v>
      </c>
      <c r="AM178">
        <f t="shared" si="129"/>
        <v>5.6080173297839044</v>
      </c>
      <c r="AN178">
        <f t="shared" si="143"/>
        <v>716.36759720244891</v>
      </c>
      <c r="AO178">
        <f t="shared" si="144"/>
        <v>-3813.0467766620709</v>
      </c>
      <c r="AQ178">
        <f t="shared" si="130"/>
        <v>0.48222983073732939</v>
      </c>
      <c r="AR178">
        <f t="shared" si="131"/>
        <v>-69.441095626175439</v>
      </c>
      <c r="AT178">
        <f t="shared" si="156"/>
        <v>-83546.047838952305</v>
      </c>
      <c r="AU178">
        <f t="shared" si="157"/>
        <v>-320349.57168818748</v>
      </c>
      <c r="AV178">
        <f t="shared" si="145"/>
        <v>-1.8259103086998156</v>
      </c>
      <c r="AW178">
        <f t="shared" si="146"/>
        <v>-260966.97846453718</v>
      </c>
      <c r="AX178">
        <f t="shared" si="147"/>
        <v>-80833.011842236097</v>
      </c>
      <c r="AY178">
        <f t="shared" si="155"/>
        <v>-2.8412203597594461</v>
      </c>
      <c r="BA178">
        <f t="shared" si="132"/>
        <v>1.2118072515142986</v>
      </c>
      <c r="BB178">
        <f t="shared" si="148"/>
        <v>1.6686709401572828</v>
      </c>
      <c r="BC178">
        <f t="shared" si="149"/>
        <v>1.0153100510596305</v>
      </c>
      <c r="BD178">
        <f t="shared" si="133"/>
        <v>-121.82701911059874</v>
      </c>
      <c r="BF178">
        <f t="shared" si="134"/>
        <v>-1.6551554201079</v>
      </c>
      <c r="BG178">
        <f t="shared" si="135"/>
        <v>-117.0144471724936</v>
      </c>
      <c r="BH178">
        <f t="shared" si="150"/>
        <v>62.985552827506396</v>
      </c>
      <c r="BI178">
        <f t="shared" si="151"/>
        <v>62.985552827506396</v>
      </c>
      <c r="BJ178">
        <f t="shared" si="136"/>
        <v>0</v>
      </c>
      <c r="BK178">
        <f t="shared" si="152"/>
        <v>0</v>
      </c>
      <c r="BM178">
        <f t="shared" si="153"/>
        <v>-3.323826360265183</v>
      </c>
      <c r="BN178">
        <f t="shared" si="137"/>
        <v>-175.18742806189488</v>
      </c>
      <c r="BQ178" s="56">
        <f t="shared" si="154"/>
        <v>18.570631740442419</v>
      </c>
      <c r="BR178" s="59"/>
      <c r="BS178" s="59"/>
      <c r="BT178" s="59">
        <v>4786.3010000000004</v>
      </c>
      <c r="BU178" s="59">
        <v>2.5307499999999998</v>
      </c>
      <c r="BV178" s="59">
        <v>-240.03100000000001</v>
      </c>
      <c r="BW178" s="61"/>
      <c r="BY178" s="59"/>
      <c r="BZ178" s="59"/>
      <c r="CA178" s="59"/>
      <c r="CC178" s="59"/>
    </row>
    <row r="179" spans="1:81" x14ac:dyDescent="0.2">
      <c r="A179">
        <f t="shared" si="158"/>
        <v>72500</v>
      </c>
      <c r="B179">
        <f t="shared" si="138"/>
        <v>72.5</v>
      </c>
      <c r="C179">
        <f t="shared" si="107"/>
        <v>1.0000415008252526</v>
      </c>
      <c r="D179">
        <f t="shared" si="108"/>
        <v>9.1103666268597672E-3</v>
      </c>
      <c r="F179">
        <f t="shared" si="109"/>
        <v>4.4816068011320778E-2</v>
      </c>
      <c r="G179">
        <f t="shared" si="110"/>
        <v>7.4386096280013234E-2</v>
      </c>
      <c r="H179">
        <f t="shared" si="111"/>
        <v>-3.0672065537199869</v>
      </c>
      <c r="J179">
        <f t="shared" si="112"/>
        <v>15</v>
      </c>
      <c r="M179">
        <f t="shared" si="113"/>
        <v>2.5033304865158808E-2</v>
      </c>
      <c r="N179">
        <f t="shared" si="114"/>
        <v>-1.5707963250000001</v>
      </c>
      <c r="O179">
        <f t="shared" si="115"/>
        <v>8.7094980853185966</v>
      </c>
      <c r="P179">
        <f t="shared" si="116"/>
        <v>1.4557253672726926</v>
      </c>
      <c r="Q179">
        <f t="shared" si="117"/>
        <v>5.7348215873531387</v>
      </c>
      <c r="R179">
        <f t="shared" si="118"/>
        <v>1.3955270036130358</v>
      </c>
      <c r="S179">
        <f t="shared" si="119"/>
        <v>0.99995665497092012</v>
      </c>
      <c r="T179">
        <f t="shared" si="120"/>
        <v>-9.310783234016214E-3</v>
      </c>
      <c r="U179">
        <f t="shared" si="121"/>
        <v>0.98918620708069627</v>
      </c>
      <c r="V179">
        <f t="shared" si="122"/>
        <v>-0.14719605296071428</v>
      </c>
      <c r="X179">
        <f t="shared" si="139"/>
        <v>-1.6033302451341576</v>
      </c>
      <c r="Y179">
        <f t="shared" si="123"/>
        <v>-110.81845888975559</v>
      </c>
      <c r="Z179">
        <f t="shared" si="140"/>
        <v>69.18154111024441</v>
      </c>
      <c r="AC179">
        <v>1</v>
      </c>
      <c r="AD179">
        <f t="shared" si="124"/>
        <v>8.6518990342102491</v>
      </c>
      <c r="AE179">
        <f t="shared" si="125"/>
        <v>-2.6800212020615188E-4</v>
      </c>
      <c r="AF179">
        <f t="shared" si="126"/>
        <v>1.8075467471040001E-3</v>
      </c>
      <c r="AG179">
        <f t="shared" si="141"/>
        <v>4603.3177367360013</v>
      </c>
      <c r="AH179">
        <f t="shared" si="142"/>
        <v>-1235.7627358775653</v>
      </c>
      <c r="AJ179">
        <f t="shared" si="127"/>
        <v>22100</v>
      </c>
      <c r="AK179">
        <f t="shared" si="128"/>
        <v>205.77425574314705</v>
      </c>
      <c r="AL179">
        <v>1</v>
      </c>
      <c r="AM179">
        <f t="shared" si="129"/>
        <v>5.6469618945740701</v>
      </c>
      <c r="AN179">
        <f t="shared" si="143"/>
        <v>707.30579630343334</v>
      </c>
      <c r="AO179">
        <f t="shared" si="144"/>
        <v>-3788.3546237937103</v>
      </c>
      <c r="AQ179">
        <f t="shared" si="130"/>
        <v>0.47560163606962808</v>
      </c>
      <c r="AR179">
        <f t="shared" si="131"/>
        <v>-68.962237230096065</v>
      </c>
      <c r="AT179">
        <f t="shared" si="156"/>
        <v>-83031.617504761234</v>
      </c>
      <c r="AU179">
        <f t="shared" si="157"/>
        <v>-318042.82058527431</v>
      </c>
      <c r="AV179">
        <f t="shared" si="145"/>
        <v>-1.8261668968894662</v>
      </c>
      <c r="AW179">
        <f t="shared" si="146"/>
        <v>-257477.02762737623</v>
      </c>
      <c r="AX179">
        <f t="shared" si="147"/>
        <v>-79633.970211777661</v>
      </c>
      <c r="AY179">
        <f t="shared" si="155"/>
        <v>-2.8416387627059607</v>
      </c>
      <c r="BA179">
        <f t="shared" si="132"/>
        <v>1.2196279968102435</v>
      </c>
      <c r="BB179">
        <f t="shared" si="148"/>
        <v>1.7245477025294396</v>
      </c>
      <c r="BC179">
        <f t="shared" si="149"/>
        <v>1.0154718658164945</v>
      </c>
      <c r="BD179">
        <f t="shared" si="133"/>
        <v>-121.81774780795689</v>
      </c>
      <c r="BF179">
        <f t="shared" si="134"/>
        <v>-1.7245916412419051</v>
      </c>
      <c r="BG179">
        <f t="shared" si="135"/>
        <v>-117.03375287365594</v>
      </c>
      <c r="BH179">
        <f t="shared" si="150"/>
        <v>62.966247126344058</v>
      </c>
      <c r="BI179">
        <f t="shared" si="151"/>
        <v>62.966247126344058</v>
      </c>
      <c r="BJ179">
        <f t="shared" si="136"/>
        <v>0</v>
      </c>
      <c r="BK179">
        <f t="shared" si="152"/>
        <v>0</v>
      </c>
      <c r="BM179">
        <f t="shared" si="153"/>
        <v>-3.4491393437713458</v>
      </c>
      <c r="BN179">
        <f t="shared" si="137"/>
        <v>-175.21600506569902</v>
      </c>
      <c r="BQ179" s="56">
        <f t="shared" si="154"/>
        <v>18.626508502814577</v>
      </c>
      <c r="BR179" s="59"/>
      <c r="BS179" s="59"/>
      <c r="BT179" s="59">
        <v>4897.7879999999996</v>
      </c>
      <c r="BU179" s="59">
        <v>2.1795599999999999</v>
      </c>
      <c r="BV179" s="59">
        <v>-239.48099999999999</v>
      </c>
      <c r="BW179" s="61"/>
      <c r="BY179" s="59"/>
      <c r="BZ179" s="59"/>
      <c r="CA179" s="59"/>
      <c r="CC179" s="59"/>
    </row>
    <row r="180" spans="1:81" x14ac:dyDescent="0.2">
      <c r="A180">
        <f t="shared" si="158"/>
        <v>73000</v>
      </c>
      <c r="B180">
        <f t="shared" si="138"/>
        <v>73</v>
      </c>
      <c r="C180">
        <f t="shared" si="107"/>
        <v>1.0000420752122248</v>
      </c>
      <c r="D180">
        <f t="shared" si="108"/>
        <v>9.1731932289929423E-3</v>
      </c>
      <c r="F180">
        <f t="shared" si="109"/>
        <v>4.4178860548636352E-2</v>
      </c>
      <c r="G180">
        <f t="shared" si="110"/>
        <v>7.3833158422936487E-2</v>
      </c>
      <c r="H180">
        <f t="shared" si="111"/>
        <v>-3.0677594915770636</v>
      </c>
      <c r="J180">
        <f t="shared" si="112"/>
        <v>15</v>
      </c>
      <c r="M180">
        <f t="shared" si="113"/>
        <v>2.486184387293169E-2</v>
      </c>
      <c r="N180">
        <f t="shared" si="114"/>
        <v>-1.5707963250000001</v>
      </c>
      <c r="O180">
        <f t="shared" si="115"/>
        <v>8.7687744230235403</v>
      </c>
      <c r="P180">
        <f t="shared" si="116"/>
        <v>1.456506655820837</v>
      </c>
      <c r="Q180">
        <f t="shared" si="117"/>
        <v>5.7731735003063918</v>
      </c>
      <c r="R180">
        <f t="shared" si="118"/>
        <v>1.3967032882752568</v>
      </c>
      <c r="S180">
        <f t="shared" si="119"/>
        <v>0.99995605508640018</v>
      </c>
      <c r="T180">
        <f t="shared" si="120"/>
        <v>-9.3749917826988459E-3</v>
      </c>
      <c r="U180">
        <f t="shared" si="121"/>
        <v>0.98903898885884256</v>
      </c>
      <c r="V180">
        <f t="shared" si="122"/>
        <v>-0.14819644960529266</v>
      </c>
      <c r="X180">
        <f t="shared" si="139"/>
        <v>-1.6718957749084558</v>
      </c>
      <c r="Y180">
        <f t="shared" si="123"/>
        <v>-110.79537689750907</v>
      </c>
      <c r="Z180">
        <f t="shared" si="140"/>
        <v>69.204623102490928</v>
      </c>
      <c r="AC180">
        <v>1</v>
      </c>
      <c r="AD180">
        <f t="shared" si="124"/>
        <v>8.7115673034116998</v>
      </c>
      <c r="AE180">
        <f t="shared" si="125"/>
        <v>-2.7171144800543798E-4</v>
      </c>
      <c r="AF180">
        <f t="shared" si="126"/>
        <v>1.8200125867392002E-3</v>
      </c>
      <c r="AG180">
        <f t="shared" si="141"/>
        <v>4601.9476371181136</v>
      </c>
      <c r="AH180">
        <f t="shared" si="142"/>
        <v>-1236.4759851240738</v>
      </c>
      <c r="AJ180">
        <f t="shared" si="127"/>
        <v>22100</v>
      </c>
      <c r="AK180">
        <f t="shared" si="128"/>
        <v>207.19338854137564</v>
      </c>
      <c r="AL180">
        <v>1</v>
      </c>
      <c r="AM180">
        <f t="shared" si="129"/>
        <v>5.6859064593642366</v>
      </c>
      <c r="AN180">
        <f t="shared" si="143"/>
        <v>698.42210929978182</v>
      </c>
      <c r="AO180">
        <f t="shared" si="144"/>
        <v>-3763.9693940890493</v>
      </c>
      <c r="AQ180">
        <f t="shared" si="130"/>
        <v>0.46910916170192801</v>
      </c>
      <c r="AR180">
        <f t="shared" si="131"/>
        <v>-68.489937608481497</v>
      </c>
      <c r="AT180">
        <f t="shared" si="156"/>
        <v>-82527.347277288864</v>
      </c>
      <c r="AU180">
        <f t="shared" si="157"/>
        <v>-315767.14875656454</v>
      </c>
      <c r="AV180">
        <f t="shared" si="145"/>
        <v>-1.8264332394103138</v>
      </c>
      <c r="AW180">
        <f t="shared" si="146"/>
        <v>-254055.55775042195</v>
      </c>
      <c r="AX180">
        <f t="shared" si="147"/>
        <v>-78463.940276460038</v>
      </c>
      <c r="AY180">
        <f t="shared" si="155"/>
        <v>-2.8420405189007241</v>
      </c>
      <c r="BA180">
        <f t="shared" si="132"/>
        <v>1.2274467546065004</v>
      </c>
      <c r="BB180">
        <f t="shared" si="148"/>
        <v>1.7800532390019039</v>
      </c>
      <c r="BC180">
        <f t="shared" si="149"/>
        <v>1.0156072794904103</v>
      </c>
      <c r="BD180">
        <f t="shared" si="133"/>
        <v>-121.8099891759443</v>
      </c>
      <c r="BF180">
        <f t="shared" si="134"/>
        <v>-1.7934659178628156</v>
      </c>
      <c r="BG180">
        <f t="shared" si="135"/>
        <v>-117.05407554807553</v>
      </c>
      <c r="BH180">
        <f t="shared" si="150"/>
        <v>62.945924451924469</v>
      </c>
      <c r="BI180">
        <f t="shared" si="151"/>
        <v>62.945924451924469</v>
      </c>
      <c r="BJ180">
        <f t="shared" si="136"/>
        <v>0</v>
      </c>
      <c r="BK180">
        <f t="shared" si="152"/>
        <v>0</v>
      </c>
      <c r="BM180">
        <f t="shared" si="153"/>
        <v>-3.5735191568647213</v>
      </c>
      <c r="BN180">
        <f t="shared" si="137"/>
        <v>-175.24408637213125</v>
      </c>
      <c r="BQ180" s="56">
        <f t="shared" si="154"/>
        <v>18.68201403928704</v>
      </c>
      <c r="BR180" s="59"/>
      <c r="BS180" s="59"/>
      <c r="BT180" s="59">
        <v>5011.8720000000003</v>
      </c>
      <c r="BU180" s="59">
        <v>2.08934</v>
      </c>
      <c r="BV180" s="59">
        <v>-238.50700000000001</v>
      </c>
      <c r="BW180" s="61"/>
      <c r="BY180" s="59"/>
      <c r="BZ180" s="59"/>
      <c r="CA180" s="59"/>
      <c r="CC180" s="59"/>
    </row>
    <row r="181" spans="1:81" x14ac:dyDescent="0.2">
      <c r="A181">
        <f t="shared" si="158"/>
        <v>73500</v>
      </c>
      <c r="B181">
        <f t="shared" si="138"/>
        <v>73.5</v>
      </c>
      <c r="C181">
        <f t="shared" si="107"/>
        <v>1.0000426535465405</v>
      </c>
      <c r="D181">
        <f t="shared" si="108"/>
        <v>9.2360197587076451E-3</v>
      </c>
      <c r="F181">
        <f t="shared" si="109"/>
        <v>4.3555320515406469E-2</v>
      </c>
      <c r="G181">
        <f t="shared" si="110"/>
        <v>7.3288668086018874E-2</v>
      </c>
      <c r="H181">
        <f t="shared" si="111"/>
        <v>-3.0683039819139815</v>
      </c>
      <c r="J181">
        <f t="shared" si="112"/>
        <v>15</v>
      </c>
      <c r="M181">
        <f t="shared" si="113"/>
        <v>2.4692715683319912E-2</v>
      </c>
      <c r="N181">
        <f t="shared" si="114"/>
        <v>-1.5707963250000001</v>
      </c>
      <c r="O181">
        <f t="shared" si="115"/>
        <v>8.8280560414099298</v>
      </c>
      <c r="P181">
        <f t="shared" si="116"/>
        <v>1.4572774519127238</v>
      </c>
      <c r="Q181">
        <f t="shared" si="117"/>
        <v>5.8115332958490145</v>
      </c>
      <c r="R181">
        <f t="shared" si="118"/>
        <v>1.3978640460803957</v>
      </c>
      <c r="S181">
        <f t="shared" si="119"/>
        <v>0.99995545108005324</v>
      </c>
      <c r="T181">
        <f t="shared" si="120"/>
        <v>-9.4392002540780433E-3</v>
      </c>
      <c r="U181">
        <f t="shared" si="121"/>
        <v>0.98889082521762439</v>
      </c>
      <c r="V181">
        <f t="shared" si="122"/>
        <v>-0.14919654752034867</v>
      </c>
      <c r="X181">
        <f t="shared" si="139"/>
        <v>-1.7399067136565662</v>
      </c>
      <c r="Y181">
        <f t="shared" si="123"/>
        <v>-110.77328457863072</v>
      </c>
      <c r="Z181">
        <f t="shared" si="140"/>
        <v>69.226715421369278</v>
      </c>
      <c r="AC181">
        <v>1</v>
      </c>
      <c r="AD181">
        <f t="shared" si="124"/>
        <v>8.7712355726131506</v>
      </c>
      <c r="AE181">
        <f t="shared" si="125"/>
        <v>-2.754462694665748E-4</v>
      </c>
      <c r="AF181">
        <f t="shared" si="126"/>
        <v>1.8324784263744004E-3</v>
      </c>
      <c r="AG181">
        <f t="shared" si="141"/>
        <v>4600.5689447623126</v>
      </c>
      <c r="AH181">
        <f t="shared" si="142"/>
        <v>-1237.2366957379577</v>
      </c>
      <c r="AJ181">
        <f t="shared" si="127"/>
        <v>22100</v>
      </c>
      <c r="AK181">
        <f t="shared" si="128"/>
        <v>208.61252133960423</v>
      </c>
      <c r="AL181">
        <v>1</v>
      </c>
      <c r="AM181">
        <f t="shared" si="129"/>
        <v>5.7248510241544022</v>
      </c>
      <c r="AN181">
        <f t="shared" si="143"/>
        <v>689.71194710535497</v>
      </c>
      <c r="AO181">
        <f t="shared" si="144"/>
        <v>-3739.8856254180137</v>
      </c>
      <c r="AQ181">
        <f t="shared" si="130"/>
        <v>0.46274872744099954</v>
      </c>
      <c r="AR181">
        <f t="shared" si="131"/>
        <v>-68.024062933826926</v>
      </c>
      <c r="AT181">
        <f t="shared" si="156"/>
        <v>-82032.959430225572</v>
      </c>
      <c r="AU181">
        <f t="shared" si="157"/>
        <v>-313521.92113641731</v>
      </c>
      <c r="AV181">
        <f t="shared" si="145"/>
        <v>-1.8267091330426093</v>
      </c>
      <c r="AW181">
        <f t="shared" si="146"/>
        <v>-250700.8087002628</v>
      </c>
      <c r="AX181">
        <f t="shared" si="147"/>
        <v>-77322.008272175255</v>
      </c>
      <c r="AY181">
        <f t="shared" si="155"/>
        <v>-2.8424259511948904</v>
      </c>
      <c r="BA181">
        <f t="shared" si="132"/>
        <v>1.2352634426952742</v>
      </c>
      <c r="BB181">
        <f t="shared" si="148"/>
        <v>1.8351917755215472</v>
      </c>
      <c r="BC181">
        <f t="shared" si="149"/>
        <v>1.0157168181522811</v>
      </c>
      <c r="BD181">
        <f t="shared" si="133"/>
        <v>-121.80371307291841</v>
      </c>
      <c r="BF181">
        <f t="shared" si="134"/>
        <v>-1.8617882876981557</v>
      </c>
      <c r="BG181">
        <f t="shared" si="135"/>
        <v>-117.07539674837815</v>
      </c>
      <c r="BH181">
        <f t="shared" si="150"/>
        <v>62.924603251621846</v>
      </c>
      <c r="BI181">
        <f t="shared" si="151"/>
        <v>62.924603251621846</v>
      </c>
      <c r="BJ181">
        <f t="shared" si="136"/>
        <v>0</v>
      </c>
      <c r="BK181">
        <f t="shared" si="152"/>
        <v>0</v>
      </c>
      <c r="BM181">
        <f t="shared" si="153"/>
        <v>-3.6969800632197023</v>
      </c>
      <c r="BN181">
        <f t="shared" si="137"/>
        <v>-175.27168367545971</v>
      </c>
      <c r="BQ181" s="56">
        <f t="shared" si="154"/>
        <v>18.737152575806682</v>
      </c>
      <c r="BR181" s="59"/>
      <c r="BS181" s="59"/>
      <c r="BT181" s="59">
        <v>5128.6139999999996</v>
      </c>
      <c r="BU181" s="59">
        <v>1.7954699999999999</v>
      </c>
      <c r="BV181" s="59">
        <v>-237.881</v>
      </c>
      <c r="BW181" s="61"/>
      <c r="BY181" s="59"/>
      <c r="BZ181" s="59"/>
      <c r="CA181" s="59"/>
      <c r="CC181" s="59"/>
    </row>
    <row r="182" spans="1:81" x14ac:dyDescent="0.2">
      <c r="A182">
        <f t="shared" si="158"/>
        <v>74000</v>
      </c>
      <c r="B182">
        <f t="shared" si="138"/>
        <v>74</v>
      </c>
      <c r="C182">
        <f t="shared" si="107"/>
        <v>1.000043235828193</v>
      </c>
      <c r="D182">
        <f t="shared" si="108"/>
        <v>9.2988462155080259E-3</v>
      </c>
      <c r="F182">
        <f t="shared" si="109"/>
        <v>4.2945055131598978E-2</v>
      </c>
      <c r="G182">
        <f t="shared" si="110"/>
        <v>7.2752427675458517E-2</v>
      </c>
      <c r="H182">
        <f t="shared" si="111"/>
        <v>-3.0688402223245417</v>
      </c>
      <c r="J182">
        <f t="shared" si="112"/>
        <v>15</v>
      </c>
      <c r="M182">
        <f t="shared" si="113"/>
        <v>2.4525873009783965E-2</v>
      </c>
      <c r="N182">
        <f t="shared" si="114"/>
        <v>-1.5707963250000001</v>
      </c>
      <c r="O182">
        <f t="shared" si="115"/>
        <v>8.8873428348059065</v>
      </c>
      <c r="P182">
        <f t="shared" si="116"/>
        <v>1.4580379646063146</v>
      </c>
      <c r="Q182">
        <f t="shared" si="117"/>
        <v>5.8499008189145281</v>
      </c>
      <c r="R182">
        <f t="shared" si="118"/>
        <v>1.3990095793755959</v>
      </c>
      <c r="S182">
        <f t="shared" si="119"/>
        <v>0.99995484295190218</v>
      </c>
      <c r="T182">
        <f t="shared" si="120"/>
        <v>-9.5034086476245144E-3</v>
      </c>
      <c r="U182">
        <f t="shared" si="121"/>
        <v>0.98874171747081996</v>
      </c>
      <c r="V182">
        <f t="shared" si="122"/>
        <v>-0.15019634483998043</v>
      </c>
      <c r="X182">
        <f t="shared" si="139"/>
        <v>-1.8073728231969877</v>
      </c>
      <c r="Y182">
        <f t="shared" si="123"/>
        <v>-110.75216384614694</v>
      </c>
      <c r="Z182">
        <f t="shared" si="140"/>
        <v>69.247836153853058</v>
      </c>
      <c r="AC182">
        <v>1</v>
      </c>
      <c r="AD182">
        <f t="shared" si="124"/>
        <v>8.8309038418145995</v>
      </c>
      <c r="AE182">
        <f t="shared" si="125"/>
        <v>-2.7920658458956241E-4</v>
      </c>
      <c r="AF182">
        <f t="shared" si="126"/>
        <v>1.8449442660096005E-3</v>
      </c>
      <c r="AG182">
        <f t="shared" si="141"/>
        <v>4599.1816758447612</v>
      </c>
      <c r="AH182">
        <f t="shared" si="142"/>
        <v>-1238.0437987754531</v>
      </c>
      <c r="AJ182">
        <f t="shared" si="127"/>
        <v>22100</v>
      </c>
      <c r="AK182">
        <f t="shared" si="128"/>
        <v>210.03165413783282</v>
      </c>
      <c r="AL182">
        <v>1</v>
      </c>
      <c r="AM182">
        <f t="shared" si="129"/>
        <v>5.7637955889445678</v>
      </c>
      <c r="AN182">
        <f t="shared" si="143"/>
        <v>681.17086590308963</v>
      </c>
      <c r="AO182">
        <f t="shared" si="144"/>
        <v>-3716.0979780719467</v>
      </c>
      <c r="AQ182">
        <f t="shared" si="130"/>
        <v>0.45651677699155446</v>
      </c>
      <c r="AR182">
        <f t="shared" si="131"/>
        <v>-67.564482994750051</v>
      </c>
      <c r="AT182">
        <f t="shared" si="156"/>
        <v>-81548.185593664588</v>
      </c>
      <c r="AU182">
        <f t="shared" si="157"/>
        <v>-311306.51989217079</v>
      </c>
      <c r="AV182">
        <f t="shared" si="145"/>
        <v>-1.8269943798876738</v>
      </c>
      <c r="AW182">
        <f t="shared" si="146"/>
        <v>-247411.07589078785</v>
      </c>
      <c r="AX182">
        <f t="shared" si="147"/>
        <v>-76207.295243301167</v>
      </c>
      <c r="AY182">
        <f t="shared" si="155"/>
        <v>-2.8427953741182348</v>
      </c>
      <c r="BA182">
        <f t="shared" si="132"/>
        <v>1.2430779802693606</v>
      </c>
      <c r="BB182">
        <f t="shared" si="148"/>
        <v>1.8899674696697686</v>
      </c>
      <c r="BC182">
        <f t="shared" si="149"/>
        <v>1.015800994230561</v>
      </c>
      <c r="BD182">
        <f t="shared" si="133"/>
        <v>-121.79889013889151</v>
      </c>
      <c r="BF182">
        <f t="shared" si="134"/>
        <v>-1.9295685234602413</v>
      </c>
      <c r="BG182">
        <f t="shared" si="135"/>
        <v>-117.09769843589525</v>
      </c>
      <c r="BH182">
        <f t="shared" si="150"/>
        <v>62.902301564104746</v>
      </c>
      <c r="BI182">
        <f t="shared" si="151"/>
        <v>62.902301564104746</v>
      </c>
      <c r="BJ182">
        <f t="shared" si="136"/>
        <v>0</v>
      </c>
      <c r="BK182">
        <f t="shared" si="152"/>
        <v>0</v>
      </c>
      <c r="BM182">
        <f t="shared" si="153"/>
        <v>-3.8195359931300099</v>
      </c>
      <c r="BN182">
        <f t="shared" si="137"/>
        <v>-175.29880829700375</v>
      </c>
      <c r="BQ182" s="56">
        <f t="shared" si="154"/>
        <v>18.791928269954905</v>
      </c>
      <c r="BR182" s="59"/>
      <c r="BS182" s="59"/>
      <c r="BT182" s="59">
        <v>5248.0749999999998</v>
      </c>
      <c r="BU182" s="59">
        <v>1.6024099999999999</v>
      </c>
      <c r="BV182" s="59">
        <v>-238.28</v>
      </c>
      <c r="BW182" s="61"/>
      <c r="BY182" s="59"/>
      <c r="BZ182" s="59"/>
      <c r="CA182" s="59"/>
      <c r="CC182" s="59"/>
    </row>
    <row r="183" spans="1:81" x14ac:dyDescent="0.2">
      <c r="A183">
        <f t="shared" si="158"/>
        <v>74500</v>
      </c>
      <c r="B183">
        <f t="shared" si="138"/>
        <v>74.5</v>
      </c>
      <c r="C183">
        <f t="shared" si="107"/>
        <v>1.0000438220571752</v>
      </c>
      <c r="D183">
        <f t="shared" si="108"/>
        <v>9.3616725988982397E-3</v>
      </c>
      <c r="F183">
        <f t="shared" si="109"/>
        <v>4.2347685782886231E-2</v>
      </c>
      <c r="G183">
        <f t="shared" si="110"/>
        <v>7.2224245845123089E-2</v>
      </c>
      <c r="H183">
        <f t="shared" si="111"/>
        <v>-3.069368404154877</v>
      </c>
      <c r="J183">
        <f t="shared" si="112"/>
        <v>15</v>
      </c>
      <c r="M183">
        <f t="shared" si="113"/>
        <v>2.4361269835221657E-2</v>
      </c>
      <c r="N183">
        <f t="shared" si="114"/>
        <v>-1.5707963250000001</v>
      </c>
      <c r="O183">
        <f t="shared" si="115"/>
        <v>8.9466347003315398</v>
      </c>
      <c r="P183">
        <f t="shared" si="116"/>
        <v>1.4587883974659386</v>
      </c>
      <c r="Q183">
        <f t="shared" si="117"/>
        <v>5.8882759184472162</v>
      </c>
      <c r="R183">
        <f t="shared" si="118"/>
        <v>1.4001401827883873</v>
      </c>
      <c r="S183">
        <f t="shared" si="119"/>
        <v>0.99995423070196898</v>
      </c>
      <c r="T183">
        <f t="shared" si="120"/>
        <v>-9.5676169628089811E-3</v>
      </c>
      <c r="U183">
        <f t="shared" si="121"/>
        <v>0.98859166693950817</v>
      </c>
      <c r="V183">
        <f t="shared" si="122"/>
        <v>-0.15119583970181136</v>
      </c>
      <c r="X183">
        <f t="shared" si="139"/>
        <v>-1.8743036095174279</v>
      </c>
      <c r="Y183">
        <f t="shared" si="123"/>
        <v>-110.73199701238451</v>
      </c>
      <c r="Z183">
        <f t="shared" si="140"/>
        <v>69.268002987615489</v>
      </c>
      <c r="AC183">
        <v>1</v>
      </c>
      <c r="AD183">
        <f t="shared" si="124"/>
        <v>8.8905721110160503</v>
      </c>
      <c r="AE183">
        <f t="shared" si="125"/>
        <v>-2.8299239337440085E-4</v>
      </c>
      <c r="AF183">
        <f t="shared" si="126"/>
        <v>1.8574101056448003E-3</v>
      </c>
      <c r="AG183">
        <f t="shared" si="141"/>
        <v>4597.7858466273547</v>
      </c>
      <c r="AH183">
        <f t="shared" si="142"/>
        <v>-1238.8962534265854</v>
      </c>
      <c r="AJ183">
        <f t="shared" si="127"/>
        <v>22100</v>
      </c>
      <c r="AK183">
        <f t="shared" si="128"/>
        <v>211.45078693606143</v>
      </c>
      <c r="AL183">
        <v>1</v>
      </c>
      <c r="AM183">
        <f t="shared" si="129"/>
        <v>5.8027401537347343</v>
      </c>
      <c r="AN183">
        <f t="shared" si="143"/>
        <v>672.79456172325752</v>
      </c>
      <c r="AO183">
        <f t="shared" si="144"/>
        <v>-3692.6012315898474</v>
      </c>
      <c r="AQ183">
        <f t="shared" si="130"/>
        <v>0.45040987298441582</v>
      </c>
      <c r="AR183">
        <f t="shared" si="131"/>
        <v>-67.111071074677952</v>
      </c>
      <c r="AT183">
        <f t="shared" si="156"/>
        <v>-81072.766378674831</v>
      </c>
      <c r="AU183">
        <f t="shared" si="157"/>
        <v>-309120.34384330345</v>
      </c>
      <c r="AV183">
        <f t="shared" si="145"/>
        <v>-1.8272887871943433</v>
      </c>
      <c r="AW183">
        <f t="shared" si="146"/>
        <v>-244184.70821804056</v>
      </c>
      <c r="AX183">
        <f t="shared" si="147"/>
        <v>-75118.955499806543</v>
      </c>
      <c r="AY183">
        <f t="shared" si="155"/>
        <v>-2.8431490941427957</v>
      </c>
      <c r="BA183">
        <f t="shared" si="132"/>
        <v>1.2508902878763151</v>
      </c>
      <c r="BB183">
        <f t="shared" si="148"/>
        <v>1.9443844119441367</v>
      </c>
      <c r="BC183">
        <f t="shared" si="149"/>
        <v>1.0158603069484524</v>
      </c>
      <c r="BD183">
        <f t="shared" si="133"/>
        <v>-121.79549177048099</v>
      </c>
      <c r="BF183">
        <f t="shared" si="134"/>
        <v>-1.9968161420830461</v>
      </c>
      <c r="BG183">
        <f t="shared" si="135"/>
        <v>-117.1209629705986</v>
      </c>
      <c r="BH183">
        <f t="shared" si="150"/>
        <v>62.879037029401402</v>
      </c>
      <c r="BI183">
        <f t="shared" si="151"/>
        <v>62.879037029401402</v>
      </c>
      <c r="BJ183">
        <f t="shared" si="136"/>
        <v>0</v>
      </c>
      <c r="BK183">
        <f t="shared" si="152"/>
        <v>0</v>
      </c>
      <c r="BM183">
        <f t="shared" si="153"/>
        <v>-3.9412005540271835</v>
      </c>
      <c r="BN183">
        <f t="shared" si="137"/>
        <v>-175.32547120011762</v>
      </c>
      <c r="BQ183" s="56">
        <f t="shared" si="154"/>
        <v>18.846345212229274</v>
      </c>
      <c r="BR183" s="59"/>
      <c r="BS183" s="59"/>
      <c r="BT183" s="59">
        <v>5370.3180000000002</v>
      </c>
      <c r="BU183" s="59">
        <v>1.48515</v>
      </c>
      <c r="BV183" s="59">
        <v>-237.34699999999998</v>
      </c>
      <c r="BW183" s="61"/>
      <c r="BY183" s="59"/>
      <c r="BZ183" s="59"/>
      <c r="CA183" s="59"/>
      <c r="CC183" s="59"/>
    </row>
    <row r="184" spans="1:81" x14ac:dyDescent="0.2">
      <c r="A184">
        <f t="shared" si="158"/>
        <v>75000</v>
      </c>
      <c r="B184">
        <f t="shared" si="138"/>
        <v>75</v>
      </c>
      <c r="C184">
        <f t="shared" si="107"/>
        <v>1.0000444122334802</v>
      </c>
      <c r="D184">
        <f t="shared" si="108"/>
        <v>9.4244989083824473E-3</v>
      </c>
      <c r="F184">
        <f t="shared" si="109"/>
        <v>4.1762847405760285E-2</v>
      </c>
      <c r="G184">
        <f t="shared" si="110"/>
        <v>7.1703937247680205E-2</v>
      </c>
      <c r="H184">
        <f t="shared" si="111"/>
        <v>-3.06988871275232</v>
      </c>
      <c r="J184">
        <f t="shared" si="112"/>
        <v>15</v>
      </c>
      <c r="M184">
        <f t="shared" si="113"/>
        <v>2.4198861369653511E-2</v>
      </c>
      <c r="N184">
        <f t="shared" si="114"/>
        <v>-1.5707963250000001</v>
      </c>
      <c r="O184">
        <f t="shared" si="115"/>
        <v>9.0059315378075109</v>
      </c>
      <c r="P184">
        <f t="shared" si="116"/>
        <v>1.4595289487407965</v>
      </c>
      <c r="Q184">
        <f t="shared" si="117"/>
        <v>5.9266584472742609</v>
      </c>
      <c r="R184">
        <f t="shared" si="118"/>
        <v>1.4012561434689181</v>
      </c>
      <c r="S184">
        <f t="shared" si="119"/>
        <v>0.9999536143302763</v>
      </c>
      <c r="T184">
        <f t="shared" si="120"/>
        <v>-9.6318251991021602E-3</v>
      </c>
      <c r="U184">
        <f t="shared" si="121"/>
        <v>0.98844067495203869</v>
      </c>
      <c r="V184">
        <f t="shared" si="122"/>
        <v>-0.15219503024700884</v>
      </c>
      <c r="X184">
        <f t="shared" si="139"/>
        <v>-1.9407083316164353</v>
      </c>
      <c r="Y184">
        <f t="shared" si="123"/>
        <v>-110.71276677912395</v>
      </c>
      <c r="Z184">
        <f t="shared" si="140"/>
        <v>69.287233220876047</v>
      </c>
      <c r="AC184">
        <v>1</v>
      </c>
      <c r="AD184">
        <f t="shared" si="124"/>
        <v>8.950240380217501</v>
      </c>
      <c r="AE184">
        <f t="shared" si="125"/>
        <v>-2.8680369582108995E-4</v>
      </c>
      <c r="AF184">
        <f t="shared" si="126"/>
        <v>1.8698759452800003E-3</v>
      </c>
      <c r="AG184">
        <f t="shared" si="141"/>
        <v>4596.3814734572525</v>
      </c>
      <c r="AH184">
        <f t="shared" si="142"/>
        <v>-1239.793046080383</v>
      </c>
      <c r="AJ184">
        <f t="shared" si="127"/>
        <v>22100</v>
      </c>
      <c r="AK184">
        <f t="shared" si="128"/>
        <v>212.86991973429002</v>
      </c>
      <c r="AL184">
        <v>1</v>
      </c>
      <c r="AM184">
        <f t="shared" si="129"/>
        <v>5.8416847185249008</v>
      </c>
      <c r="AN184">
        <f t="shared" si="143"/>
        <v>664.57886525353263</v>
      </c>
      <c r="AO184">
        <f t="shared" si="144"/>
        <v>-3669.390281671891</v>
      </c>
      <c r="AQ184">
        <f t="shared" si="130"/>
        <v>0.44442469223590064</v>
      </c>
      <c r="AR184">
        <f t="shared" si="131"/>
        <v>-66.663703835385093</v>
      </c>
      <c r="AT184">
        <f t="shared" si="156"/>
        <v>-80606.451019332555</v>
      </c>
      <c r="AU184">
        <f t="shared" si="157"/>
        <v>-306962.80790394568</v>
      </c>
      <c r="AV184">
        <f t="shared" si="145"/>
        <v>-1.8275921671921374</v>
      </c>
      <c r="AW184">
        <f t="shared" si="146"/>
        <v>-241020.10608294114</v>
      </c>
      <c r="AX184">
        <f t="shared" si="147"/>
        <v>-74056.175151988195</v>
      </c>
      <c r="AY184">
        <f t="shared" si="155"/>
        <v>-2.8434874099366723</v>
      </c>
      <c r="BA184">
        <f t="shared" si="132"/>
        <v>1.2587002873744453</v>
      </c>
      <c r="BB184">
        <f t="shared" si="148"/>
        <v>1.99844662701815</v>
      </c>
      <c r="BC184">
        <f t="shared" si="149"/>
        <v>1.0158952427445349</v>
      </c>
      <c r="BD184">
        <f t="shared" si="133"/>
        <v>-121.79349009680925</v>
      </c>
      <c r="BF184">
        <f t="shared" si="134"/>
        <v>-2.0635404135634627</v>
      </c>
      <c r="BG184">
        <f t="shared" si="135"/>
        <v>-117.14517310125882</v>
      </c>
      <c r="BH184">
        <f t="shared" si="150"/>
        <v>62.85482689874118</v>
      </c>
      <c r="BI184">
        <f t="shared" si="151"/>
        <v>62.85482689874118</v>
      </c>
      <c r="BJ184">
        <f t="shared" si="136"/>
        <v>0</v>
      </c>
      <c r="BK184">
        <f t="shared" si="152"/>
        <v>0</v>
      </c>
      <c r="BM184">
        <f t="shared" si="153"/>
        <v>-4.0619870405816121</v>
      </c>
      <c r="BN184">
        <f t="shared" si="137"/>
        <v>-175.3516830044496</v>
      </c>
      <c r="BQ184" s="56">
        <f t="shared" si="154"/>
        <v>18.900407427303286</v>
      </c>
      <c r="BR184" s="59"/>
      <c r="BS184" s="59"/>
      <c r="BT184" s="59">
        <v>5495.4089999999997</v>
      </c>
      <c r="BU184" s="59">
        <v>1.35836</v>
      </c>
      <c r="BV184" s="59">
        <v>-235.61199999999999</v>
      </c>
      <c r="BW184" s="61"/>
      <c r="BY184" s="59"/>
      <c r="BZ184" s="59"/>
      <c r="CA184" s="59"/>
      <c r="CC184" s="59"/>
    </row>
    <row r="185" spans="1:81" x14ac:dyDescent="0.2">
      <c r="A185">
        <f t="shared" si="158"/>
        <v>75500</v>
      </c>
      <c r="B185">
        <f t="shared" si="138"/>
        <v>75.5</v>
      </c>
      <c r="C185">
        <f t="shared" si="107"/>
        <v>1.0000450063571009</v>
      </c>
      <c r="D185">
        <f t="shared" si="108"/>
        <v>9.4873251434648125E-3</v>
      </c>
      <c r="F185">
        <f t="shared" si="109"/>
        <v>4.1190187903847264E-2</v>
      </c>
      <c r="G185">
        <f t="shared" si="110"/>
        <v>7.1191322297661466E-2</v>
      </c>
      <c r="H185">
        <f t="shared" si="111"/>
        <v>-3.0704013277023385</v>
      </c>
      <c r="J185">
        <f t="shared" si="112"/>
        <v>15</v>
      </c>
      <c r="M185">
        <f t="shared" si="113"/>
        <v>2.4038604009589581E-2</v>
      </c>
      <c r="N185">
        <f t="shared" si="114"/>
        <v>-1.5707963250000001</v>
      </c>
      <c r="O185">
        <f t="shared" si="115"/>
        <v>9.0652332496673491</v>
      </c>
      <c r="P185">
        <f t="shared" si="116"/>
        <v>1.4602598115365792</v>
      </c>
      <c r="Q185">
        <f t="shared" si="117"/>
        <v>5.9650482619826866</v>
      </c>
      <c r="R185">
        <f t="shared" si="118"/>
        <v>1.4023577413232224</v>
      </c>
      <c r="S185">
        <f t="shared" si="119"/>
        <v>0.99995299383684777</v>
      </c>
      <c r="T185">
        <f t="shared" si="120"/>
        <v>-9.6960333559747737E-3</v>
      </c>
      <c r="U185">
        <f t="shared" si="121"/>
        <v>0.98828874284400015</v>
      </c>
      <c r="V185">
        <f t="shared" si="122"/>
        <v>-0.15319391462030243</v>
      </c>
      <c r="X185">
        <f t="shared" si="139"/>
        <v>-2.0065960099693552</v>
      </c>
      <c r="Y185">
        <f t="shared" si="123"/>
        <v>-110.69445622797818</v>
      </c>
      <c r="Z185">
        <f t="shared" si="140"/>
        <v>69.305543772021821</v>
      </c>
      <c r="AC185">
        <v>1</v>
      </c>
      <c r="AD185">
        <f t="shared" si="124"/>
        <v>9.00990864941895</v>
      </c>
      <c r="AE185">
        <f t="shared" si="125"/>
        <v>-2.9064049192962989E-4</v>
      </c>
      <c r="AF185">
        <f t="shared" si="126"/>
        <v>1.8823417849152004E-3</v>
      </c>
      <c r="AG185">
        <f t="shared" si="141"/>
        <v>4594.96857276642</v>
      </c>
      <c r="AH185">
        <f t="shared" si="142"/>
        <v>-1240.7331894272515</v>
      </c>
      <c r="AJ185">
        <f t="shared" si="127"/>
        <v>22100</v>
      </c>
      <c r="AK185">
        <f t="shared" si="128"/>
        <v>214.28905253251861</v>
      </c>
      <c r="AL185">
        <v>1</v>
      </c>
      <c r="AM185">
        <f t="shared" si="129"/>
        <v>5.8806292833150664</v>
      </c>
      <c r="AN185">
        <f t="shared" si="143"/>
        <v>656.51973686975055</v>
      </c>
      <c r="AO185">
        <f t="shared" si="144"/>
        <v>-3646.4601371780386</v>
      </c>
      <c r="AQ185">
        <f t="shared" si="130"/>
        <v>0.43855802122620824</v>
      </c>
      <c r="AR185">
        <f t="shared" si="131"/>
        <v>-66.222261205157437</v>
      </c>
      <c r="AT185">
        <f t="shared" si="156"/>
        <v>-80148.997031290477</v>
      </c>
      <c r="AU185">
        <f t="shared" si="157"/>
        <v>-304833.34254765225</v>
      </c>
      <c r="AV185">
        <f t="shared" si="145"/>
        <v>-1.8279043369308483</v>
      </c>
      <c r="AW185">
        <f t="shared" si="146"/>
        <v>-237915.71949768823</v>
      </c>
      <c r="AX185">
        <f t="shared" si="147"/>
        <v>-73018.170718483059</v>
      </c>
      <c r="AY185">
        <f t="shared" si="155"/>
        <v>-2.8438106126083968</v>
      </c>
      <c r="BA185">
        <f t="shared" si="132"/>
        <v>1.2665079018905521</v>
      </c>
      <c r="BB185">
        <f t="shared" si="148"/>
        <v>2.0521580749791495</v>
      </c>
      <c r="BC185">
        <f t="shared" si="149"/>
        <v>1.0159062756775485</v>
      </c>
      <c r="BD185">
        <f t="shared" si="133"/>
        <v>-121.7928579563112</v>
      </c>
      <c r="BF185">
        <f t="shared" si="134"/>
        <v>-2.1297503694268047</v>
      </c>
      <c r="BG185">
        <f t="shared" si="135"/>
        <v>-117.17031195582868</v>
      </c>
      <c r="BH185">
        <f t="shared" si="150"/>
        <v>62.82968804417132</v>
      </c>
      <c r="BI185">
        <f t="shared" si="151"/>
        <v>62.82968804417132</v>
      </c>
      <c r="BJ185">
        <f t="shared" si="136"/>
        <v>0</v>
      </c>
      <c r="BK185">
        <f t="shared" si="152"/>
        <v>0</v>
      </c>
      <c r="BM185">
        <f t="shared" si="153"/>
        <v>-4.1819084444059529</v>
      </c>
      <c r="BN185">
        <f t="shared" si="137"/>
        <v>-175.37745399951751</v>
      </c>
      <c r="BQ185" s="56">
        <f t="shared" si="154"/>
        <v>18.954118875264285</v>
      </c>
      <c r="BR185" s="59"/>
      <c r="BS185" s="59"/>
      <c r="BT185" s="59">
        <v>5623.4129999999996</v>
      </c>
      <c r="BU185" s="59">
        <v>1.07298</v>
      </c>
      <c r="BV185" s="59">
        <v>-235.13800000000001</v>
      </c>
      <c r="BW185" s="61"/>
      <c r="BY185" s="59"/>
      <c r="BZ185" s="59"/>
      <c r="CA185" s="59"/>
      <c r="CC185" s="59"/>
    </row>
    <row r="186" spans="1:81" x14ac:dyDescent="0.2">
      <c r="A186">
        <f t="shared" si="158"/>
        <v>76000</v>
      </c>
      <c r="B186">
        <f t="shared" si="138"/>
        <v>76</v>
      </c>
      <c r="C186">
        <f t="shared" si="107"/>
        <v>1.0000456044280304</v>
      </c>
      <c r="D186">
        <f t="shared" si="108"/>
        <v>9.5501513036494942E-3</v>
      </c>
      <c r="F186">
        <f t="shared" si="109"/>
        <v>4.0629367593609952E-2</v>
      </c>
      <c r="G186">
        <f t="shared" si="110"/>
        <v>7.0686226945792366E-2</v>
      </c>
      <c r="H186">
        <f t="shared" si="111"/>
        <v>-3.070906423054208</v>
      </c>
      <c r="J186">
        <f t="shared" si="112"/>
        <v>15</v>
      </c>
      <c r="M186">
        <f t="shared" si="113"/>
        <v>2.3880455299000174E-2</v>
      </c>
      <c r="N186">
        <f t="shared" si="114"/>
        <v>-1.5707963250000001</v>
      </c>
      <c r="O186">
        <f t="shared" si="115"/>
        <v>9.1245397408730682</v>
      </c>
      <c r="P186">
        <f t="shared" si="116"/>
        <v>1.4609811739805099</v>
      </c>
      <c r="Q186">
        <f t="shared" si="117"/>
        <v>6.003445222800937</v>
      </c>
      <c r="R186">
        <f t="shared" si="118"/>
        <v>1.4034452492379033</v>
      </c>
      <c r="S186">
        <f t="shared" si="119"/>
        <v>0.99995236922170583</v>
      </c>
      <c r="T186">
        <f t="shared" si="120"/>
        <v>-9.760241432897554E-3</v>
      </c>
      <c r="U186">
        <f t="shared" si="121"/>
        <v>0.98813587195818731</v>
      </c>
      <c r="V186">
        <f t="shared" si="122"/>
        <v>-0.15419249097000243</v>
      </c>
      <c r="X186">
        <f t="shared" si="139"/>
        <v>-2.0719754346374049</v>
      </c>
      <c r="Y186">
        <f t="shared" si="123"/>
        <v>-110.67704881099344</v>
      </c>
      <c r="Z186">
        <f t="shared" si="140"/>
        <v>69.32295118900656</v>
      </c>
      <c r="AC186">
        <v>1</v>
      </c>
      <c r="AD186">
        <f t="shared" si="124"/>
        <v>9.0695769186204007</v>
      </c>
      <c r="AE186">
        <f t="shared" si="125"/>
        <v>-2.9450278170002056E-4</v>
      </c>
      <c r="AF186">
        <f t="shared" si="126"/>
        <v>1.8948076245504004E-3</v>
      </c>
      <c r="AG186">
        <f t="shared" si="141"/>
        <v>4593.5471610711693</v>
      </c>
      <c r="AH186">
        <f t="shared" si="142"/>
        <v>-1241.7157215967854</v>
      </c>
      <c r="AJ186">
        <f t="shared" si="127"/>
        <v>22100</v>
      </c>
      <c r="AK186">
        <f t="shared" si="128"/>
        <v>215.7081853307472</v>
      </c>
      <c r="AL186">
        <v>1</v>
      </c>
      <c r="AM186">
        <f t="shared" si="129"/>
        <v>5.919573848105232</v>
      </c>
      <c r="AN186">
        <f t="shared" si="143"/>
        <v>648.61326187684188</v>
      </c>
      <c r="AO186">
        <f t="shared" si="144"/>
        <v>-3623.8059172096364</v>
      </c>
      <c r="AQ186">
        <f t="shared" si="130"/>
        <v>0.43280675178532785</v>
      </c>
      <c r="AR186">
        <f t="shared" si="131"/>
        <v>-65.78662627136984</v>
      </c>
      <c r="AT186">
        <f t="shared" si="156"/>
        <v>-79700.169886016112</v>
      </c>
      <c r="AU186">
        <f t="shared" si="157"/>
        <v>-302731.393293406</v>
      </c>
      <c r="AV186">
        <f t="shared" si="145"/>
        <v>-1.8282251181262692</v>
      </c>
      <c r="AW186">
        <f t="shared" si="146"/>
        <v>-234870.0462718762</v>
      </c>
      <c r="AX186">
        <f t="shared" si="147"/>
        <v>-72004.187803468376</v>
      </c>
      <c r="AY186">
        <f t="shared" si="155"/>
        <v>-2.8441189859422868</v>
      </c>
      <c r="BA186">
        <f t="shared" si="132"/>
        <v>1.274313055779327</v>
      </c>
      <c r="BB186">
        <f t="shared" si="148"/>
        <v>2.1055226525442987</v>
      </c>
      <c r="BC186">
        <f t="shared" si="149"/>
        <v>1.0158938678160176</v>
      </c>
      <c r="BD186">
        <f t="shared" si="133"/>
        <v>-121.79356887441051</v>
      </c>
      <c r="BF186">
        <f t="shared" si="134"/>
        <v>-2.1954548108354546</v>
      </c>
      <c r="BG186">
        <f t="shared" si="135"/>
        <v>-117.19636303204913</v>
      </c>
      <c r="BH186">
        <f t="shared" si="150"/>
        <v>62.803636967950865</v>
      </c>
      <c r="BI186">
        <f t="shared" si="151"/>
        <v>62.803636967950865</v>
      </c>
      <c r="BJ186">
        <f t="shared" si="136"/>
        <v>0</v>
      </c>
      <c r="BK186">
        <f t="shared" si="152"/>
        <v>0</v>
      </c>
      <c r="BM186">
        <f t="shared" si="153"/>
        <v>-4.300977463379752</v>
      </c>
      <c r="BN186">
        <f t="shared" si="137"/>
        <v>-175.40279415763862</v>
      </c>
      <c r="BQ186" s="56">
        <f t="shared" si="154"/>
        <v>19.007483452829433</v>
      </c>
      <c r="BR186" s="59"/>
      <c r="BS186" s="59"/>
      <c r="BT186" s="59">
        <v>5754.3990000000003</v>
      </c>
      <c r="BU186" s="59">
        <v>0.86915299999999995</v>
      </c>
      <c r="BV186" s="59">
        <v>-234.68899999999999</v>
      </c>
      <c r="BW186" s="61"/>
      <c r="BY186" s="59"/>
      <c r="BZ186" s="59"/>
      <c r="CA186" s="59"/>
      <c r="CC186" s="59"/>
    </row>
    <row r="187" spans="1:81" x14ac:dyDescent="0.2">
      <c r="A187">
        <f t="shared" si="158"/>
        <v>76500</v>
      </c>
      <c r="B187">
        <f t="shared" si="138"/>
        <v>76.5</v>
      </c>
      <c r="C187">
        <f t="shared" si="107"/>
        <v>1.0000462064462616</v>
      </c>
      <c r="D187">
        <f t="shared" si="108"/>
        <v>9.6129773884406668E-3</v>
      </c>
      <c r="F187">
        <f t="shared" si="109"/>
        <v>4.0080058677745931E-2</v>
      </c>
      <c r="G187">
        <f t="shared" si="110"/>
        <v>7.0188482463963656E-2</v>
      </c>
      <c r="H187">
        <f t="shared" si="111"/>
        <v>-3.0714041675360364</v>
      </c>
      <c r="J187">
        <f t="shared" si="112"/>
        <v>15</v>
      </c>
      <c r="M187">
        <f t="shared" si="113"/>
        <v>2.3724373891817169E-2</v>
      </c>
      <c r="N187">
        <f t="shared" si="114"/>
        <v>-1.5707963250000001</v>
      </c>
      <c r="O187">
        <f t="shared" si="115"/>
        <v>9.1838509188340183</v>
      </c>
      <c r="P187">
        <f t="shared" si="116"/>
        <v>1.461693219380094</v>
      </c>
      <c r="Q187">
        <f t="shared" si="117"/>
        <v>6.0418491934848468</v>
      </c>
      <c r="R187">
        <f t="shared" si="118"/>
        <v>1.4045189332965942</v>
      </c>
      <c r="S187">
        <f t="shared" si="119"/>
        <v>0.99995174048487356</v>
      </c>
      <c r="T187">
        <f t="shared" si="120"/>
        <v>-9.82444942934123E-3</v>
      </c>
      <c r="U187">
        <f t="shared" si="121"/>
        <v>0.98798206364457164</v>
      </c>
      <c r="V187">
        <f t="shared" si="122"/>
        <v>-0.15519075744801827</v>
      </c>
      <c r="X187">
        <f t="shared" si="139"/>
        <v>-2.1368551730375298</v>
      </c>
      <c r="Y187">
        <f t="shared" si="123"/>
        <v>-110.66052834147291</v>
      </c>
      <c r="Z187">
        <f t="shared" si="140"/>
        <v>69.339471658527088</v>
      </c>
      <c r="AC187">
        <v>1</v>
      </c>
      <c r="AD187">
        <f t="shared" si="124"/>
        <v>9.1292451878218497</v>
      </c>
      <c r="AE187">
        <f t="shared" si="125"/>
        <v>-2.98390565132262E-4</v>
      </c>
      <c r="AF187">
        <f t="shared" si="126"/>
        <v>1.9072734641856002E-3</v>
      </c>
      <c r="AG187">
        <f t="shared" si="141"/>
        <v>4592.1172549716812</v>
      </c>
      <c r="AH187">
        <f t="shared" si="142"/>
        <v>-1242.7397053294076</v>
      </c>
      <c r="AJ187">
        <f t="shared" si="127"/>
        <v>22100</v>
      </c>
      <c r="AK187">
        <f t="shared" si="128"/>
        <v>217.12731812897582</v>
      </c>
      <c r="AL187">
        <v>1</v>
      </c>
      <c r="AM187">
        <f t="shared" si="129"/>
        <v>5.9585184128953985</v>
      </c>
      <c r="AN187">
        <f t="shared" si="143"/>
        <v>640.85564594996333</v>
      </c>
      <c r="AO187">
        <f t="shared" si="144"/>
        <v>-3601.4228482718545</v>
      </c>
      <c r="AQ187">
        <f t="shared" si="130"/>
        <v>0.42716787697565145</v>
      </c>
      <c r="AR187">
        <f t="shared" si="131"/>
        <v>-65.35668517727467</v>
      </c>
      <c r="AT187">
        <f t="shared" si="156"/>
        <v>-79259.742699883675</v>
      </c>
      <c r="AU187">
        <f t="shared" si="157"/>
        <v>-300656.42021187383</v>
      </c>
      <c r="AV187">
        <f t="shared" si="145"/>
        <v>-1.8285543370117863</v>
      </c>
      <c r="AW187">
        <f t="shared" si="146"/>
        <v>-231881.63027456528</v>
      </c>
      <c r="AX187">
        <f t="shared" si="147"/>
        <v>-71013.499839212876</v>
      </c>
      <c r="AY187">
        <f t="shared" si="155"/>
        <v>-2.8444128066251593</v>
      </c>
      <c r="BA187">
        <f t="shared" si="132"/>
        <v>1.2821156745843401</v>
      </c>
      <c r="BB187">
        <f t="shared" si="148"/>
        <v>2.1585441942547603</v>
      </c>
      <c r="BC187">
        <f t="shared" si="149"/>
        <v>1.015858469613373</v>
      </c>
      <c r="BD187">
        <f t="shared" si="133"/>
        <v>-121.79559704202671</v>
      </c>
      <c r="BF187">
        <f t="shared" si="134"/>
        <v>-2.260662316358319</v>
      </c>
      <c r="BG187">
        <f t="shared" si="135"/>
        <v>-117.22331018827667</v>
      </c>
      <c r="BH187">
        <f t="shared" si="150"/>
        <v>62.77668981172333</v>
      </c>
      <c r="BI187">
        <f t="shared" si="151"/>
        <v>62.77668981172333</v>
      </c>
      <c r="BJ187">
        <f t="shared" si="136"/>
        <v>0</v>
      </c>
      <c r="BK187">
        <f t="shared" si="152"/>
        <v>0</v>
      </c>
      <c r="BM187">
        <f t="shared" si="153"/>
        <v>-4.4192065106130798</v>
      </c>
      <c r="BN187">
        <f t="shared" si="137"/>
        <v>-175.42771314624994</v>
      </c>
      <c r="BQ187" s="56">
        <f t="shared" si="154"/>
        <v>19.060504994539897</v>
      </c>
      <c r="BR187" s="59"/>
      <c r="BS187" s="59"/>
      <c r="BT187" s="59">
        <v>5888.4369999999999</v>
      </c>
      <c r="BU187" s="59">
        <v>0.80323599999999995</v>
      </c>
      <c r="BV187" s="59">
        <v>-233.95400000000001</v>
      </c>
      <c r="BW187" s="61"/>
      <c r="BY187" s="59"/>
      <c r="BZ187" s="59"/>
      <c r="CA187" s="59"/>
      <c r="CC187" s="59"/>
    </row>
    <row r="188" spans="1:81" x14ac:dyDescent="0.2">
      <c r="A188">
        <f t="shared" si="158"/>
        <v>77000</v>
      </c>
      <c r="B188">
        <f t="shared" si="138"/>
        <v>77</v>
      </c>
      <c r="C188">
        <f t="shared" si="107"/>
        <v>1.0000468124117874</v>
      </c>
      <c r="D188">
        <f t="shared" si="108"/>
        <v>9.6758033973425028E-3</v>
      </c>
      <c r="F188">
        <f t="shared" si="109"/>
        <v>3.9541944744698292E-2</v>
      </c>
      <c r="G188">
        <f t="shared" si="110"/>
        <v>6.9697925240258515E-2</v>
      </c>
      <c r="H188">
        <f t="shared" si="111"/>
        <v>-3.0718947247597419</v>
      </c>
      <c r="J188">
        <f t="shared" si="112"/>
        <v>15</v>
      </c>
      <c r="M188">
        <f t="shared" si="113"/>
        <v>2.3570319515896276E-2</v>
      </c>
      <c r="N188">
        <f t="shared" si="114"/>
        <v>-1.5707963250000001</v>
      </c>
      <c r="O188">
        <f t="shared" si="115"/>
        <v>9.2431666933288579</v>
      </c>
      <c r="P188">
        <f t="shared" si="116"/>
        <v>1.4623961263758642</v>
      </c>
      <c r="Q188">
        <f t="shared" si="117"/>
        <v>6.0802600412078593</v>
      </c>
      <c r="R188">
        <f t="shared" si="118"/>
        <v>1.4055790529885424</v>
      </c>
      <c r="S188">
        <f t="shared" si="119"/>
        <v>0.99995110762637474</v>
      </c>
      <c r="T188">
        <f t="shared" si="120"/>
        <v>-9.888657344776541E-3</v>
      </c>
      <c r="U188">
        <f t="shared" si="121"/>
        <v>0.98782731926026601</v>
      </c>
      <c r="V188">
        <f t="shared" si="122"/>
        <v>-0.15618871220987637</v>
      </c>
      <c r="X188">
        <f t="shared" si="139"/>
        <v>-2.2012435773898615</v>
      </c>
      <c r="Y188">
        <f t="shared" si="123"/>
        <v>-110.6448789850193</v>
      </c>
      <c r="Z188">
        <f t="shared" si="140"/>
        <v>69.355121014980696</v>
      </c>
      <c r="AC188">
        <v>1</v>
      </c>
      <c r="AD188">
        <f t="shared" si="124"/>
        <v>9.1889134570233004</v>
      </c>
      <c r="AE188">
        <f t="shared" si="125"/>
        <v>-3.0230384222635422E-4</v>
      </c>
      <c r="AF188">
        <f t="shared" si="126"/>
        <v>1.9197393038208003E-3</v>
      </c>
      <c r="AG188">
        <f t="shared" si="141"/>
        <v>4590.6788711515419</v>
      </c>
      <c r="AH188">
        <f t="shared" si="142"/>
        <v>-1243.8042271802876</v>
      </c>
      <c r="AJ188">
        <f t="shared" si="127"/>
        <v>22100</v>
      </c>
      <c r="AK188">
        <f t="shared" si="128"/>
        <v>218.54645092720443</v>
      </c>
      <c r="AL188">
        <v>1</v>
      </c>
      <c r="AM188">
        <f t="shared" si="129"/>
        <v>5.9974629776855641</v>
      </c>
      <c r="AN188">
        <f t="shared" si="143"/>
        <v>633.24321076637739</v>
      </c>
      <c r="AO188">
        <f t="shared" si="144"/>
        <v>-3579.306261514881</v>
      </c>
      <c r="AQ188">
        <f t="shared" si="130"/>
        <v>0.42163848716110808</v>
      </c>
      <c r="AR188">
        <f t="shared" si="131"/>
        <v>-64.93232702281064</v>
      </c>
      <c r="AT188">
        <f t="shared" si="156"/>
        <v>-78827.4959373499</v>
      </c>
      <c r="AU188">
        <f t="shared" si="157"/>
        <v>-298607.89745099196</v>
      </c>
      <c r="AV188">
        <f t="shared" si="145"/>
        <v>-1.8288918241955798</v>
      </c>
      <c r="AW188">
        <f t="shared" si="146"/>
        <v>-228949.05976874271</v>
      </c>
      <c r="AX188">
        <f t="shared" si="147"/>
        <v>-70045.406890376878</v>
      </c>
      <c r="AY188">
        <f t="shared" si="155"/>
        <v>-2.844692344464768</v>
      </c>
      <c r="BA188">
        <f t="shared" si="132"/>
        <v>1.2899156850005413</v>
      </c>
      <c r="BB188">
        <f t="shared" si="148"/>
        <v>2.2112264736481047</v>
      </c>
      <c r="BC188">
        <f t="shared" si="149"/>
        <v>1.0158005202691882</v>
      </c>
      <c r="BD188">
        <f t="shared" si="133"/>
        <v>-121.79891729487784</v>
      </c>
      <c r="BF188">
        <f t="shared" si="134"/>
        <v>-2.3253812494178554</v>
      </c>
      <c r="BG188">
        <f t="shared" si="135"/>
        <v>-117.25113763453004</v>
      </c>
      <c r="BH188">
        <f t="shared" si="150"/>
        <v>62.748862365469961</v>
      </c>
      <c r="BI188">
        <f t="shared" si="151"/>
        <v>62.748862365469961</v>
      </c>
      <c r="BJ188">
        <f t="shared" si="136"/>
        <v>0</v>
      </c>
      <c r="BK188">
        <f t="shared" si="152"/>
        <v>0</v>
      </c>
      <c r="BM188">
        <f t="shared" si="153"/>
        <v>-4.5366077230659618</v>
      </c>
      <c r="BN188">
        <f t="shared" si="137"/>
        <v>-175.4522203396522</v>
      </c>
      <c r="BQ188" s="56">
        <f t="shared" si="154"/>
        <v>19.113187273933242</v>
      </c>
      <c r="BR188" s="59"/>
      <c r="BS188" s="59"/>
      <c r="BT188" s="59">
        <v>6025.5959999999995</v>
      </c>
      <c r="BU188" s="59">
        <v>0.76992799999999995</v>
      </c>
      <c r="BV188" s="59">
        <v>-234.14699999999999</v>
      </c>
      <c r="BW188" s="61"/>
      <c r="BY188" s="59"/>
      <c r="BZ188" s="59"/>
      <c r="CA188" s="59"/>
      <c r="CC188" s="59"/>
    </row>
    <row r="189" spans="1:81" x14ac:dyDescent="0.2">
      <c r="A189">
        <f t="shared" si="158"/>
        <v>77500</v>
      </c>
      <c r="B189">
        <f t="shared" si="138"/>
        <v>77.5</v>
      </c>
      <c r="C189">
        <f t="shared" si="107"/>
        <v>1.0000474223246003</v>
      </c>
      <c r="D189">
        <f t="shared" si="108"/>
        <v>9.7386293298591768E-3</v>
      </c>
      <c r="F189">
        <f t="shared" si="109"/>
        <v>3.9014720292797685E-2</v>
      </c>
      <c r="G189">
        <f t="shared" si="110"/>
        <v>6.9214396583487256E-2</v>
      </c>
      <c r="H189">
        <f t="shared" si="111"/>
        <v>-3.0723782534165132</v>
      </c>
      <c r="J189">
        <f t="shared" si="112"/>
        <v>15</v>
      </c>
      <c r="M189">
        <f t="shared" si="113"/>
        <v>2.3418252938374365E-2</v>
      </c>
      <c r="N189">
        <f t="shared" si="114"/>
        <v>-1.5707963250000001</v>
      </c>
      <c r="O189">
        <f t="shared" si="115"/>
        <v>9.3024869764304654</v>
      </c>
      <c r="P189">
        <f t="shared" si="116"/>
        <v>1.4630900690883715</v>
      </c>
      <c r="Q189">
        <f t="shared" si="117"/>
        <v>6.1186776364552733</v>
      </c>
      <c r="R189">
        <f t="shared" si="118"/>
        <v>1.4066258614096452</v>
      </c>
      <c r="S189">
        <f t="shared" si="119"/>
        <v>0.99995047064623244</v>
      </c>
      <c r="T189">
        <f t="shared" si="120"/>
        <v>-9.952865178674223E-3</v>
      </c>
      <c r="U189">
        <f t="shared" si="121"/>
        <v>0.98767164016949505</v>
      </c>
      <c r="V189">
        <f t="shared" si="122"/>
        <v>-0.15718635341473849</v>
      </c>
      <c r="X189">
        <f t="shared" si="139"/>
        <v>-2.2651487918584823</v>
      </c>
      <c r="Y189">
        <f t="shared" si="123"/>
        <v>-110.63008525079435</v>
      </c>
      <c r="Z189">
        <f t="shared" si="140"/>
        <v>69.369914749205648</v>
      </c>
      <c r="AC189">
        <v>1</v>
      </c>
      <c r="AD189">
        <f t="shared" si="124"/>
        <v>9.2485817262247512</v>
      </c>
      <c r="AE189">
        <f t="shared" si="125"/>
        <v>-3.0624261298229722E-4</v>
      </c>
      <c r="AF189">
        <f t="shared" si="126"/>
        <v>1.9322051434560003E-3</v>
      </c>
      <c r="AG189">
        <f t="shared" si="141"/>
        <v>4589.2320263772763</v>
      </c>
      <c r="AH189">
        <f t="shared" si="142"/>
        <v>-1244.9083967540921</v>
      </c>
      <c r="AJ189">
        <f t="shared" si="127"/>
        <v>22100</v>
      </c>
      <c r="AK189">
        <f t="shared" si="128"/>
        <v>219.96558372543305</v>
      </c>
      <c r="AL189">
        <v>1</v>
      </c>
      <c r="AM189">
        <f t="shared" si="129"/>
        <v>6.0364075424757306</v>
      </c>
      <c r="AN189">
        <f t="shared" si="143"/>
        <v>625.77238981912319</v>
      </c>
      <c r="AO189">
        <f t="shared" si="144"/>
        <v>-3557.4515900517858</v>
      </c>
      <c r="AQ189">
        <f t="shared" si="130"/>
        <v>0.41621576625322565</v>
      </c>
      <c r="AR189">
        <f t="shared" si="131"/>
        <v>-64.513443769249974</v>
      </c>
      <c r="AT189">
        <f t="shared" si="156"/>
        <v>-78403.217127489799</v>
      </c>
      <c r="AU189">
        <f t="shared" si="157"/>
        <v>-296585.31278000161</v>
      </c>
      <c r="AV189">
        <f t="shared" si="145"/>
        <v>-1.8292374145231916</v>
      </c>
      <c r="AW189">
        <f t="shared" si="146"/>
        <v>-226070.96581479171</v>
      </c>
      <c r="AX189">
        <f t="shared" si="147"/>
        <v>-69099.234516677403</v>
      </c>
      <c r="AY189">
        <f t="shared" si="155"/>
        <v>-2.8449578626003116</v>
      </c>
      <c r="BA189">
        <f t="shared" si="132"/>
        <v>1.2977130148382134</v>
      </c>
      <c r="BB189">
        <f t="shared" si="148"/>
        <v>2.2635732044091288</v>
      </c>
      <c r="BC189">
        <f t="shared" si="149"/>
        <v>1.01572044807712</v>
      </c>
      <c r="BD189">
        <f t="shared" si="133"/>
        <v>-121.80350509354496</v>
      </c>
      <c r="BF189">
        <f t="shared" si="134"/>
        <v>-2.3896197654303801</v>
      </c>
      <c r="BG189">
        <f t="shared" si="135"/>
        <v>-117.27982992375414</v>
      </c>
      <c r="BH189">
        <f t="shared" si="150"/>
        <v>62.720170076245864</v>
      </c>
      <c r="BI189">
        <f t="shared" si="151"/>
        <v>62.720170076245864</v>
      </c>
      <c r="BJ189">
        <f t="shared" si="136"/>
        <v>0</v>
      </c>
      <c r="BK189">
        <f t="shared" si="152"/>
        <v>0</v>
      </c>
      <c r="BM189">
        <f t="shared" si="153"/>
        <v>-4.6531929698395107</v>
      </c>
      <c r="BN189">
        <f t="shared" si="137"/>
        <v>-175.47632483020919</v>
      </c>
      <c r="BQ189" s="56">
        <f t="shared" si="154"/>
        <v>19.165534004694265</v>
      </c>
      <c r="BR189" s="59"/>
      <c r="BS189" s="59"/>
      <c r="BT189" s="59">
        <v>6165.95</v>
      </c>
      <c r="BU189" s="59">
        <v>0.46947800000000001</v>
      </c>
      <c r="BV189" s="59">
        <v>-232.05599999999998</v>
      </c>
      <c r="BW189" s="61"/>
      <c r="BY189" s="59"/>
      <c r="BZ189" s="59"/>
      <c r="CA189" s="59"/>
      <c r="CC189" s="59"/>
    </row>
    <row r="190" spans="1:81" x14ac:dyDescent="0.2">
      <c r="A190">
        <f t="shared" si="158"/>
        <v>78000</v>
      </c>
      <c r="B190">
        <f t="shared" si="138"/>
        <v>78</v>
      </c>
      <c r="C190">
        <f t="shared" si="107"/>
        <v>1.0000480361846937</v>
      </c>
      <c r="D190">
        <f t="shared" si="108"/>
        <v>9.80145518549487E-3</v>
      </c>
      <c r="F190">
        <f t="shared" si="109"/>
        <v>3.8498090277649125E-2</v>
      </c>
      <c r="G190">
        <f t="shared" si="110"/>
        <v>6.8737742536714733E-2</v>
      </c>
      <c r="H190">
        <f t="shared" si="111"/>
        <v>-3.0728549074632854</v>
      </c>
      <c r="J190">
        <f t="shared" si="112"/>
        <v>15</v>
      </c>
      <c r="M190">
        <f t="shared" si="113"/>
        <v>2.3268135932359147E-2</v>
      </c>
      <c r="N190">
        <f t="shared" si="114"/>
        <v>-1.5707963250000001</v>
      </c>
      <c r="O190">
        <f t="shared" si="115"/>
        <v>9.3618116824336894</v>
      </c>
      <c r="P190">
        <f t="shared" si="116"/>
        <v>1.4637752172596805</v>
      </c>
      <c r="Q190">
        <f t="shared" si="117"/>
        <v>6.1571018529223771</v>
      </c>
      <c r="R190">
        <f t="shared" si="118"/>
        <v>1.40765960545625</v>
      </c>
      <c r="S190">
        <f t="shared" si="119"/>
        <v>0.99994982954447043</v>
      </c>
      <c r="T190">
        <f t="shared" si="120"/>
        <v>-1.0017072930505022E-2</v>
      </c>
      <c r="U190">
        <f t="shared" si="121"/>
        <v>0.98751502774356215</v>
      </c>
      <c r="V190">
        <f t="shared" si="122"/>
        <v>-0.15818367922541968</v>
      </c>
      <c r="X190">
        <f t="shared" si="139"/>
        <v>-2.3285787594003344</v>
      </c>
      <c r="Y190">
        <f t="shared" si="123"/>
        <v>-110.61613198299312</v>
      </c>
      <c r="Z190">
        <f t="shared" si="140"/>
        <v>69.383868017006876</v>
      </c>
      <c r="AC190">
        <v>1</v>
      </c>
      <c r="AD190">
        <f t="shared" si="124"/>
        <v>9.3082499954262001</v>
      </c>
      <c r="AE190">
        <f t="shared" si="125"/>
        <v>-3.1020687740009094E-4</v>
      </c>
      <c r="AF190">
        <f t="shared" si="126"/>
        <v>1.9446709830912004E-3</v>
      </c>
      <c r="AG190">
        <f t="shared" si="141"/>
        <v>4587.7767374978703</v>
      </c>
      <c r="AH190">
        <f t="shared" si="142"/>
        <v>-1246.0513459691761</v>
      </c>
      <c r="AJ190">
        <f t="shared" si="127"/>
        <v>22100</v>
      </c>
      <c r="AK190">
        <f t="shared" si="128"/>
        <v>221.38471652366164</v>
      </c>
      <c r="AL190">
        <v>1</v>
      </c>
      <c r="AM190">
        <f t="shared" si="129"/>
        <v>6.0753521072658963</v>
      </c>
      <c r="AN190">
        <f t="shared" si="143"/>
        <v>618.4397244039842</v>
      </c>
      <c r="AO190">
        <f t="shared" si="144"/>
        <v>-3535.8543663510245</v>
      </c>
      <c r="AQ190">
        <f t="shared" si="130"/>
        <v>0.41089698812507702</v>
      </c>
      <c r="AR190">
        <f t="shared" si="131"/>
        <v>-64.099930147512012</v>
      </c>
      <c r="AT190">
        <f t="shared" si="156"/>
        <v>-77986.700593209331</v>
      </c>
      <c r="AU190">
        <f t="shared" si="157"/>
        <v>-294588.16715110192</v>
      </c>
      <c r="AV190">
        <f t="shared" si="145"/>
        <v>-1.8295909469452207</v>
      </c>
      <c r="AW190">
        <f t="shared" si="146"/>
        <v>-223246.02073976415</v>
      </c>
      <c r="AX190">
        <f t="shared" si="147"/>
        <v>-68174.332690738695</v>
      </c>
      <c r="AY190">
        <f t="shared" si="155"/>
        <v>-2.8452096177053434</v>
      </c>
      <c r="BA190">
        <f t="shared" si="132"/>
        <v>1.3055075929883062</v>
      </c>
      <c r="BB190">
        <f t="shared" si="148"/>
        <v>2.3155880414991872</v>
      </c>
      <c r="BC190">
        <f t="shared" si="149"/>
        <v>1.0156186707601227</v>
      </c>
      <c r="BD190">
        <f t="shared" si="133"/>
        <v>-121.80933650426573</v>
      </c>
      <c r="BF190">
        <f t="shared" si="134"/>
        <v>-2.4533858186545943</v>
      </c>
      <c r="BG190">
        <f t="shared" si="135"/>
        <v>-117.30937194329765</v>
      </c>
      <c r="BH190">
        <f t="shared" si="150"/>
        <v>62.690628056702352</v>
      </c>
      <c r="BI190">
        <f t="shared" si="151"/>
        <v>62.690628056702352</v>
      </c>
      <c r="BJ190">
        <f t="shared" si="136"/>
        <v>0</v>
      </c>
      <c r="BK190">
        <f t="shared" si="152"/>
        <v>0</v>
      </c>
      <c r="BM190">
        <f t="shared" si="153"/>
        <v>-4.7689738601537828</v>
      </c>
      <c r="BN190">
        <f t="shared" si="137"/>
        <v>-175.5000354390319</v>
      </c>
      <c r="BQ190" s="56">
        <f t="shared" si="154"/>
        <v>19.217548841784325</v>
      </c>
      <c r="BR190" s="59"/>
      <c r="BS190" s="59"/>
      <c r="BT190" s="59">
        <v>6309.5730000000003</v>
      </c>
      <c r="BU190" s="59">
        <v>0.36985299999999999</v>
      </c>
      <c r="BV190" s="59">
        <v>-231.369</v>
      </c>
      <c r="BW190" s="61"/>
      <c r="BY190" s="59"/>
      <c r="BZ190" s="59"/>
      <c r="CA190" s="59"/>
      <c r="CC190" s="59"/>
    </row>
    <row r="191" spans="1:81" x14ac:dyDescent="0.2">
      <c r="A191">
        <f t="shared" si="158"/>
        <v>78500</v>
      </c>
      <c r="B191">
        <f t="shared" si="138"/>
        <v>78.5</v>
      </c>
      <c r="C191">
        <f t="shared" si="107"/>
        <v>1.0000486539920599</v>
      </c>
      <c r="D191">
        <f t="shared" si="108"/>
        <v>9.8642809637537656E-3</v>
      </c>
      <c r="F191">
        <f t="shared" si="109"/>
        <v>3.7991769681464595E-2</v>
      </c>
      <c r="G191">
        <f t="shared" si="110"/>
        <v>6.8267813699298061E-2</v>
      </c>
      <c r="H191">
        <f t="shared" si="111"/>
        <v>-3.073324836300702</v>
      </c>
      <c r="J191">
        <f t="shared" si="112"/>
        <v>15</v>
      </c>
      <c r="M191">
        <f t="shared" si="113"/>
        <v>2.3119931244891891E-2</v>
      </c>
      <c r="N191">
        <f t="shared" si="114"/>
        <v>-1.5707963250000001</v>
      </c>
      <c r="O191">
        <f t="shared" si="115"/>
        <v>9.4211407277858008</v>
      </c>
      <c r="P191">
        <f t="shared" si="116"/>
        <v>1.4644517363896037</v>
      </c>
      <c r="Q191">
        <f t="shared" si="117"/>
        <v>6.1955325674162864</v>
      </c>
      <c r="R191">
        <f t="shared" si="118"/>
        <v>1.4086805260120179</v>
      </c>
      <c r="S191">
        <f t="shared" si="119"/>
        <v>0.99994918432111268</v>
      </c>
      <c r="T191">
        <f t="shared" si="120"/>
        <v>-1.0081280599739686E-2</v>
      </c>
      <c r="U191">
        <f t="shared" si="121"/>
        <v>0.98735748336081663</v>
      </c>
      <c r="V191">
        <f t="shared" si="122"/>
        <v>-0.15918068780840597</v>
      </c>
      <c r="X191">
        <f t="shared" si="139"/>
        <v>-2.3915412283364983</v>
      </c>
      <c r="Y191">
        <f t="shared" si="123"/>
        <v>-110.60300435252955</v>
      </c>
      <c r="Z191">
        <f t="shared" si="140"/>
        <v>69.396995647470447</v>
      </c>
      <c r="AC191">
        <v>1</v>
      </c>
      <c r="AD191">
        <f t="shared" si="124"/>
        <v>9.3679182646276491</v>
      </c>
      <c r="AE191">
        <f t="shared" si="125"/>
        <v>-3.1419663547973539E-4</v>
      </c>
      <c r="AF191">
        <f t="shared" si="126"/>
        <v>1.9571368227264004E-3</v>
      </c>
      <c r="AG191">
        <f t="shared" si="141"/>
        <v>4586.3130214442999</v>
      </c>
      <c r="AH191">
        <f t="shared" si="142"/>
        <v>-1247.2322283499036</v>
      </c>
      <c r="AJ191">
        <f t="shared" si="127"/>
        <v>22100</v>
      </c>
      <c r="AK191">
        <f t="shared" si="128"/>
        <v>222.80384932189023</v>
      </c>
      <c r="AL191">
        <v>1</v>
      </c>
      <c r="AM191">
        <f t="shared" si="129"/>
        <v>6.1142966720560628</v>
      </c>
      <c r="AN191">
        <f t="shared" si="143"/>
        <v>611.24185977169861</v>
      </c>
      <c r="AO191">
        <f t="shared" si="144"/>
        <v>-3514.5102197015653</v>
      </c>
      <c r="AQ191">
        <f t="shared" si="130"/>
        <v>0.40567951318458417</v>
      </c>
      <c r="AR191">
        <f t="shared" si="131"/>
        <v>-63.691683569979716</v>
      </c>
      <c r="AT191">
        <f t="shared" si="156"/>
        <v>-77577.747192491108</v>
      </c>
      <c r="AU191">
        <f t="shared" si="157"/>
        <v>-292615.97427793301</v>
      </c>
      <c r="AV191">
        <f t="shared" si="145"/>
        <v>-1.8299522643899324</v>
      </c>
      <c r="AW191">
        <f t="shared" si="146"/>
        <v>-220472.93666941416</v>
      </c>
      <c r="AX191">
        <f t="shared" si="147"/>
        <v>-67270.07476813934</v>
      </c>
      <c r="AY191">
        <f t="shared" si="155"/>
        <v>-2.8454478601833988</v>
      </c>
      <c r="BA191">
        <f t="shared" si="132"/>
        <v>1.3132993493890932</v>
      </c>
      <c r="BB191">
        <f t="shared" si="148"/>
        <v>2.3672745822642245</v>
      </c>
      <c r="BC191">
        <f t="shared" si="149"/>
        <v>1.0154955957934664</v>
      </c>
      <c r="BD191">
        <f t="shared" si="133"/>
        <v>-121.81638818042691</v>
      </c>
      <c r="BF191">
        <f t="shared" si="134"/>
        <v>-2.5166871687624042</v>
      </c>
      <c r="BG191">
        <f t="shared" si="135"/>
        <v>-117.33974890660208</v>
      </c>
      <c r="BH191">
        <f t="shared" si="150"/>
        <v>62.660251093397918</v>
      </c>
      <c r="BI191">
        <f t="shared" si="151"/>
        <v>62.660251093397918</v>
      </c>
      <c r="BJ191">
        <f t="shared" si="136"/>
        <v>0</v>
      </c>
      <c r="BK191">
        <f t="shared" si="152"/>
        <v>0</v>
      </c>
      <c r="BM191">
        <f t="shared" si="153"/>
        <v>-4.8839617510266269</v>
      </c>
      <c r="BN191">
        <f t="shared" si="137"/>
        <v>-175.52336072617518</v>
      </c>
      <c r="BQ191" s="56">
        <f t="shared" si="154"/>
        <v>19.269235382549361</v>
      </c>
      <c r="BR191" s="59"/>
      <c r="BS191" s="59"/>
      <c r="BT191" s="59">
        <v>6456.5420000000004</v>
      </c>
      <c r="BU191" s="59">
        <v>0.12767600000000001</v>
      </c>
      <c r="BV191" s="59">
        <v>-230.779</v>
      </c>
      <c r="BW191" s="61"/>
      <c r="BY191" s="59"/>
      <c r="BZ191" s="59"/>
      <c r="CA191" s="59"/>
      <c r="CC191" s="59"/>
    </row>
    <row r="192" spans="1:81" x14ac:dyDescent="0.2">
      <c r="A192">
        <f t="shared" si="158"/>
        <v>79000</v>
      </c>
      <c r="B192">
        <f t="shared" si="138"/>
        <v>79</v>
      </c>
      <c r="C192">
        <f t="shared" si="107"/>
        <v>1.0000492757466917</v>
      </c>
      <c r="D192">
        <f t="shared" si="108"/>
        <v>9.92710666414005E-3</v>
      </c>
      <c r="F192">
        <f t="shared" si="109"/>
        <v>3.7495483103124366E-2</v>
      </c>
      <c r="G192">
        <f t="shared" si="110"/>
        <v>6.7804465056980942E-2</v>
      </c>
      <c r="H192">
        <f t="shared" si="111"/>
        <v>-3.0737881849430191</v>
      </c>
      <c r="J192">
        <f t="shared" si="112"/>
        <v>15</v>
      </c>
      <c r="M192">
        <f t="shared" si="113"/>
        <v>2.2973602566126752E-2</v>
      </c>
      <c r="N192">
        <f t="shared" si="114"/>
        <v>-1.5707963250000001</v>
      </c>
      <c r="O192">
        <f t="shared" si="115"/>
        <v>9.4804740310195363</v>
      </c>
      <c r="P192">
        <f t="shared" si="116"/>
        <v>1.4651197878668993</v>
      </c>
      <c r="Q192">
        <f t="shared" si="117"/>
        <v>6.233969659761339</v>
      </c>
      <c r="R192">
        <f t="shared" si="118"/>
        <v>1.4096888581281357</v>
      </c>
      <c r="S192">
        <f t="shared" si="119"/>
        <v>0.99994853497618297</v>
      </c>
      <c r="T192">
        <f t="shared" si="120"/>
        <v>-1.0145488185848968E-2</v>
      </c>
      <c r="U192">
        <f t="shared" si="121"/>
        <v>0.98719900840662156</v>
      </c>
      <c r="V192">
        <f t="shared" si="122"/>
        <v>-0.16017737733387225</v>
      </c>
      <c r="X192">
        <f t="shared" si="139"/>
        <v>-2.4540437586589468</v>
      </c>
      <c r="Y192">
        <f t="shared" si="123"/>
        <v>-110.59068784892966</v>
      </c>
      <c r="Z192">
        <f t="shared" si="140"/>
        <v>69.409312151070338</v>
      </c>
      <c r="AC192">
        <v>1</v>
      </c>
      <c r="AD192">
        <f t="shared" si="124"/>
        <v>9.4275865338290998</v>
      </c>
      <c r="AE192">
        <f t="shared" si="125"/>
        <v>-3.1821188722123067E-4</v>
      </c>
      <c r="AF192">
        <f t="shared" si="126"/>
        <v>1.9696026623616004E-3</v>
      </c>
      <c r="AG192">
        <f t="shared" si="141"/>
        <v>4584.8408952290647</v>
      </c>
      <c r="AH192">
        <f t="shared" si="142"/>
        <v>-1248.4502183458549</v>
      </c>
      <c r="AJ192">
        <f t="shared" si="127"/>
        <v>22100</v>
      </c>
      <c r="AK192">
        <f t="shared" si="128"/>
        <v>224.22298212011884</v>
      </c>
      <c r="AL192">
        <v>1</v>
      </c>
      <c r="AM192">
        <f t="shared" si="129"/>
        <v>6.1532412368462284</v>
      </c>
      <c r="AN192">
        <f t="shared" si="143"/>
        <v>604.17554143776965</v>
      </c>
      <c r="AO192">
        <f t="shared" si="144"/>
        <v>-3493.4148737486621</v>
      </c>
      <c r="AQ192">
        <f t="shared" si="130"/>
        <v>0.40056078509913878</v>
      </c>
      <c r="AR192">
        <f t="shared" si="131"/>
        <v>-63.288604045663931</v>
      </c>
      <c r="AT192">
        <f t="shared" si="156"/>
        <v>-77176.164071065883</v>
      </c>
      <c r="AU192">
        <f t="shared" si="157"/>
        <v>-290668.26023013744</v>
      </c>
      <c r="AV192">
        <f t="shared" si="145"/>
        <v>-1.830321213640564</v>
      </c>
      <c r="AW192">
        <f t="shared" si="146"/>
        <v>-217750.46412010485</v>
      </c>
      <c r="AX192">
        <f t="shared" si="147"/>
        <v>-66385.856506845535</v>
      </c>
      <c r="AY192">
        <f t="shared" si="155"/>
        <v>-2.8456728343566389</v>
      </c>
      <c r="BA192">
        <f t="shared" si="132"/>
        <v>1.3210882149940995</v>
      </c>
      <c r="BB192">
        <f t="shared" si="148"/>
        <v>2.418636367521759</v>
      </c>
      <c r="BC192">
        <f t="shared" si="149"/>
        <v>1.0153516207160749</v>
      </c>
      <c r="BD192">
        <f t="shared" si="133"/>
        <v>-121.82463734472594</v>
      </c>
      <c r="BF192">
        <f t="shared" si="134"/>
        <v>-2.5795313871452108</v>
      </c>
      <c r="BG192">
        <f t="shared" si="135"/>
        <v>-117.37094634509815</v>
      </c>
      <c r="BH192">
        <f t="shared" si="150"/>
        <v>62.629053654901853</v>
      </c>
      <c r="BI192">
        <f t="shared" si="151"/>
        <v>62.629053654901853</v>
      </c>
      <c r="BJ192">
        <f t="shared" si="136"/>
        <v>0</v>
      </c>
      <c r="BK192">
        <f t="shared" si="152"/>
        <v>0</v>
      </c>
      <c r="BM192">
        <f t="shared" si="153"/>
        <v>-4.9981677546669703</v>
      </c>
      <c r="BN192">
        <f t="shared" si="137"/>
        <v>-175.54630900037222</v>
      </c>
      <c r="BQ192" s="56">
        <f t="shared" si="154"/>
        <v>19.320597167806895</v>
      </c>
      <c r="BR192" s="59"/>
      <c r="BS192" s="59"/>
      <c r="BT192" s="59">
        <v>6606.9340000000002</v>
      </c>
      <c r="BU192" s="59">
        <v>3.6938100000000001E-2</v>
      </c>
      <c r="BV192" s="59">
        <v>-229.60900000000001</v>
      </c>
      <c r="BW192" s="61"/>
      <c r="BY192" s="59"/>
      <c r="BZ192" s="59"/>
      <c r="CA192" s="59"/>
      <c r="CC192" s="59"/>
    </row>
    <row r="193" spans="1:81" x14ac:dyDescent="0.2">
      <c r="A193">
        <f t="shared" si="158"/>
        <v>79500</v>
      </c>
      <c r="B193">
        <f t="shared" si="138"/>
        <v>79.5</v>
      </c>
      <c r="C193">
        <f t="shared" si="107"/>
        <v>1.0000499014485815</v>
      </c>
      <c r="D193">
        <f t="shared" si="108"/>
        <v>9.9899322861579185E-3</v>
      </c>
      <c r="F193">
        <f t="shared" si="109"/>
        <v>3.7008964367825706E-2</v>
      </c>
      <c r="G193">
        <f t="shared" si="110"/>
        <v>6.7347555819619667E-2</v>
      </c>
      <c r="H193">
        <f t="shared" si="111"/>
        <v>-3.0742450941803807</v>
      </c>
      <c r="J193">
        <f t="shared" si="112"/>
        <v>15</v>
      </c>
      <c r="M193">
        <f t="shared" si="113"/>
        <v>2.2829114499673123E-2</v>
      </c>
      <c r="N193">
        <f t="shared" si="114"/>
        <v>-1.5707963250000001</v>
      </c>
      <c r="O193">
        <f t="shared" si="115"/>
        <v>9.5398115126886172</v>
      </c>
      <c r="P193">
        <f t="shared" si="116"/>
        <v>1.4657795290956503</v>
      </c>
      <c r="Q193">
        <f t="shared" si="117"/>
        <v>6.2724130127078972</v>
      </c>
      <c r="R193">
        <f t="shared" si="118"/>
        <v>1.4106848311971496</v>
      </c>
      <c r="S193">
        <f t="shared" si="119"/>
        <v>0.99994788150970515</v>
      </c>
      <c r="T193">
        <f t="shared" si="120"/>
        <v>-1.0209695688303622E-2</v>
      </c>
      <c r="U193">
        <f t="shared" si="121"/>
        <v>0.98703960427332116</v>
      </c>
      <c r="V193">
        <f t="shared" si="122"/>
        <v>-0.16117374597570011</v>
      </c>
      <c r="X193">
        <f t="shared" si="139"/>
        <v>-2.5160937280854241</v>
      </c>
      <c r="Y193">
        <f t="shared" si="123"/>
        <v>-110.57916827242917</v>
      </c>
      <c r="Z193">
        <f t="shared" si="140"/>
        <v>69.420831727570828</v>
      </c>
      <c r="AC193">
        <v>1</v>
      </c>
      <c r="AD193">
        <f t="shared" si="124"/>
        <v>9.4872548030305506</v>
      </c>
      <c r="AE193">
        <f t="shared" si="125"/>
        <v>-3.2225263262457667E-4</v>
      </c>
      <c r="AF193">
        <f t="shared" si="126"/>
        <v>1.9820685019968005E-3</v>
      </c>
      <c r="AG193">
        <f t="shared" si="141"/>
        <v>4583.3603759456901</v>
      </c>
      <c r="AH193">
        <f t="shared" si="142"/>
        <v>-1249.7045106767284</v>
      </c>
      <c r="AJ193">
        <f t="shared" si="127"/>
        <v>22100</v>
      </c>
      <c r="AK193">
        <f t="shared" si="128"/>
        <v>225.64211491834743</v>
      </c>
      <c r="AL193">
        <v>1</v>
      </c>
      <c r="AM193">
        <f t="shared" si="129"/>
        <v>6.192185801636394</v>
      </c>
      <c r="AN193">
        <f t="shared" si="143"/>
        <v>597.23761164262396</v>
      </c>
      <c r="AO193">
        <f t="shared" si="144"/>
        <v>-3472.56414409834</v>
      </c>
      <c r="AQ193">
        <f t="shared" si="130"/>
        <v>0.39553832766395064</v>
      </c>
      <c r="AR193">
        <f t="shared" si="131"/>
        <v>-62.890594098568151</v>
      </c>
      <c r="AT193">
        <f t="shared" si="156"/>
        <v>-76781.764425937086</v>
      </c>
      <c r="AU193">
        <f t="shared" si="157"/>
        <v>-288744.5630432883</v>
      </c>
      <c r="AV193">
        <f t="shared" si="145"/>
        <v>-1.8306976452171353</v>
      </c>
      <c r="AW193">
        <f t="shared" si="146"/>
        <v>-215077.39064784913</v>
      </c>
      <c r="AX193">
        <f t="shared" si="147"/>
        <v>-65521.09513338621</v>
      </c>
      <c r="AY193">
        <f t="shared" si="155"/>
        <v>-2.8458847786477954</v>
      </c>
      <c r="BA193">
        <f t="shared" si="132"/>
        <v>1.328874121741225</v>
      </c>
      <c r="BB193">
        <f t="shared" si="148"/>
        <v>2.4696768826268967</v>
      </c>
      <c r="BC193">
        <f t="shared" si="149"/>
        <v>1.0151871334306601</v>
      </c>
      <c r="BD193">
        <f t="shared" si="133"/>
        <v>-121.83406177197455</v>
      </c>
      <c r="BF193">
        <f t="shared" si="134"/>
        <v>-2.6419258629684328</v>
      </c>
      <c r="BG193">
        <f t="shared" si="135"/>
        <v>-117.40295010030698</v>
      </c>
      <c r="BH193">
        <f t="shared" si="150"/>
        <v>62.597049899693019</v>
      </c>
      <c r="BI193">
        <f t="shared" si="151"/>
        <v>62.597049899693019</v>
      </c>
      <c r="BJ193">
        <f t="shared" si="136"/>
        <v>0</v>
      </c>
      <c r="BK193">
        <f t="shared" si="152"/>
        <v>0</v>
      </c>
      <c r="BM193">
        <f t="shared" si="153"/>
        <v>-5.1116027455953308</v>
      </c>
      <c r="BN193">
        <f t="shared" si="137"/>
        <v>-175.56888832833246</v>
      </c>
      <c r="BQ193" s="56">
        <f t="shared" si="154"/>
        <v>19.371637682912034</v>
      </c>
      <c r="BR193" s="59"/>
      <c r="BS193" s="59"/>
      <c r="BT193" s="59">
        <v>6760.83</v>
      </c>
      <c r="BU193" s="59">
        <v>-4.9019100000000003E-2</v>
      </c>
      <c r="BV193" s="59">
        <v>-229.1</v>
      </c>
      <c r="BW193" s="61"/>
      <c r="BY193" s="59"/>
      <c r="BZ193" s="59"/>
      <c r="CA193" s="59"/>
      <c r="CC193" s="59"/>
    </row>
    <row r="194" spans="1:81" x14ac:dyDescent="0.2">
      <c r="A194">
        <f t="shared" si="158"/>
        <v>80000</v>
      </c>
      <c r="B194">
        <f t="shared" si="138"/>
        <v>80</v>
      </c>
      <c r="C194">
        <f t="shared" si="107"/>
        <v>1.0000505310977221</v>
      </c>
      <c r="D194">
        <f t="shared" si="108"/>
        <v>1.0052757829311561E-2</v>
      </c>
      <c r="F194">
        <f t="shared" si="109"/>
        <v>3.6531956155248471E-2</v>
      </c>
      <c r="G194">
        <f t="shared" si="110"/>
        <v>6.6896949266139816E-2</v>
      </c>
      <c r="H194">
        <f t="shared" si="111"/>
        <v>-3.0746957007338604</v>
      </c>
      <c r="J194">
        <f t="shared" si="112"/>
        <v>15</v>
      </c>
      <c r="M194">
        <f t="shared" si="113"/>
        <v>2.2686432534050168E-2</v>
      </c>
      <c r="N194">
        <f t="shared" si="114"/>
        <v>-1.5707963250000001</v>
      </c>
      <c r="O194">
        <f t="shared" si="115"/>
        <v>9.5991530953056348</v>
      </c>
      <c r="P194">
        <f t="shared" si="116"/>
        <v>1.466431113617026</v>
      </c>
      <c r="Q194">
        <f t="shared" si="117"/>
        <v>6.310862511844415</v>
      </c>
      <c r="R194">
        <f t="shared" si="118"/>
        <v>1.4116686691206752</v>
      </c>
      <c r="S194">
        <f t="shared" si="119"/>
        <v>0.99994722392170399</v>
      </c>
      <c r="T194">
        <f t="shared" si="120"/>
        <v>-1.027390310657441E-2</v>
      </c>
      <c r="U194">
        <f t="shared" si="121"/>
        <v>0.986879272360208</v>
      </c>
      <c r="V194">
        <f t="shared" si="122"/>
        <v>-0.16216979191149508</v>
      </c>
      <c r="X194">
        <f t="shared" si="139"/>
        <v>-2.5776983378742768</v>
      </c>
      <c r="Y194">
        <f t="shared" si="123"/>
        <v>-110.56843172627268</v>
      </c>
      <c r="Z194">
        <f t="shared" si="140"/>
        <v>69.431568273727322</v>
      </c>
      <c r="AC194">
        <v>1</v>
      </c>
      <c r="AD194">
        <f t="shared" si="124"/>
        <v>9.5469230722319995</v>
      </c>
      <c r="AE194">
        <f t="shared" si="125"/>
        <v>-3.2631887168977345E-4</v>
      </c>
      <c r="AF194">
        <f t="shared" si="126"/>
        <v>1.9945343416320005E-3</v>
      </c>
      <c r="AG194">
        <f t="shared" si="141"/>
        <v>4581.8714807682727</v>
      </c>
      <c r="AH194">
        <f t="shared" si="142"/>
        <v>-1250.994319701826</v>
      </c>
      <c r="AJ194">
        <f t="shared" si="127"/>
        <v>22100</v>
      </c>
      <c r="AK194">
        <f t="shared" si="128"/>
        <v>227.06124771657602</v>
      </c>
      <c r="AL194">
        <v>1</v>
      </c>
      <c r="AM194">
        <f t="shared" si="129"/>
        <v>6.2311303664265605</v>
      </c>
      <c r="AN194">
        <f t="shared" si="143"/>
        <v>590.42500595523666</v>
      </c>
      <c r="AO194">
        <f t="shared" si="144"/>
        <v>-3451.9539359886817</v>
      </c>
      <c r="AQ194">
        <f t="shared" si="130"/>
        <v>0.39060974180696068</v>
      </c>
      <c r="AR194">
        <f t="shared" si="131"/>
        <v>-62.49755868911371</v>
      </c>
      <c r="AT194">
        <f t="shared" si="156"/>
        <v>-76394.367279217186</v>
      </c>
      <c r="AU194">
        <f t="shared" si="157"/>
        <v>-286844.43234351219</v>
      </c>
      <c r="AV194">
        <f t="shared" si="145"/>
        <v>-1.831081413262563</v>
      </c>
      <c r="AW194">
        <f t="shared" si="146"/>
        <v>-212452.53955188053</v>
      </c>
      <c r="AX194">
        <f t="shared" si="147"/>
        <v>-64675.228453282616</v>
      </c>
      <c r="AY194">
        <f t="shared" si="155"/>
        <v>-2.846083925755694</v>
      </c>
      <c r="BA194">
        <f t="shared" si="132"/>
        <v>1.3366570025230462</v>
      </c>
      <c r="BB194">
        <f t="shared" si="148"/>
        <v>2.5203995585178394</v>
      </c>
      <c r="BC194">
        <f t="shared" si="149"/>
        <v>1.015002512493131</v>
      </c>
      <c r="BD194">
        <f t="shared" si="133"/>
        <v>-121.84463977251679</v>
      </c>
      <c r="BF194">
        <f t="shared" si="134"/>
        <v>-2.7038778089858417</v>
      </c>
      <c r="BG194">
        <f t="shared" si="135"/>
        <v>-117.43574631614163</v>
      </c>
      <c r="BH194">
        <f t="shared" si="150"/>
        <v>62.564253683858368</v>
      </c>
      <c r="BI194">
        <f t="shared" si="151"/>
        <v>62.564253683858368</v>
      </c>
      <c r="BJ194">
        <f t="shared" si="136"/>
        <v>0</v>
      </c>
      <c r="BK194">
        <f t="shared" si="152"/>
        <v>0</v>
      </c>
      <c r="BM194">
        <f t="shared" si="153"/>
        <v>-5.2242773675036824</v>
      </c>
      <c r="BN194">
        <f t="shared" si="137"/>
        <v>-175.59110654362485</v>
      </c>
      <c r="BQ194" s="56">
        <f t="shared" si="154"/>
        <v>19.422360358802976</v>
      </c>
      <c r="BR194" s="59"/>
      <c r="BS194" s="59"/>
      <c r="BT194" s="59">
        <v>6918.31</v>
      </c>
      <c r="BU194" s="59">
        <v>-0.21798300000000001</v>
      </c>
      <c r="BV194" s="59">
        <v>-228.376</v>
      </c>
      <c r="BW194" s="61"/>
      <c r="BY194" s="59"/>
      <c r="BZ194" s="59"/>
      <c r="CA194" s="59"/>
      <c r="CC194" s="59"/>
    </row>
    <row r="195" spans="1:81" x14ac:dyDescent="0.2">
      <c r="A195">
        <f t="shared" si="158"/>
        <v>80500</v>
      </c>
      <c r="B195">
        <f t="shared" si="138"/>
        <v>80.5</v>
      </c>
      <c r="C195">
        <f t="shared" si="107"/>
        <v>1.0000511646941064</v>
      </c>
      <c r="D195">
        <f t="shared" si="108"/>
        <v>1.0115583293105176E-2</v>
      </c>
      <c r="F195">
        <f t="shared" si="109"/>
        <v>3.6064209645232846E-2</v>
      </c>
      <c r="G195">
        <f t="shared" si="110"/>
        <v>6.6452512596348379E-2</v>
      </c>
      <c r="H195">
        <f t="shared" si="111"/>
        <v>-3.0751401374036518</v>
      </c>
      <c r="J195">
        <f t="shared" si="112"/>
        <v>15</v>
      </c>
      <c r="M195">
        <f t="shared" si="113"/>
        <v>2.2545523015205134E-2</v>
      </c>
      <c r="N195">
        <f t="shared" si="114"/>
        <v>-1.5707963250000001</v>
      </c>
      <c r="O195">
        <f t="shared" si="115"/>
        <v>9.6584987032822127</v>
      </c>
      <c r="P195">
        <f t="shared" si="116"/>
        <v>1.4670746912266244</v>
      </c>
      <c r="Q195">
        <f t="shared" si="117"/>
        <v>6.3493180455126392</v>
      </c>
      <c r="R195">
        <f t="shared" si="118"/>
        <v>1.4126405904712382</v>
      </c>
      <c r="S195">
        <f t="shared" si="119"/>
        <v>0.99994656221220335</v>
      </c>
      <c r="T195">
        <f t="shared" si="120"/>
        <v>-1.0338110440132097E-2</v>
      </c>
      <c r="U195">
        <f t="shared" si="121"/>
        <v>0.98671801407349036</v>
      </c>
      <c r="V195">
        <f t="shared" si="122"/>
        <v>-0.16316551332260423</v>
      </c>
      <c r="X195">
        <f t="shared" si="139"/>
        <v>-2.6388646184105764</v>
      </c>
      <c r="Y195">
        <f t="shared" si="123"/>
        <v>-110.55846460920884</v>
      </c>
      <c r="Z195">
        <f t="shared" si="140"/>
        <v>69.441535390791159</v>
      </c>
      <c r="AC195">
        <v>1</v>
      </c>
      <c r="AD195">
        <f t="shared" si="124"/>
        <v>9.6065913414334503</v>
      </c>
      <c r="AE195">
        <f t="shared" si="125"/>
        <v>-3.3041060441682107E-4</v>
      </c>
      <c r="AF195">
        <f t="shared" si="126"/>
        <v>2.0070001812672001E-3</v>
      </c>
      <c r="AG195">
        <f t="shared" si="141"/>
        <v>4580.3742269509839</v>
      </c>
      <c r="AH195">
        <f t="shared" si="142"/>
        <v>-1252.3188788130378</v>
      </c>
      <c r="AJ195">
        <f t="shared" si="127"/>
        <v>22100</v>
      </c>
      <c r="AK195">
        <f t="shared" si="128"/>
        <v>228.48038051480461</v>
      </c>
      <c r="AL195">
        <v>1</v>
      </c>
      <c r="AM195">
        <f t="shared" si="129"/>
        <v>6.2700749312167261</v>
      </c>
      <c r="AN195">
        <f t="shared" si="143"/>
        <v>583.73475001368661</v>
      </c>
      <c r="AO195">
        <f t="shared" si="144"/>
        <v>-3431.5802420260743</v>
      </c>
      <c r="AQ195">
        <f t="shared" si="130"/>
        <v>0.38577270272355529</v>
      </c>
      <c r="AR195">
        <f t="shared" si="131"/>
        <v>-62.109405138492399</v>
      </c>
      <c r="AT195">
        <f t="shared" si="156"/>
        <v>-76013.797261765329</v>
      </c>
      <c r="AU195">
        <f t="shared" si="157"/>
        <v>-284967.42898615904</v>
      </c>
      <c r="AV195">
        <f t="shared" si="145"/>
        <v>-1.8314723754329068</v>
      </c>
      <c r="AW195">
        <f t="shared" si="146"/>
        <v>-209874.76863028528</v>
      </c>
      <c r="AX195">
        <f t="shared" si="147"/>
        <v>-63847.714003389759</v>
      </c>
      <c r="AY195">
        <f t="shared" si="155"/>
        <v>-2.8462705028246136</v>
      </c>
      <c r="BA195">
        <f t="shared" si="132"/>
        <v>1.3444367911582042</v>
      </c>
      <c r="BB195">
        <f t="shared" si="148"/>
        <v>2.5708077727408734</v>
      </c>
      <c r="BC195">
        <f t="shared" si="149"/>
        <v>1.0147981273917068</v>
      </c>
      <c r="BD195">
        <f t="shared" si="133"/>
        <v>-121.85635017623713</v>
      </c>
      <c r="BF195">
        <f t="shared" si="134"/>
        <v>-2.7653942671252514</v>
      </c>
      <c r="BG195">
        <f t="shared" si="135"/>
        <v>-117.46932143140553</v>
      </c>
      <c r="BH195">
        <f t="shared" si="150"/>
        <v>62.530678568594467</v>
      </c>
      <c r="BI195">
        <f t="shared" si="151"/>
        <v>62.530678568594467</v>
      </c>
      <c r="BJ195">
        <f t="shared" si="136"/>
        <v>0</v>
      </c>
      <c r="BK195">
        <f t="shared" si="152"/>
        <v>0</v>
      </c>
      <c r="BM195">
        <f t="shared" si="153"/>
        <v>-5.3362020398661238</v>
      </c>
      <c r="BN195">
        <f t="shared" si="137"/>
        <v>-175.61297125516842</v>
      </c>
      <c r="BQ195" s="56">
        <f t="shared" si="154"/>
        <v>19.472768573026013</v>
      </c>
      <c r="BR195" s="59"/>
      <c r="BS195" s="59"/>
      <c r="BT195" s="59">
        <v>7079.4579999999996</v>
      </c>
      <c r="BU195" s="59">
        <v>-0.38401400000000002</v>
      </c>
      <c r="BV195" s="59">
        <v>-227.04400000000001</v>
      </c>
      <c r="BW195" s="61"/>
      <c r="BY195" s="59"/>
      <c r="BZ195" s="59"/>
      <c r="CA195" s="59"/>
      <c r="CC195" s="59"/>
    </row>
    <row r="196" spans="1:81" x14ac:dyDescent="0.2">
      <c r="A196">
        <f t="shared" si="158"/>
        <v>81000</v>
      </c>
      <c r="B196">
        <f t="shared" si="138"/>
        <v>81</v>
      </c>
      <c r="C196">
        <f t="shared" si="107"/>
        <v>1.0000518022377261</v>
      </c>
      <c r="D196">
        <f t="shared" si="108"/>
        <v>1.017840867704297E-2</v>
      </c>
      <c r="F196">
        <f t="shared" si="109"/>
        <v>3.5605484180025876E-2</v>
      </c>
      <c r="G196">
        <f t="shared" si="110"/>
        <v>6.601411678924711E-2</v>
      </c>
      <c r="H196">
        <f t="shared" si="111"/>
        <v>-3.075578533210753</v>
      </c>
      <c r="J196">
        <f t="shared" si="112"/>
        <v>15</v>
      </c>
      <c r="M196">
        <f t="shared" si="113"/>
        <v>2.2406353120049547E-2</v>
      </c>
      <c r="N196">
        <f t="shared" si="114"/>
        <v>-1.5707963250000001</v>
      </c>
      <c r="O196">
        <f t="shared" si="115"/>
        <v>9.7178482628713461</v>
      </c>
      <c r="P196">
        <f t="shared" si="116"/>
        <v>1.4677104080875774</v>
      </c>
      <c r="Q196">
        <f t="shared" si="117"/>
        <v>6.3877795047258061</v>
      </c>
      <c r="R196">
        <f t="shared" si="118"/>
        <v>1.4136008086484741</v>
      </c>
      <c r="S196">
        <f t="shared" si="119"/>
        <v>0.99994589638122822</v>
      </c>
      <c r="T196">
        <f t="shared" si="120"/>
        <v>-1.0402317688447451E-2</v>
      </c>
      <c r="U196">
        <f t="shared" si="121"/>
        <v>0.9865558308262582</v>
      </c>
      <c r="V196">
        <f t="shared" si="122"/>
        <v>-0.16416090839413372</v>
      </c>
      <c r="X196">
        <f t="shared" si="139"/>
        <v>-2.6995994345739676</v>
      </c>
      <c r="Y196">
        <f t="shared" si="123"/>
        <v>-110.54925360817961</v>
      </c>
      <c r="Z196">
        <f t="shared" si="140"/>
        <v>69.450746391820388</v>
      </c>
      <c r="AC196">
        <v>1</v>
      </c>
      <c r="AD196">
        <f t="shared" si="124"/>
        <v>9.666259610634901</v>
      </c>
      <c r="AE196">
        <f t="shared" si="125"/>
        <v>-3.3452783080571935E-4</v>
      </c>
      <c r="AF196">
        <f t="shared" si="126"/>
        <v>2.0194660209024002E-3</v>
      </c>
      <c r="AG196">
        <f t="shared" si="141"/>
        <v>4578.8686318276023</v>
      </c>
      <c r="AH196">
        <f t="shared" si="142"/>
        <v>-1253.6774398503228</v>
      </c>
      <c r="AJ196">
        <f t="shared" si="127"/>
        <v>22100</v>
      </c>
      <c r="AK196">
        <f t="shared" si="128"/>
        <v>229.89951331303322</v>
      </c>
      <c r="AL196">
        <v>1</v>
      </c>
      <c r="AM196">
        <f t="shared" si="129"/>
        <v>6.3090194960068926</v>
      </c>
      <c r="AN196">
        <f t="shared" si="143"/>
        <v>577.16395639643667</v>
      </c>
      <c r="AO196">
        <f t="shared" si="144"/>
        <v>-3411.4391399845576</v>
      </c>
      <c r="AQ196">
        <f t="shared" si="130"/>
        <v>0.38102495713469231</v>
      </c>
      <c r="AR196">
        <f t="shared" si="131"/>
        <v>-61.726043055820156</v>
      </c>
      <c r="AT196">
        <f t="shared" si="156"/>
        <v>-75639.884406143916</v>
      </c>
      <c r="AU196">
        <f t="shared" si="157"/>
        <v>-283113.1247079146</v>
      </c>
      <c r="AV196">
        <f t="shared" si="145"/>
        <v>-1.8318703927915685</v>
      </c>
      <c r="AW196">
        <f t="shared" si="146"/>
        <v>-207342.96898534487</v>
      </c>
      <c r="AX196">
        <f t="shared" si="147"/>
        <v>-63038.028243944478</v>
      </c>
      <c r="AY196">
        <f t="shared" si="155"/>
        <v>-2.8464447316077295</v>
      </c>
      <c r="BA196">
        <f t="shared" si="132"/>
        <v>1.3522134223638718</v>
      </c>
      <c r="BB196">
        <f t="shared" si="148"/>
        <v>2.62090485045535</v>
      </c>
      <c r="BC196">
        <f t="shared" si="149"/>
        <v>1.014574338816161</v>
      </c>
      <c r="BD196">
        <f t="shared" si="133"/>
        <v>-121.8691723171338</v>
      </c>
      <c r="BF196">
        <f t="shared" si="134"/>
        <v>-2.8264821138559268</v>
      </c>
      <c r="BG196">
        <f t="shared" si="135"/>
        <v>-117.503662172484</v>
      </c>
      <c r="BH196">
        <f t="shared" si="150"/>
        <v>62.496337827516001</v>
      </c>
      <c r="BI196">
        <f t="shared" si="151"/>
        <v>62.496337827516001</v>
      </c>
      <c r="BJ196">
        <f t="shared" si="136"/>
        <v>0</v>
      </c>
      <c r="BK196">
        <f t="shared" si="152"/>
        <v>0</v>
      </c>
      <c r="BM196">
        <f t="shared" si="153"/>
        <v>-5.4473869643112769</v>
      </c>
      <c r="BN196">
        <f t="shared" si="137"/>
        <v>-175.63448985535021</v>
      </c>
      <c r="BQ196" s="56">
        <f t="shared" si="154"/>
        <v>19.522865650740485</v>
      </c>
      <c r="BR196" s="59"/>
      <c r="BS196" s="59"/>
      <c r="BT196" s="59">
        <v>7244.36</v>
      </c>
      <c r="BU196" s="59">
        <v>-0.57486000000000004</v>
      </c>
      <c r="BV196" s="59">
        <v>-226.239</v>
      </c>
      <c r="BW196" s="61"/>
      <c r="BY196" s="59"/>
      <c r="BZ196" s="59"/>
      <c r="CA196" s="59"/>
      <c r="CC196" s="59"/>
    </row>
    <row r="197" spans="1:81" x14ac:dyDescent="0.2">
      <c r="A197">
        <f t="shared" si="158"/>
        <v>81500</v>
      </c>
      <c r="B197">
        <f t="shared" si="138"/>
        <v>81.5</v>
      </c>
      <c r="C197">
        <f t="shared" si="107"/>
        <v>1.0000524437285743</v>
      </c>
      <c r="D197">
        <f t="shared" si="108"/>
        <v>1.0241233980629144E-2</v>
      </c>
      <c r="F197">
        <f t="shared" si="109"/>
        <v>3.5155546942210535E-2</v>
      </c>
      <c r="G197">
        <f t="shared" si="110"/>
        <v>6.5581636467513874E-2</v>
      </c>
      <c r="H197">
        <f t="shared" si="111"/>
        <v>-3.0760110135324865</v>
      </c>
      <c r="J197">
        <f t="shared" si="112"/>
        <v>15</v>
      </c>
      <c r="M197">
        <f t="shared" si="113"/>
        <v>2.2268890830969487E-2</v>
      </c>
      <c r="N197">
        <f t="shared" si="114"/>
        <v>-1.5707963250000001</v>
      </c>
      <c r="O197">
        <f t="shared" si="115"/>
        <v>9.7772017021118085</v>
      </c>
      <c r="P197">
        <f t="shared" si="116"/>
        <v>1.4683384068395988</v>
      </c>
      <c r="Q197">
        <f t="shared" si="117"/>
        <v>6.4262467830897281</v>
      </c>
      <c r="R197">
        <f t="shared" si="118"/>
        <v>1.4145495320299197</v>
      </c>
      <c r="S197">
        <f t="shared" si="119"/>
        <v>0.99994522642880312</v>
      </c>
      <c r="T197">
        <f t="shared" si="120"/>
        <v>-1.0466524850991244E-2</v>
      </c>
      <c r="U197">
        <f t="shared" si="121"/>
        <v>0.98639272403845135</v>
      </c>
      <c r="V197">
        <f t="shared" si="122"/>
        <v>-0.16515597531496568</v>
      </c>
      <c r="X197">
        <f t="shared" si="139"/>
        <v>-2.7599094908984627</v>
      </c>
      <c r="Y197">
        <f t="shared" si="123"/>
        <v>-110.54078569119811</v>
      </c>
      <c r="Z197">
        <f t="shared" si="140"/>
        <v>69.45921430880189</v>
      </c>
      <c r="AC197">
        <v>1</v>
      </c>
      <c r="AD197">
        <f t="shared" si="124"/>
        <v>9.72592787983635</v>
      </c>
      <c r="AE197">
        <f t="shared" si="125"/>
        <v>-3.3867055085646841E-4</v>
      </c>
      <c r="AF197">
        <f t="shared" si="126"/>
        <v>2.0319318605376002E-3</v>
      </c>
      <c r="AG197">
        <f t="shared" si="141"/>
        <v>4577.3547128110149</v>
      </c>
      <c r="AH197">
        <f t="shared" si="142"/>
        <v>-1255.0692725387123</v>
      </c>
      <c r="AJ197">
        <f t="shared" si="127"/>
        <v>22100</v>
      </c>
      <c r="AK197">
        <f t="shared" si="128"/>
        <v>231.31864611126181</v>
      </c>
      <c r="AL197">
        <v>1</v>
      </c>
      <c r="AM197">
        <f t="shared" si="129"/>
        <v>6.3479640607970582</v>
      </c>
      <c r="AN197">
        <f t="shared" si="143"/>
        <v>570.70982161844631</v>
      </c>
      <c r="AO197">
        <f t="shared" si="144"/>
        <v>-3391.5267906665354</v>
      </c>
      <c r="AQ197">
        <f t="shared" si="130"/>
        <v>0.37636432066240122</v>
      </c>
      <c r="AR197">
        <f t="shared" si="131"/>
        <v>-61.3473842679714</v>
      </c>
      <c r="AT197">
        <f t="shared" si="156"/>
        <v>-75272.463948437755</v>
      </c>
      <c r="AU197">
        <f t="shared" si="157"/>
        <v>-281281.10179177049</v>
      </c>
      <c r="AV197">
        <f t="shared" si="145"/>
        <v>-1.832275329707284</v>
      </c>
      <c r="AW197">
        <f t="shared" si="146"/>
        <v>-204856.06387636147</v>
      </c>
      <c r="AX197">
        <f t="shared" si="147"/>
        <v>-62245.665788242521</v>
      </c>
      <c r="AY197">
        <f t="shared" si="155"/>
        <v>-2.8466068286248825</v>
      </c>
      <c r="BA197">
        <f t="shared" si="132"/>
        <v>1.359986831729219</v>
      </c>
      <c r="BB197">
        <f t="shared" si="148"/>
        <v>2.6706940654187123</v>
      </c>
      <c r="BC197">
        <f t="shared" si="149"/>
        <v>1.0143314989175984</v>
      </c>
      <c r="BD197">
        <f t="shared" si="133"/>
        <v>-121.88308601843472</v>
      </c>
      <c r="BF197">
        <f t="shared" si="134"/>
        <v>-2.8871480653479686</v>
      </c>
      <c r="BG197">
        <f t="shared" si="135"/>
        <v>-117.53875554622481</v>
      </c>
      <c r="BH197">
        <f t="shared" si="150"/>
        <v>62.461244453775194</v>
      </c>
      <c r="BI197">
        <f t="shared" si="151"/>
        <v>62.461244453775194</v>
      </c>
      <c r="BJ197">
        <f t="shared" si="136"/>
        <v>0</v>
      </c>
      <c r="BK197">
        <f t="shared" si="152"/>
        <v>0</v>
      </c>
      <c r="BM197">
        <f t="shared" si="153"/>
        <v>-5.5578421307666819</v>
      </c>
      <c r="BN197">
        <f t="shared" si="137"/>
        <v>-175.65566952779008</v>
      </c>
      <c r="BQ197" s="56">
        <f t="shared" si="154"/>
        <v>19.572654865703846</v>
      </c>
      <c r="BR197" s="59"/>
      <c r="BS197" s="59"/>
      <c r="BT197" s="59">
        <v>7413.1019999999999</v>
      </c>
      <c r="BU197" s="59">
        <v>-0.73329999999999995</v>
      </c>
      <c r="BV197" s="59">
        <v>-225.834</v>
      </c>
      <c r="BW197" s="61"/>
      <c r="BY197" s="59"/>
      <c r="BZ197" s="59"/>
      <c r="CA197" s="59"/>
      <c r="CC197" s="59"/>
    </row>
    <row r="198" spans="1:81" x14ac:dyDescent="0.2">
      <c r="A198">
        <f t="shared" si="158"/>
        <v>82000</v>
      </c>
      <c r="B198">
        <f t="shared" si="138"/>
        <v>82</v>
      </c>
      <c r="C198">
        <f t="shared" si="107"/>
        <v>1.0000530891666433</v>
      </c>
      <c r="D198">
        <f t="shared" si="108"/>
        <v>1.0304059203367912E-2</v>
      </c>
      <c r="F198">
        <f t="shared" si="109"/>
        <v>3.4714172647484429E-2</v>
      </c>
      <c r="G198">
        <f t="shared" si="110"/>
        <v>6.5154949767839199E-2</v>
      </c>
      <c r="H198">
        <f t="shared" si="111"/>
        <v>-3.076437700232161</v>
      </c>
      <c r="J198">
        <f t="shared" si="112"/>
        <v>15</v>
      </c>
      <c r="M198">
        <f t="shared" si="113"/>
        <v>2.2133104911268457E-2</v>
      </c>
      <c r="N198">
        <f t="shared" si="114"/>
        <v>-1.5707963250000001</v>
      </c>
      <c r="O198">
        <f t="shared" si="115"/>
        <v>9.8365589507745774</v>
      </c>
      <c r="P198">
        <f t="shared" si="116"/>
        <v>1.4689588267041402</v>
      </c>
      <c r="Q198">
        <f t="shared" si="117"/>
        <v>6.4647197767266364</v>
      </c>
      <c r="R198">
        <f t="shared" si="118"/>
        <v>1.4154869641166063</v>
      </c>
      <c r="S198">
        <f t="shared" si="119"/>
        <v>0.99994455235495272</v>
      </c>
      <c r="T198">
        <f t="shared" si="120"/>
        <v>-1.0530731927234254E-2</v>
      </c>
      <c r="U198">
        <f t="shared" si="121"/>
        <v>0.98622869513682565</v>
      </c>
      <c r="V198">
        <f t="shared" si="122"/>
        <v>-0.16615071227777556</v>
      </c>
      <c r="X198">
        <f t="shared" si="139"/>
        <v>-2.8198013365336783</v>
      </c>
      <c r="Y198">
        <f t="shared" si="123"/>
        <v>-110.53304810041176</v>
      </c>
      <c r="Z198">
        <f t="shared" si="140"/>
        <v>69.466951899588238</v>
      </c>
      <c r="AC198">
        <v>1</v>
      </c>
      <c r="AD198">
        <f t="shared" si="124"/>
        <v>9.7855961490378007</v>
      </c>
      <c r="AE198">
        <f t="shared" si="125"/>
        <v>-3.4283876456906825E-4</v>
      </c>
      <c r="AF198">
        <f t="shared" si="126"/>
        <v>2.0443977001728003E-3</v>
      </c>
      <c r="AG198">
        <f t="shared" si="141"/>
        <v>4575.8324873927486</v>
      </c>
      <c r="AH198">
        <f t="shared" si="142"/>
        <v>-1256.4936639459211</v>
      </c>
      <c r="AJ198">
        <f t="shared" si="127"/>
        <v>22100</v>
      </c>
      <c r="AK198">
        <f t="shared" si="128"/>
        <v>232.73777890949046</v>
      </c>
      <c r="AL198">
        <v>1</v>
      </c>
      <c r="AM198">
        <f t="shared" si="129"/>
        <v>6.3869086255872238</v>
      </c>
      <c r="AN198">
        <f t="shared" si="143"/>
        <v>564.36962324651131</v>
      </c>
      <c r="AO198">
        <f t="shared" si="144"/>
        <v>-3371.8394358230644</v>
      </c>
      <c r="AQ198">
        <f t="shared" si="130"/>
        <v>0.37178867531694987</v>
      </c>
      <c r="AR198">
        <f t="shared" si="131"/>
        <v>-60.973342751979771</v>
      </c>
      <c r="AT198">
        <f t="shared" si="156"/>
        <v>-74911.376138505511</v>
      </c>
      <c r="AU198">
        <f t="shared" si="157"/>
        <v>-279470.95274430484</v>
      </c>
      <c r="AV198">
        <f t="shared" si="145"/>
        <v>-1.8326870537557465</v>
      </c>
      <c r="AW198">
        <f t="shared" si="146"/>
        <v>-202413.00761784308</v>
      </c>
      <c r="AX198">
        <f t="shared" si="147"/>
        <v>-61470.138667986612</v>
      </c>
      <c r="AY198">
        <f t="shared" si="155"/>
        <v>-2.8467570053148941</v>
      </c>
      <c r="BA198">
        <f t="shared" si="132"/>
        <v>1.3677569556898654</v>
      </c>
      <c r="BB198">
        <f t="shared" si="148"/>
        <v>2.7201786409520494</v>
      </c>
      <c r="BC198">
        <f t="shared" si="149"/>
        <v>1.0140699515591476</v>
      </c>
      <c r="BD198">
        <f t="shared" si="133"/>
        <v>-121.89807157823388</v>
      </c>
      <c r="BF198">
        <f t="shared" si="134"/>
        <v>-2.9473986824330627</v>
      </c>
      <c r="BG198">
        <f t="shared" si="135"/>
        <v>-117.57458883300357</v>
      </c>
      <c r="BH198">
        <f t="shared" si="150"/>
        <v>62.425411166996426</v>
      </c>
      <c r="BI198">
        <f t="shared" si="151"/>
        <v>62.425411166996426</v>
      </c>
      <c r="BJ198">
        <f t="shared" si="136"/>
        <v>0</v>
      </c>
      <c r="BK198">
        <f t="shared" si="152"/>
        <v>0</v>
      </c>
      <c r="BM198">
        <f t="shared" si="153"/>
        <v>-5.6675773233851112</v>
      </c>
      <c r="BN198">
        <f t="shared" si="137"/>
        <v>-175.67651725476969</v>
      </c>
      <c r="BQ198" s="56">
        <f t="shared" si="154"/>
        <v>19.622139441237184</v>
      </c>
      <c r="BR198" s="59"/>
      <c r="BS198" s="59"/>
      <c r="BT198" s="59">
        <v>7585.7759999999998</v>
      </c>
      <c r="BU198" s="59">
        <v>-0.87090199999999995</v>
      </c>
      <c r="BV198" s="59">
        <v>-224.429</v>
      </c>
      <c r="BW198" s="61"/>
      <c r="BY198" s="59"/>
      <c r="BZ198" s="59"/>
      <c r="CA198" s="59"/>
      <c r="CC198" s="59"/>
    </row>
    <row r="199" spans="1:81" x14ac:dyDescent="0.2">
      <c r="A199">
        <f t="shared" si="158"/>
        <v>82500</v>
      </c>
      <c r="B199">
        <f t="shared" si="138"/>
        <v>82.5</v>
      </c>
      <c r="C199">
        <f t="shared" si="107"/>
        <v>1.0000537385519253</v>
      </c>
      <c r="D199">
        <f t="shared" si="108"/>
        <v>1.0366884344763483E-2</v>
      </c>
      <c r="F199">
        <f t="shared" si="109"/>
        <v>3.4281143251505178E-2</v>
      </c>
      <c r="G199">
        <f t="shared" si="110"/>
        <v>6.473393821682194E-2</v>
      </c>
      <c r="H199">
        <f t="shared" si="111"/>
        <v>-3.0768587117831783</v>
      </c>
      <c r="J199">
        <f t="shared" si="112"/>
        <v>15</v>
      </c>
      <c r="M199">
        <f t="shared" si="113"/>
        <v>2.1998964881503193E-2</v>
      </c>
      <c r="N199">
        <f t="shared" si="114"/>
        <v>-1.5707963250000001</v>
      </c>
      <c r="O199">
        <f t="shared" si="115"/>
        <v>9.8959199403111509</v>
      </c>
      <c r="P199">
        <f t="shared" si="116"/>
        <v>1.4695718035858172</v>
      </c>
      <c r="Q199">
        <f t="shared" si="117"/>
        <v>6.5031983842016761</v>
      </c>
      <c r="R199">
        <f t="shared" si="118"/>
        <v>1.4164133036736637</v>
      </c>
      <c r="S199">
        <f t="shared" si="119"/>
        <v>0.99994387415970254</v>
      </c>
      <c r="T199">
        <f t="shared" si="120"/>
        <v>-1.0594938916647263E-2</v>
      </c>
      <c r="U199">
        <f t="shared" si="121"/>
        <v>0.9860637455549196</v>
      </c>
      <c r="V199">
        <f t="shared" si="122"/>
        <v>-0.16714511747904928</v>
      </c>
      <c r="X199">
        <f t="shared" si="139"/>
        <v>-2.8792813700164728</v>
      </c>
      <c r="Y199">
        <f t="shared" si="123"/>
        <v>-110.52602834534687</v>
      </c>
      <c r="Z199">
        <f t="shared" si="140"/>
        <v>69.473971654653127</v>
      </c>
      <c r="AC199">
        <v>1</v>
      </c>
      <c r="AD199">
        <f t="shared" si="124"/>
        <v>9.8452644182392515</v>
      </c>
      <c r="AE199">
        <f t="shared" si="125"/>
        <v>-3.4703247194351887E-4</v>
      </c>
      <c r="AF199">
        <f t="shared" si="126"/>
        <v>2.0568635398080003E-3</v>
      </c>
      <c r="AG199">
        <f t="shared" si="141"/>
        <v>4574.3019731424756</v>
      </c>
      <c r="AH199">
        <f t="shared" si="142"/>
        <v>-1257.9499179596887</v>
      </c>
      <c r="AJ199">
        <f t="shared" si="127"/>
        <v>22100</v>
      </c>
      <c r="AK199">
        <f t="shared" si="128"/>
        <v>234.15691170771905</v>
      </c>
      <c r="AL199">
        <v>1</v>
      </c>
      <c r="AM199">
        <f t="shared" si="129"/>
        <v>6.4258531903773912</v>
      </c>
      <c r="AN199">
        <f t="shared" si="143"/>
        <v>558.14071712851273</v>
      </c>
      <c r="AO199">
        <f t="shared" si="144"/>
        <v>-3352.3733961320595</v>
      </c>
      <c r="AQ199">
        <f t="shared" si="130"/>
        <v>0.36729596709028134</v>
      </c>
      <c r="AR199">
        <f t="shared" si="131"/>
        <v>-60.603834569896421</v>
      </c>
      <c r="AT199">
        <f t="shared" si="156"/>
        <v>-74556.466058255406</v>
      </c>
      <c r="AU199">
        <f t="shared" si="157"/>
        <v>-277682.27998474549</v>
      </c>
      <c r="AV199">
        <f t="shared" si="145"/>
        <v>-1.833105435624715</v>
      </c>
      <c r="AW199">
        <f t="shared" si="146"/>
        <v>-200012.78452103547</v>
      </c>
      <c r="AX199">
        <f t="shared" si="147"/>
        <v>-60710.975632460177</v>
      </c>
      <c r="AY199">
        <f t="shared" si="155"/>
        <v>-2.8468954681826495</v>
      </c>
      <c r="BA199">
        <f t="shared" si="132"/>
        <v>1.3755237315032549</v>
      </c>
      <c r="BB199">
        <f t="shared" si="148"/>
        <v>2.7693617508863215</v>
      </c>
      <c r="BC199">
        <f t="shared" si="149"/>
        <v>1.0137900325579345</v>
      </c>
      <c r="BD199">
        <f t="shared" si="133"/>
        <v>-121.91410975562722</v>
      </c>
      <c r="BF199">
        <f t="shared" si="134"/>
        <v>-3.0072403753757024</v>
      </c>
      <c r="BG199">
        <f t="shared" si="135"/>
        <v>-117.61114957997067</v>
      </c>
      <c r="BH199">
        <f t="shared" si="150"/>
        <v>62.388850420029328</v>
      </c>
      <c r="BI199">
        <f t="shared" si="151"/>
        <v>62.388850420029328</v>
      </c>
      <c r="BJ199">
        <f t="shared" si="136"/>
        <v>0</v>
      </c>
      <c r="BK199">
        <f t="shared" si="152"/>
        <v>0</v>
      </c>
      <c r="BM199">
        <f t="shared" si="153"/>
        <v>-5.7766021262620262</v>
      </c>
      <c r="BN199">
        <f t="shared" si="137"/>
        <v>-175.69703982434345</v>
      </c>
      <c r="BQ199" s="56">
        <f t="shared" si="154"/>
        <v>19.671322551171457</v>
      </c>
      <c r="BR199" s="59"/>
      <c r="BS199" s="59"/>
      <c r="BT199" s="59">
        <v>7762.4709999999995</v>
      </c>
      <c r="BU199" s="59">
        <v>-1.0348599999999999</v>
      </c>
      <c r="BV199" s="59">
        <v>-223.255</v>
      </c>
      <c r="BW199" s="61"/>
      <c r="BY199" s="59"/>
      <c r="BZ199" s="59"/>
      <c r="CA199" s="59"/>
      <c r="CC199" s="59"/>
    </row>
    <row r="200" spans="1:81" x14ac:dyDescent="0.2">
      <c r="A200">
        <f t="shared" si="158"/>
        <v>83000</v>
      </c>
      <c r="B200">
        <f t="shared" si="138"/>
        <v>83</v>
      </c>
      <c r="C200">
        <f t="shared" si="107"/>
        <v>1.0000543918844125</v>
      </c>
      <c r="D200">
        <f t="shared" si="108"/>
        <v>1.042970940432008E-2</v>
      </c>
      <c r="F200">
        <f t="shared" si="109"/>
        <v>3.3856247670065544E-2</v>
      </c>
      <c r="G200">
        <f t="shared" si="110"/>
        <v>6.4318486612146217E-2</v>
      </c>
      <c r="H200">
        <f t="shared" si="111"/>
        <v>-3.077274163387854</v>
      </c>
      <c r="J200">
        <f t="shared" si="112"/>
        <v>15</v>
      </c>
      <c r="M200">
        <f t="shared" si="113"/>
        <v>2.1866440996674862E-2</v>
      </c>
      <c r="N200">
        <f t="shared" si="114"/>
        <v>-1.5707963250000001</v>
      </c>
      <c r="O200">
        <f t="shared" si="115"/>
        <v>9.9552846038037153</v>
      </c>
      <c r="P200">
        <f t="shared" si="116"/>
        <v>1.4701774701702583</v>
      </c>
      <c r="Q200">
        <f t="shared" si="117"/>
        <v>6.5416825064519513</v>
      </c>
      <c r="R200">
        <f t="shared" si="118"/>
        <v>1.4173287448661296</v>
      </c>
      <c r="S200">
        <f t="shared" si="119"/>
        <v>0.99994319184307712</v>
      </c>
      <c r="T200">
        <f t="shared" si="120"/>
        <v>-1.0659145818701057E-2</v>
      </c>
      <c r="U200">
        <f t="shared" si="121"/>
        <v>0.98589787673302121</v>
      </c>
      <c r="V200">
        <f t="shared" si="122"/>
        <v>-0.16813918911909989</v>
      </c>
      <c r="X200">
        <f t="shared" si="139"/>
        <v>-2.9383558438616442</v>
      </c>
      <c r="Y200">
        <f t="shared" si="123"/>
        <v>-110.51971419632982</v>
      </c>
      <c r="Z200">
        <f t="shared" si="140"/>
        <v>69.480285803670185</v>
      </c>
      <c r="AC200">
        <v>1</v>
      </c>
      <c r="AD200">
        <f t="shared" si="124"/>
        <v>9.9049326874407004</v>
      </c>
      <c r="AE200">
        <f t="shared" si="125"/>
        <v>-3.5125167297982027E-4</v>
      </c>
      <c r="AF200">
        <f t="shared" si="126"/>
        <v>2.0693293794432003E-3</v>
      </c>
      <c r="AG200">
        <f t="shared" si="141"/>
        <v>4572.7631877075301</v>
      </c>
      <c r="AH200">
        <f t="shared" si="142"/>
        <v>-1259.4373547840219</v>
      </c>
      <c r="AJ200">
        <f t="shared" si="127"/>
        <v>22100</v>
      </c>
      <c r="AK200">
        <f t="shared" si="128"/>
        <v>235.57604450594764</v>
      </c>
      <c r="AL200">
        <v>1</v>
      </c>
      <c r="AM200">
        <f t="shared" si="129"/>
        <v>6.4647977551675559</v>
      </c>
      <c r="AN200">
        <f t="shared" si="143"/>
        <v>552.02053473151341</v>
      </c>
      <c r="AO200">
        <f t="shared" si="144"/>
        <v>-3333.1250692327349</v>
      </c>
      <c r="AQ200">
        <f t="shared" si="130"/>
        <v>0.36288420365061508</v>
      </c>
      <c r="AR200">
        <f t="shared" si="131"/>
        <v>-60.238777806002105</v>
      </c>
      <c r="AT200">
        <f t="shared" si="156"/>
        <v>-74207.583447559635</v>
      </c>
      <c r="AU200">
        <f t="shared" si="157"/>
        <v>-275914.69554531848</v>
      </c>
      <c r="AV200">
        <f t="shared" si="145"/>
        <v>-1.8335303490224644</v>
      </c>
      <c r="AW200">
        <f t="shared" si="146"/>
        <v>-197654.40787688235</v>
      </c>
      <c r="AX200">
        <f t="shared" si="147"/>
        <v>-59967.721479786465</v>
      </c>
      <c r="AY200">
        <f t="shared" si="155"/>
        <v>-2.8470224189411528</v>
      </c>
      <c r="BA200">
        <f t="shared" si="132"/>
        <v>1.3832870972249272</v>
      </c>
      <c r="BB200">
        <f t="shared" si="148"/>
        <v>2.8182465204896423</v>
      </c>
      <c r="BC200">
        <f t="shared" si="149"/>
        <v>1.0134920699186885</v>
      </c>
      <c r="BD200">
        <f t="shared" si="133"/>
        <v>-121.93118175732812</v>
      </c>
      <c r="BF200">
        <f t="shared" si="134"/>
        <v>-3.0666794084634312</v>
      </c>
      <c r="BG200">
        <f t="shared" si="135"/>
        <v>-117.64842559447423</v>
      </c>
      <c r="BH200">
        <f t="shared" si="150"/>
        <v>62.351574405525767</v>
      </c>
      <c r="BI200">
        <f t="shared" si="151"/>
        <v>62.351574405525767</v>
      </c>
      <c r="BJ200">
        <f t="shared" si="136"/>
        <v>0</v>
      </c>
      <c r="BK200">
        <f t="shared" si="152"/>
        <v>0</v>
      </c>
      <c r="BM200">
        <f t="shared" si="153"/>
        <v>-5.8849259289530735</v>
      </c>
      <c r="BN200">
        <f t="shared" si="137"/>
        <v>-175.71724383714613</v>
      </c>
      <c r="BQ200" s="56">
        <f t="shared" si="154"/>
        <v>19.720207320774779</v>
      </c>
      <c r="BR200" s="59"/>
      <c r="BS200" s="59"/>
      <c r="BT200" s="59">
        <v>7943.2820000000002</v>
      </c>
      <c r="BU200" s="59">
        <v>-1.2307999999999999</v>
      </c>
      <c r="BV200" s="59">
        <v>-223.13499999999999</v>
      </c>
      <c r="BW200" s="61"/>
      <c r="BY200" s="59"/>
      <c r="BZ200" s="59"/>
      <c r="CA200" s="59"/>
      <c r="CC200" s="59"/>
    </row>
    <row r="201" spans="1:81" x14ac:dyDescent="0.2">
      <c r="A201">
        <f>A200+500</f>
        <v>83500</v>
      </c>
      <c r="B201">
        <f t="shared" si="138"/>
        <v>83.5</v>
      </c>
      <c r="C201">
        <f t="shared" ref="C201:C264" si="159">SQRT((A201/Fesr)^2+1)</f>
        <v>1.0000550491640974</v>
      </c>
      <c r="D201">
        <f t="shared" ref="D201:D264" si="160">ATAN(A201/Fesr)</f>
        <v>1.0492534381541923E-2</v>
      </c>
      <c r="F201">
        <f t="shared" ref="F201:F264" si="161">(Ro/(Ro+Rdcr))/SQRT((A201/(Q*Fo))^2+(1-(A201^2/Fo^2))^2)</f>
        <v>3.3439281511905346E-2</v>
      </c>
      <c r="G201">
        <f t="shared" ref="G201:G264" si="162">-ATAN(A201*Fo/(Q*(Fo^2-A201^2)))</f>
        <v>6.3908482908776931E-2</v>
      </c>
      <c r="H201">
        <f t="shared" ref="H201:H264" si="163">IF(G201&gt;0,G201-Pi,G201)</f>
        <v>-3.0776841670912232</v>
      </c>
      <c r="J201">
        <f t="shared" ref="J201:J264" si="164">Vin/Vramp</f>
        <v>15</v>
      </c>
      <c r="M201">
        <f t="shared" ref="M201:M264" si="165">1/(2*Pi*_Rfb1*(Cc1ea_u+Cc2ea_u)*A201)</f>
        <v>2.1735504224239678E-2</v>
      </c>
      <c r="N201">
        <f t="shared" ref="N201:N264" si="166">-Pi/2</f>
        <v>-1.5707963250000001</v>
      </c>
      <c r="O201">
        <f t="shared" ref="O201:O264" si="167">SQRT(1+(A201/Fz1_u)^2)</f>
        <v>10.014652875917054</v>
      </c>
      <c r="P201">
        <f t="shared" ref="P201:P264" si="168">ATAN2(Fz1_u,A201)</f>
        <v>1.4707759560185223</v>
      </c>
      <c r="Q201">
        <f t="shared" ref="Q201:Q264" si="169">SQRT(1+(A201/Fz2_u)^2)</f>
        <v>6.5801720467180083</v>
      </c>
      <c r="R201">
        <f t="shared" ref="R201:R264" si="170">ATAN2(Fz2_u,A201)</f>
        <v>1.418233477390153</v>
      </c>
      <c r="S201">
        <f t="shared" ref="S201:S264" si="171">1/SQRT(1+(A201/Fp1_u)^2)</f>
        <v>0.9999425054051021</v>
      </c>
      <c r="T201">
        <f t="shared" ref="T201:T264" si="172">-ATAN2(Fp1_u,A201)</f>
        <v>-1.0723352632866424E-2</v>
      </c>
      <c r="U201">
        <f t="shared" ref="U201:U264" si="173">1/SQRT(1+(A201/Fp2_u)^2)</f>
        <v>0.98573109011813365</v>
      </c>
      <c r="V201">
        <f t="shared" ref="V201:V264" si="174">-ATAN2(Fp2_u,A201)</f>
        <v>-0.16913292540208461</v>
      </c>
      <c r="X201">
        <f t="shared" si="139"/>
        <v>-2.9970308689797207</v>
      </c>
      <c r="Y201">
        <f t="shared" ref="Y201:Y264" si="175">(180/Pi)*(D201+H201+N201+P201+R201+T201+V201)</f>
        <v>-110.51409367808147</v>
      </c>
      <c r="Z201">
        <f t="shared" si="140"/>
        <v>69.485906321918534</v>
      </c>
      <c r="AC201">
        <v>1</v>
      </c>
      <c r="AD201">
        <f t="shared" ref="AD201:AD264" si="176">Rcea1_u*Cc1ea_u*A201*2*Pi</f>
        <v>9.9646009566421512</v>
      </c>
      <c r="AE201">
        <f t="shared" ref="AE201:AE264" si="177">-Rcea1_u*Cc1ea_u*Cc2ea_u*(A201*2*Pi)^2</f>
        <v>-3.5549636767797239E-4</v>
      </c>
      <c r="AF201">
        <f t="shared" ref="AF201:AF264" si="178">(Cc2ea_u+Cc1ea_u)*A201*2*Pi</f>
        <v>2.0817952190784004E-3</v>
      </c>
      <c r="AG201">
        <f t="shared" si="141"/>
        <v>4571.2161488124166</v>
      </c>
      <c r="AH201">
        <f t="shared" si="142"/>
        <v>-1260.9553104535421</v>
      </c>
      <c r="AJ201">
        <f t="shared" ref="AJ201:AJ264" si="179">_Rfb1</f>
        <v>22100</v>
      </c>
      <c r="AK201">
        <f t="shared" ref="AK201:AK264" si="180">_Rfb1*Rcea2_u*Cc3ea_u*A201*2*Pi</f>
        <v>236.99517730417625</v>
      </c>
      <c r="AL201">
        <v>1</v>
      </c>
      <c r="AM201">
        <f t="shared" ref="AM201:AM264" si="181">(_Rfb1+Rcea2_u)*Cc3ea_u*A201*2*Pi</f>
        <v>6.5037423199577216</v>
      </c>
      <c r="AN201">
        <f t="shared" si="143"/>
        <v>546.00658058388672</v>
      </c>
      <c r="AO201">
        <f t="shared" si="144"/>
        <v>-3314.0909278146532</v>
      </c>
      <c r="AQ201">
        <f t="shared" ref="AQ201:AQ264" si="182">Eadcg/(1+(Eadcg*A201/GBP)^2)</f>
        <v>0.35855145213338113</v>
      </c>
      <c r="AR201">
        <f t="shared" ref="AR201:AR264" si="183">-(A201*Eadcg*Eadcg/GBP)/(1+(Eadcg*A201/GBP)^2)</f>
        <v>-59.878092506274648</v>
      </c>
      <c r="AT201">
        <f t="shared" si="156"/>
        <v>-73864.582537443202</v>
      </c>
      <c r="AU201">
        <f t="shared" si="157"/>
        <v>-274167.82078240486</v>
      </c>
      <c r="AV201">
        <f t="shared" si="145"/>
        <v>-1.8339616705894422</v>
      </c>
      <c r="AW201">
        <f t="shared" si="146"/>
        <v>-195336.91897859107</v>
      </c>
      <c r="AX201">
        <f t="shared" si="147"/>
        <v>-59239.936418630896</v>
      </c>
      <c r="AY201">
        <f t="shared" si="155"/>
        <v>-2.8471380546487537</v>
      </c>
      <c r="BA201">
        <f t="shared" ref="BA201:BA264" si="184">SQRT(AT201^2+AU201^2)/SQRT(AW201^2+AX201^2)</f>
        <v>1.3910469916856452</v>
      </c>
      <c r="BB201">
        <f t="shared" si="148"/>
        <v>2.8668360273758902</v>
      </c>
      <c r="BC201">
        <f t="shared" si="149"/>
        <v>1.0131763840593115</v>
      </c>
      <c r="BD201">
        <f t="shared" ref="BD201:BD264" si="185">BC201*180/Pi-180</f>
        <v>-121.94926922474303</v>
      </c>
      <c r="BF201">
        <f t="shared" ref="BF201:BF264" si="186">20*LOG(BA201*J201*F201*C201)</f>
        <v>-3.1257219044241613</v>
      </c>
      <c r="BG201">
        <f t="shared" ref="BG201:BG264" si="187">(180/Pi)*(D201+H201+BC201)</f>
        <v>-117.68640493765686</v>
      </c>
      <c r="BH201">
        <f t="shared" si="150"/>
        <v>62.31359506234314</v>
      </c>
      <c r="BI201">
        <f t="shared" si="151"/>
        <v>62.31359506234314</v>
      </c>
      <c r="BJ201">
        <f t="shared" ref="BJ201:BJ264" si="188">SUM((BF202&lt;0)*(BF201&gt;0))*A201</f>
        <v>0</v>
      </c>
      <c r="BK201">
        <f t="shared" si="152"/>
        <v>0</v>
      </c>
      <c r="BM201">
        <f t="shared" si="153"/>
        <v>-5.992557931800051</v>
      </c>
      <c r="BN201">
        <f t="shared" ref="BN201:BN264" si="189">(H201+D201)*180/Pi</f>
        <v>-175.73713571291381</v>
      </c>
      <c r="BQ201" s="56">
        <f t="shared" si="154"/>
        <v>19.768796827661028</v>
      </c>
      <c r="BR201" s="59"/>
      <c r="BS201" s="59"/>
      <c r="BT201" s="59">
        <v>8128.3050000000003</v>
      </c>
      <c r="BU201" s="59">
        <v>-1.3526100000000001</v>
      </c>
      <c r="BV201" s="59">
        <v>-221.982</v>
      </c>
      <c r="BW201" s="61"/>
      <c r="BY201" s="59"/>
      <c r="BZ201" s="59"/>
      <c r="CA201" s="59"/>
      <c r="CC201" s="59"/>
    </row>
    <row r="202" spans="1:81" x14ac:dyDescent="0.2">
      <c r="A202">
        <f t="shared" ref="A202:A234" si="190">A201+500</f>
        <v>84000</v>
      </c>
      <c r="B202">
        <f t="shared" ref="B202:B265" si="191">A202/1000</f>
        <v>84</v>
      </c>
      <c r="C202">
        <f t="shared" si="159"/>
        <v>1.0000557103909722</v>
      </c>
      <c r="D202">
        <f t="shared" si="160"/>
        <v>1.0555359275933231E-2</v>
      </c>
      <c r="F202">
        <f t="shared" si="161"/>
        <v>3.3030046823507291E-2</v>
      </c>
      <c r="G202">
        <f t="shared" si="162"/>
        <v>6.3503818109926433E-2</v>
      </c>
      <c r="H202">
        <f t="shared" si="163"/>
        <v>-3.0780888318900739</v>
      </c>
      <c r="J202">
        <f t="shared" si="164"/>
        <v>15</v>
      </c>
      <c r="M202">
        <f t="shared" si="165"/>
        <v>2.160612622290492E-2</v>
      </c>
      <c r="N202">
        <f t="shared" si="166"/>
        <v>-1.5707963250000001</v>
      </c>
      <c r="O202">
        <f t="shared" si="167"/>
        <v>10.074024692852161</v>
      </c>
      <c r="P202">
        <f t="shared" si="168"/>
        <v>1.4713673876582234</v>
      </c>
      <c r="Q202">
        <f t="shared" si="169"/>
        <v>6.6186669104776703</v>
      </c>
      <c r="R202">
        <f t="shared" si="170"/>
        <v>1.4191276865997717</v>
      </c>
      <c r="S202">
        <f t="shared" si="171"/>
        <v>0.99994181484580291</v>
      </c>
      <c r="T202">
        <f t="shared" si="172"/>
        <v>-1.0787559358614161E-2</v>
      </c>
      <c r="U202">
        <f t="shared" si="173"/>
        <v>0.98556338716394265</v>
      </c>
      <c r="V202">
        <f t="shared" si="174"/>
        <v>-0.1701263245360215</v>
      </c>
      <c r="X202">
        <f t="shared" ref="X202:X265" si="192">20*LOG(C202*J202*O202*Q202*F202*M202*S202*U202)</f>
        <v>-3.0553124189295606</v>
      </c>
      <c r="Y202">
        <f t="shared" si="175"/>
        <v>-110.50915506348046</v>
      </c>
      <c r="Z202">
        <f t="shared" ref="Z202:Z265" si="193">Y202+180</f>
        <v>69.490844936519537</v>
      </c>
      <c r="AC202">
        <v>1</v>
      </c>
      <c r="AD202">
        <f t="shared" si="176"/>
        <v>10.0242692258436</v>
      </c>
      <c r="AE202">
        <f t="shared" si="177"/>
        <v>-3.5976655603797529E-4</v>
      </c>
      <c r="AF202">
        <f t="shared" si="178"/>
        <v>2.0942610587136004E-3</v>
      </c>
      <c r="AG202">
        <f t="shared" ref="AG202:AG265" si="194">AC202*AE202/(AE202^2+AF202^2)+AD202*AF202/(AE202^2+AF202^2)</f>
        <v>4569.6608742583239</v>
      </c>
      <c r="AH202">
        <f t="shared" ref="AH202:AH265" si="195">AD202*AE202/(AE202^2+AF202^2)-AC202*AF202/(AE202^2+AF202^2)</f>
        <v>-1262.5031363651883</v>
      </c>
      <c r="AJ202">
        <f t="shared" si="179"/>
        <v>22100</v>
      </c>
      <c r="AK202">
        <f t="shared" si="180"/>
        <v>238.41431010240484</v>
      </c>
      <c r="AL202">
        <v>1</v>
      </c>
      <c r="AM202">
        <f t="shared" si="181"/>
        <v>6.542686884747889</v>
      </c>
      <c r="AN202">
        <f t="shared" ref="AN202:AN265" si="196">AJ202*AL202/(AL202^2+AM202^2)+AK202*AM202/(AL202^2+AM202^2)</f>
        <v>540.09642981690968</v>
      </c>
      <c r="AO202">
        <f t="shared" ref="AO202:AO265" si="197">AK202*AL202/(AL202^2+AM202^2)-AJ202*AM202/(AL202^2+AM202^2)</f>
        <v>-3295.2675177598485</v>
      </c>
      <c r="AQ202">
        <f t="shared" si="182"/>
        <v>0.35429583702391498</v>
      </c>
      <c r="AR202">
        <f t="shared" si="183"/>
        <v>-59.521700620017718</v>
      </c>
      <c r="AT202">
        <f t="shared" si="156"/>
        <v>-73527.321890201361</v>
      </c>
      <c r="AU202">
        <f t="shared" si="157"/>
        <v>-272441.28609805624</v>
      </c>
      <c r="AV202">
        <f t="shared" ref="AV202:AV265" si="198">ATAN2(AT202,AU202)</f>
        <v>-1.8343992798129996</v>
      </c>
      <c r="AW202">
        <f t="shared" ref="AW202:AW265" si="199">AG202-AH202*AO202/_Rfb2+AG202*AN202/_Rfb2+AN202-AO202*AR202+AQ202*AN202</f>
        <v>-193059.3861820715</v>
      </c>
      <c r="AX202">
        <f t="shared" ref="AX202:AX265" si="200">AH202+AH202*AN202/_Rfb2+AG202*AO202/_Rfb2+AO202+AO202*AQ202+AN202*AR202</f>
        <v>-58527.195458798655</v>
      </c>
      <c r="AY202">
        <f t="shared" si="155"/>
        <v>-2.847242567841731</v>
      </c>
      <c r="BA202">
        <f t="shared" si="184"/>
        <v>1.3988033544693392</v>
      </c>
      <c r="BB202">
        <f t="shared" ref="BB202:BB265" si="201">20*LOG(BA202)</f>
        <v>2.9151333023949428</v>
      </c>
      <c r="BC202">
        <f t="shared" ref="BC202:BC265" si="202">AV202-AY202</f>
        <v>1.0128432880287315</v>
      </c>
      <c r="BD202">
        <f t="shared" si="185"/>
        <v>-121.96835422148965</v>
      </c>
      <c r="BF202">
        <f t="shared" si="186"/>
        <v>-3.1843738486783697</v>
      </c>
      <c r="BG202">
        <f t="shared" si="187"/>
        <v>-117.72507591822053</v>
      </c>
      <c r="BH202">
        <f t="shared" ref="BH202:BH265" si="203">IF(BG202&gt;180,BG202-180,BG202+180)</f>
        <v>62.274924081779474</v>
      </c>
      <c r="BI202">
        <f t="shared" ref="BI202:BI265" si="204">IF(BH202&gt;180,BH202-360,BH202)</f>
        <v>62.274924081779474</v>
      </c>
      <c r="BJ202">
        <f t="shared" si="188"/>
        <v>0</v>
      </c>
      <c r="BK202">
        <f t="shared" ref="BK202:BK265" si="205">IF(BJ202&gt;0,BI202,0)</f>
        <v>0</v>
      </c>
      <c r="BM202">
        <f t="shared" ref="BM202:BM265" si="206">20*LOG(J202*F202*C202)</f>
        <v>-6.0995071510733112</v>
      </c>
      <c r="BN202">
        <f t="shared" si="189"/>
        <v>-175.75672169673089</v>
      </c>
      <c r="BQ202" s="56">
        <f t="shared" ref="BQ202:BQ265" si="207">20*LOG(BA202*7)</f>
        <v>19.817094102680077</v>
      </c>
      <c r="BR202" s="59"/>
      <c r="BS202" s="59"/>
      <c r="BT202" s="59">
        <v>8317.6380000000008</v>
      </c>
      <c r="BU202" s="59">
        <v>-1.29555</v>
      </c>
      <c r="BV202" s="59">
        <v>-220.93199999999999</v>
      </c>
      <c r="BW202" s="61"/>
      <c r="BY202" s="59"/>
      <c r="BZ202" s="59"/>
      <c r="CA202" s="59"/>
      <c r="CC202" s="59"/>
    </row>
    <row r="203" spans="1:81" x14ac:dyDescent="0.2">
      <c r="A203">
        <f t="shared" si="190"/>
        <v>84500</v>
      </c>
      <c r="B203">
        <f t="shared" si="191"/>
        <v>84.5</v>
      </c>
      <c r="C203">
        <f t="shared" si="159"/>
        <v>1.0000563755650289</v>
      </c>
      <c r="D203">
        <f t="shared" si="160"/>
        <v>1.0618184086998241E-2</v>
      </c>
      <c r="F203">
        <f t="shared" si="161"/>
        <v>3.2628351845262048E-2</v>
      </c>
      <c r="G203">
        <f t="shared" si="162"/>
        <v>6.3104386162558562E-2</v>
      </c>
      <c r="H203">
        <f t="shared" si="163"/>
        <v>-3.0784882638374418</v>
      </c>
      <c r="J203">
        <f t="shared" si="164"/>
        <v>15</v>
      </c>
      <c r="M203">
        <f t="shared" si="165"/>
        <v>2.1478279322177673E-2</v>
      </c>
      <c r="N203">
        <f t="shared" si="166"/>
        <v>-1.5707963250000001</v>
      </c>
      <c r="O203">
        <f t="shared" si="167"/>
        <v>10.133399992301474</v>
      </c>
      <c r="P203">
        <f t="shared" si="168"/>
        <v>1.4719518886714957</v>
      </c>
      <c r="Q203">
        <f t="shared" si="169"/>
        <v>6.6571670053821244</v>
      </c>
      <c r="R203">
        <f t="shared" si="170"/>
        <v>1.4200115536294349</v>
      </c>
      <c r="S203">
        <f t="shared" si="171"/>
        <v>0.99994112016520531</v>
      </c>
      <c r="T203">
        <f t="shared" si="172"/>
        <v>-1.0851765995415067E-2</v>
      </c>
      <c r="U203">
        <f t="shared" si="173"/>
        <v>0.98539476933078218</v>
      </c>
      <c r="V203">
        <f t="shared" si="174"/>
        <v>-0.17111938473280597</v>
      </c>
      <c r="X203">
        <f t="shared" si="192"/>
        <v>-3.113206334013082</v>
      </c>
      <c r="Y203">
        <f t="shared" si="175"/>
        <v>-110.50488686749125</v>
      </c>
      <c r="Z203">
        <f t="shared" si="193"/>
        <v>69.495113132508749</v>
      </c>
      <c r="AC203">
        <v>1</v>
      </c>
      <c r="AD203">
        <f t="shared" si="176"/>
        <v>10.083937495045049</v>
      </c>
      <c r="AE203">
        <f t="shared" si="177"/>
        <v>-3.6406223805982897E-4</v>
      </c>
      <c r="AF203">
        <f t="shared" si="178"/>
        <v>2.1067268983488E-3</v>
      </c>
      <c r="AG203">
        <f t="shared" si="194"/>
        <v>4568.0973819226328</v>
      </c>
      <c r="AH203">
        <f t="shared" si="195"/>
        <v>-1264.0801988265532</v>
      </c>
      <c r="AJ203">
        <f t="shared" si="179"/>
        <v>22100</v>
      </c>
      <c r="AK203">
        <f t="shared" si="180"/>
        <v>239.83344290063343</v>
      </c>
      <c r="AL203">
        <v>1</v>
      </c>
      <c r="AM203">
        <f t="shared" si="181"/>
        <v>6.5816314495380546</v>
      </c>
      <c r="AN203">
        <f t="shared" si="196"/>
        <v>534.28772580146199</v>
      </c>
      <c r="AO203">
        <f t="shared" si="197"/>
        <v>-3276.6514563364331</v>
      </c>
      <c r="AQ203">
        <f t="shared" si="182"/>
        <v>0.35011553812758212</v>
      </c>
      <c r="AR203">
        <f t="shared" si="183"/>
        <v>-59.169525943561375</v>
      </c>
      <c r="AT203">
        <f t="shared" si="156"/>
        <v>-73195.664246118919</v>
      </c>
      <c r="AU203">
        <f t="shared" si="157"/>
        <v>-270734.73067143461</v>
      </c>
      <c r="AV203">
        <f t="shared" si="198"/>
        <v>-1.8348430589450759</v>
      </c>
      <c r="AW203">
        <f t="shared" si="199"/>
        <v>-190820.9040025947</v>
      </c>
      <c r="AX203">
        <f t="shared" si="200"/>
        <v>-57829.08782926447</v>
      </c>
      <c r="AY203">
        <f t="shared" ref="AY203:AY266" si="208">ATAN2(AW203,AX203)</f>
        <v>-2.8473361466624194</v>
      </c>
      <c r="BA203">
        <f t="shared" si="184"/>
        <v>1.4065561258918433</v>
      </c>
      <c r="BB203">
        <f t="shared" si="201"/>
        <v>2.9631413305048948</v>
      </c>
      <c r="BC203">
        <f t="shared" si="202"/>
        <v>1.0124930877173435</v>
      </c>
      <c r="BD203">
        <f t="shared" si="185"/>
        <v>-121.98841922133929</v>
      </c>
      <c r="BF203">
        <f t="shared" si="186"/>
        <v>-3.2426410934333534</v>
      </c>
      <c r="BG203">
        <f t="shared" si="187"/>
        <v>-117.76442708635632</v>
      </c>
      <c r="BH203">
        <f t="shared" si="203"/>
        <v>62.235572913643679</v>
      </c>
      <c r="BI203">
        <f t="shared" si="204"/>
        <v>62.235572913643679</v>
      </c>
      <c r="BJ203">
        <f t="shared" si="188"/>
        <v>0</v>
      </c>
      <c r="BK203">
        <f t="shared" si="205"/>
        <v>0</v>
      </c>
      <c r="BM203">
        <f t="shared" si="206"/>
        <v>-6.2057824239382473</v>
      </c>
      <c r="BN203">
        <f t="shared" si="189"/>
        <v>-175.77600786501708</v>
      </c>
      <c r="BQ203" s="56">
        <f t="shared" si="207"/>
        <v>19.865102130790032</v>
      </c>
      <c r="BR203" s="59"/>
      <c r="BS203" s="59"/>
      <c r="BT203" s="59">
        <v>8511.3799999999992</v>
      </c>
      <c r="BU203" s="59">
        <v>-1.5137499999999999</v>
      </c>
      <c r="BV203" s="59">
        <v>-219.99600000000001</v>
      </c>
      <c r="BW203" s="61"/>
      <c r="BY203" s="59"/>
      <c r="BZ203" s="59"/>
      <c r="CA203" s="59"/>
      <c r="CC203" s="59"/>
    </row>
    <row r="204" spans="1:81" x14ac:dyDescent="0.2">
      <c r="A204">
        <f t="shared" si="190"/>
        <v>85000</v>
      </c>
      <c r="B204">
        <f t="shared" si="191"/>
        <v>85</v>
      </c>
      <c r="C204">
        <f t="shared" si="159"/>
        <v>1.0000570446862598</v>
      </c>
      <c r="D204">
        <f t="shared" si="160"/>
        <v>1.0681008814241182E-2</v>
      </c>
      <c r="F204">
        <f t="shared" si="161"/>
        <v>3.2234010778423194E-2</v>
      </c>
      <c r="G204">
        <f t="shared" si="162"/>
        <v>6.2710083857209956E-2</v>
      </c>
      <c r="H204">
        <f t="shared" si="163"/>
        <v>-3.0788825661427901</v>
      </c>
      <c r="J204">
        <f t="shared" si="164"/>
        <v>15</v>
      </c>
      <c r="M204">
        <f t="shared" si="165"/>
        <v>2.1351936502635453E-2</v>
      </c>
      <c r="N204">
        <f t="shared" si="166"/>
        <v>-1.5707963250000001</v>
      </c>
      <c r="O204">
        <f t="shared" si="167"/>
        <v>10.192778713405627</v>
      </c>
      <c r="P204">
        <f t="shared" si="168"/>
        <v>1.4725295797799265</v>
      </c>
      <c r="Q204">
        <f t="shared" si="169"/>
        <v>6.6956722411941696</v>
      </c>
      <c r="R204">
        <f t="shared" si="170"/>
        <v>1.4208852555124336</v>
      </c>
      <c r="S204">
        <f t="shared" si="171"/>
        <v>0.99994042136333483</v>
      </c>
      <c r="T204">
        <f t="shared" si="172"/>
        <v>-1.0915972542739943E-2</v>
      </c>
      <c r="U204">
        <f t="shared" si="173"/>
        <v>0.98522523808560036</v>
      </c>
      <c r="V204">
        <f t="shared" si="174"/>
        <v>-0.17211210420822737</v>
      </c>
      <c r="X204">
        <f t="shared" si="192"/>
        <v>-3.1707183252190951</v>
      </c>
      <c r="Y204">
        <f t="shared" si="175"/>
        <v>-110.50127784125291</v>
      </c>
      <c r="Z204">
        <f t="shared" si="193"/>
        <v>69.498722158747086</v>
      </c>
      <c r="AC204">
        <v>1</v>
      </c>
      <c r="AD204">
        <f t="shared" si="176"/>
        <v>10.1436057642465</v>
      </c>
      <c r="AE204">
        <f t="shared" si="177"/>
        <v>-3.6838341374353343E-4</v>
      </c>
      <c r="AF204">
        <f t="shared" si="178"/>
        <v>2.1191927379840001E-3</v>
      </c>
      <c r="AG204">
        <f t="shared" si="194"/>
        <v>4566.5256897584204</v>
      </c>
      <c r="AH204">
        <f t="shared" si="195"/>
        <v>-1265.6858786201642</v>
      </c>
      <c r="AJ204">
        <f t="shared" si="179"/>
        <v>22100</v>
      </c>
      <c r="AK204">
        <f t="shared" si="180"/>
        <v>241.25257569886202</v>
      </c>
      <c r="AL204">
        <v>1</v>
      </c>
      <c r="AM204">
        <f t="shared" si="181"/>
        <v>6.6205760143282202</v>
      </c>
      <c r="AN204">
        <f t="shared" si="196"/>
        <v>528.57817787568843</v>
      </c>
      <c r="AO204">
        <f t="shared" si="197"/>
        <v>-3258.2394304422364</v>
      </c>
      <c r="AQ204">
        <f t="shared" si="182"/>
        <v>0.34600878862323103</v>
      </c>
      <c r="AR204">
        <f t="shared" si="183"/>
        <v>-58.821494065949274</v>
      </c>
      <c r="AT204">
        <f t="shared" si="156"/>
        <v>-72869.476376481602</v>
      </c>
      <c r="AU204">
        <f t="shared" si="157"/>
        <v>-269047.80219976878</v>
      </c>
      <c r="AV204">
        <f t="shared" si="198"/>
        <v>-1.835292892922717</v>
      </c>
      <c r="AW204">
        <f t="shared" si="199"/>
        <v>-188620.59224610362</v>
      </c>
      <c r="AX204">
        <f t="shared" si="200"/>
        <v>-57145.216422254554</v>
      </c>
      <c r="AY204">
        <f t="shared" si="208"/>
        <v>-2.8474189749830439</v>
      </c>
      <c r="BA204">
        <f t="shared" si="184"/>
        <v>1.4143052469803821</v>
      </c>
      <c r="BB204">
        <f t="shared" si="201"/>
        <v>3.0108630516265231</v>
      </c>
      <c r="BC204">
        <f t="shared" si="202"/>
        <v>1.0121260820603268</v>
      </c>
      <c r="BD204">
        <f t="shared" si="185"/>
        <v>-122.00944709656778</v>
      </c>
      <c r="BF204">
        <f t="shared" si="186"/>
        <v>-3.3005293616265838</v>
      </c>
      <c r="BG204">
        <f t="shared" si="187"/>
        <v>-117.8044472278352</v>
      </c>
      <c r="BH204">
        <f t="shared" si="203"/>
        <v>62.195552772164802</v>
      </c>
      <c r="BI204">
        <f t="shared" si="204"/>
        <v>62.195552772164802</v>
      </c>
      <c r="BJ204">
        <f t="shared" si="188"/>
        <v>0</v>
      </c>
      <c r="BK204">
        <f t="shared" si="205"/>
        <v>0</v>
      </c>
      <c r="BM204">
        <f t="shared" si="206"/>
        <v>-6.3113924132531078</v>
      </c>
      <c r="BN204">
        <f t="shared" si="189"/>
        <v>-175.79500013126741</v>
      </c>
      <c r="BQ204" s="56">
        <f t="shared" si="207"/>
        <v>19.912823851911661</v>
      </c>
      <c r="BR204" s="59"/>
      <c r="BS204" s="59"/>
      <c r="BT204" s="59">
        <v>8709.6360000000004</v>
      </c>
      <c r="BU204" s="59">
        <v>-1.62094</v>
      </c>
      <c r="BV204" s="59">
        <v>-218.72200000000001</v>
      </c>
      <c r="BW204" s="61"/>
      <c r="BY204" s="59"/>
      <c r="BZ204" s="59"/>
      <c r="CA204" s="59"/>
      <c r="CC204" s="59"/>
    </row>
    <row r="205" spans="1:81" x14ac:dyDescent="0.2">
      <c r="A205">
        <f t="shared" si="190"/>
        <v>85500</v>
      </c>
      <c r="B205">
        <f t="shared" si="191"/>
        <v>85.5</v>
      </c>
      <c r="C205">
        <f t="shared" si="159"/>
        <v>1.000057717754657</v>
      </c>
      <c r="D205">
        <f t="shared" si="160"/>
        <v>1.0743833457166294E-2</v>
      </c>
      <c r="F205">
        <f t="shared" si="161"/>
        <v>3.1846843562306111E-2</v>
      </c>
      <c r="G205">
        <f t="shared" si="162"/>
        <v>6.2320810731919467E-2</v>
      </c>
      <c r="H205">
        <f t="shared" si="163"/>
        <v>-3.0792718392680807</v>
      </c>
      <c r="J205">
        <f t="shared" si="164"/>
        <v>15</v>
      </c>
      <c r="M205">
        <f t="shared" si="165"/>
        <v>2.1227071376889048E-2</v>
      </c>
      <c r="N205">
        <f t="shared" si="166"/>
        <v>-1.5707963250000001</v>
      </c>
      <c r="O205">
        <f t="shared" si="167"/>
        <v>10.252160796711747</v>
      </c>
      <c r="P205">
        <f t="shared" si="168"/>
        <v>1.473100578926575</v>
      </c>
      <c r="Q205">
        <f t="shared" si="169"/>
        <v>6.7341825297285558</v>
      </c>
      <c r="R205">
        <f t="shared" si="170"/>
        <v>1.4217489652954003</v>
      </c>
      <c r="S205">
        <f t="shared" si="171"/>
        <v>0.99993971844021745</v>
      </c>
      <c r="T205">
        <f t="shared" si="172"/>
        <v>-1.0980179000059596E-2</v>
      </c>
      <c r="U205">
        <f t="shared" si="173"/>
        <v>0.9850547949019256</v>
      </c>
      <c r="V205">
        <f t="shared" si="174"/>
        <v>-0.17310448118198554</v>
      </c>
      <c r="X205">
        <f t="shared" si="192"/>
        <v>-3.2278539780226607</v>
      </c>
      <c r="Y205">
        <f t="shared" si="175"/>
        <v>-110.49831696632511</v>
      </c>
      <c r="Z205">
        <f t="shared" si="193"/>
        <v>69.501683033674894</v>
      </c>
      <c r="AC205">
        <v>1</v>
      </c>
      <c r="AD205">
        <f t="shared" si="176"/>
        <v>10.203274033447951</v>
      </c>
      <c r="AE205">
        <f t="shared" si="177"/>
        <v>-3.7273008308908861E-4</v>
      </c>
      <c r="AF205">
        <f t="shared" si="178"/>
        <v>2.1316585776192006E-3</v>
      </c>
      <c r="AG205">
        <f t="shared" si="194"/>
        <v>4564.9458157939716</v>
      </c>
      <c r="AH205">
        <f t="shared" si="195"/>
        <v>-1267.319570583066</v>
      </c>
      <c r="AJ205">
        <f t="shared" si="179"/>
        <v>22100</v>
      </c>
      <c r="AK205">
        <f t="shared" si="180"/>
        <v>242.67170849709063</v>
      </c>
      <c r="AL205">
        <v>1</v>
      </c>
      <c r="AM205">
        <f t="shared" si="181"/>
        <v>6.6595205791183867</v>
      </c>
      <c r="AN205">
        <f t="shared" si="196"/>
        <v>522.96555915968588</v>
      </c>
      <c r="AO205">
        <f t="shared" si="197"/>
        <v>-3240.0281948969914</v>
      </c>
      <c r="AQ205">
        <f t="shared" si="182"/>
        <v>0.3419738731960878</v>
      </c>
      <c r="AR205">
        <f t="shared" si="183"/>
        <v>-58.477532316531018</v>
      </c>
      <c r="AT205">
        <f t="shared" si="156"/>
        <v>-72548.628942586118</v>
      </c>
      <c r="AU205">
        <f t="shared" si="157"/>
        <v>-267380.15664843452</v>
      </c>
      <c r="AV205">
        <f t="shared" si="198"/>
        <v>-1.835748669291315</v>
      </c>
      <c r="AW205">
        <f t="shared" si="199"/>
        <v>-186457.59517367798</v>
      </c>
      <c r="AX205">
        <f t="shared" si="200"/>
        <v>-56475.19726207669</v>
      </c>
      <c r="AY205">
        <f t="shared" si="208"/>
        <v>-2.8474912325254373</v>
      </c>
      <c r="BA205">
        <f t="shared" si="184"/>
        <v>1.4220506594537845</v>
      </c>
      <c r="BB205">
        <f t="shared" si="201"/>
        <v>3.0583013614803471</v>
      </c>
      <c r="BC205">
        <f t="shared" si="202"/>
        <v>1.0117425632341224</v>
      </c>
      <c r="BD205">
        <f t="shared" si="185"/>
        <v>-122.03142110669822</v>
      </c>
      <c r="BF205">
        <f t="shared" si="186"/>
        <v>-3.3580442507246602</v>
      </c>
      <c r="BG205">
        <f t="shared" si="187"/>
        <v>-117.845125358255</v>
      </c>
      <c r="BH205">
        <f t="shared" si="203"/>
        <v>62.154874641744996</v>
      </c>
      <c r="BI205">
        <f t="shared" si="204"/>
        <v>62.154874641744996</v>
      </c>
      <c r="BJ205">
        <f t="shared" si="188"/>
        <v>0</v>
      </c>
      <c r="BK205">
        <f t="shared" si="205"/>
        <v>0</v>
      </c>
      <c r="BM205">
        <f t="shared" si="206"/>
        <v>-6.4163456122050064</v>
      </c>
      <c r="BN205">
        <f t="shared" si="189"/>
        <v>-175.8137042515568</v>
      </c>
      <c r="BQ205" s="56">
        <f t="shared" si="207"/>
        <v>19.960262161765485</v>
      </c>
      <c r="BR205" s="59"/>
      <c r="BS205" s="59"/>
      <c r="BT205" s="59">
        <v>8912.509</v>
      </c>
      <c r="BU205" s="59">
        <v>-1.6954</v>
      </c>
      <c r="BV205" s="59">
        <v>-217.619</v>
      </c>
      <c r="BW205" s="61"/>
      <c r="BY205" s="59"/>
      <c r="BZ205" s="59"/>
      <c r="CA205" s="59"/>
      <c r="CC205" s="59"/>
    </row>
    <row r="206" spans="1:81" x14ac:dyDescent="0.2">
      <c r="A206">
        <f t="shared" si="190"/>
        <v>86000</v>
      </c>
      <c r="B206">
        <f t="shared" si="191"/>
        <v>86</v>
      </c>
      <c r="C206">
        <f t="shared" si="159"/>
        <v>1.0000583947702124</v>
      </c>
      <c r="D206">
        <f t="shared" si="160"/>
        <v>1.0806658015277814E-2</v>
      </c>
      <c r="F206">
        <f t="shared" si="161"/>
        <v>3.1466675661215721E-2</v>
      </c>
      <c r="G206">
        <f t="shared" si="162"/>
        <v>6.1936468980069825E-2</v>
      </c>
      <c r="H206">
        <f t="shared" si="163"/>
        <v>-3.0796561810199305</v>
      </c>
      <c r="J206">
        <f t="shared" si="164"/>
        <v>15</v>
      </c>
      <c r="M206">
        <f t="shared" si="165"/>
        <v>2.1103658171209457E-2</v>
      </c>
      <c r="N206">
        <f t="shared" si="166"/>
        <v>-1.5707963250000001</v>
      </c>
      <c r="O206">
        <f t="shared" si="167"/>
        <v>10.311546184133135</v>
      </c>
      <c r="P206">
        <f t="shared" si="168"/>
        <v>1.4736650013551962</v>
      </c>
      <c r="Q206">
        <f t="shared" si="169"/>
        <v>6.7726977847943148</v>
      </c>
      <c r="R206">
        <f t="shared" si="170"/>
        <v>1.422602852149023</v>
      </c>
      <c r="S206">
        <f t="shared" si="171"/>
        <v>0.99993901139587926</v>
      </c>
      <c r="T206">
        <f t="shared" si="172"/>
        <v>-1.1044385366844841E-2</v>
      </c>
      <c r="U206">
        <f t="shared" si="173"/>
        <v>0.98488344125983274</v>
      </c>
      <c r="V206">
        <f t="shared" si="174"/>
        <v>-0.17409651387770683</v>
      </c>
      <c r="X206">
        <f t="shared" si="192"/>
        <v>-3.2846187560464446</v>
      </c>
      <c r="Y206">
        <f t="shared" si="175"/>
        <v>-110.49599344908619</v>
      </c>
      <c r="Z206">
        <f t="shared" si="193"/>
        <v>69.504006550913815</v>
      </c>
      <c r="AC206">
        <v>1</v>
      </c>
      <c r="AD206">
        <f t="shared" si="176"/>
        <v>10.2629423026494</v>
      </c>
      <c r="AE206">
        <f t="shared" si="177"/>
        <v>-3.7710224609649451E-4</v>
      </c>
      <c r="AF206">
        <f t="shared" si="178"/>
        <v>2.1441244172544006E-3</v>
      </c>
      <c r="AG206">
        <f t="shared" si="194"/>
        <v>4563.3577781322801</v>
      </c>
      <c r="AH206">
        <f t="shared" si="195"/>
        <v>-1268.9806832010731</v>
      </c>
      <c r="AJ206">
        <f t="shared" si="179"/>
        <v>22100</v>
      </c>
      <c r="AK206">
        <f t="shared" si="180"/>
        <v>244.09084129531922</v>
      </c>
      <c r="AL206">
        <v>1</v>
      </c>
      <c r="AM206">
        <f t="shared" si="181"/>
        <v>6.6984651439085523</v>
      </c>
      <c r="AN206">
        <f t="shared" si="196"/>
        <v>517.44770445346001</v>
      </c>
      <c r="AO206">
        <f t="shared" si="197"/>
        <v>-3222.0145707816773</v>
      </c>
      <c r="AQ206">
        <f t="shared" si="182"/>
        <v>0.33800912624640866</v>
      </c>
      <c r="AR206">
        <f t="shared" si="183"/>
        <v>-58.137569714382288</v>
      </c>
      <c r="AT206">
        <f t="shared" si="156"/>
        <v>-72232.996360470614</v>
      </c>
      <c r="AU206">
        <f t="shared" si="157"/>
        <v>-265731.45800978644</v>
      </c>
      <c r="AV206">
        <f t="shared" si="198"/>
        <v>-1.8362102781304621</v>
      </c>
      <c r="AW206">
        <f t="shared" si="199"/>
        <v>-184331.08069773167</v>
      </c>
      <c r="AX206">
        <f t="shared" si="200"/>
        <v>-55818.658997466584</v>
      </c>
      <c r="AY206">
        <f t="shared" si="208"/>
        <v>-2.8475530949767891</v>
      </c>
      <c r="BA206">
        <f t="shared" si="184"/>
        <v>1.429792305703391</v>
      </c>
      <c r="BB206">
        <f t="shared" si="201"/>
        <v>3.105459112406574</v>
      </c>
      <c r="BC206">
        <f t="shared" si="202"/>
        <v>1.011342816846327</v>
      </c>
      <c r="BD206">
        <f t="shared" si="185"/>
        <v>-122.05432488762067</v>
      </c>
      <c r="BF206">
        <f t="shared" si="186"/>
        <v>-3.4151912363841594</v>
      </c>
      <c r="BG206">
        <f t="shared" si="187"/>
        <v>-117.88645071744058</v>
      </c>
      <c r="BH206">
        <f t="shared" si="203"/>
        <v>62.113549282559418</v>
      </c>
      <c r="BI206">
        <f t="shared" si="204"/>
        <v>62.113549282559418</v>
      </c>
      <c r="BJ206">
        <f t="shared" si="188"/>
        <v>0</v>
      </c>
      <c r="BK206">
        <f t="shared" si="205"/>
        <v>0</v>
      </c>
      <c r="BM206">
        <f t="shared" si="206"/>
        <v>-6.5206503487907348</v>
      </c>
      <c r="BN206">
        <f t="shared" si="189"/>
        <v>-175.83212582981992</v>
      </c>
      <c r="BQ206" s="56">
        <f t="shared" si="207"/>
        <v>20.007419912691713</v>
      </c>
      <c r="BR206" s="59"/>
      <c r="BS206" s="59"/>
      <c r="BT206" s="59">
        <v>9120.1080000000002</v>
      </c>
      <c r="BU206" s="59">
        <v>-1.76502</v>
      </c>
      <c r="BV206" s="59">
        <v>-216.501</v>
      </c>
      <c r="BW206" s="61"/>
      <c r="BY206" s="59"/>
      <c r="BZ206" s="59"/>
      <c r="CA206" s="59"/>
      <c r="CC206" s="59"/>
    </row>
    <row r="207" spans="1:81" x14ac:dyDescent="0.2">
      <c r="A207">
        <f t="shared" si="190"/>
        <v>86500</v>
      </c>
      <c r="B207">
        <f t="shared" si="191"/>
        <v>86.5</v>
      </c>
      <c r="C207">
        <f t="shared" si="159"/>
        <v>1.000059075732918</v>
      </c>
      <c r="D207">
        <f t="shared" si="160"/>
        <v>1.0869482488079991E-2</v>
      </c>
      <c r="F207">
        <f t="shared" si="161"/>
        <v>3.1093337860617229E-2</v>
      </c>
      <c r="G207">
        <f t="shared" si="162"/>
        <v>6.1556963361954709E-2</v>
      </c>
      <c r="H207">
        <f t="shared" si="163"/>
        <v>-3.0800356866380456</v>
      </c>
      <c r="J207">
        <f t="shared" si="164"/>
        <v>15</v>
      </c>
      <c r="M207">
        <f t="shared" si="165"/>
        <v>2.0981671707792061E-2</v>
      </c>
      <c r="N207">
        <f t="shared" si="166"/>
        <v>-1.5707963250000001</v>
      </c>
      <c r="O207">
        <f t="shared" si="167"/>
        <v>10.370934818910346</v>
      </c>
      <c r="P207">
        <f t="shared" si="168"/>
        <v>1.4742229596867773</v>
      </c>
      <c r="Q207">
        <f t="shared" si="169"/>
        <v>6.8112179221390177</v>
      </c>
      <c r="R207">
        <f t="shared" si="170"/>
        <v>1.423447081475121</v>
      </c>
      <c r="S207">
        <f t="shared" si="171"/>
        <v>0.99993830023034691</v>
      </c>
      <c r="T207">
        <f t="shared" si="172"/>
        <v>-1.1108591642566496E-2</v>
      </c>
      <c r="U207">
        <f t="shared" si="173"/>
        <v>0.98471117864590851</v>
      </c>
      <c r="V207">
        <f t="shared" si="174"/>
        <v>-0.17508820052296031</v>
      </c>
      <c r="X207">
        <f t="shared" si="192"/>
        <v>-3.3410180045898192</v>
      </c>
      <c r="Y207">
        <f t="shared" si="175"/>
        <v>-110.49429671528129</v>
      </c>
      <c r="Z207">
        <f t="shared" si="193"/>
        <v>69.505703284718706</v>
      </c>
      <c r="AC207">
        <v>1</v>
      </c>
      <c r="AD207">
        <f t="shared" si="176"/>
        <v>10.32261057185085</v>
      </c>
      <c r="AE207">
        <f t="shared" si="177"/>
        <v>-3.8149990276575108E-4</v>
      </c>
      <c r="AF207">
        <f t="shared" si="178"/>
        <v>2.1565902568896002E-3</v>
      </c>
      <c r="AG207">
        <f t="shared" si="194"/>
        <v>4561.7615949505589</v>
      </c>
      <c r="AH207">
        <f t="shared" si="195"/>
        <v>-1270.6686382171008</v>
      </c>
      <c r="AJ207">
        <f t="shared" si="179"/>
        <v>22100</v>
      </c>
      <c r="AK207">
        <f t="shared" si="180"/>
        <v>245.50997409354781</v>
      </c>
      <c r="AL207">
        <v>1</v>
      </c>
      <c r="AM207">
        <f t="shared" si="181"/>
        <v>6.7374097086987179</v>
      </c>
      <c r="AN207">
        <f t="shared" si="196"/>
        <v>512.02250821457744</v>
      </c>
      <c r="AO207">
        <f t="shared" si="197"/>
        <v>-3204.1954438236148</v>
      </c>
      <c r="AQ207">
        <f t="shared" si="182"/>
        <v>0.33411293017039762</v>
      </c>
      <c r="AR207">
        <f t="shared" si="183"/>
        <v>-57.801536919478785</v>
      </c>
      <c r="AT207">
        <f t="shared" si="156"/>
        <v>-71922.456671101871</v>
      </c>
      <c r="AU207">
        <f t="shared" si="157"/>
        <v>-264101.37807038549</v>
      </c>
      <c r="AV207">
        <f t="shared" si="198"/>
        <v>-1.8366776119823143</v>
      </c>
      <c r="AW207">
        <f t="shared" si="199"/>
        <v>-182240.23960858429</v>
      </c>
      <c r="AX207">
        <f t="shared" si="200"/>
        <v>-55175.242416286084</v>
      </c>
      <c r="AY207">
        <f t="shared" si="208"/>
        <v>-2.8476047341015818</v>
      </c>
      <c r="BA207">
        <f t="shared" si="184"/>
        <v>1.4375301287746309</v>
      </c>
      <c r="BB207">
        <f t="shared" si="201"/>
        <v>3.1523391141682895</v>
      </c>
      <c r="BC207">
        <f t="shared" si="202"/>
        <v>1.0109271221192675</v>
      </c>
      <c r="BD207">
        <f t="shared" si="185"/>
        <v>-122.07814244107422</v>
      </c>
      <c r="BF207">
        <f t="shared" si="186"/>
        <v>-3.4719756759803189</v>
      </c>
      <c r="BG207">
        <f t="shared" si="187"/>
        <v>-117.9284127639927</v>
      </c>
      <c r="BH207">
        <f t="shared" si="203"/>
        <v>62.071587236007304</v>
      </c>
      <c r="BI207">
        <f t="shared" si="204"/>
        <v>62.071587236007304</v>
      </c>
      <c r="BJ207">
        <f t="shared" si="188"/>
        <v>0</v>
      </c>
      <c r="BK207">
        <f t="shared" si="205"/>
        <v>0</v>
      </c>
      <c r="BM207">
        <f t="shared" si="206"/>
        <v>-6.6243147901486079</v>
      </c>
      <c r="BN207">
        <f t="shared" si="189"/>
        <v>-175.85027032291845</v>
      </c>
      <c r="BQ207" s="56">
        <f t="shared" si="207"/>
        <v>20.054299914453427</v>
      </c>
      <c r="BR207" s="59"/>
      <c r="BS207" s="59"/>
      <c r="BT207" s="59">
        <v>9332.5429999999997</v>
      </c>
      <c r="BU207" s="59">
        <v>-1.99203</v>
      </c>
      <c r="BV207" s="59">
        <v>-215.83600000000001</v>
      </c>
      <c r="BW207" s="61"/>
      <c r="BY207" s="59"/>
      <c r="BZ207" s="59"/>
      <c r="CA207" s="59"/>
      <c r="CC207" s="59"/>
    </row>
    <row r="208" spans="1:81" x14ac:dyDescent="0.2">
      <c r="A208">
        <f t="shared" si="190"/>
        <v>87000</v>
      </c>
      <c r="B208">
        <f t="shared" si="191"/>
        <v>87</v>
      </c>
      <c r="C208">
        <f t="shared" si="159"/>
        <v>1.0000597606427657</v>
      </c>
      <c r="D208">
        <f t="shared" si="160"/>
        <v>1.0932306875077071E-2</v>
      </c>
      <c r="F208">
        <f t="shared" si="161"/>
        <v>3.0726666072091426E-2</v>
      </c>
      <c r="G208">
        <f t="shared" si="162"/>
        <v>6.1182201119895641E-2</v>
      </c>
      <c r="H208">
        <f t="shared" si="163"/>
        <v>-3.0804104488801047</v>
      </c>
      <c r="J208">
        <f t="shared" si="164"/>
        <v>15</v>
      </c>
      <c r="M208">
        <f t="shared" si="165"/>
        <v>2.0861087387632336E-2</v>
      </c>
      <c r="N208">
        <f t="shared" si="166"/>
        <v>-1.5707963250000001</v>
      </c>
      <c r="O208">
        <f t="shared" si="167"/>
        <v>10.430326645573587</v>
      </c>
      <c r="P208">
        <f t="shared" si="168"/>
        <v>1.4747745639934942</v>
      </c>
      <c r="Q208">
        <f t="shared" si="169"/>
        <v>6.8497428593948744</v>
      </c>
      <c r="R208">
        <f t="shared" si="170"/>
        <v>1.4242818150102183</v>
      </c>
      <c r="S208">
        <f t="shared" si="171"/>
        <v>0.99993758494364593</v>
      </c>
      <c r="T208">
        <f t="shared" si="172"/>
        <v>-1.1172797826695377E-2</v>
      </c>
      <c r="U208">
        <f t="shared" si="173"/>
        <v>0.98453800855321794</v>
      </c>
      <c r="V208">
        <f t="shared" si="174"/>
        <v>-0.1760795393492742</v>
      </c>
      <c r="X208">
        <f t="shared" si="192"/>
        <v>-3.3970569540314957</v>
      </c>
      <c r="Y208">
        <f t="shared" si="175"/>
        <v>-110.4932164047147</v>
      </c>
      <c r="Z208">
        <f t="shared" si="193"/>
        <v>69.506783595285299</v>
      </c>
      <c r="AC208">
        <v>1</v>
      </c>
      <c r="AD208">
        <f t="shared" si="176"/>
        <v>10.382278841052301</v>
      </c>
      <c r="AE208">
        <f t="shared" si="177"/>
        <v>-3.859230530968586E-4</v>
      </c>
      <c r="AF208">
        <f t="shared" si="178"/>
        <v>2.1690560965248002E-3</v>
      </c>
      <c r="AG208">
        <f t="shared" si="194"/>
        <v>4560.157284499729</v>
      </c>
      <c r="AH208">
        <f t="shared" si="195"/>
        <v>-1272.3828702530102</v>
      </c>
      <c r="AJ208">
        <f t="shared" si="179"/>
        <v>22100</v>
      </c>
      <c r="AK208">
        <f t="shared" si="180"/>
        <v>246.9291068917764</v>
      </c>
      <c r="AL208">
        <v>1</v>
      </c>
      <c r="AM208">
        <f t="shared" si="181"/>
        <v>6.7763542734888844</v>
      </c>
      <c r="AN208">
        <f t="shared" si="196"/>
        <v>506.68792261211024</v>
      </c>
      <c r="AO208">
        <f t="shared" si="197"/>
        <v>-3186.5677628260014</v>
      </c>
      <c r="AQ208">
        <f t="shared" si="182"/>
        <v>0.33028371371007698</v>
      </c>
      <c r="AR208">
        <f t="shared" si="183"/>
        <v>-57.46936618555339</v>
      </c>
      <c r="AT208">
        <f t="shared" si="156"/>
        <v>-71616.891415769089</v>
      </c>
      <c r="AU208">
        <f t="shared" si="157"/>
        <v>-262489.59618628194</v>
      </c>
      <c r="AV208">
        <f t="shared" si="198"/>
        <v>-1.8371505657823695</v>
      </c>
      <c r="AW208">
        <f t="shared" si="199"/>
        <v>-180184.28483011649</v>
      </c>
      <c r="AX208">
        <f t="shared" si="200"/>
        <v>-54544.599981472726</v>
      </c>
      <c r="AY208">
        <f t="shared" si="208"/>
        <v>-2.8476463178498594</v>
      </c>
      <c r="BA208">
        <f t="shared" si="184"/>
        <v>1.4452640723492334</v>
      </c>
      <c r="BB208">
        <f t="shared" si="201"/>
        <v>3.1989441347381224</v>
      </c>
      <c r="BC208">
        <f t="shared" si="202"/>
        <v>1.01049575206749</v>
      </c>
      <c r="BD208">
        <f t="shared" si="185"/>
        <v>-122.10285812447766</v>
      </c>
      <c r="BF208">
        <f t="shared" si="186"/>
        <v>-3.5284028120091895</v>
      </c>
      <c r="BG208">
        <f t="shared" si="187"/>
        <v>-117.97100116998196</v>
      </c>
      <c r="BH208">
        <f t="shared" si="203"/>
        <v>62.02899883001804</v>
      </c>
      <c r="BI208">
        <f t="shared" si="204"/>
        <v>62.02899883001804</v>
      </c>
      <c r="BJ208">
        <f t="shared" si="188"/>
        <v>0</v>
      </c>
      <c r="BK208">
        <f t="shared" si="205"/>
        <v>0</v>
      </c>
      <c r="BM208">
        <f t="shared" si="206"/>
        <v>-6.7273469467473115</v>
      </c>
      <c r="BN208">
        <f t="shared" si="189"/>
        <v>-175.8681430455043</v>
      </c>
      <c r="BQ208" s="56">
        <f t="shared" si="207"/>
        <v>20.100904935023259</v>
      </c>
      <c r="BR208" s="59"/>
      <c r="BS208" s="59"/>
      <c r="BT208" s="59">
        <v>9549.9259999999995</v>
      </c>
      <c r="BU208" s="59">
        <v>-2.1278299999999999</v>
      </c>
      <c r="BV208" s="59">
        <v>-215.499</v>
      </c>
      <c r="BW208" s="61"/>
      <c r="BY208" s="59"/>
      <c r="BZ208" s="59"/>
      <c r="CA208" s="59"/>
      <c r="CC208" s="59"/>
    </row>
    <row r="209" spans="1:81" x14ac:dyDescent="0.2">
      <c r="A209">
        <f t="shared" si="190"/>
        <v>87500</v>
      </c>
      <c r="B209">
        <f t="shared" si="191"/>
        <v>87.5</v>
      </c>
      <c r="C209">
        <f t="shared" si="159"/>
        <v>1.0000604494997476</v>
      </c>
      <c r="D209">
        <f t="shared" si="160"/>
        <v>1.0995131175773313E-2</v>
      </c>
      <c r="F209">
        <f t="shared" si="161"/>
        <v>3.0366501146641432E-2</v>
      </c>
      <c r="G209">
        <f t="shared" si="162"/>
        <v>6.0812091896742096E-2</v>
      </c>
      <c r="H209">
        <f t="shared" si="163"/>
        <v>-3.0807805581032581</v>
      </c>
      <c r="J209">
        <f t="shared" si="164"/>
        <v>15</v>
      </c>
      <c r="M209">
        <f t="shared" si="165"/>
        <v>2.0741881173988726E-2</v>
      </c>
      <c r="N209">
        <f t="shared" si="166"/>
        <v>-1.5707963250000001</v>
      </c>
      <c r="O209">
        <f t="shared" si="167"/>
        <v>10.48972160990637</v>
      </c>
      <c r="P209">
        <f t="shared" si="168"/>
        <v>1.4753199218701851</v>
      </c>
      <c r="Q209">
        <f t="shared" si="169"/>
        <v>6.8882725160266256</v>
      </c>
      <c r="R209">
        <f t="shared" si="170"/>
        <v>1.4251072109257468</v>
      </c>
      <c r="S209">
        <f t="shared" si="171"/>
        <v>0.99993686553580341</v>
      </c>
      <c r="T209">
        <f t="shared" si="172"/>
        <v>-1.1237003918702311E-2</v>
      </c>
      <c r="U209">
        <f t="shared" si="173"/>
        <v>0.98436393248126874</v>
      </c>
      <c r="V209">
        <f t="shared" si="174"/>
        <v>-0.17707052859215136</v>
      </c>
      <c r="X209">
        <f t="shared" si="192"/>
        <v>-3.4527407231109715</v>
      </c>
      <c r="Y209">
        <f t="shared" si="175"/>
        <v>-110.49274236608402</v>
      </c>
      <c r="Z209">
        <f t="shared" si="193"/>
        <v>69.507257633915984</v>
      </c>
      <c r="AC209">
        <v>1</v>
      </c>
      <c r="AD209">
        <f t="shared" si="176"/>
        <v>10.44194711025375</v>
      </c>
      <c r="AE209">
        <f t="shared" si="177"/>
        <v>-3.9037169708981684E-4</v>
      </c>
      <c r="AF209">
        <f t="shared" si="178"/>
        <v>2.1815219361600003E-3</v>
      </c>
      <c r="AG209">
        <f t="shared" si="194"/>
        <v>4558.544865103936</v>
      </c>
      <c r="AH209">
        <f t="shared" si="195"/>
        <v>-1274.1228264444248</v>
      </c>
      <c r="AJ209">
        <f t="shared" si="179"/>
        <v>22100</v>
      </c>
      <c r="AK209">
        <f t="shared" si="180"/>
        <v>248.34823969000504</v>
      </c>
      <c r="AL209">
        <v>1</v>
      </c>
      <c r="AM209">
        <f t="shared" si="181"/>
        <v>6.81529883827905</v>
      </c>
      <c r="AN209">
        <f t="shared" si="196"/>
        <v>501.4419556536314</v>
      </c>
      <c r="AO209">
        <f t="shared" si="197"/>
        <v>-3169.1285381405637</v>
      </c>
      <c r="AQ209">
        <f t="shared" si="182"/>
        <v>0.32651995036896753</v>
      </c>
      <c r="AR209">
        <f t="shared" si="183"/>
        <v>-57.14099131456932</v>
      </c>
      <c r="AT209">
        <f t="shared" si="156"/>
        <v>-71316.185516446945</v>
      </c>
      <c r="AU209">
        <f t="shared" si="157"/>
        <v>-260895.79906603319</v>
      </c>
      <c r="AV209">
        <f t="shared" si="198"/>
        <v>-1.8376290367925621</v>
      </c>
      <c r="AW209">
        <f t="shared" si="199"/>
        <v>-178162.45070327632</v>
      </c>
      <c r="AX209">
        <f t="shared" si="200"/>
        <v>-53926.395387199533</v>
      </c>
      <c r="AY209">
        <f t="shared" si="208"/>
        <v>-2.8476780104619652</v>
      </c>
      <c r="BA209">
        <f t="shared" si="184"/>
        <v>1.4529940807280637</v>
      </c>
      <c r="BB209">
        <f t="shared" si="201"/>
        <v>3.2452769010688249</v>
      </c>
      <c r="BC209">
        <f t="shared" si="202"/>
        <v>1.0100489736694032</v>
      </c>
      <c r="BD209">
        <f t="shared" si="185"/>
        <v>-122.12845664109491</v>
      </c>
      <c r="BF209">
        <f t="shared" si="186"/>
        <v>-3.5844777753686197</v>
      </c>
      <c r="BG209">
        <f t="shared" si="187"/>
        <v>-118.01420581578412</v>
      </c>
      <c r="BH209">
        <f t="shared" si="203"/>
        <v>61.985794184215877</v>
      </c>
      <c r="BI209">
        <f t="shared" si="204"/>
        <v>61.985794184215877</v>
      </c>
      <c r="BJ209">
        <f t="shared" si="188"/>
        <v>0</v>
      </c>
      <c r="BK209">
        <f t="shared" si="205"/>
        <v>0</v>
      </c>
      <c r="BM209">
        <f t="shared" si="206"/>
        <v>-6.8297546764374442</v>
      </c>
      <c r="BN209">
        <f t="shared" si="189"/>
        <v>-175.88574917468924</v>
      </c>
      <c r="BQ209" s="56">
        <f t="shared" si="207"/>
        <v>20.147237701353959</v>
      </c>
      <c r="BR209" s="59"/>
      <c r="BS209" s="59"/>
      <c r="BT209" s="59">
        <v>9772.3719999999994</v>
      </c>
      <c r="BU209" s="59">
        <v>-1.9944299999999999</v>
      </c>
      <c r="BV209" s="59">
        <v>-212.98699999999999</v>
      </c>
      <c r="BW209" s="61"/>
      <c r="BY209" s="59"/>
      <c r="BZ209" s="59"/>
      <c r="CA209" s="59"/>
      <c r="CC209" s="59"/>
    </row>
    <row r="210" spans="1:81" x14ac:dyDescent="0.2">
      <c r="A210">
        <f t="shared" si="190"/>
        <v>88000</v>
      </c>
      <c r="B210">
        <f t="shared" si="191"/>
        <v>88</v>
      </c>
      <c r="C210">
        <f t="shared" si="159"/>
        <v>1.0000611423038552</v>
      </c>
      <c r="D210">
        <f t="shared" si="160"/>
        <v>1.1057955389672965E-2</v>
      </c>
      <c r="F210">
        <f t="shared" si="161"/>
        <v>3.0012688695942012E-2</v>
      </c>
      <c r="G210">
        <f t="shared" si="162"/>
        <v>6.0446547657597251E-2</v>
      </c>
      <c r="H210">
        <f t="shared" si="163"/>
        <v>-3.0811461023424029</v>
      </c>
      <c r="J210">
        <f t="shared" si="164"/>
        <v>15</v>
      </c>
      <c r="M210">
        <f t="shared" si="165"/>
        <v>2.0624029576409242E-2</v>
      </c>
      <c r="N210">
        <f t="shared" si="166"/>
        <v>-1.5707963250000001</v>
      </c>
      <c r="O210">
        <f t="shared" si="167"/>
        <v>10.549119658910408</v>
      </c>
      <c r="P210">
        <f t="shared" si="168"/>
        <v>1.4758591385034427</v>
      </c>
      <c r="Q210">
        <f t="shared" si="169"/>
        <v>6.9268068132811296</v>
      </c>
      <c r="R210">
        <f t="shared" si="170"/>
        <v>1.4259234239250065</v>
      </c>
      <c r="S210">
        <f t="shared" si="171"/>
        <v>0.99993614200684611</v>
      </c>
      <c r="T210">
        <f t="shared" si="172"/>
        <v>-1.1301209918058129E-2</v>
      </c>
      <c r="U210">
        <f t="shared" si="173"/>
        <v>0.98418895193597822</v>
      </c>
      <c r="V210">
        <f t="shared" si="174"/>
        <v>-0.17806116649108544</v>
      </c>
      <c r="X210">
        <f t="shared" si="192"/>
        <v>-3.5080743220939463</v>
      </c>
      <c r="Y210">
        <f t="shared" si="175"/>
        <v>-110.49286465195172</v>
      </c>
      <c r="Z210">
        <f t="shared" si="193"/>
        <v>69.50713534804828</v>
      </c>
      <c r="AC210">
        <v>1</v>
      </c>
      <c r="AD210">
        <f t="shared" si="176"/>
        <v>10.501615379455201</v>
      </c>
      <c r="AE210">
        <f t="shared" si="177"/>
        <v>-3.9484583474462591E-4</v>
      </c>
      <c r="AF210">
        <f t="shared" si="178"/>
        <v>2.1939877757952003E-3</v>
      </c>
      <c r="AG210">
        <f t="shared" si="194"/>
        <v>4556.924355160043</v>
      </c>
      <c r="AH210">
        <f t="shared" si="195"/>
        <v>-1275.8879660880048</v>
      </c>
      <c r="AJ210">
        <f t="shared" si="179"/>
        <v>22100</v>
      </c>
      <c r="AK210">
        <f t="shared" si="180"/>
        <v>249.76737248823363</v>
      </c>
      <c r="AL210">
        <v>1</v>
      </c>
      <c r="AM210">
        <f t="shared" si="181"/>
        <v>6.8542434030692174</v>
      </c>
      <c r="AN210">
        <f t="shared" si="196"/>
        <v>496.28266938216825</v>
      </c>
      <c r="AO210">
        <f t="shared" si="197"/>
        <v>-3151.8748401820753</v>
      </c>
      <c r="AQ210">
        <f t="shared" si="182"/>
        <v>0.32282015689059623</v>
      </c>
      <c r="AR210">
        <f t="shared" si="183"/>
        <v>-56.816347612744941</v>
      </c>
      <c r="AT210">
        <f t="shared" si="156"/>
        <v>-71020.227160902854</v>
      </c>
      <c r="AU210">
        <f t="shared" si="157"/>
        <v>-259319.68056114396</v>
      </c>
      <c r="AV210">
        <f t="shared" si="198"/>
        <v>-1.8381129245365884</v>
      </c>
      <c r="AW210">
        <f t="shared" si="199"/>
        <v>-176173.99229626477</v>
      </c>
      <c r="AX210">
        <f t="shared" si="200"/>
        <v>-53320.303134260655</v>
      </c>
      <c r="AY210">
        <f t="shared" si="208"/>
        <v>-2.8476999725698811</v>
      </c>
      <c r="BA210">
        <f t="shared" si="184"/>
        <v>1.4607200988145423</v>
      </c>
      <c r="BB210">
        <f t="shared" si="201"/>
        <v>3.2913400998479481</v>
      </c>
      <c r="BC210">
        <f t="shared" si="202"/>
        <v>1.0095870480332927</v>
      </c>
      <c r="BD210">
        <f t="shared" si="185"/>
        <v>-122.15492303052318</v>
      </c>
      <c r="BF210">
        <f t="shared" si="186"/>
        <v>-3.6402055885232265</v>
      </c>
      <c r="BG210">
        <f t="shared" si="187"/>
        <v>-118.05801678505286</v>
      </c>
      <c r="BH210">
        <f t="shared" si="203"/>
        <v>61.941983214947143</v>
      </c>
      <c r="BI210">
        <f t="shared" si="204"/>
        <v>61.941983214947143</v>
      </c>
      <c r="BJ210">
        <f t="shared" si="188"/>
        <v>0</v>
      </c>
      <c r="BK210">
        <f t="shared" si="205"/>
        <v>0</v>
      </c>
      <c r="BM210">
        <f t="shared" si="206"/>
        <v>-6.9315456883711759</v>
      </c>
      <c r="BN210">
        <f t="shared" si="189"/>
        <v>-175.90309375452969</v>
      </c>
      <c r="BQ210" s="56">
        <f t="shared" si="207"/>
        <v>20.193300900133085</v>
      </c>
      <c r="BR210" s="59"/>
      <c r="BS210" s="59"/>
      <c r="BT210" s="59">
        <v>10000</v>
      </c>
      <c r="BU210" s="59">
        <v>-2.2209699999999999</v>
      </c>
      <c r="BV210" s="59">
        <v>-213.047</v>
      </c>
      <c r="BW210" s="61"/>
      <c r="BY210" s="59"/>
      <c r="BZ210" s="59"/>
      <c r="CA210" s="59"/>
      <c r="CC210" s="59"/>
    </row>
    <row r="211" spans="1:81" x14ac:dyDescent="0.2">
      <c r="A211">
        <f t="shared" si="190"/>
        <v>88500</v>
      </c>
      <c r="B211">
        <f t="shared" si="191"/>
        <v>88.5</v>
      </c>
      <c r="C211">
        <f t="shared" si="159"/>
        <v>1.0000618390550806</v>
      </c>
      <c r="D211">
        <f t="shared" si="160"/>
        <v>1.1120779516280295E-2</v>
      </c>
      <c r="F211">
        <f t="shared" si="161"/>
        <v>2.9665078921145092E-2</v>
      </c>
      <c r="G211">
        <f t="shared" si="162"/>
        <v>6.0085482614620371E-2</v>
      </c>
      <c r="H211">
        <f t="shared" si="163"/>
        <v>-3.08150716738538</v>
      </c>
      <c r="J211">
        <f t="shared" si="164"/>
        <v>15</v>
      </c>
      <c r="M211">
        <f t="shared" si="165"/>
        <v>2.0507509635299587E-2</v>
      </c>
      <c r="N211">
        <f t="shared" si="166"/>
        <v>-1.5707963250000001</v>
      </c>
      <c r="O211">
        <f t="shared" si="167"/>
        <v>10.608520740771656</v>
      </c>
      <c r="P211">
        <f t="shared" si="168"/>
        <v>1.4763923167384119</v>
      </c>
      <c r="Q211">
        <f t="shared" si="169"/>
        <v>6.9653456741386046</v>
      </c>
      <c r="R211">
        <f t="shared" si="170"/>
        <v>1.4267306053370015</v>
      </c>
      <c r="S211">
        <f t="shared" si="171"/>
        <v>0.99993541435680056</v>
      </c>
      <c r="T211">
        <f t="shared" si="172"/>
        <v>-1.1365415824233668E-2</v>
      </c>
      <c r="U211">
        <f t="shared" si="173"/>
        <v>0.98401306842963732</v>
      </c>
      <c r="V211">
        <f t="shared" si="174"/>
        <v>-0.17905145128957664</v>
      </c>
      <c r="X211">
        <f t="shared" si="192"/>
        <v>-3.5630626558265326</v>
      </c>
      <c r="Y211">
        <f t="shared" si="175"/>
        <v>-110.49357351385109</v>
      </c>
      <c r="Z211">
        <f t="shared" si="193"/>
        <v>69.506426486148911</v>
      </c>
      <c r="AC211">
        <v>1</v>
      </c>
      <c r="AD211">
        <f t="shared" si="176"/>
        <v>10.561283648656651</v>
      </c>
      <c r="AE211">
        <f t="shared" si="177"/>
        <v>-3.9934546606128565E-4</v>
      </c>
      <c r="AF211">
        <f t="shared" si="178"/>
        <v>2.2064536154304004E-3</v>
      </c>
      <c r="AG211">
        <f t="shared" si="194"/>
        <v>4555.295773137128</v>
      </c>
      <c r="AH211">
        <f t="shared" si="195"/>
        <v>-1277.6777603006794</v>
      </c>
      <c r="AJ211">
        <f t="shared" si="179"/>
        <v>22100</v>
      </c>
      <c r="AK211">
        <f t="shared" si="180"/>
        <v>251.18650528646225</v>
      </c>
      <c r="AL211">
        <v>1</v>
      </c>
      <c r="AM211">
        <f t="shared" si="181"/>
        <v>6.8931879678593821</v>
      </c>
      <c r="AN211">
        <f t="shared" si="196"/>
        <v>491.20817814017363</v>
      </c>
      <c r="AO211">
        <f t="shared" si="197"/>
        <v>-3134.8037979835108</v>
      </c>
      <c r="AQ211">
        <f t="shared" si="182"/>
        <v>0.31918289179699966</v>
      </c>
      <c r="AR211">
        <f t="shared" si="183"/>
        <v>-56.495371848068942</v>
      </c>
      <c r="AT211">
        <f t="shared" si="156"/>
        <v>-70728.907692334222</v>
      </c>
      <c r="AU211">
        <f t="shared" si="157"/>
        <v>-257760.94146363623</v>
      </c>
      <c r="AV211">
        <f t="shared" si="198"/>
        <v>-1.8386021307373737</v>
      </c>
      <c r="AW211">
        <f t="shared" si="199"/>
        <v>-174218.18474028</v>
      </c>
      <c r="AX211">
        <f t="shared" si="200"/>
        <v>-52726.008123750915</v>
      </c>
      <c r="AY211">
        <f t="shared" si="208"/>
        <v>-2.8477123612952968</v>
      </c>
      <c r="BA211">
        <f t="shared" si="184"/>
        <v>1.4684420720986355</v>
      </c>
      <c r="BB211">
        <f t="shared" si="201"/>
        <v>3.3371363782370151</v>
      </c>
      <c r="BC211">
        <f t="shared" si="202"/>
        <v>1.0091102305579231</v>
      </c>
      <c r="BD211">
        <f t="shared" si="185"/>
        <v>-122.18224265949115</v>
      </c>
      <c r="BF211">
        <f t="shared" si="186"/>
        <v>-3.6955911685581371</v>
      </c>
      <c r="BG211">
        <f t="shared" si="187"/>
        <v>-118.10242435982644</v>
      </c>
      <c r="BH211">
        <f t="shared" si="203"/>
        <v>61.897575640173557</v>
      </c>
      <c r="BI211">
        <f t="shared" si="204"/>
        <v>61.897575640173557</v>
      </c>
      <c r="BJ211">
        <f t="shared" si="188"/>
        <v>0</v>
      </c>
      <c r="BK211">
        <f t="shared" si="205"/>
        <v>0</v>
      </c>
      <c r="BM211">
        <f t="shared" si="206"/>
        <v>-7.0327275467951536</v>
      </c>
      <c r="BN211">
        <f t="shared" si="189"/>
        <v>-175.92018170033529</v>
      </c>
      <c r="BQ211" s="56">
        <f t="shared" si="207"/>
        <v>20.239097178522151</v>
      </c>
      <c r="BR211" s="59"/>
      <c r="BS211" s="59"/>
      <c r="BT211" s="59">
        <v>10232.93</v>
      </c>
      <c r="BU211" s="59">
        <v>-2.4867400000000002</v>
      </c>
      <c r="BV211" s="59">
        <v>-211.715</v>
      </c>
      <c r="BW211" s="61"/>
      <c r="BY211" s="59"/>
      <c r="BZ211" s="59"/>
      <c r="CA211" s="59"/>
      <c r="CC211" s="59"/>
    </row>
    <row r="212" spans="1:81" x14ac:dyDescent="0.2">
      <c r="A212">
        <f t="shared" si="190"/>
        <v>89000</v>
      </c>
      <c r="B212">
        <f t="shared" si="191"/>
        <v>89</v>
      </c>
      <c r="C212">
        <f t="shared" si="159"/>
        <v>1.0000625397534155</v>
      </c>
      <c r="D212">
        <f t="shared" si="160"/>
        <v>1.1183603555099569E-2</v>
      </c>
      <c r="F212">
        <f t="shared" si="161"/>
        <v>2.9323526448876067E-2</v>
      </c>
      <c r="G212">
        <f t="shared" si="162"/>
        <v>5.9728813154764193E-2</v>
      </c>
      <c r="H212">
        <f t="shared" si="163"/>
        <v>-3.081863836845236</v>
      </c>
      <c r="J212">
        <f t="shared" si="164"/>
        <v>15</v>
      </c>
      <c r="M212">
        <f t="shared" si="165"/>
        <v>2.0392298907011386E-2</v>
      </c>
      <c r="N212">
        <f t="shared" si="166"/>
        <v>-1.5707963250000001</v>
      </c>
      <c r="O212">
        <f t="shared" si="167"/>
        <v>10.667924804827493</v>
      </c>
      <c r="P212">
        <f t="shared" si="168"/>
        <v>1.4769195571433842</v>
      </c>
      <c r="Q212">
        <f t="shared" si="169"/>
        <v>7.0038890232654492</v>
      </c>
      <c r="R212">
        <f t="shared" si="170"/>
        <v>1.4275289032072702</v>
      </c>
      <c r="S212">
        <f t="shared" si="171"/>
        <v>0.99993468258569407</v>
      </c>
      <c r="T212">
        <f t="shared" si="172"/>
        <v>-1.1429621636699763E-2</v>
      </c>
      <c r="U212">
        <f t="shared" si="173"/>
        <v>0.98383628348087715</v>
      </c>
      <c r="V212">
        <f t="shared" si="174"/>
        <v>-0.18004138123514712</v>
      </c>
      <c r="X212">
        <f t="shared" si="192"/>
        <v>-3.6177105266829424</v>
      </c>
      <c r="Y212">
        <f t="shared" si="175"/>
        <v>-110.49485939752221</v>
      </c>
      <c r="Z212">
        <f t="shared" si="193"/>
        <v>69.505140602477795</v>
      </c>
      <c r="AC212">
        <v>1</v>
      </c>
      <c r="AD212">
        <f t="shared" si="176"/>
        <v>10.6209519178581</v>
      </c>
      <c r="AE212">
        <f t="shared" si="177"/>
        <v>-4.0387059103979617E-4</v>
      </c>
      <c r="AF212">
        <f t="shared" si="178"/>
        <v>2.2189194550656004E-3</v>
      </c>
      <c r="AG212">
        <f t="shared" si="194"/>
        <v>4553.6591375759863</v>
      </c>
      <c r="AH212">
        <f t="shared" si="195"/>
        <v>-1279.4916916903803</v>
      </c>
      <c r="AJ212">
        <f t="shared" si="179"/>
        <v>22100</v>
      </c>
      <c r="AK212">
        <f t="shared" si="180"/>
        <v>252.60563808469084</v>
      </c>
      <c r="AL212">
        <v>1</v>
      </c>
      <c r="AM212">
        <f t="shared" si="181"/>
        <v>6.9321325326495478</v>
      </c>
      <c r="AN212">
        <f t="shared" si="196"/>
        <v>486.21664689769977</v>
      </c>
      <c r="AO212">
        <f t="shared" si="197"/>
        <v>-3117.9125977906315</v>
      </c>
      <c r="AQ212">
        <f t="shared" si="182"/>
        <v>0.31560675398453525</v>
      </c>
      <c r="AR212">
        <f t="shared" si="183"/>
        <v>-56.178002209247275</v>
      </c>
      <c r="AT212">
        <f t="shared" si="156"/>
        <v>-70442.121503333343</v>
      </c>
      <c r="AU212">
        <f t="shared" si="157"/>
        <v>-256219.28931046737</v>
      </c>
      <c r="AV212">
        <f t="shared" si="198"/>
        <v>-1.8390965592566006</v>
      </c>
      <c r="AW212">
        <f t="shared" si="199"/>
        <v>-172294.32258975494</v>
      </c>
      <c r="AX212">
        <f t="shared" si="200"/>
        <v>-52143.20526815734</v>
      </c>
      <c r="AY212">
        <f t="shared" si="208"/>
        <v>-2.8477153303445295</v>
      </c>
      <c r="BA212">
        <f t="shared" si="184"/>
        <v>1.4761599466413944</v>
      </c>
      <c r="BB212">
        <f t="shared" si="201"/>
        <v>3.3826683445954768</v>
      </c>
      <c r="BC212">
        <f t="shared" si="202"/>
        <v>1.0086187710879289</v>
      </c>
      <c r="BD212">
        <f t="shared" si="185"/>
        <v>-122.21040121295573</v>
      </c>
      <c r="BF212">
        <f t="shared" si="186"/>
        <v>-3.7506393301261882</v>
      </c>
      <c r="BG212">
        <f t="shared" si="187"/>
        <v>-118.14741901576492</v>
      </c>
      <c r="BH212">
        <f t="shared" si="203"/>
        <v>61.852580984235075</v>
      </c>
      <c r="BI212">
        <f t="shared" si="204"/>
        <v>61.852580984235075</v>
      </c>
      <c r="BJ212">
        <f t="shared" si="188"/>
        <v>0</v>
      </c>
      <c r="BK212">
        <f t="shared" si="205"/>
        <v>0</v>
      </c>
      <c r="BM212">
        <f t="shared" si="206"/>
        <v>-7.1333076747216655</v>
      </c>
      <c r="BN212">
        <f t="shared" si="189"/>
        <v>-175.93701780280918</v>
      </c>
      <c r="BQ212" s="56">
        <f t="shared" si="207"/>
        <v>20.284629144880615</v>
      </c>
      <c r="BR212" s="59"/>
      <c r="BS212" s="59"/>
      <c r="BT212" s="59">
        <v>10471.285</v>
      </c>
      <c r="BU212" s="59">
        <v>-2.3517399999999999</v>
      </c>
      <c r="BV212" s="59">
        <v>-211.89099999999999</v>
      </c>
      <c r="BW212" s="61"/>
      <c r="BY212" s="59"/>
      <c r="BZ212" s="59"/>
      <c r="CA212" s="59"/>
      <c r="CC212" s="59"/>
    </row>
    <row r="213" spans="1:81" x14ac:dyDescent="0.2">
      <c r="A213">
        <f t="shared" si="190"/>
        <v>89500</v>
      </c>
      <c r="B213">
        <f t="shared" si="191"/>
        <v>89.5</v>
      </c>
      <c r="C213">
        <f t="shared" si="159"/>
        <v>1.0000632443988515</v>
      </c>
      <c r="D213">
        <f t="shared" si="160"/>
        <v>1.1246427505635053E-2</v>
      </c>
      <c r="F213">
        <f t="shared" si="161"/>
        <v>2.8987890174075645E-2</v>
      </c>
      <c r="G213">
        <f t="shared" si="162"/>
        <v>5.937645777031373E-2</v>
      </c>
      <c r="H213">
        <f t="shared" si="163"/>
        <v>-3.0822161922296867</v>
      </c>
      <c r="J213">
        <f t="shared" si="164"/>
        <v>15</v>
      </c>
      <c r="M213">
        <f t="shared" si="165"/>
        <v>2.0278375449430317E-2</v>
      </c>
      <c r="N213">
        <f t="shared" si="166"/>
        <v>-1.5707963250000001</v>
      </c>
      <c r="O213">
        <f t="shared" si="167"/>
        <v>10.727331801534994</v>
      </c>
      <c r="P213">
        <f t="shared" si="168"/>
        <v>1.4774409580722727</v>
      </c>
      <c r="Q213">
        <f t="shared" si="169"/>
        <v>7.042436786968592</v>
      </c>
      <c r="R213">
        <f t="shared" si="170"/>
        <v>1.4283184623858176</v>
      </c>
      <c r="S213">
        <f t="shared" si="171"/>
        <v>0.99993394669355351</v>
      </c>
      <c r="T213">
        <f t="shared" si="172"/>
        <v>-1.1493827354927261E-2</v>
      </c>
      <c r="U213">
        <f t="shared" si="173"/>
        <v>0.98365859861463334</v>
      </c>
      <c r="V213">
        <f t="shared" si="174"/>
        <v>-0.18103095457935686</v>
      </c>
      <c r="X213">
        <f t="shared" si="192"/>
        <v>-3.6720226374109761</v>
      </c>
      <c r="Y213">
        <f t="shared" si="175"/>
        <v>-110.49671293827485</v>
      </c>
      <c r="Z213">
        <f t="shared" si="193"/>
        <v>69.503287061725146</v>
      </c>
      <c r="AC213">
        <v>1</v>
      </c>
      <c r="AD213">
        <f t="shared" si="176"/>
        <v>10.680620187059551</v>
      </c>
      <c r="AE213">
        <f t="shared" si="177"/>
        <v>-4.0842120968015747E-4</v>
      </c>
      <c r="AF213">
        <f t="shared" si="178"/>
        <v>2.2313852947008004E-3</v>
      </c>
      <c r="AG213">
        <f t="shared" si="194"/>
        <v>4552.014467088623</v>
      </c>
      <c r="AH213">
        <f t="shared" si="195"/>
        <v>-1281.3292540378088</v>
      </c>
      <c r="AJ213">
        <f t="shared" si="179"/>
        <v>22100</v>
      </c>
      <c r="AK213">
        <f t="shared" si="180"/>
        <v>254.02477088291943</v>
      </c>
      <c r="AL213">
        <v>1</v>
      </c>
      <c r="AM213">
        <f t="shared" si="181"/>
        <v>6.9710770974397152</v>
      </c>
      <c r="AN213">
        <f t="shared" si="196"/>
        <v>481.30628964210791</v>
      </c>
      <c r="AO213">
        <f t="shared" si="197"/>
        <v>-3101.1984816948652</v>
      </c>
      <c r="AQ213">
        <f t="shared" si="182"/>
        <v>0.31209038137444606</v>
      </c>
      <c r="AR213">
        <f t="shared" si="183"/>
        <v>-55.864178266025839</v>
      </c>
      <c r="AT213">
        <f t="shared" si="156"/>
        <v>-70159.765933986375</v>
      </c>
      <c r="AU213">
        <f t="shared" si="157"/>
        <v>-254694.43819452633</v>
      </c>
      <c r="AV213">
        <f t="shared" si="198"/>
        <v>-1.8395961160362213</v>
      </c>
      <c r="AW213">
        <f t="shared" si="199"/>
        <v>-170401.71920606992</v>
      </c>
      <c r="AX213">
        <f t="shared" si="200"/>
        <v>-51571.599119028164</v>
      </c>
      <c r="AY213">
        <f t="shared" si="208"/>
        <v>-2.8477090301004102</v>
      </c>
      <c r="BA213">
        <f t="shared" si="184"/>
        <v>1.4838736690600127</v>
      </c>
      <c r="BB213">
        <f t="shared" si="201"/>
        <v>3.4279385691897128</v>
      </c>
      <c r="BC213">
        <f t="shared" si="202"/>
        <v>1.0081129140641889</v>
      </c>
      <c r="BD213">
        <f t="shared" si="185"/>
        <v>-122.2393846854862</v>
      </c>
      <c r="BF213">
        <f t="shared" si="186"/>
        <v>-3.8053547882929788</v>
      </c>
      <c r="BG213">
        <f t="shared" si="187"/>
        <v>-118.19299141751405</v>
      </c>
      <c r="BH213">
        <f t="shared" si="203"/>
        <v>61.807008582485949</v>
      </c>
      <c r="BI213">
        <f t="shared" si="204"/>
        <v>61.807008582485949</v>
      </c>
      <c r="BJ213">
        <f t="shared" si="188"/>
        <v>0</v>
      </c>
      <c r="BK213">
        <f t="shared" si="205"/>
        <v>0</v>
      </c>
      <c r="BM213">
        <f t="shared" si="206"/>
        <v>-7.2332933574826921</v>
      </c>
      <c r="BN213">
        <f t="shared" si="189"/>
        <v>-175.95360673202785</v>
      </c>
      <c r="BQ213" s="56">
        <f t="shared" si="207"/>
        <v>20.329899369474852</v>
      </c>
      <c r="BR213" s="59"/>
      <c r="BS213" s="59"/>
      <c r="BT213" s="59">
        <v>10715.192999999999</v>
      </c>
      <c r="BU213" s="59">
        <v>-2.5136799999999999</v>
      </c>
      <c r="BV213" s="59">
        <v>-209.68</v>
      </c>
      <c r="BW213" s="61"/>
      <c r="BY213" s="59"/>
      <c r="BZ213" s="59"/>
      <c r="CA213" s="59"/>
      <c r="CC213" s="59"/>
    </row>
    <row r="214" spans="1:81" x14ac:dyDescent="0.2">
      <c r="A214">
        <f t="shared" si="190"/>
        <v>90000</v>
      </c>
      <c r="B214">
        <f t="shared" si="191"/>
        <v>90</v>
      </c>
      <c r="C214">
        <f t="shared" si="159"/>
        <v>1.0000639529913804</v>
      </c>
      <c r="D214">
        <f t="shared" si="160"/>
        <v>1.1309251367391021E-2</v>
      </c>
      <c r="F214">
        <f t="shared" si="161"/>
        <v>2.8658033109360329E-2</v>
      </c>
      <c r="G214">
        <f t="shared" si="162"/>
        <v>5.9028336992099438E-2</v>
      </c>
      <c r="H214">
        <f t="shared" si="163"/>
        <v>-3.0825643130079006</v>
      </c>
      <c r="J214">
        <f t="shared" si="164"/>
        <v>15</v>
      </c>
      <c r="M214">
        <f t="shared" si="165"/>
        <v>2.0165717808044596E-2</v>
      </c>
      <c r="N214">
        <f t="shared" si="166"/>
        <v>-1.5707963250000001</v>
      </c>
      <c r="O214">
        <f t="shared" si="167"/>
        <v>10.786741682440223</v>
      </c>
      <c r="P214">
        <f t="shared" si="168"/>
        <v>1.477956615725045</v>
      </c>
      <c r="Q214">
        <f t="shared" si="169"/>
        <v>7.0809888931513081</v>
      </c>
      <c r="R214">
        <f t="shared" si="170"/>
        <v>1.429099424612259</v>
      </c>
      <c r="S214">
        <f t="shared" si="171"/>
        <v>0.99993320668040631</v>
      </c>
      <c r="T214">
        <f t="shared" si="172"/>
        <v>-1.155803297838701E-2</v>
      </c>
      <c r="U214">
        <f t="shared" si="173"/>
        <v>0.98348001536211127</v>
      </c>
      <c r="V214">
        <f t="shared" si="174"/>
        <v>-0.18202016957781872</v>
      </c>
      <c r="X214">
        <f t="shared" si="192"/>
        <v>-3.7260035938795961</v>
      </c>
      <c r="Y214">
        <f t="shared" si="175"/>
        <v>-110.49912495647517</v>
      </c>
      <c r="Z214">
        <f t="shared" si="193"/>
        <v>69.500875043524829</v>
      </c>
      <c r="AC214">
        <v>1</v>
      </c>
      <c r="AD214">
        <f t="shared" si="176"/>
        <v>10.740288456261</v>
      </c>
      <c r="AE214">
        <f t="shared" si="177"/>
        <v>-4.1299732198236955E-4</v>
      </c>
      <c r="AF214">
        <f t="shared" si="178"/>
        <v>2.2438511343360005E-3</v>
      </c>
      <c r="AG214">
        <f t="shared" si="194"/>
        <v>4550.3617803577545</v>
      </c>
      <c r="AH214">
        <f t="shared" si="195"/>
        <v>-1283.1899519888239</v>
      </c>
      <c r="AJ214">
        <f t="shared" si="179"/>
        <v>22100</v>
      </c>
      <c r="AK214">
        <f t="shared" si="180"/>
        <v>255.44390368114804</v>
      </c>
      <c r="AL214">
        <v>1</v>
      </c>
      <c r="AM214">
        <f t="shared" si="181"/>
        <v>7.0100216622298808</v>
      </c>
      <c r="AN214">
        <f t="shared" si="196"/>
        <v>476.47536782675223</v>
      </c>
      <c r="AO214">
        <f t="shared" si="197"/>
        <v>-3084.6587463033356</v>
      </c>
      <c r="AQ214">
        <f t="shared" si="182"/>
        <v>0.30863244961575259</v>
      </c>
      <c r="AR214">
        <f t="shared" si="183"/>
        <v>-55.55384093083547</v>
      </c>
      <c r="AT214">
        <f t="shared" ref="AT214:AT277" si="209">-AR214*AH214+AG214*AQ214</f>
        <v>-69881.741173923816</v>
      </c>
      <c r="AU214">
        <f t="shared" ref="AU214:AU277" si="210">AQ214*AH214+AG214*AR214</f>
        <v>-253186.10858195261</v>
      </c>
      <c r="AV214">
        <f t="shared" si="198"/>
        <v>-1.8401007090418744</v>
      </c>
      <c r="AW214">
        <f t="shared" si="199"/>
        <v>-168539.70616377049</v>
      </c>
      <c r="AX214">
        <f t="shared" si="200"/>
        <v>-51010.903510427932</v>
      </c>
      <c r="AY214">
        <f t="shared" si="208"/>
        <v>-2.8476936077112498</v>
      </c>
      <c r="BA214">
        <f t="shared" si="184"/>
        <v>1.4915831865133924</v>
      </c>
      <c r="BB214">
        <f t="shared" si="201"/>
        <v>3.472949584887429</v>
      </c>
      <c r="BC214">
        <f t="shared" si="202"/>
        <v>1.0075928986693754</v>
      </c>
      <c r="BD214">
        <f t="shared" si="185"/>
        <v>-122.2691793729249</v>
      </c>
      <c r="BF214">
        <f t="shared" si="186"/>
        <v>-3.8597421612839722</v>
      </c>
      <c r="BG214">
        <f t="shared" si="187"/>
        <v>-118.23913241419257</v>
      </c>
      <c r="BH214">
        <f t="shared" si="203"/>
        <v>61.760867585807432</v>
      </c>
      <c r="BI214">
        <f t="shared" si="204"/>
        <v>61.760867585807432</v>
      </c>
      <c r="BJ214">
        <f t="shared" si="188"/>
        <v>0</v>
      </c>
      <c r="BK214">
        <f t="shared" si="205"/>
        <v>0</v>
      </c>
      <c r="BM214">
        <f t="shared" si="206"/>
        <v>-7.3326917461714025</v>
      </c>
      <c r="BN214">
        <f t="shared" si="189"/>
        <v>-175.96995304126764</v>
      </c>
      <c r="BQ214" s="56">
        <f t="shared" si="207"/>
        <v>20.374910385172566</v>
      </c>
      <c r="BR214" s="59"/>
      <c r="BS214" s="59"/>
      <c r="BT214" s="59">
        <v>10964.781999999999</v>
      </c>
      <c r="BU214" s="59">
        <v>-2.5043700000000002</v>
      </c>
      <c r="BV214" s="59">
        <v>-209.52500000000001</v>
      </c>
      <c r="BW214" s="61"/>
      <c r="BY214" s="59"/>
      <c r="BZ214" s="59"/>
      <c r="CA214" s="59"/>
      <c r="CC214" s="59"/>
    </row>
    <row r="215" spans="1:81" x14ac:dyDescent="0.2">
      <c r="A215">
        <f t="shared" si="190"/>
        <v>90500</v>
      </c>
      <c r="B215">
        <f t="shared" si="191"/>
        <v>90.5</v>
      </c>
      <c r="C215">
        <f t="shared" si="159"/>
        <v>1.0000646655309935</v>
      </c>
      <c r="D215">
        <f t="shared" si="160"/>
        <v>1.1372075139871755E-2</v>
      </c>
      <c r="F215">
        <f t="shared" si="161"/>
        <v>2.8333822240592509E-2</v>
      </c>
      <c r="G215">
        <f t="shared" si="162"/>
        <v>5.8684373325264397E-2</v>
      </c>
      <c r="H215">
        <f t="shared" si="163"/>
        <v>-3.0829082766747358</v>
      </c>
      <c r="J215">
        <f t="shared" si="164"/>
        <v>15</v>
      </c>
      <c r="M215">
        <f t="shared" si="165"/>
        <v>2.0054305002475285E-2</v>
      </c>
      <c r="N215">
        <f t="shared" si="166"/>
        <v>-1.5707963250000001</v>
      </c>
      <c r="O215">
        <f t="shared" si="167"/>
        <v>10.846154400148546</v>
      </c>
      <c r="P215">
        <f t="shared" si="168"/>
        <v>1.4784666242061957</v>
      </c>
      <c r="Q215">
        <f t="shared" si="169"/>
        <v>7.1195452712704368</v>
      </c>
      <c r="R215">
        <f t="shared" si="170"/>
        <v>1.4298719285982753</v>
      </c>
      <c r="S215">
        <f t="shared" si="171"/>
        <v>0.99993246254627999</v>
      </c>
      <c r="T215">
        <f t="shared" si="172"/>
        <v>-1.1622238506549863E-2</v>
      </c>
      <c r="U215">
        <f t="shared" si="173"/>
        <v>0.98330053526075245</v>
      </c>
      <c r="V215">
        <f t="shared" si="174"/>
        <v>-0.18300902449021414</v>
      </c>
      <c r="X215">
        <f t="shared" si="192"/>
        <v>-3.7796579077324992</v>
      </c>
      <c r="Y215">
        <f t="shared" si="175"/>
        <v>-110.50208645315243</v>
      </c>
      <c r="Z215">
        <f t="shared" si="193"/>
        <v>69.49791354684757</v>
      </c>
      <c r="AC215">
        <v>1</v>
      </c>
      <c r="AD215">
        <f t="shared" si="176"/>
        <v>10.799956725462449</v>
      </c>
      <c r="AE215">
        <f t="shared" si="177"/>
        <v>-4.1759892794643235E-4</v>
      </c>
      <c r="AF215">
        <f t="shared" si="178"/>
        <v>2.2563169739712001E-3</v>
      </c>
      <c r="AG215">
        <f t="shared" si="194"/>
        <v>4548.7010961362957</v>
      </c>
      <c r="AH215">
        <f t="shared" si="195"/>
        <v>-1285.0733007570279</v>
      </c>
      <c r="AJ215">
        <f t="shared" si="179"/>
        <v>22100</v>
      </c>
      <c r="AK215">
        <f t="shared" si="180"/>
        <v>256.8630364793766</v>
      </c>
      <c r="AL215">
        <v>1</v>
      </c>
      <c r="AM215">
        <f t="shared" si="181"/>
        <v>7.0489662270200455</v>
      </c>
      <c r="AN215">
        <f t="shared" si="196"/>
        <v>471.72218887620409</v>
      </c>
      <c r="AO215">
        <f t="shared" si="197"/>
        <v>-3068.2907414449569</v>
      </c>
      <c r="AQ215">
        <f t="shared" si="182"/>
        <v>0.30523167083816616</v>
      </c>
      <c r="AR215">
        <f t="shared" si="183"/>
        <v>-55.246932421708074</v>
      </c>
      <c r="AT215">
        <f t="shared" si="209"/>
        <v>-69607.95016814777</v>
      </c>
      <c r="AU215">
        <f t="shared" si="210"/>
        <v>-251694.02713553095</v>
      </c>
      <c r="AV215">
        <f t="shared" si="198"/>
        <v>-1.840610248208139</v>
      </c>
      <c r="AW215">
        <f t="shared" si="199"/>
        <v>-166707.63267836338</v>
      </c>
      <c r="AX215">
        <f t="shared" si="200"/>
        <v>-50460.841217429886</v>
      </c>
      <c r="AY215">
        <f t="shared" si="208"/>
        <v>-2.8476692071769918</v>
      </c>
      <c r="BA215">
        <f t="shared" si="184"/>
        <v>1.4992884466881966</v>
      </c>
      <c r="BB215">
        <f t="shared" si="201"/>
        <v>3.5177038878377473</v>
      </c>
      <c r="BC215">
        <f t="shared" si="202"/>
        <v>1.0070589589688528</v>
      </c>
      <c r="BD215">
        <f t="shared" si="185"/>
        <v>-122.29977186431427</v>
      </c>
      <c r="BF215">
        <f t="shared" si="186"/>
        <v>-3.9138059731375918</v>
      </c>
      <c r="BG215">
        <f t="shared" si="187"/>
        <v>-118.2858330349996</v>
      </c>
      <c r="BH215">
        <f t="shared" si="203"/>
        <v>61.714166965000402</v>
      </c>
      <c r="BI215">
        <f t="shared" si="204"/>
        <v>61.714166965000402</v>
      </c>
      <c r="BJ215">
        <f t="shared" si="188"/>
        <v>0</v>
      </c>
      <c r="BK215">
        <f t="shared" si="205"/>
        <v>0</v>
      </c>
      <c r="BM215">
        <f t="shared" si="206"/>
        <v>-7.4315098609753392</v>
      </c>
      <c r="BN215">
        <f t="shared" si="189"/>
        <v>-175.98606117068536</v>
      </c>
      <c r="BQ215" s="56">
        <f t="shared" si="207"/>
        <v>20.419664688122886</v>
      </c>
      <c r="BR215" s="59"/>
      <c r="BS215" s="59"/>
      <c r="BT215" s="59">
        <v>11220.184999999999</v>
      </c>
      <c r="BU215" s="59">
        <v>-2.7486899999999999</v>
      </c>
      <c r="BV215" s="59">
        <v>-207.815</v>
      </c>
      <c r="BW215" s="61"/>
      <c r="BY215" s="59"/>
      <c r="BZ215" s="59"/>
      <c r="CA215" s="59"/>
      <c r="CC215" s="59"/>
    </row>
    <row r="216" spans="1:81" x14ac:dyDescent="0.2">
      <c r="A216">
        <f t="shared" si="190"/>
        <v>91000</v>
      </c>
      <c r="B216">
        <f t="shared" si="191"/>
        <v>91</v>
      </c>
      <c r="C216">
        <f t="shared" si="159"/>
        <v>1.0000653820176828</v>
      </c>
      <c r="D216">
        <f t="shared" si="160"/>
        <v>1.1434898822581535E-2</v>
      </c>
      <c r="F216">
        <f t="shared" si="161"/>
        <v>2.8015128388367318E-2</v>
      </c>
      <c r="G216">
        <f t="shared" si="162"/>
        <v>5.8344491187471398E-2</v>
      </c>
      <c r="H216">
        <f t="shared" si="163"/>
        <v>-3.0832481588125287</v>
      </c>
      <c r="J216">
        <f t="shared" si="164"/>
        <v>15</v>
      </c>
      <c r="M216">
        <f t="shared" si="165"/>
        <v>1.9944116513450696E-2</v>
      </c>
      <c r="N216">
        <f t="shared" si="166"/>
        <v>-1.5707963250000001</v>
      </c>
      <c r="O216">
        <f t="shared" si="167"/>
        <v>10.905569908295897</v>
      </c>
      <c r="P216">
        <f t="shared" si="168"/>
        <v>1.4789710755813295</v>
      </c>
      <c r="Q216">
        <f t="shared" si="169"/>
        <v>7.1581058522949821</v>
      </c>
      <c r="R216">
        <f t="shared" si="170"/>
        <v>1.4306361101074776</v>
      </c>
      <c r="S216">
        <f t="shared" si="171"/>
        <v>0.99993171429120209</v>
      </c>
      <c r="T216">
        <f t="shared" si="172"/>
        <v>-1.1686443938886678E-2</v>
      </c>
      <c r="U216">
        <f t="shared" si="173"/>
        <v>0.98312015985419721</v>
      </c>
      <c r="V216">
        <f t="shared" si="174"/>
        <v>-0.183997517580308</v>
      </c>
      <c r="X216">
        <f t="shared" si="192"/>
        <v>-3.8329899989515708</v>
      </c>
      <c r="Y216">
        <f t="shared" si="175"/>
        <v>-110.5055886057221</v>
      </c>
      <c r="Z216">
        <f t="shared" si="193"/>
        <v>69.494411394277904</v>
      </c>
      <c r="AC216">
        <v>1</v>
      </c>
      <c r="AD216">
        <f t="shared" si="176"/>
        <v>10.8596249946639</v>
      </c>
      <c r="AE216">
        <f t="shared" si="177"/>
        <v>-4.2222602757234593E-4</v>
      </c>
      <c r="AF216">
        <f t="shared" si="178"/>
        <v>2.2687828136064001E-3</v>
      </c>
      <c r="AG216">
        <f t="shared" si="194"/>
        <v>4547.0324332468626</v>
      </c>
      <c r="AH216">
        <f t="shared" si="195"/>
        <v>-1286.9788258361673</v>
      </c>
      <c r="AJ216">
        <f t="shared" si="179"/>
        <v>22100</v>
      </c>
      <c r="AK216">
        <f t="shared" si="180"/>
        <v>258.28216927760525</v>
      </c>
      <c r="AL216">
        <v>1</v>
      </c>
      <c r="AM216">
        <f t="shared" si="181"/>
        <v>7.0879107918102129</v>
      </c>
      <c r="AN216">
        <f t="shared" si="196"/>
        <v>467.04510474569537</v>
      </c>
      <c r="AO216">
        <f t="shared" si="197"/>
        <v>-3052.0918689115397</v>
      </c>
      <c r="AQ216">
        <f t="shared" si="182"/>
        <v>0.30188679245283018</v>
      </c>
      <c r="AR216">
        <f t="shared" si="183"/>
        <v>-54.943396226415096</v>
      </c>
      <c r="AT216">
        <f t="shared" si="209"/>
        <v>-69338.298526471131</v>
      </c>
      <c r="AU216">
        <f t="shared" si="210"/>
        <v>-250217.92654392912</v>
      </c>
      <c r="AV216">
        <f t="shared" si="198"/>
        <v>-1.841124645385555</v>
      </c>
      <c r="AW216">
        <f t="shared" si="199"/>
        <v>-164904.8650548076</v>
      </c>
      <c r="AX216">
        <f t="shared" si="200"/>
        <v>-49921.143628935708</v>
      </c>
      <c r="AY216">
        <f t="shared" si="208"/>
        <v>-2.8476359694326487</v>
      </c>
      <c r="BA216">
        <f t="shared" si="184"/>
        <v>1.5069893977853694</v>
      </c>
      <c r="BB216">
        <f t="shared" si="201"/>
        <v>3.5622039381372672</v>
      </c>
      <c r="BC216">
        <f t="shared" si="202"/>
        <v>1.0065113240470938</v>
      </c>
      <c r="BD216">
        <f t="shared" si="185"/>
        <v>-122.33114903408089</v>
      </c>
      <c r="BF216">
        <f t="shared" si="186"/>
        <v>-3.9675506562681799</v>
      </c>
      <c r="BG216">
        <f t="shared" si="187"/>
        <v>-118.33308448493905</v>
      </c>
      <c r="BH216">
        <f t="shared" si="203"/>
        <v>61.66691551506095</v>
      </c>
      <c r="BI216">
        <f t="shared" si="204"/>
        <v>61.66691551506095</v>
      </c>
      <c r="BJ216">
        <f t="shared" si="188"/>
        <v>0</v>
      </c>
      <c r="BK216">
        <f t="shared" si="205"/>
        <v>0</v>
      </c>
      <c r="BM216">
        <f t="shared" si="206"/>
        <v>-7.5297545944054489</v>
      </c>
      <c r="BN216">
        <f t="shared" si="189"/>
        <v>-176.00193545085816</v>
      </c>
      <c r="BQ216" s="56">
        <f t="shared" si="207"/>
        <v>20.464164738422404</v>
      </c>
      <c r="BR216" s="59"/>
      <c r="BS216" s="59"/>
      <c r="BT216" s="59">
        <v>11481.536</v>
      </c>
      <c r="BU216" s="59">
        <v>-2.86917</v>
      </c>
      <c r="BV216" s="59">
        <v>-207.916</v>
      </c>
      <c r="BW216" s="61"/>
      <c r="BY216" s="59"/>
      <c r="BZ216" s="59"/>
      <c r="CA216" s="59"/>
      <c r="CC216" s="59"/>
    </row>
    <row r="217" spans="1:81" x14ac:dyDescent="0.2">
      <c r="A217">
        <f t="shared" si="190"/>
        <v>91500</v>
      </c>
      <c r="B217">
        <f t="shared" si="191"/>
        <v>91.5</v>
      </c>
      <c r="C217">
        <f t="shared" si="159"/>
        <v>1.0000661024514395</v>
      </c>
      <c r="D217">
        <f t="shared" si="160"/>
        <v>1.1497722415024648E-2</v>
      </c>
      <c r="F217">
        <f t="shared" si="161"/>
        <v>2.7701826075139196E-2</v>
      </c>
      <c r="G217">
        <f t="shared" si="162"/>
        <v>5.8008616849441565E-2</v>
      </c>
      <c r="H217">
        <f t="shared" si="163"/>
        <v>-3.0835840331505588</v>
      </c>
      <c r="J217">
        <f t="shared" si="164"/>
        <v>15</v>
      </c>
      <c r="M217">
        <f t="shared" si="165"/>
        <v>1.9835132270207795E-2</v>
      </c>
      <c r="N217">
        <f t="shared" si="166"/>
        <v>-1.5707963250000001</v>
      </c>
      <c r="O217">
        <f t="shared" si="167"/>
        <v>10.964988161520981</v>
      </c>
      <c r="P217">
        <f t="shared" si="168"/>
        <v>1.4794700599319253</v>
      </c>
      <c r="Q217">
        <f t="shared" si="169"/>
        <v>7.1966705686660069</v>
      </c>
      <c r="R217">
        <f t="shared" si="170"/>
        <v>1.431392102032776</v>
      </c>
      <c r="S217">
        <f t="shared" si="171"/>
        <v>0.99993096191520037</v>
      </c>
      <c r="T217">
        <f t="shared" si="172"/>
        <v>-1.1750649274868319E-2</v>
      </c>
      <c r="U217">
        <f t="shared" si="173"/>
        <v>0.98293889069225093</v>
      </c>
      <c r="V217">
        <f t="shared" si="174"/>
        <v>-0.18498564711596394</v>
      </c>
      <c r="X217">
        <f t="shared" si="192"/>
        <v>-3.8860041983338056</v>
      </c>
      <c r="Y217">
        <f t="shared" si="175"/>
        <v>-110.50962276382323</v>
      </c>
      <c r="Z217">
        <f t="shared" si="193"/>
        <v>69.490377236176769</v>
      </c>
      <c r="AC217">
        <v>1</v>
      </c>
      <c r="AD217">
        <f t="shared" si="176"/>
        <v>10.919293263865351</v>
      </c>
      <c r="AE217">
        <f t="shared" si="177"/>
        <v>-4.2687862086011034E-4</v>
      </c>
      <c r="AF217">
        <f t="shared" si="178"/>
        <v>2.2812486532416002E-3</v>
      </c>
      <c r="AG217">
        <f t="shared" si="194"/>
        <v>4545.3558105812526</v>
      </c>
      <c r="AH217">
        <f t="shared" si="195"/>
        <v>-1288.906062721964</v>
      </c>
      <c r="AJ217">
        <f t="shared" si="179"/>
        <v>22100</v>
      </c>
      <c r="AK217">
        <f t="shared" si="180"/>
        <v>259.70130207583384</v>
      </c>
      <c r="AL217">
        <v>1</v>
      </c>
      <c r="AM217">
        <f t="shared" si="181"/>
        <v>7.1268553566003785</v>
      </c>
      <c r="AN217">
        <f t="shared" si="196"/>
        <v>462.44251053256141</v>
      </c>
      <c r="AO217">
        <f t="shared" si="197"/>
        <v>-3036.0595812328779</v>
      </c>
      <c r="AQ217">
        <f t="shared" si="182"/>
        <v>0.29859659599880561</v>
      </c>
      <c r="AR217">
        <f t="shared" si="183"/>
        <v>-54.64317706778143</v>
      </c>
      <c r="AT217">
        <f t="shared" si="209"/>
        <v>-69072.694436410311</v>
      </c>
      <c r="AU217">
        <f t="shared" si="210"/>
        <v>-248757.54535655156</v>
      </c>
      <c r="AV217">
        <f t="shared" si="198"/>
        <v>-1.8416438142893441</v>
      </c>
      <c r="AW217">
        <f t="shared" si="199"/>
        <v>-163130.786155857</v>
      </c>
      <c r="AX217">
        <f t="shared" si="200"/>
        <v>-49391.550434149918</v>
      </c>
      <c r="AY217">
        <f t="shared" si="208"/>
        <v>-2.847594032429134</v>
      </c>
      <c r="BA217">
        <f t="shared" si="184"/>
        <v>1.514685988507094</v>
      </c>
      <c r="BB217">
        <f t="shared" si="201"/>
        <v>3.6064521604823212</v>
      </c>
      <c r="BC217">
        <f t="shared" si="202"/>
        <v>1.0059502181397899</v>
      </c>
      <c r="BD217">
        <f t="shared" si="185"/>
        <v>-122.363298034466</v>
      </c>
      <c r="BF217">
        <f t="shared" si="186"/>
        <v>-4.0209805539425094</v>
      </c>
      <c r="BG217">
        <f t="shared" si="187"/>
        <v>-118.38087814065709</v>
      </c>
      <c r="BH217">
        <f t="shared" si="203"/>
        <v>61.619121859342911</v>
      </c>
      <c r="BI217">
        <f t="shared" si="204"/>
        <v>61.619121859342911</v>
      </c>
      <c r="BJ217">
        <f t="shared" si="188"/>
        <v>0</v>
      </c>
      <c r="BK217">
        <f t="shared" si="205"/>
        <v>0</v>
      </c>
      <c r="BM217">
        <f t="shared" si="206"/>
        <v>-7.6274327144248319</v>
      </c>
      <c r="BN217">
        <f t="shared" si="189"/>
        <v>-176.01758010619108</v>
      </c>
      <c r="BQ217" s="56">
        <f t="shared" si="207"/>
        <v>20.508412960767458</v>
      </c>
      <c r="BR217" s="59"/>
      <c r="BS217" s="59"/>
      <c r="BT217" s="59">
        <v>11748.976000000001</v>
      </c>
      <c r="BU217" s="59">
        <v>-3.0396299999999998</v>
      </c>
      <c r="BV217" s="59">
        <v>-206.25700000000001</v>
      </c>
      <c r="BW217" s="61"/>
      <c r="BY217" s="59"/>
      <c r="BZ217" s="59"/>
      <c r="CA217" s="59"/>
      <c r="CC217" s="59"/>
    </row>
    <row r="218" spans="1:81" x14ac:dyDescent="0.2">
      <c r="A218">
        <f t="shared" si="190"/>
        <v>92000</v>
      </c>
      <c r="B218">
        <f t="shared" si="191"/>
        <v>92</v>
      </c>
      <c r="C218">
        <f t="shared" si="159"/>
        <v>1.0000668268322552</v>
      </c>
      <c r="D218">
        <f t="shared" si="160"/>
        <v>1.1560545916705384E-2</v>
      </c>
      <c r="F218">
        <f t="shared" si="161"/>
        <v>2.739379339772547E-2</v>
      </c>
      <c r="G218">
        <f t="shared" si="162"/>
        <v>5.7676678377721689E-2</v>
      </c>
      <c r="H218">
        <f t="shared" si="163"/>
        <v>-3.0839159716222784</v>
      </c>
      <c r="J218">
        <f t="shared" si="164"/>
        <v>15</v>
      </c>
      <c r="M218">
        <f t="shared" si="165"/>
        <v>1.9727332638304493E-2</v>
      </c>
      <c r="N218">
        <f t="shared" si="166"/>
        <v>-1.5707963250000001</v>
      </c>
      <c r="O218">
        <f t="shared" si="167"/>
        <v>11.024409115438367</v>
      </c>
      <c r="P218">
        <f t="shared" si="168"/>
        <v>1.4799636654083499</v>
      </c>
      <c r="Q218">
        <f t="shared" si="169"/>
        <v>7.2352393542577937</v>
      </c>
      <c r="R218">
        <f t="shared" si="170"/>
        <v>1.4321400344713413</v>
      </c>
      <c r="S218">
        <f t="shared" si="171"/>
        <v>0.99993020541830269</v>
      </c>
      <c r="T218">
        <f t="shared" si="172"/>
        <v>-1.1814854513965651E-2</v>
      </c>
      <c r="U218">
        <f t="shared" si="173"/>
        <v>0.98275672933084912</v>
      </c>
      <c r="V218">
        <f t="shared" si="174"/>
        <v>-0.18597341136915926</v>
      </c>
      <c r="X218">
        <f t="shared" si="192"/>
        <v>-3.9387047498851557</v>
      </c>
      <c r="Y218">
        <f t="shared" si="175"/>
        <v>-110.51418044526592</v>
      </c>
      <c r="Z218">
        <f t="shared" si="193"/>
        <v>69.485819554734078</v>
      </c>
      <c r="AC218">
        <v>1</v>
      </c>
      <c r="AD218">
        <f t="shared" si="176"/>
        <v>10.9789615330668</v>
      </c>
      <c r="AE218">
        <f t="shared" si="177"/>
        <v>-4.3155670780972548E-4</v>
      </c>
      <c r="AF218">
        <f t="shared" si="178"/>
        <v>2.2937144928768007E-3</v>
      </c>
      <c r="AG218">
        <f t="shared" si="194"/>
        <v>4543.6712470999455</v>
      </c>
      <c r="AH218">
        <f t="shared" si="195"/>
        <v>-1290.8545566430246</v>
      </c>
      <c r="AJ218">
        <f t="shared" si="179"/>
        <v>22100</v>
      </c>
      <c r="AK218">
        <f t="shared" si="180"/>
        <v>261.12043487406243</v>
      </c>
      <c r="AL218">
        <v>1</v>
      </c>
      <c r="AM218">
        <f t="shared" si="181"/>
        <v>7.1657999213905441</v>
      </c>
      <c r="AN218">
        <f t="shared" si="196"/>
        <v>457.91284313756313</v>
      </c>
      <c r="AO218">
        <f t="shared" si="197"/>
        <v>-3020.1913804848082</v>
      </c>
      <c r="AQ218">
        <f t="shared" si="182"/>
        <v>0.29535989603331658</v>
      </c>
      <c r="AR218">
        <f t="shared" si="183"/>
        <v>-54.346220870130253</v>
      </c>
      <c r="AT218">
        <f t="shared" si="209"/>
        <v>-68811.04857938287</v>
      </c>
      <c r="AU218">
        <f t="shared" si="210"/>
        <v>-247312.62782379802</v>
      </c>
      <c r="AV218">
        <f t="shared" si="198"/>
        <v>-1.8421676704497667</v>
      </c>
      <c r="AW218">
        <f t="shared" si="199"/>
        <v>-161384.79488944757</v>
      </c>
      <c r="AX218">
        <f t="shared" si="200"/>
        <v>-48871.809322070345</v>
      </c>
      <c r="AY218">
        <f t="shared" si="208"/>
        <v>-2.8475435312115649</v>
      </c>
      <c r="BA218">
        <f t="shared" si="184"/>
        <v>1.5223781680442012</v>
      </c>
      <c r="BB218">
        <f t="shared" si="201"/>
        <v>3.6504509448078952</v>
      </c>
      <c r="BC218">
        <f t="shared" si="202"/>
        <v>1.0053758607617982</v>
      </c>
      <c r="BD218">
        <f t="shared" si="185"/>
        <v>-122.39620628819472</v>
      </c>
      <c r="BF218">
        <f t="shared" si="186"/>
        <v>-4.0740999226731143</v>
      </c>
      <c r="BG218">
        <f t="shared" si="187"/>
        <v>-118.42920554639043</v>
      </c>
      <c r="BH218">
        <f t="shared" si="203"/>
        <v>61.570794453609565</v>
      </c>
      <c r="BI218">
        <f t="shared" si="204"/>
        <v>61.570794453609565</v>
      </c>
      <c r="BJ218">
        <f t="shared" si="188"/>
        <v>0</v>
      </c>
      <c r="BK218">
        <f t="shared" si="205"/>
        <v>0</v>
      </c>
      <c r="BM218">
        <f t="shared" si="206"/>
        <v>-7.7245508674810095</v>
      </c>
      <c r="BN218">
        <f t="shared" si="189"/>
        <v>-176.0329992581957</v>
      </c>
      <c r="BQ218" s="56">
        <f t="shared" si="207"/>
        <v>20.552411745093032</v>
      </c>
      <c r="BR218" s="59"/>
      <c r="BS218" s="59"/>
      <c r="BT218" s="59">
        <v>12022.644</v>
      </c>
      <c r="BU218" s="59">
        <v>-3.2097500000000001</v>
      </c>
      <c r="BV218" s="59">
        <v>-205.79599999999999</v>
      </c>
      <c r="BW218" s="61"/>
      <c r="BY218" s="59"/>
      <c r="BZ218" s="59"/>
      <c r="CA218" s="59"/>
      <c r="CC218" s="59"/>
    </row>
    <row r="219" spans="1:81" x14ac:dyDescent="0.2">
      <c r="A219">
        <f t="shared" si="190"/>
        <v>92500</v>
      </c>
      <c r="B219">
        <f t="shared" si="191"/>
        <v>92.5</v>
      </c>
      <c r="C219">
        <f t="shared" si="159"/>
        <v>1.0000675551601212</v>
      </c>
      <c r="D219">
        <f t="shared" si="160"/>
        <v>1.1623369327128038E-2</v>
      </c>
      <c r="F219">
        <f t="shared" si="161"/>
        <v>2.7090911904938297E-2</v>
      </c>
      <c r="G219">
        <f t="shared" si="162"/>
        <v>5.7348605579582657E-2</v>
      </c>
      <c r="H219">
        <f t="shared" si="163"/>
        <v>-3.0842440444204176</v>
      </c>
      <c r="J219">
        <f t="shared" si="164"/>
        <v>15</v>
      </c>
      <c r="M219">
        <f t="shared" si="165"/>
        <v>1.962069840782717E-2</v>
      </c>
      <c r="N219">
        <f t="shared" si="166"/>
        <v>-1.5707963250000001</v>
      </c>
      <c r="O219">
        <f t="shared" si="167"/>
        <v>11.083832726612433</v>
      </c>
      <c r="P219">
        <f t="shared" si="168"/>
        <v>1.4804519782811862</v>
      </c>
      <c r="Q219">
        <f t="shared" si="169"/>
        <v>7.2738121443402255</v>
      </c>
      <c r="R219">
        <f t="shared" si="170"/>
        <v>1.4328800347972468</v>
      </c>
      <c r="S219">
        <f t="shared" si="171"/>
        <v>0.99992944480053703</v>
      </c>
      <c r="T219">
        <f t="shared" si="172"/>
        <v>-1.1879059655649551E-2</v>
      </c>
      <c r="U219">
        <f t="shared" si="173"/>
        <v>0.98257367733202161</v>
      </c>
      <c r="V219">
        <f t="shared" si="174"/>
        <v>-0.18696080861599976</v>
      </c>
      <c r="X219">
        <f t="shared" si="192"/>
        <v>-3.9910958131346606</v>
      </c>
      <c r="Y219">
        <f t="shared" si="175"/>
        <v>-110.51925333208649</v>
      </c>
      <c r="Z219">
        <f t="shared" si="193"/>
        <v>69.480746667913508</v>
      </c>
      <c r="AC219">
        <v>1</v>
      </c>
      <c r="AD219">
        <f t="shared" si="176"/>
        <v>11.03862980226825</v>
      </c>
      <c r="AE219">
        <f t="shared" si="177"/>
        <v>-4.3626028842119128E-4</v>
      </c>
      <c r="AF219">
        <f t="shared" si="178"/>
        <v>2.3061803325120003E-3</v>
      </c>
      <c r="AG219">
        <f t="shared" si="194"/>
        <v>4541.9787618316013</v>
      </c>
      <c r="AH219">
        <f t="shared" si="195"/>
        <v>-1292.8238623004843</v>
      </c>
      <c r="AJ219">
        <f t="shared" si="179"/>
        <v>22100</v>
      </c>
      <c r="AK219">
        <f t="shared" si="180"/>
        <v>262.53956767229107</v>
      </c>
      <c r="AL219">
        <v>1</v>
      </c>
      <c r="AM219">
        <f t="shared" si="181"/>
        <v>7.2047444861807106</v>
      </c>
      <c r="AN219">
        <f t="shared" si="196"/>
        <v>453.45457997407169</v>
      </c>
      <c r="AO219">
        <f t="shared" si="197"/>
        <v>-3004.4848171292924</v>
      </c>
      <c r="AQ219">
        <f t="shared" si="182"/>
        <v>0.29217553906386956</v>
      </c>
      <c r="AR219">
        <f t="shared" si="183"/>
        <v>-54.052474726815873</v>
      </c>
      <c r="AT219">
        <f t="shared" si="209"/>
        <v>-68553.274050066626</v>
      </c>
      <c r="AU219">
        <f t="shared" si="210"/>
        <v>-245882.92374251937</v>
      </c>
      <c r="AV219">
        <f t="shared" si="198"/>
        <v>-1.8426961311640577</v>
      </c>
      <c r="AW219">
        <f t="shared" si="199"/>
        <v>-159666.30571436172</v>
      </c>
      <c r="AX219">
        <f t="shared" si="200"/>
        <v>-48361.675693390411</v>
      </c>
      <c r="AY219">
        <f t="shared" si="208"/>
        <v>-2.8474845979951455</v>
      </c>
      <c r="BA219">
        <f t="shared" si="184"/>
        <v>1.5300658860639844</v>
      </c>
      <c r="BB219">
        <f t="shared" si="201"/>
        <v>3.6942026469133111</v>
      </c>
      <c r="BC219">
        <f t="shared" si="202"/>
        <v>1.0047884668310878</v>
      </c>
      <c r="BD219">
        <f t="shared" si="185"/>
        <v>-122.4298614813745</v>
      </c>
      <c r="BF219">
        <f t="shared" si="186"/>
        <v>-4.1269129345319238</v>
      </c>
      <c r="BG219">
        <f t="shared" si="187"/>
        <v>-118.47805841002213</v>
      </c>
      <c r="BH219">
        <f t="shared" si="203"/>
        <v>61.521941589977871</v>
      </c>
      <c r="BI219">
        <f t="shared" si="204"/>
        <v>61.521941589977871</v>
      </c>
      <c r="BJ219">
        <f t="shared" si="188"/>
        <v>0</v>
      </c>
      <c r="BK219">
        <f t="shared" si="205"/>
        <v>0</v>
      </c>
      <c r="BM219">
        <f t="shared" si="206"/>
        <v>-7.8211155814452376</v>
      </c>
      <c r="BN219">
        <f t="shared" si="189"/>
        <v>-176.04819692864766</v>
      </c>
      <c r="BQ219" s="56">
        <f t="shared" si="207"/>
        <v>20.59616344719845</v>
      </c>
      <c r="BR219" s="59"/>
      <c r="BS219" s="59"/>
      <c r="BT219" s="59">
        <v>12302.688</v>
      </c>
      <c r="BU219" s="59">
        <v>-3.2360000000000002</v>
      </c>
      <c r="BV219" s="59">
        <v>-205.58</v>
      </c>
      <c r="BW219" s="61"/>
      <c r="BY219" s="59"/>
      <c r="BZ219" s="59"/>
      <c r="CA219" s="59"/>
      <c r="CC219" s="59"/>
    </row>
    <row r="220" spans="1:81" x14ac:dyDescent="0.2">
      <c r="A220">
        <f t="shared" si="190"/>
        <v>93000</v>
      </c>
      <c r="B220">
        <f t="shared" si="191"/>
        <v>93</v>
      </c>
      <c r="C220">
        <f t="shared" si="159"/>
        <v>1.0000682874350291</v>
      </c>
      <c r="D220">
        <f t="shared" si="160"/>
        <v>1.1686192645796909E-2</v>
      </c>
      <c r="F220">
        <f t="shared" si="161"/>
        <v>2.679306648010895E-2</v>
      </c>
      <c r="G220">
        <f t="shared" si="162"/>
        <v>5.7024329949956147E-2</v>
      </c>
      <c r="H220">
        <f t="shared" si="163"/>
        <v>-3.0845683200500442</v>
      </c>
      <c r="J220">
        <f t="shared" si="164"/>
        <v>15</v>
      </c>
      <c r="M220">
        <f t="shared" si="165"/>
        <v>1.951521078197864E-2</v>
      </c>
      <c r="N220">
        <f t="shared" si="166"/>
        <v>-1.5707963250000001</v>
      </c>
      <c r="O220">
        <f t="shared" si="167"/>
        <v>11.143258952532159</v>
      </c>
      <c r="P220">
        <f t="shared" si="168"/>
        <v>1.4809350829909371</v>
      </c>
      <c r="Q220">
        <f t="shared" si="169"/>
        <v>7.3123888755423403</v>
      </c>
      <c r="R220">
        <f t="shared" si="170"/>
        <v>1.4336122277318712</v>
      </c>
      <c r="S220">
        <f t="shared" si="171"/>
        <v>0.99992868006193192</v>
      </c>
      <c r="T220">
        <f t="shared" si="172"/>
        <v>-1.1943264699390891E-2</v>
      </c>
      <c r="U220">
        <f t="shared" si="173"/>
        <v>0.98238973626385651</v>
      </c>
      <c r="V220">
        <f t="shared" si="174"/>
        <v>-0.18794783713673452</v>
      </c>
      <c r="X220">
        <f t="shared" si="192"/>
        <v>-4.0431814653719345</v>
      </c>
      <c r="Y220">
        <f t="shared" si="175"/>
        <v>-110.52483326670681</v>
      </c>
      <c r="Z220">
        <f t="shared" si="193"/>
        <v>69.475166733293193</v>
      </c>
      <c r="AC220">
        <v>1</v>
      </c>
      <c r="AD220">
        <f t="shared" si="176"/>
        <v>11.098298071469701</v>
      </c>
      <c r="AE220">
        <f t="shared" si="177"/>
        <v>-4.4098936269450797E-4</v>
      </c>
      <c r="AF220">
        <f t="shared" si="178"/>
        <v>2.3186461721472003E-3</v>
      </c>
      <c r="AG220">
        <f t="shared" si="194"/>
        <v>4540.2783738725238</v>
      </c>
      <c r="AH220">
        <f t="shared" si="195"/>
        <v>-1294.8135436160478</v>
      </c>
      <c r="AJ220">
        <f t="shared" si="179"/>
        <v>22100</v>
      </c>
      <c r="AK220">
        <f t="shared" si="180"/>
        <v>263.95870047051966</v>
      </c>
      <c r="AL220">
        <v>1</v>
      </c>
      <c r="AM220">
        <f t="shared" si="181"/>
        <v>7.2436890509708762</v>
      </c>
      <c r="AN220">
        <f t="shared" si="196"/>
        <v>449.06623772318142</v>
      </c>
      <c r="AO220">
        <f t="shared" si="197"/>
        <v>-2988.9374888855741</v>
      </c>
      <c r="AQ220">
        <f t="shared" si="182"/>
        <v>0.28904240252044977</v>
      </c>
      <c r="AR220">
        <f t="shared" si="183"/>
        <v>-53.76188686880365</v>
      </c>
      <c r="AT220">
        <f t="shared" si="209"/>
        <v>-68299.286278784974</v>
      </c>
      <c r="AU220">
        <f t="shared" si="210"/>
        <v>-244468.18830647322</v>
      </c>
      <c r="AV220">
        <f t="shared" si="198"/>
        <v>-1.8432291154498817</v>
      </c>
      <c r="AW220">
        <f t="shared" si="199"/>
        <v>-157974.7481634338</v>
      </c>
      <c r="AX220">
        <f t="shared" si="200"/>
        <v>-47860.912384238371</v>
      </c>
      <c r="AY220">
        <f t="shared" si="208"/>
        <v>-2.8474173622387018</v>
      </c>
      <c r="BA220">
        <f t="shared" si="184"/>
        <v>1.5377490926984052</v>
      </c>
      <c r="BB220">
        <f t="shared" si="201"/>
        <v>3.737709589074969</v>
      </c>
      <c r="BC220">
        <f t="shared" si="202"/>
        <v>1.0041882467888201</v>
      </c>
      <c r="BD220">
        <f t="shared" si="185"/>
        <v>-122.46425155661488</v>
      </c>
      <c r="BF220">
        <f t="shared" si="186"/>
        <v>-4.1794236793873711</v>
      </c>
      <c r="BG220">
        <f t="shared" si="187"/>
        <v>-118.52742859924149</v>
      </c>
      <c r="BH220">
        <f t="shared" si="203"/>
        <v>61.472571400758511</v>
      </c>
      <c r="BI220">
        <f t="shared" si="204"/>
        <v>61.472571400758511</v>
      </c>
      <c r="BJ220">
        <f t="shared" si="188"/>
        <v>0</v>
      </c>
      <c r="BK220">
        <f t="shared" si="205"/>
        <v>0</v>
      </c>
      <c r="BM220">
        <f t="shared" si="206"/>
        <v>-7.9171332684623401</v>
      </c>
      <c r="BN220">
        <f t="shared" si="189"/>
        <v>-176.06317704262662</v>
      </c>
      <c r="BQ220" s="56">
        <f t="shared" si="207"/>
        <v>20.639670389360106</v>
      </c>
      <c r="BR220" s="59"/>
      <c r="BS220" s="59"/>
      <c r="BT220" s="59">
        <v>12589.254000000001</v>
      </c>
      <c r="BU220" s="59">
        <v>-3.6465100000000001</v>
      </c>
      <c r="BV220" s="59">
        <v>-203.78</v>
      </c>
      <c r="BW220" s="61"/>
      <c r="BY220" s="59"/>
      <c r="BZ220" s="59"/>
      <c r="CA220" s="59"/>
      <c r="CC220" s="59"/>
    </row>
    <row r="221" spans="1:81" x14ac:dyDescent="0.2">
      <c r="A221">
        <f t="shared" si="190"/>
        <v>93500</v>
      </c>
      <c r="B221">
        <f t="shared" si="191"/>
        <v>93.5</v>
      </c>
      <c r="C221">
        <f t="shared" si="159"/>
        <v>1.00006902365697</v>
      </c>
      <c r="D221">
        <f t="shared" si="160"/>
        <v>1.1749015872216302E-2</v>
      </c>
      <c r="F221">
        <f t="shared" si="161"/>
        <v>2.650014522828088E-2</v>
      </c>
      <c r="G221">
        <f t="shared" si="162"/>
        <v>5.6703784620321489E-2</v>
      </c>
      <c r="H221">
        <f t="shared" si="163"/>
        <v>-3.0848888653796789</v>
      </c>
      <c r="J221">
        <f t="shared" si="164"/>
        <v>15</v>
      </c>
      <c r="M221">
        <f t="shared" si="165"/>
        <v>1.9410851366032229E-2</v>
      </c>
      <c r="N221">
        <f t="shared" si="166"/>
        <v>-1.5707963250000001</v>
      </c>
      <c r="O221">
        <f t="shared" si="167"/>
        <v>11.202687751586687</v>
      </c>
      <c r="P221">
        <f t="shared" si="168"/>
        <v>1.4814130621961652</v>
      </c>
      <c r="Q221">
        <f t="shared" si="169"/>
        <v>7.3509694858170072</v>
      </c>
      <c r="R221">
        <f t="shared" si="170"/>
        <v>1.434336735412145</v>
      </c>
      <c r="S221">
        <f t="shared" si="171"/>
        <v>0.99992791120251545</v>
      </c>
      <c r="T221">
        <f t="shared" si="172"/>
        <v>-1.2007469644660556E-2</v>
      </c>
      <c r="U221">
        <f t="shared" si="173"/>
        <v>0.98220490770046609</v>
      </c>
      <c r="V221">
        <f t="shared" si="174"/>
        <v>-0.18893449521577069</v>
      </c>
      <c r="X221">
        <f t="shared" si="192"/>
        <v>-4.0949657038111278</v>
      </c>
      <c r="Y221">
        <f t="shared" si="175"/>
        <v>-110.53091224819521</v>
      </c>
      <c r="Z221">
        <f t="shared" si="193"/>
        <v>69.469087751804793</v>
      </c>
      <c r="AC221">
        <v>1</v>
      </c>
      <c r="AD221">
        <f t="shared" si="176"/>
        <v>11.15796634067115</v>
      </c>
      <c r="AE221">
        <f t="shared" si="177"/>
        <v>-4.4574393062967539E-4</v>
      </c>
      <c r="AF221">
        <f t="shared" si="178"/>
        <v>2.3311120117824003E-3</v>
      </c>
      <c r="AG221">
        <f t="shared" si="194"/>
        <v>4538.5701023861802</v>
      </c>
      <c r="AH221">
        <f t="shared" si="195"/>
        <v>-1296.8231734881269</v>
      </c>
      <c r="AJ221">
        <f t="shared" si="179"/>
        <v>22100</v>
      </c>
      <c r="AK221">
        <f t="shared" si="180"/>
        <v>265.37783326874825</v>
      </c>
      <c r="AL221">
        <v>1</v>
      </c>
      <c r="AM221">
        <f t="shared" si="181"/>
        <v>7.2826336157610418</v>
      </c>
      <c r="AN221">
        <f t="shared" si="196"/>
        <v>444.74637113290748</v>
      </c>
      <c r="AO221">
        <f t="shared" si="197"/>
        <v>-2973.5470396314995</v>
      </c>
      <c r="AQ221">
        <f t="shared" si="182"/>
        <v>0.2859593937660852</v>
      </c>
      <c r="AR221">
        <f t="shared" si="183"/>
        <v>-53.474406634257939</v>
      </c>
      <c r="AT221">
        <f t="shared" si="209"/>
        <v>-68049.0029567897</v>
      </c>
      <c r="AU221">
        <f t="shared" si="210"/>
        <v>-243068.18196159677</v>
      </c>
      <c r="AV221">
        <f t="shared" si="198"/>
        <v>-1.843766544000248</v>
      </c>
      <c r="AW221">
        <f t="shared" si="199"/>
        <v>-156309.56638359497</v>
      </c>
      <c r="AX221">
        <f t="shared" si="200"/>
        <v>-47369.289401209622</v>
      </c>
      <c r="AY221">
        <f t="shared" si="208"/>
        <v>-2.8473419507159634</v>
      </c>
      <c r="BA221">
        <f t="shared" si="184"/>
        <v>1.5454277385327087</v>
      </c>
      <c r="BB221">
        <f t="shared" si="201"/>
        <v>3.7809740606466042</v>
      </c>
      <c r="BC221">
        <f t="shared" si="202"/>
        <v>1.0035754067157154</v>
      </c>
      <c r="BD221">
        <f t="shared" si="185"/>
        <v>-122.49936470636041</v>
      </c>
      <c r="BF221">
        <f t="shared" si="186"/>
        <v>-4.2316361670677463</v>
      </c>
      <c r="BG221">
        <f t="shared" si="187"/>
        <v>-118.57730813780533</v>
      </c>
      <c r="BH221">
        <f t="shared" si="203"/>
        <v>61.422691862194668</v>
      </c>
      <c r="BI221">
        <f t="shared" si="204"/>
        <v>61.422691862194668</v>
      </c>
      <c r="BJ221">
        <f t="shared" si="188"/>
        <v>0</v>
      </c>
      <c r="BK221">
        <f t="shared" si="205"/>
        <v>0</v>
      </c>
      <c r="BM221">
        <f t="shared" si="206"/>
        <v>-8.0126102277143492</v>
      </c>
      <c r="BN221">
        <f t="shared" si="189"/>
        <v>-176.07794343144494</v>
      </c>
      <c r="BQ221" s="56">
        <f t="shared" si="207"/>
        <v>20.682934860931738</v>
      </c>
      <c r="BR221" s="59"/>
      <c r="BS221" s="59"/>
      <c r="BT221" s="59">
        <v>12882.495999999999</v>
      </c>
      <c r="BU221" s="59">
        <v>-3.6234700000000002</v>
      </c>
      <c r="BV221" s="59">
        <v>-201.71899999999999</v>
      </c>
      <c r="BW221" s="61"/>
      <c r="BY221" s="59"/>
      <c r="BZ221" s="59"/>
      <c r="CA221" s="59"/>
      <c r="CC221" s="59"/>
    </row>
    <row r="222" spans="1:81" x14ac:dyDescent="0.2">
      <c r="A222">
        <f t="shared" si="190"/>
        <v>94000</v>
      </c>
      <c r="B222">
        <f t="shared" si="191"/>
        <v>94</v>
      </c>
      <c r="C222">
        <f t="shared" si="159"/>
        <v>1.0000697638259353</v>
      </c>
      <c r="D222">
        <f t="shared" si="160"/>
        <v>1.1811839005890527E-2</v>
      </c>
      <c r="F222">
        <f t="shared" si="161"/>
        <v>2.6212039367859357E-2</v>
      </c>
      <c r="G222">
        <f t="shared" si="162"/>
        <v>5.6386904309458905E-2</v>
      </c>
      <c r="H222">
        <f t="shared" si="163"/>
        <v>-3.0852057456905415</v>
      </c>
      <c r="J222">
        <f t="shared" si="164"/>
        <v>15</v>
      </c>
      <c r="M222">
        <f t="shared" si="165"/>
        <v>1.9307602156638442E-2</v>
      </c>
      <c r="N222">
        <f t="shared" si="166"/>
        <v>-1.5707963250000001</v>
      </c>
      <c r="O222">
        <f t="shared" si="167"/>
        <v>11.262119083041684</v>
      </c>
      <c r="P222">
        <f t="shared" si="168"/>
        <v>1.4818859968201248</v>
      </c>
      <c r="Q222">
        <f t="shared" si="169"/>
        <v>7.3895539144067106</v>
      </c>
      <c r="R222">
        <f t="shared" si="170"/>
        <v>1.4350536774567144</v>
      </c>
      <c r="S222">
        <f t="shared" si="171"/>
        <v>0.99992713822231627</v>
      </c>
      <c r="T222">
        <f t="shared" si="172"/>
        <v>-1.207167449092943E-2</v>
      </c>
      <c r="U222">
        <f t="shared" si="173"/>
        <v>0.98201919322195053</v>
      </c>
      <c r="V222">
        <f t="shared" si="174"/>
        <v>-0.18992078114168778</v>
      </c>
      <c r="X222">
        <f t="shared" si="192"/>
        <v>-4.1464524476840845</v>
      </c>
      <c r="Y222">
        <f t="shared" si="175"/>
        <v>-110.53748242862652</v>
      </c>
      <c r="Z222">
        <f t="shared" si="193"/>
        <v>69.462517571373482</v>
      </c>
      <c r="AC222">
        <v>1</v>
      </c>
      <c r="AD222">
        <f t="shared" si="176"/>
        <v>11.217634609872601</v>
      </c>
      <c r="AE222">
        <f t="shared" si="177"/>
        <v>-4.5052399222669353E-4</v>
      </c>
      <c r="AF222">
        <f t="shared" si="178"/>
        <v>2.3435778514176004E-3</v>
      </c>
      <c r="AG222">
        <f t="shared" si="194"/>
        <v>4536.85396660267</v>
      </c>
      <c r="AH222">
        <f t="shared" si="195"/>
        <v>-1298.8523335557602</v>
      </c>
      <c r="AJ222">
        <f t="shared" si="179"/>
        <v>22100</v>
      </c>
      <c r="AK222">
        <f t="shared" si="180"/>
        <v>266.79696606697684</v>
      </c>
      <c r="AL222">
        <v>1</v>
      </c>
      <c r="AM222">
        <f t="shared" si="181"/>
        <v>7.3215781805512083</v>
      </c>
      <c r="AN222">
        <f t="shared" si="196"/>
        <v>440.49357185970752</v>
      </c>
      <c r="AO222">
        <f t="shared" si="197"/>
        <v>-2958.3111583341233</v>
      </c>
      <c r="AQ222">
        <f t="shared" si="182"/>
        <v>0.28292544914415052</v>
      </c>
      <c r="AR222">
        <f t="shared" si="183"/>
        <v>-53.1899844391003</v>
      </c>
      <c r="AT222">
        <f t="shared" si="209"/>
        <v>-67802.343964317522</v>
      </c>
      <c r="AU222">
        <f t="shared" si="210"/>
        <v>-241682.67026590969</v>
      </c>
      <c r="AV222">
        <f t="shared" si="198"/>
        <v>-1.8443083391398405</v>
      </c>
      <c r="AW222">
        <f t="shared" si="199"/>
        <v>-154670.21869208638</v>
      </c>
      <c r="AX222">
        <f t="shared" si="200"/>
        <v>-46886.58366717428</v>
      </c>
      <c r="AY222">
        <f t="shared" si="208"/>
        <v>-2.8472584875846634</v>
      </c>
      <c r="BA222">
        <f t="shared" si="184"/>
        <v>1.5531017745943891</v>
      </c>
      <c r="BB222">
        <f t="shared" si="201"/>
        <v>3.8239983186470767</v>
      </c>
      <c r="BC222">
        <f t="shared" si="202"/>
        <v>1.0029501484448229</v>
      </c>
      <c r="BD222">
        <f t="shared" si="185"/>
        <v>-122.53518936642912</v>
      </c>
      <c r="BF222">
        <f t="shared" si="186"/>
        <v>-4.283554329453974</v>
      </c>
      <c r="BG222">
        <f t="shared" si="187"/>
        <v>-118.62768920189862</v>
      </c>
      <c r="BH222">
        <f t="shared" si="203"/>
        <v>61.372310798101381</v>
      </c>
      <c r="BI222">
        <f t="shared" si="204"/>
        <v>61.372310798101381</v>
      </c>
      <c r="BJ222">
        <f t="shared" si="188"/>
        <v>0</v>
      </c>
      <c r="BK222">
        <f t="shared" si="205"/>
        <v>0</v>
      </c>
      <c r="BM222">
        <f t="shared" si="206"/>
        <v>-8.107552648101052</v>
      </c>
      <c r="BN222">
        <f t="shared" si="189"/>
        <v>-176.09249983546948</v>
      </c>
      <c r="BQ222" s="56">
        <f t="shared" si="207"/>
        <v>20.725959118932217</v>
      </c>
      <c r="BR222" s="59"/>
      <c r="BS222" s="59"/>
      <c r="BT222" s="59">
        <v>13182.566999999999</v>
      </c>
      <c r="BU222" s="59">
        <v>-4.1132799999999996</v>
      </c>
      <c r="BV222" s="59">
        <v>-198.27600000000001</v>
      </c>
      <c r="BW222" s="61"/>
      <c r="BY222" s="59"/>
      <c r="BZ222" s="59"/>
      <c r="CA222" s="59"/>
      <c r="CC222" s="59"/>
    </row>
    <row r="223" spans="1:81" x14ac:dyDescent="0.2">
      <c r="A223">
        <f t="shared" si="190"/>
        <v>94500</v>
      </c>
      <c r="B223">
        <f t="shared" si="191"/>
        <v>94.5</v>
      </c>
      <c r="C223">
        <f t="shared" si="159"/>
        <v>1.0000705079419161</v>
      </c>
      <c r="D223">
        <f t="shared" si="160"/>
        <v>1.1874662046323892E-2</v>
      </c>
      <c r="F223">
        <f t="shared" si="161"/>
        <v>2.5928643126516437E-2</v>
      </c>
      <c r="G223">
        <f t="shared" si="162"/>
        <v>5.6073625275989379E-2</v>
      </c>
      <c r="H223">
        <f t="shared" si="163"/>
        <v>-3.085519024724011</v>
      </c>
      <c r="J223">
        <f t="shared" si="164"/>
        <v>15</v>
      </c>
      <c r="M223">
        <f t="shared" si="165"/>
        <v>1.9205445531471039E-2</v>
      </c>
      <c r="N223">
        <f t="shared" si="166"/>
        <v>-1.5707963250000001</v>
      </c>
      <c r="O223">
        <f t="shared" si="167"/>
        <v>11.32155290701642</v>
      </c>
      <c r="P223">
        <f t="shared" si="168"/>
        <v>1.4823539660959404</v>
      </c>
      <c r="Q223">
        <f t="shared" si="169"/>
        <v>7.4281421018103666</v>
      </c>
      <c r="R223">
        <f t="shared" si="170"/>
        <v>1.4357631710300955</v>
      </c>
      <c r="S223">
        <f t="shared" si="171"/>
        <v>0.99992636112136268</v>
      </c>
      <c r="T223">
        <f t="shared" si="172"/>
        <v>-1.2135879237668408E-2</v>
      </c>
      <c r="U223">
        <f t="shared" si="173"/>
        <v>0.98183259441436199</v>
      </c>
      <c r="V223">
        <f t="shared" si="174"/>
        <v>-0.19090669320725226</v>
      </c>
      <c r="X223">
        <f t="shared" si="192"/>
        <v>-4.1976455402655999</v>
      </c>
      <c r="Y223">
        <f t="shared" si="175"/>
        <v>-110.54453610953762</v>
      </c>
      <c r="Z223">
        <f t="shared" si="193"/>
        <v>69.455463890462383</v>
      </c>
      <c r="AC223">
        <v>1</v>
      </c>
      <c r="AD223">
        <f t="shared" si="176"/>
        <v>11.277302879074051</v>
      </c>
      <c r="AE223">
        <f t="shared" si="177"/>
        <v>-4.5532954748556245E-4</v>
      </c>
      <c r="AF223">
        <f t="shared" si="178"/>
        <v>2.3560436910528004E-3</v>
      </c>
      <c r="AG223">
        <f t="shared" si="194"/>
        <v>4535.1299858182174</v>
      </c>
      <c r="AH223">
        <f t="shared" si="195"/>
        <v>-1300.9006139700346</v>
      </c>
      <c r="AJ223">
        <f t="shared" si="179"/>
        <v>22100</v>
      </c>
      <c r="AK223">
        <f t="shared" si="180"/>
        <v>268.21609886520542</v>
      </c>
      <c r="AL223">
        <v>1</v>
      </c>
      <c r="AM223">
        <f t="shared" si="181"/>
        <v>7.360522745341374</v>
      </c>
      <c r="AN223">
        <f t="shared" si="196"/>
        <v>436.30646735064266</v>
      </c>
      <c r="AO223">
        <f t="shared" si="197"/>
        <v>-2943.2275780087434</v>
      </c>
      <c r="AQ223">
        <f t="shared" si="182"/>
        <v>0.27993953306085884</v>
      </c>
      <c r="AR223">
        <f t="shared" si="183"/>
        <v>-52.908571748502325</v>
      </c>
      <c r="AT223">
        <f t="shared" si="209"/>
        <v>-67559.23130130404</v>
      </c>
      <c r="AU223">
        <f t="shared" si="210"/>
        <v>-240311.42375388084</v>
      </c>
      <c r="AV223">
        <f t="shared" si="198"/>
        <v>-1.8448544247827041</v>
      </c>
      <c r="AW223">
        <f t="shared" si="199"/>
        <v>-153056.17714820048</v>
      </c>
      <c r="AX223">
        <f t="shared" si="200"/>
        <v>-46412.578777369912</v>
      </c>
      <c r="AY223">
        <f t="shared" si="208"/>
        <v>-2.8471670944535385</v>
      </c>
      <c r="BA223">
        <f t="shared" si="184"/>
        <v>1.5607711523425205</v>
      </c>
      <c r="BB223">
        <f t="shared" si="201"/>
        <v>3.8667845883361118</v>
      </c>
      <c r="BC223">
        <f t="shared" si="202"/>
        <v>1.0023126696708344</v>
      </c>
      <c r="BD223">
        <f t="shared" si="185"/>
        <v>-122.57171420974957</v>
      </c>
      <c r="BF223">
        <f t="shared" si="186"/>
        <v>-4.3351820225043722</v>
      </c>
      <c r="BG223">
        <f t="shared" si="187"/>
        <v>-118.67856411659017</v>
      </c>
      <c r="BH223">
        <f t="shared" si="203"/>
        <v>61.321435883409833</v>
      </c>
      <c r="BI223">
        <f t="shared" si="204"/>
        <v>61.321435883409833</v>
      </c>
      <c r="BJ223">
        <f t="shared" si="188"/>
        <v>0</v>
      </c>
      <c r="BK223">
        <f t="shared" si="205"/>
        <v>0</v>
      </c>
      <c r="BM223">
        <f t="shared" si="206"/>
        <v>-8.2019666108404845</v>
      </c>
      <c r="BN223">
        <f t="shared" si="189"/>
        <v>-176.10684990684064</v>
      </c>
      <c r="BQ223" s="56">
        <f t="shared" si="207"/>
        <v>20.768745388621248</v>
      </c>
      <c r="BR223" s="59"/>
      <c r="BS223" s="59"/>
      <c r="BT223" s="59">
        <v>13489.629000000001</v>
      </c>
      <c r="BU223" s="59">
        <v>-3.8779599999999999</v>
      </c>
      <c r="BV223" s="59">
        <v>-197.578</v>
      </c>
      <c r="BW223" s="61"/>
      <c r="BY223" s="59"/>
      <c r="BZ223" s="59"/>
      <c r="CA223" s="59"/>
      <c r="CC223" s="59"/>
    </row>
    <row r="224" spans="1:81" x14ac:dyDescent="0.2">
      <c r="A224">
        <f t="shared" si="190"/>
        <v>95000</v>
      </c>
      <c r="B224">
        <f t="shared" si="191"/>
        <v>95</v>
      </c>
      <c r="C224">
        <f t="shared" si="159"/>
        <v>1.0000712560049039</v>
      </c>
      <c r="D224">
        <f t="shared" si="160"/>
        <v>1.1937484993020718E-2</v>
      </c>
      <c r="F224">
        <f t="shared" si="161"/>
        <v>2.5649853641160094E-2</v>
      </c>
      <c r="G224">
        <f t="shared" si="162"/>
        <v>5.5763885272625532E-2</v>
      </c>
      <c r="H224">
        <f t="shared" si="163"/>
        <v>-3.0858287647273746</v>
      </c>
      <c r="J224">
        <f t="shared" si="164"/>
        <v>15</v>
      </c>
      <c r="M224">
        <f t="shared" si="165"/>
        <v>1.9104364239200141E-2</v>
      </c>
      <c r="N224">
        <f t="shared" si="166"/>
        <v>-1.5707963250000001</v>
      </c>
      <c r="O224">
        <f t="shared" si="167"/>
        <v>11.380989184461566</v>
      </c>
      <c r="P224">
        <f t="shared" si="168"/>
        <v>1.4828170476103875</v>
      </c>
      <c r="Q224">
        <f t="shared" si="169"/>
        <v>7.4667339897511615</v>
      </c>
      <c r="R224">
        <f t="shared" si="170"/>
        <v>1.4364653309048916</v>
      </c>
      <c r="S224">
        <f t="shared" si="171"/>
        <v>0.99992557989968434</v>
      </c>
      <c r="T224">
        <f t="shared" si="172"/>
        <v>-1.2200083884348385E-2</v>
      </c>
      <c r="U224">
        <f t="shared" si="173"/>
        <v>0.98164511286966993</v>
      </c>
      <c r="V224">
        <f t="shared" si="174"/>
        <v>-0.19189222970943187</v>
      </c>
      <c r="X224">
        <f t="shared" si="192"/>
        <v>-4.2485487508332742</v>
      </c>
      <c r="Y224">
        <f t="shared" si="175"/>
        <v>-110.5520657384763</v>
      </c>
      <c r="Z224">
        <f t="shared" si="193"/>
        <v>69.447934261523699</v>
      </c>
      <c r="AC224">
        <v>1</v>
      </c>
      <c r="AD224">
        <f t="shared" si="176"/>
        <v>11.3369711482755</v>
      </c>
      <c r="AE224">
        <f t="shared" si="177"/>
        <v>-4.601605964062822E-4</v>
      </c>
      <c r="AF224">
        <f t="shared" si="178"/>
        <v>2.3685095306880005E-3</v>
      </c>
      <c r="AG224">
        <f t="shared" si="194"/>
        <v>4533.3981793946541</v>
      </c>
      <c r="AH224">
        <f t="shared" si="195"/>
        <v>-1302.9676131727263</v>
      </c>
      <c r="AJ224">
        <f t="shared" si="179"/>
        <v>22100</v>
      </c>
      <c r="AK224">
        <f t="shared" si="180"/>
        <v>269.63523166343401</v>
      </c>
      <c r="AL224">
        <v>1</v>
      </c>
      <c r="AM224">
        <f t="shared" si="181"/>
        <v>7.3994673101315414</v>
      </c>
      <c r="AN224">
        <f t="shared" si="196"/>
        <v>432.18371976456649</v>
      </c>
      <c r="AO224">
        <f t="shared" si="197"/>
        <v>-2928.2940747055263</v>
      </c>
      <c r="AQ224">
        <f t="shared" si="182"/>
        <v>0.27700063710146533</v>
      </c>
      <c r="AR224">
        <f t="shared" si="183"/>
        <v>-52.630121049278415</v>
      </c>
      <c r="AT224">
        <f t="shared" si="209"/>
        <v>-67319.589020643019</v>
      </c>
      <c r="AU224">
        <f t="shared" si="210"/>
        <v>-238954.21780509048</v>
      </c>
      <c r="AV224">
        <f t="shared" si="198"/>
        <v>-1.8454047263912423</v>
      </c>
      <c r="AW224">
        <f t="shared" si="199"/>
        <v>-151466.92713993526</v>
      </c>
      <c r="AX224">
        <f t="shared" si="200"/>
        <v>-45947.064765312491</v>
      </c>
      <c r="AY224">
        <f t="shared" si="208"/>
        <v>-2.8470678904473004</v>
      </c>
      <c r="BA224">
        <f t="shared" si="184"/>
        <v>1.5684358236574378</v>
      </c>
      <c r="BB224">
        <f t="shared" si="201"/>
        <v>3.909335063778252</v>
      </c>
      <c r="BC224">
        <f t="shared" si="202"/>
        <v>1.001663164056058</v>
      </c>
      <c r="BD224">
        <f t="shared" si="185"/>
        <v>-122.60892814028884</v>
      </c>
      <c r="BF224">
        <f t="shared" si="186"/>
        <v>-4.3865230282140031</v>
      </c>
      <c r="BG224">
        <f t="shared" si="187"/>
        <v>-118.72992535238242</v>
      </c>
      <c r="BH224">
        <f t="shared" si="203"/>
        <v>61.270074647617577</v>
      </c>
      <c r="BI224">
        <f t="shared" si="204"/>
        <v>61.270074647617577</v>
      </c>
      <c r="BJ224">
        <f t="shared" si="188"/>
        <v>0</v>
      </c>
      <c r="BK224">
        <f t="shared" si="205"/>
        <v>0</v>
      </c>
      <c r="BM224">
        <f t="shared" si="206"/>
        <v>-8.2958580919922529</v>
      </c>
      <c r="BN224">
        <f t="shared" si="189"/>
        <v>-176.12099721209358</v>
      </c>
      <c r="BQ224" s="56">
        <f t="shared" si="207"/>
        <v>20.811295864063389</v>
      </c>
      <c r="BR224" s="59"/>
      <c r="BS224" s="59"/>
      <c r="BT224" s="59">
        <v>13803.843000000001</v>
      </c>
      <c r="BU224" s="59">
        <v>-4.0306600000000001</v>
      </c>
      <c r="BV224" s="59">
        <v>-195.64599999999999</v>
      </c>
      <c r="BW224" s="61"/>
      <c r="BY224" s="59"/>
      <c r="BZ224" s="59"/>
      <c r="CA224" s="59"/>
      <c r="CC224" s="59"/>
    </row>
    <row r="225" spans="1:81" x14ac:dyDescent="0.2">
      <c r="A225">
        <f t="shared" si="190"/>
        <v>95500</v>
      </c>
      <c r="B225">
        <f t="shared" si="191"/>
        <v>95.5</v>
      </c>
      <c r="C225">
        <f t="shared" si="159"/>
        <v>1.0000720080148895</v>
      </c>
      <c r="D225">
        <f t="shared" si="160"/>
        <v>1.2000307845485324E-2</v>
      </c>
      <c r="F225">
        <f t="shared" si="161"/>
        <v>2.5375570861786146E-2</v>
      </c>
      <c r="G225">
        <f t="shared" si="162"/>
        <v>5.545762350206114E-2</v>
      </c>
      <c r="H225">
        <f t="shared" si="163"/>
        <v>-3.086135026497939</v>
      </c>
      <c r="J225">
        <f t="shared" si="164"/>
        <v>15</v>
      </c>
      <c r="M225">
        <f t="shared" si="165"/>
        <v>1.9004341389780244E-2</v>
      </c>
      <c r="N225">
        <f t="shared" si="166"/>
        <v>-1.5707963250000001</v>
      </c>
      <c r="O225">
        <f t="shared" si="167"/>
        <v>11.440427877137701</v>
      </c>
      <c r="P225">
        <f t="shared" si="168"/>
        <v>1.4832753173463187</v>
      </c>
      <c r="Q225">
        <f t="shared" si="169"/>
        <v>7.5053295211453745</v>
      </c>
      <c r="R225">
        <f t="shared" si="170"/>
        <v>1.4371602695221382</v>
      </c>
      <c r="S225">
        <f t="shared" si="171"/>
        <v>0.99992479455730943</v>
      </c>
      <c r="T225">
        <f t="shared" si="172"/>
        <v>-1.2264288430440263E-2</v>
      </c>
      <c r="U225">
        <f t="shared" si="173"/>
        <v>0.98145675018572409</v>
      </c>
      <c r="V225">
        <f t="shared" si="174"/>
        <v>-0.19287738894940973</v>
      </c>
      <c r="X225">
        <f t="shared" si="192"/>
        <v>-4.2991657765645632</v>
      </c>
      <c r="Y225">
        <f t="shared" si="175"/>
        <v>-110.5600639056411</v>
      </c>
      <c r="Z225">
        <f t="shared" si="193"/>
        <v>69.439936094358899</v>
      </c>
      <c r="AC225">
        <v>1</v>
      </c>
      <c r="AD225">
        <f t="shared" si="176"/>
        <v>11.396639417476949</v>
      </c>
      <c r="AE225">
        <f t="shared" si="177"/>
        <v>-4.6501713898885268E-4</v>
      </c>
      <c r="AF225">
        <f t="shared" si="178"/>
        <v>2.3809753703232005E-3</v>
      </c>
      <c r="AG225">
        <f t="shared" si="194"/>
        <v>4531.6585667589143</v>
      </c>
      <c r="AH225">
        <f t="shared" si="195"/>
        <v>-1305.0529376819054</v>
      </c>
      <c r="AJ225">
        <f t="shared" si="179"/>
        <v>22100</v>
      </c>
      <c r="AK225">
        <f t="shared" si="180"/>
        <v>271.05436446166266</v>
      </c>
      <c r="AL225">
        <v>1</v>
      </c>
      <c r="AM225">
        <f t="shared" si="181"/>
        <v>7.438411874921707</v>
      </c>
      <c r="AN225">
        <f t="shared" si="196"/>
        <v>428.1240249308089</v>
      </c>
      <c r="AO225">
        <f t="shared" si="197"/>
        <v>-2913.5084665229433</v>
      </c>
      <c r="AQ225">
        <f t="shared" si="182"/>
        <v>0.2741077791787731</v>
      </c>
      <c r="AR225">
        <f t="shared" si="183"/>
        <v>-52.354585823145662</v>
      </c>
      <c r="AT225">
        <f t="shared" si="209"/>
        <v>-67083.343163884943</v>
      </c>
      <c r="AU225">
        <f t="shared" si="210"/>
        <v>-237610.83251703155</v>
      </c>
      <c r="AV225">
        <f t="shared" si="198"/>
        <v>-1.8459591709364767</v>
      </c>
      <c r="AW225">
        <f t="shared" si="199"/>
        <v>-149901.96698497856</v>
      </c>
      <c r="AX225">
        <f t="shared" si="200"/>
        <v>-45489.837878083577</v>
      </c>
      <c r="AY225">
        <f t="shared" si="208"/>
        <v>-2.8469609922696502</v>
      </c>
      <c r="BA225">
        <f t="shared" si="184"/>
        <v>1.5760957408307408</v>
      </c>
      <c r="BB225">
        <f t="shared" si="201"/>
        <v>3.9516519083951755</v>
      </c>
      <c r="BC225">
        <f t="shared" si="202"/>
        <v>1.0010018213331735</v>
      </c>
      <c r="BD225">
        <f t="shared" si="185"/>
        <v>-122.6468202871651</v>
      </c>
      <c r="BF225">
        <f t="shared" si="186"/>
        <v>-4.4375810565112621</v>
      </c>
      <c r="BG225">
        <f t="shared" si="187"/>
        <v>-118.78176552185097</v>
      </c>
      <c r="BH225">
        <f t="shared" si="203"/>
        <v>61.218234478149029</v>
      </c>
      <c r="BI225">
        <f t="shared" si="204"/>
        <v>61.218234478149029</v>
      </c>
      <c r="BJ225">
        <f t="shared" si="188"/>
        <v>0</v>
      </c>
      <c r="BK225">
        <f t="shared" si="205"/>
        <v>0</v>
      </c>
      <c r="BM225">
        <f t="shared" si="206"/>
        <v>-8.3892329649064354</v>
      </c>
      <c r="BN225">
        <f t="shared" si="189"/>
        <v>-176.13494523468589</v>
      </c>
      <c r="BQ225" s="56">
        <f t="shared" si="207"/>
        <v>20.853612708680313</v>
      </c>
      <c r="BR225" s="59"/>
      <c r="BS225" s="59"/>
      <c r="BT225" s="59">
        <v>14125.375</v>
      </c>
      <c r="BU225" s="59">
        <v>-4.0179099999999996</v>
      </c>
      <c r="BV225" s="59">
        <v>-192.58199999999999</v>
      </c>
      <c r="BW225" s="61"/>
      <c r="BY225" s="59"/>
      <c r="BZ225" s="59"/>
      <c r="CA225" s="59"/>
      <c r="CC225" s="59"/>
    </row>
    <row r="226" spans="1:81" x14ac:dyDescent="0.2">
      <c r="A226">
        <f t="shared" si="190"/>
        <v>96000</v>
      </c>
      <c r="B226">
        <f t="shared" si="191"/>
        <v>96</v>
      </c>
      <c r="C226">
        <f t="shared" si="159"/>
        <v>1.0000727639718643</v>
      </c>
      <c r="D226">
        <f t="shared" si="160"/>
        <v>1.2063130603222038E-2</v>
      </c>
      <c r="F226">
        <f t="shared" si="161"/>
        <v>2.5105697459040656E-2</v>
      </c>
      <c r="G226">
        <f t="shared" si="162"/>
        <v>5.5154780574430934E-2</v>
      </c>
      <c r="H226">
        <f t="shared" si="163"/>
        <v>-3.0864378694255694</v>
      </c>
      <c r="J226">
        <f t="shared" si="164"/>
        <v>15</v>
      </c>
      <c r="M226">
        <f t="shared" si="165"/>
        <v>1.8905360445041805E-2</v>
      </c>
      <c r="N226">
        <f t="shared" si="166"/>
        <v>-1.5707963250000001</v>
      </c>
      <c r="O226">
        <f t="shared" si="167"/>
        <v>11.499868947594431</v>
      </c>
      <c r="P226">
        <f t="shared" si="168"/>
        <v>1.483728849723793</v>
      </c>
      <c r="Q226">
        <f t="shared" si="169"/>
        <v>7.543928640072135</v>
      </c>
      <c r="R226">
        <f t="shared" si="170"/>
        <v>1.4378480970498428</v>
      </c>
      <c r="S226">
        <f t="shared" si="171"/>
        <v>0.99992400509426749</v>
      </c>
      <c r="T226">
        <f t="shared" si="172"/>
        <v>-1.2328492875414951E-2</v>
      </c>
      <c r="U226">
        <f t="shared" si="173"/>
        <v>0.98126750796621931</v>
      </c>
      <c r="V226">
        <f t="shared" si="174"/>
        <v>-0.1938621692325985</v>
      </c>
      <c r="X226">
        <f t="shared" si="192"/>
        <v>-4.3495002443733313</v>
      </c>
      <c r="Y226">
        <f t="shared" si="175"/>
        <v>-110.56852334060898</v>
      </c>
      <c r="Z226">
        <f t="shared" si="193"/>
        <v>69.431476659391024</v>
      </c>
      <c r="AC226">
        <v>1</v>
      </c>
      <c r="AD226">
        <f t="shared" si="176"/>
        <v>11.4563076866784</v>
      </c>
      <c r="AE226">
        <f t="shared" si="177"/>
        <v>-4.6989917523327388E-4</v>
      </c>
      <c r="AF226">
        <f t="shared" si="178"/>
        <v>2.3934412099584005E-3</v>
      </c>
      <c r="AG226">
        <f t="shared" si="194"/>
        <v>4529.9111674025116</v>
      </c>
      <c r="AH226">
        <f t="shared" si="195"/>
        <v>-1307.1562018842376</v>
      </c>
      <c r="AJ226">
        <f t="shared" si="179"/>
        <v>22100</v>
      </c>
      <c r="AK226">
        <f t="shared" si="180"/>
        <v>272.47349725989125</v>
      </c>
      <c r="AL226">
        <v>1</v>
      </c>
      <c r="AM226">
        <f t="shared" si="181"/>
        <v>7.4773564397118717</v>
      </c>
      <c r="AN226">
        <f t="shared" si="196"/>
        <v>424.12611134387612</v>
      </c>
      <c r="AO226">
        <f t="shared" si="197"/>
        <v>-2898.8686126471948</v>
      </c>
      <c r="AQ226">
        <f t="shared" si="182"/>
        <v>0.27126000271260003</v>
      </c>
      <c r="AR226">
        <f t="shared" si="183"/>
        <v>-52.081920520819203</v>
      </c>
      <c r="AT226">
        <f t="shared" si="209"/>
        <v>-66850.421699273327</v>
      </c>
      <c r="AU226">
        <f t="shared" si="210"/>
        <v>-236281.05258189785</v>
      </c>
      <c r="AV226">
        <f t="shared" si="198"/>
        <v>-1.8465176868595268</v>
      </c>
      <c r="AW226">
        <f t="shared" si="199"/>
        <v>-148360.80754545829</v>
      </c>
      <c r="AX226">
        <f t="shared" si="200"/>
        <v>-45040.700360572155</v>
      </c>
      <c r="AY226">
        <f t="shared" si="208"/>
        <v>-2.8468465142644042</v>
      </c>
      <c r="BA226">
        <f t="shared" si="184"/>
        <v>1.5837508565556293</v>
      </c>
      <c r="BB226">
        <f t="shared" si="201"/>
        <v>3.9937372555067685</v>
      </c>
      <c r="BC226">
        <f t="shared" si="202"/>
        <v>1.0003288274048774</v>
      </c>
      <c r="BD226">
        <f t="shared" si="185"/>
        <v>-122.68537999893846</v>
      </c>
      <c r="BF226">
        <f t="shared" si="186"/>
        <v>-4.4883597470939147</v>
      </c>
      <c r="BG226">
        <f t="shared" si="187"/>
        <v>-118.83407737637297</v>
      </c>
      <c r="BH226">
        <f t="shared" si="203"/>
        <v>61.165922623627026</v>
      </c>
      <c r="BI226">
        <f t="shared" si="204"/>
        <v>61.165922623627026</v>
      </c>
      <c r="BJ226">
        <f t="shared" si="188"/>
        <v>0</v>
      </c>
      <c r="BK226">
        <f t="shared" si="205"/>
        <v>0</v>
      </c>
      <c r="BM226">
        <f t="shared" si="206"/>
        <v>-8.4820970026006854</v>
      </c>
      <c r="BN226">
        <f t="shared" si="189"/>
        <v>-176.1486973774345</v>
      </c>
      <c r="BQ226" s="56">
        <f t="shared" si="207"/>
        <v>20.895698055791904</v>
      </c>
      <c r="BR226" s="59"/>
      <c r="BS226" s="59"/>
      <c r="BT226" s="59">
        <v>14454.397999999999</v>
      </c>
      <c r="BU226" s="59">
        <v>-3.9652699999999999</v>
      </c>
      <c r="BV226" s="59">
        <v>-192.25399999999999</v>
      </c>
      <c r="BW226" s="61"/>
      <c r="BY226" s="59"/>
      <c r="BZ226" s="59"/>
      <c r="CA226" s="59"/>
      <c r="CC226" s="59"/>
    </row>
    <row r="227" spans="1:81" x14ac:dyDescent="0.2">
      <c r="A227">
        <f t="shared" si="190"/>
        <v>96500</v>
      </c>
      <c r="B227">
        <f t="shared" si="191"/>
        <v>96.5</v>
      </c>
      <c r="C227">
        <f t="shared" si="159"/>
        <v>1.0000735238758189</v>
      </c>
      <c r="D227">
        <f t="shared" si="160"/>
        <v>1.2125953265735189E-2</v>
      </c>
      <c r="F227">
        <f t="shared" si="161"/>
        <v>2.4840138735329038E-2</v>
      </c>
      <c r="G227">
        <f t="shared" si="162"/>
        <v>5.4855298466275008E-2</v>
      </c>
      <c r="H227">
        <f t="shared" si="163"/>
        <v>-3.0867373515337251</v>
      </c>
      <c r="J227">
        <f t="shared" si="164"/>
        <v>15</v>
      </c>
      <c r="M227">
        <f t="shared" si="165"/>
        <v>1.880740520957527E-2</v>
      </c>
      <c r="N227">
        <f t="shared" si="166"/>
        <v>-1.5707963250000001</v>
      </c>
      <c r="O227">
        <f t="shared" si="167"/>
        <v>11.559312359150214</v>
      </c>
      <c r="P227">
        <f t="shared" si="168"/>
        <v>1.4841777176399451</v>
      </c>
      <c r="Q227">
        <f t="shared" si="169"/>
        <v>7.5825312917440941</v>
      </c>
      <c r="R227">
        <f t="shared" si="170"/>
        <v>1.4385289214397814</v>
      </c>
      <c r="S227">
        <f t="shared" si="171"/>
        <v>0.99992321151058783</v>
      </c>
      <c r="T227">
        <f t="shared" si="172"/>
        <v>-1.2392697218743356E-2</v>
      </c>
      <c r="U227">
        <f t="shared" si="173"/>
        <v>0.98107738782066023</v>
      </c>
      <c r="V227">
        <f t="shared" si="174"/>
        <v>-0.19484656886865442</v>
      </c>
      <c r="X227">
        <f t="shared" si="192"/>
        <v>-4.3995557126882581</v>
      </c>
      <c r="Y227">
        <f t="shared" si="175"/>
        <v>-110.57743690914829</v>
      </c>
      <c r="Z227">
        <f t="shared" si="193"/>
        <v>69.42256309085171</v>
      </c>
      <c r="AC227">
        <v>1</v>
      </c>
      <c r="AD227">
        <f t="shared" si="176"/>
        <v>11.515975955879849</v>
      </c>
      <c r="AE227">
        <f t="shared" si="177"/>
        <v>-4.7480670513954575E-4</v>
      </c>
      <c r="AF227">
        <f t="shared" si="178"/>
        <v>2.4059070495936002E-3</v>
      </c>
      <c r="AG227">
        <f t="shared" si="194"/>
        <v>4528.1560008810193</v>
      </c>
      <c r="AH227">
        <f t="shared" si="195"/>
        <v>-1309.2770278337512</v>
      </c>
      <c r="AJ227">
        <f t="shared" si="179"/>
        <v>22100</v>
      </c>
      <c r="AK227">
        <f t="shared" si="180"/>
        <v>273.89263005811983</v>
      </c>
      <c r="AL227">
        <v>1</v>
      </c>
      <c r="AM227">
        <f t="shared" si="181"/>
        <v>7.5163010045020391</v>
      </c>
      <c r="AN227">
        <f t="shared" si="196"/>
        <v>420.18873919276643</v>
      </c>
      <c r="AO227">
        <f t="shared" si="197"/>
        <v>-2884.3724124169157</v>
      </c>
      <c r="AQ227">
        <f t="shared" si="182"/>
        <v>0.26845637583892618</v>
      </c>
      <c r="AR227">
        <f t="shared" si="183"/>
        <v>-51.812080536912752</v>
      </c>
      <c r="AT227">
        <f t="shared" si="209"/>
        <v>-66620.754462022262</v>
      </c>
      <c r="AU227">
        <f t="shared" si="210"/>
        <v>-234964.66716721354</v>
      </c>
      <c r="AV227">
        <f t="shared" si="198"/>
        <v>-1.8470802040342638</v>
      </c>
      <c r="AW227">
        <f t="shared" si="199"/>
        <v>-146842.97185592557</v>
      </c>
      <c r="AX227">
        <f t="shared" si="200"/>
        <v>-44599.460248271826</v>
      </c>
      <c r="AY227">
        <f t="shared" si="208"/>
        <v>-2.846724568474797</v>
      </c>
      <c r="BA227">
        <f t="shared" si="184"/>
        <v>1.5914011239175314</v>
      </c>
      <c r="BB227">
        <f t="shared" si="201"/>
        <v>4.0355932088610196</v>
      </c>
      <c r="BC227">
        <f t="shared" si="202"/>
        <v>0.99964436444053328</v>
      </c>
      <c r="BD227">
        <f t="shared" si="185"/>
        <v>-122.72459683807321</v>
      </c>
      <c r="BF227">
        <f t="shared" si="186"/>
        <v>-4.5388626712071103</v>
      </c>
      <c r="BG227">
        <f t="shared" si="187"/>
        <v>-118.88685380294039</v>
      </c>
      <c r="BH227">
        <f t="shared" si="203"/>
        <v>61.113146197059606</v>
      </c>
      <c r="BI227">
        <f t="shared" si="204"/>
        <v>61.113146197059606</v>
      </c>
      <c r="BJ227">
        <f t="shared" si="188"/>
        <v>0</v>
      </c>
      <c r="BK227">
        <f t="shared" si="205"/>
        <v>0</v>
      </c>
      <c r="BM227">
        <f t="shared" si="206"/>
        <v>-8.574455880068129</v>
      </c>
      <c r="BN227">
        <f t="shared" si="189"/>
        <v>-176.1622569648672</v>
      </c>
      <c r="BQ227" s="56">
        <f t="shared" si="207"/>
        <v>20.937554009146154</v>
      </c>
      <c r="BR227" s="59"/>
      <c r="BS227" s="59"/>
      <c r="BT227" s="59">
        <v>14791.084000000001</v>
      </c>
      <c r="BU227" s="59">
        <v>-3.9583900000000001</v>
      </c>
      <c r="BV227" s="59">
        <v>-191.02600000000001</v>
      </c>
      <c r="BW227" s="61"/>
      <c r="BY227" s="59"/>
      <c r="BZ227" s="59"/>
      <c r="CA227" s="59"/>
      <c r="CC227" s="59"/>
    </row>
    <row r="228" spans="1:81" x14ac:dyDescent="0.2">
      <c r="A228">
        <f t="shared" si="190"/>
        <v>97000</v>
      </c>
      <c r="B228">
        <f t="shared" si="191"/>
        <v>97</v>
      </c>
      <c r="C228">
        <f t="shared" si="159"/>
        <v>1.000074287726745</v>
      </c>
      <c r="D228">
        <f t="shared" si="160"/>
        <v>1.2188775832529112E-2</v>
      </c>
      <c r="F228">
        <f t="shared" si="161"/>
        <v>2.4578802539316377E-2</v>
      </c>
      <c r="G228">
        <f t="shared" si="162"/>
        <v>5.4559120480946001E-2</v>
      </c>
      <c r="H228">
        <f t="shared" si="163"/>
        <v>-3.0870335295190543</v>
      </c>
      <c r="J228">
        <f t="shared" si="164"/>
        <v>15</v>
      </c>
      <c r="M228">
        <f t="shared" si="165"/>
        <v>1.8710459821897046E-2</v>
      </c>
      <c r="N228">
        <f t="shared" si="166"/>
        <v>-1.5707963250000001</v>
      </c>
      <c r="O228">
        <f t="shared" si="167"/>
        <v>11.618758075872744</v>
      </c>
      <c r="P228">
        <f t="shared" si="168"/>
        <v>1.4846219925076454</v>
      </c>
      <c r="Q228">
        <f t="shared" si="169"/>
        <v>7.6211374224789754</v>
      </c>
      <c r="R228">
        <f t="shared" si="170"/>
        <v>1.4392028484826096</v>
      </c>
      <c r="S228">
        <f t="shared" si="171"/>
        <v>0.99992241380629954</v>
      </c>
      <c r="T228">
        <f t="shared" si="172"/>
        <v>-1.2456901459896396E-2</v>
      </c>
      <c r="U228">
        <f t="shared" si="173"/>
        <v>0.98088639136432387</v>
      </c>
      <c r="V228">
        <f t="shared" si="174"/>
        <v>-0.19583058617149107</v>
      </c>
      <c r="X228">
        <f t="shared" si="192"/>
        <v>-4.4493356731752849</v>
      </c>
      <c r="Y228">
        <f t="shared" si="175"/>
        <v>-110.58679761011609</v>
      </c>
      <c r="Z228">
        <f t="shared" si="193"/>
        <v>69.413202389883907</v>
      </c>
      <c r="AC228">
        <v>1</v>
      </c>
      <c r="AD228">
        <f t="shared" si="176"/>
        <v>11.5756442250813</v>
      </c>
      <c r="AE228">
        <f t="shared" si="177"/>
        <v>-4.797397287076685E-4</v>
      </c>
      <c r="AF228">
        <f t="shared" si="178"/>
        <v>2.4183728892288002E-3</v>
      </c>
      <c r="AG228">
        <f t="shared" si="194"/>
        <v>4526.3930868135612</v>
      </c>
      <c r="AH228">
        <f t="shared" si="195"/>
        <v>-1311.4150450568304</v>
      </c>
      <c r="AJ228">
        <f t="shared" si="179"/>
        <v>22100</v>
      </c>
      <c r="AK228">
        <f t="shared" si="180"/>
        <v>275.31176285634842</v>
      </c>
      <c r="AL228">
        <v>1</v>
      </c>
      <c r="AM228">
        <f t="shared" si="181"/>
        <v>7.5552455692922047</v>
      </c>
      <c r="AN228">
        <f t="shared" si="196"/>
        <v>416.3106994235531</v>
      </c>
      <c r="AO228">
        <f t="shared" si="197"/>
        <v>-2870.0178044123895</v>
      </c>
      <c r="AQ228">
        <f t="shared" si="182"/>
        <v>0.26569599064750116</v>
      </c>
      <c r="AR228">
        <f t="shared" si="183"/>
        <v>-51.545022185615217</v>
      </c>
      <c r="AT228">
        <f t="shared" si="209"/>
        <v>-66394.273096742967</v>
      </c>
      <c r="AU228">
        <f t="shared" si="210"/>
        <v>-233661.46980016676</v>
      </c>
      <c r="AV228">
        <f t="shared" si="198"/>
        <v>-1.8476466537310983</v>
      </c>
      <c r="AW228">
        <f t="shared" si="199"/>
        <v>-145347.9947640555</v>
      </c>
      <c r="AX228">
        <f t="shared" si="200"/>
        <v>-44165.931168252951</v>
      </c>
      <c r="AY228">
        <f t="shared" si="208"/>
        <v>-2.8465952647010204</v>
      </c>
      <c r="BA228">
        <f t="shared" si="184"/>
        <v>1.5990464963850495</v>
      </c>
      <c r="BB228">
        <f t="shared" si="201"/>
        <v>4.0772218431532012</v>
      </c>
      <c r="BC228">
        <f t="shared" si="202"/>
        <v>0.99894861096992216</v>
      </c>
      <c r="BD228">
        <f t="shared" si="185"/>
        <v>-122.76446057556636</v>
      </c>
      <c r="BF228">
        <f t="shared" si="186"/>
        <v>-4.5890933333652217</v>
      </c>
      <c r="BG228">
        <f t="shared" si="187"/>
        <v>-118.94008782105743</v>
      </c>
      <c r="BH228">
        <f t="shared" si="203"/>
        <v>61.059912178942568</v>
      </c>
      <c r="BI228">
        <f t="shared" si="204"/>
        <v>61.059912178942568</v>
      </c>
      <c r="BJ228">
        <f t="shared" si="188"/>
        <v>0</v>
      </c>
      <c r="BK228">
        <f t="shared" si="205"/>
        <v>0</v>
      </c>
      <c r="BM228">
        <f t="shared" si="206"/>
        <v>-8.6663151765184221</v>
      </c>
      <c r="BN228">
        <f t="shared" si="189"/>
        <v>-176.17562724549109</v>
      </c>
      <c r="BQ228" s="56">
        <f t="shared" si="207"/>
        <v>20.979182643438339</v>
      </c>
      <c r="BR228" s="59"/>
      <c r="BS228" s="59"/>
      <c r="BT228" s="59">
        <v>15135.611999999999</v>
      </c>
      <c r="BU228" s="59">
        <v>-3.8792200000000001</v>
      </c>
      <c r="BV228" s="59">
        <v>-189.453</v>
      </c>
      <c r="BW228" s="61"/>
      <c r="BY228" s="59"/>
      <c r="BZ228" s="59"/>
      <c r="CA228" s="59"/>
      <c r="CC228" s="59"/>
    </row>
    <row r="229" spans="1:81" x14ac:dyDescent="0.2">
      <c r="A229">
        <f t="shared" si="190"/>
        <v>97500</v>
      </c>
      <c r="B229">
        <f t="shared" si="191"/>
        <v>97.5</v>
      </c>
      <c r="C229">
        <f t="shared" si="159"/>
        <v>1.0000750555246329</v>
      </c>
      <c r="D229">
        <f t="shared" si="160"/>
        <v>1.2251598303108145E-2</v>
      </c>
      <c r="F229">
        <f t="shared" si="161"/>
        <v>2.4321599183670956E-2</v>
      </c>
      <c r="G229">
        <f t="shared" si="162"/>
        <v>5.4266191210399314E-2</v>
      </c>
      <c r="H229">
        <f t="shared" si="163"/>
        <v>-3.087326458789601</v>
      </c>
      <c r="J229">
        <f t="shared" si="164"/>
        <v>15</v>
      </c>
      <c r="M229">
        <f t="shared" si="165"/>
        <v>1.8614508745887319E-2</v>
      </c>
      <c r="N229">
        <f t="shared" si="166"/>
        <v>-1.5707963250000001</v>
      </c>
      <c r="O229">
        <f t="shared" si="167"/>
        <v>11.678206062559966</v>
      </c>
      <c r="P229">
        <f t="shared" si="168"/>
        <v>1.485061744292991</v>
      </c>
      <c r="Q229">
        <f t="shared" si="169"/>
        <v>7.6597469796719793</v>
      </c>
      <c r="R229">
        <f t="shared" si="170"/>
        <v>1.439869981861349</v>
      </c>
      <c r="S229">
        <f t="shared" si="171"/>
        <v>0.99992161198143259</v>
      </c>
      <c r="T229">
        <f t="shared" si="172"/>
        <v>-1.2521105598344996E-2</v>
      </c>
      <c r="U229">
        <f t="shared" si="173"/>
        <v>0.9806945202182249</v>
      </c>
      <c r="V229">
        <f t="shared" si="174"/>
        <v>-0.19681421945929306</v>
      </c>
      <c r="X229">
        <f t="shared" si="192"/>
        <v>-4.4988435524061279</v>
      </c>
      <c r="Y229">
        <f t="shared" si="175"/>
        <v>-110.59659857243506</v>
      </c>
      <c r="Z229">
        <f t="shared" si="193"/>
        <v>69.403401427564944</v>
      </c>
      <c r="AC229">
        <v>1</v>
      </c>
      <c r="AD229">
        <f t="shared" si="176"/>
        <v>11.635312494282751</v>
      </c>
      <c r="AE229">
        <f t="shared" si="177"/>
        <v>-4.8469824593764204E-4</v>
      </c>
      <c r="AF229">
        <f t="shared" si="178"/>
        <v>2.4308387288640002E-3</v>
      </c>
      <c r="AG229">
        <f t="shared" si="194"/>
        <v>4524.622444882295</v>
      </c>
      <c r="AH229">
        <f t="shared" si="195"/>
        <v>-1313.5698903632117</v>
      </c>
      <c r="AJ229">
        <f t="shared" si="179"/>
        <v>22100</v>
      </c>
      <c r="AK229">
        <f t="shared" si="180"/>
        <v>276.73089565457701</v>
      </c>
      <c r="AL229">
        <v>1</v>
      </c>
      <c r="AM229">
        <f t="shared" si="181"/>
        <v>7.5941901340823703</v>
      </c>
      <c r="AN229">
        <f t="shared" si="196"/>
        <v>412.49081283394423</v>
      </c>
      <c r="AO229">
        <f t="shared" si="197"/>
        <v>-2855.8027655685801</v>
      </c>
      <c r="AQ229">
        <f t="shared" si="182"/>
        <v>0.26297796244674698</v>
      </c>
      <c r="AR229">
        <f t="shared" si="183"/>
        <v>-51.280702677115656</v>
      </c>
      <c r="AT229">
        <f t="shared" si="209"/>
        <v>-66170.911001931308</v>
      </c>
      <c r="AU229">
        <f t="shared" si="210"/>
        <v>-232371.25825551219</v>
      </c>
      <c r="AV229">
        <f t="shared" si="198"/>
        <v>-1.8482169685818608</v>
      </c>
      <c r="AW229">
        <f t="shared" si="199"/>
        <v>-143875.42258357603</v>
      </c>
      <c r="AX229">
        <f t="shared" si="200"/>
        <v>-43739.932147948282</v>
      </c>
      <c r="AY229">
        <f t="shared" si="208"/>
        <v>-2.8464587105560635</v>
      </c>
      <c r="BA229">
        <f t="shared" si="184"/>
        <v>1.6066869278011802</v>
      </c>
      <c r="BB229">
        <f t="shared" si="201"/>
        <v>4.1186252045343767</v>
      </c>
      <c r="BC229">
        <f t="shared" si="202"/>
        <v>0.99824174197420268</v>
      </c>
      <c r="BD229">
        <f t="shared" si="185"/>
        <v>-122.804961185736</v>
      </c>
      <c r="BF229">
        <f t="shared" si="186"/>
        <v>-4.6390551730199672</v>
      </c>
      <c r="BG229">
        <f t="shared" si="187"/>
        <v>-118.99377257971756</v>
      </c>
      <c r="BH229">
        <f t="shared" si="203"/>
        <v>61.006227420282443</v>
      </c>
      <c r="BI229">
        <f t="shared" si="204"/>
        <v>61.006227420282443</v>
      </c>
      <c r="BJ229">
        <f t="shared" si="188"/>
        <v>0</v>
      </c>
      <c r="BK229">
        <f t="shared" si="205"/>
        <v>0</v>
      </c>
      <c r="BM229">
        <f t="shared" si="206"/>
        <v>-8.7576803775543421</v>
      </c>
      <c r="BN229">
        <f t="shared" si="189"/>
        <v>-176.18881139398152</v>
      </c>
      <c r="BQ229" s="56">
        <f t="shared" si="207"/>
        <v>21.020586004819513</v>
      </c>
      <c r="BR229" s="59"/>
      <c r="BS229" s="59"/>
      <c r="BT229" s="59">
        <v>15488.165999999999</v>
      </c>
      <c r="BU229" s="59">
        <v>-3.9822899999999999</v>
      </c>
      <c r="BV229" s="59">
        <v>-188.48099999999999</v>
      </c>
      <c r="BW229" s="61"/>
      <c r="BY229" s="59"/>
      <c r="BZ229" s="59"/>
      <c r="CA229" s="59"/>
      <c r="CC229" s="59"/>
    </row>
    <row r="230" spans="1:81" x14ac:dyDescent="0.2">
      <c r="A230">
        <f t="shared" si="190"/>
        <v>98000</v>
      </c>
      <c r="B230">
        <f t="shared" si="191"/>
        <v>98</v>
      </c>
      <c r="C230">
        <f t="shared" si="159"/>
        <v>1.0000758272694739</v>
      </c>
      <c r="D230">
        <f t="shared" si="160"/>
        <v>1.2314420676976634E-2</v>
      </c>
      <c r="F230">
        <f t="shared" si="161"/>
        <v>2.4068441365910381E-2</v>
      </c>
      <c r="G230">
        <f t="shared" si="162"/>
        <v>5.3976456498310163E-2</v>
      </c>
      <c r="H230">
        <f t="shared" si="163"/>
        <v>-3.0876161935016899</v>
      </c>
      <c r="J230">
        <f t="shared" si="164"/>
        <v>15</v>
      </c>
      <c r="M230">
        <f t="shared" si="165"/>
        <v>1.8519536762489932E-2</v>
      </c>
      <c r="N230">
        <f t="shared" si="166"/>
        <v>-1.5707963250000001</v>
      </c>
      <c r="O230">
        <f t="shared" si="167"/>
        <v>11.737656284721645</v>
      </c>
      <c r="P230">
        <f t="shared" si="168"/>
        <v>1.4854970415516691</v>
      </c>
      <c r="Q230">
        <f t="shared" si="169"/>
        <v>7.6983599117689954</v>
      </c>
      <c r="R230">
        <f t="shared" si="170"/>
        <v>1.440530423203302</v>
      </c>
      <c r="S230">
        <f t="shared" si="171"/>
        <v>0.99992080603601641</v>
      </c>
      <c r="T230">
        <f t="shared" si="172"/>
        <v>-1.2585309633560081E-2</v>
      </c>
      <c r="U230">
        <f t="shared" si="173"/>
        <v>0.98050177600907862</v>
      </c>
      <c r="V230">
        <f t="shared" si="174"/>
        <v>-0.19779746705453</v>
      </c>
      <c r="X230">
        <f t="shared" si="192"/>
        <v>-4.5480827134749946</v>
      </c>
      <c r="Y230">
        <f t="shared" si="175"/>
        <v>-110.60683305214941</v>
      </c>
      <c r="Z230">
        <f t="shared" si="193"/>
        <v>69.393166947850588</v>
      </c>
      <c r="AC230">
        <v>1</v>
      </c>
      <c r="AD230">
        <f t="shared" si="176"/>
        <v>11.6949807634842</v>
      </c>
      <c r="AE230">
        <f t="shared" si="177"/>
        <v>-4.896822568294663E-4</v>
      </c>
      <c r="AF230">
        <f t="shared" si="178"/>
        <v>2.4433045684992003E-3</v>
      </c>
      <c r="AG230">
        <f t="shared" si="194"/>
        <v>4522.8440948318821</v>
      </c>
      <c r="AH230">
        <f t="shared" si="195"/>
        <v>-1315.7412076627697</v>
      </c>
      <c r="AJ230">
        <f t="shared" si="179"/>
        <v>22100</v>
      </c>
      <c r="AK230">
        <f t="shared" si="180"/>
        <v>278.15002845280566</v>
      </c>
      <c r="AL230">
        <v>1</v>
      </c>
      <c r="AM230">
        <f t="shared" si="181"/>
        <v>7.6331346988725368</v>
      </c>
      <c r="AN230">
        <f t="shared" si="196"/>
        <v>408.72792919859228</v>
      </c>
      <c r="AO230">
        <f t="shared" si="197"/>
        <v>-2841.7253103112866</v>
      </c>
      <c r="AQ230">
        <f t="shared" si="182"/>
        <v>0.26030142905484549</v>
      </c>
      <c r="AR230">
        <f t="shared" si="183"/>
        <v>-51.019080094749718</v>
      </c>
      <c r="AT230">
        <f t="shared" si="209"/>
        <v>-65950.603276432565</v>
      </c>
      <c r="AU230">
        <f t="shared" si="210"/>
        <v>-231093.83444691455</v>
      </c>
      <c r="AV230">
        <f t="shared" si="198"/>
        <v>-1.848791082545739</v>
      </c>
      <c r="AW230">
        <f t="shared" si="199"/>
        <v>-142424.8127589543</v>
      </c>
      <c r="AX230">
        <f t="shared" si="200"/>
        <v>-43321.287431408142</v>
      </c>
      <c r="AY230">
        <f t="shared" si="208"/>
        <v>-2.8463150115199127</v>
      </c>
      <c r="BA230">
        <f t="shared" si="184"/>
        <v>1.6143223723748124</v>
      </c>
      <c r="BB230">
        <f t="shared" si="201"/>
        <v>4.1598053111095465</v>
      </c>
      <c r="BC230">
        <f t="shared" si="202"/>
        <v>0.99752392897417375</v>
      </c>
      <c r="BD230">
        <f t="shared" si="185"/>
        <v>-122.84608884116429</v>
      </c>
      <c r="BF230">
        <f t="shared" si="186"/>
        <v>-4.6887515661765926</v>
      </c>
      <c r="BG230">
        <f t="shared" si="187"/>
        <v>-119.04790135446015</v>
      </c>
      <c r="BH230">
        <f t="shared" si="203"/>
        <v>60.952098645539849</v>
      </c>
      <c r="BI230">
        <f t="shared" si="204"/>
        <v>60.952098645539849</v>
      </c>
      <c r="BJ230">
        <f t="shared" si="188"/>
        <v>0</v>
      </c>
      <c r="BK230">
        <f t="shared" si="205"/>
        <v>0</v>
      </c>
      <c r="BM230">
        <f t="shared" si="206"/>
        <v>-8.8485568772861374</v>
      </c>
      <c r="BN230">
        <f t="shared" si="189"/>
        <v>-176.20181251329586</v>
      </c>
      <c r="BQ230" s="56">
        <f t="shared" si="207"/>
        <v>21.061766111394682</v>
      </c>
      <c r="BR230" s="59"/>
      <c r="BS230" s="59"/>
      <c r="BT230" s="59">
        <v>15848.932000000001</v>
      </c>
      <c r="BU230" s="59">
        <v>-3.9450400000000001</v>
      </c>
      <c r="BV230" s="59">
        <v>-186.14400000000001</v>
      </c>
      <c r="BW230" s="61"/>
      <c r="BY230" s="59"/>
      <c r="BZ230" s="59"/>
      <c r="CA230" s="59"/>
      <c r="CC230" s="59"/>
    </row>
    <row r="231" spans="1:81" x14ac:dyDescent="0.2">
      <c r="A231">
        <f t="shared" si="190"/>
        <v>98500</v>
      </c>
      <c r="B231">
        <f t="shared" si="191"/>
        <v>98.5</v>
      </c>
      <c r="C231">
        <f t="shared" si="159"/>
        <v>1.0000766029612584</v>
      </c>
      <c r="D231">
        <f t="shared" si="160"/>
        <v>1.2377242953638928E-2</v>
      </c>
      <c r="F231">
        <f t="shared" si="161"/>
        <v>2.3819244092216588E-2</v>
      </c>
      <c r="G231">
        <f t="shared" si="162"/>
        <v>5.3689863404463474E-2</v>
      </c>
      <c r="H231">
        <f t="shared" si="163"/>
        <v>-3.0879027865955369</v>
      </c>
      <c r="J231">
        <f t="shared" si="164"/>
        <v>15</v>
      </c>
      <c r="M231">
        <f t="shared" si="165"/>
        <v>1.8425528961665112E-2</v>
      </c>
      <c r="N231">
        <f t="shared" si="166"/>
        <v>-1.5707963250000001</v>
      </c>
      <c r="O231">
        <f t="shared" si="167"/>
        <v>11.797108708561506</v>
      </c>
      <c r="P231">
        <f t="shared" si="168"/>
        <v>1.485927951464231</v>
      </c>
      <c r="Q231">
        <f t="shared" si="169"/>
        <v>7.7369761682406155</v>
      </c>
      <c r="R231">
        <f t="shared" si="170"/>
        <v>1.4411842721304498</v>
      </c>
      <c r="S231">
        <f t="shared" si="171"/>
        <v>0.9999199959700813</v>
      </c>
      <c r="T231">
        <f t="shared" si="172"/>
        <v>-1.2649513565012581E-2</v>
      </c>
      <c r="U231">
        <f t="shared" si="173"/>
        <v>0.98030816036926527</v>
      </c>
      <c r="V231">
        <f t="shared" si="174"/>
        <v>-0.19878032728396963</v>
      </c>
      <c r="X231">
        <f t="shared" si="192"/>
        <v>-4.5970564575652242</v>
      </c>
      <c r="Y231">
        <f t="shared" si="175"/>
        <v>-110.61749442955818</v>
      </c>
      <c r="Z231">
        <f t="shared" si="193"/>
        <v>69.382505570441822</v>
      </c>
      <c r="AC231">
        <v>1</v>
      </c>
      <c r="AD231">
        <f t="shared" si="176"/>
        <v>11.75464903268565</v>
      </c>
      <c r="AE231">
        <f t="shared" si="177"/>
        <v>-4.9469176138314133E-4</v>
      </c>
      <c r="AF231">
        <f t="shared" si="178"/>
        <v>2.4557704081344003E-3</v>
      </c>
      <c r="AG231">
        <f t="shared" si="194"/>
        <v>4521.0580564689853</v>
      </c>
      <c r="AH231">
        <f t="shared" si="195"/>
        <v>-1317.9286477878895</v>
      </c>
      <c r="AJ231">
        <f t="shared" si="179"/>
        <v>22100</v>
      </c>
      <c r="AK231">
        <f t="shared" si="180"/>
        <v>279.56916125103425</v>
      </c>
      <c r="AL231">
        <v>1</v>
      </c>
      <c r="AM231">
        <f t="shared" si="181"/>
        <v>7.6720792636627024</v>
      </c>
      <c r="AN231">
        <f t="shared" si="196"/>
        <v>405.02092642396951</v>
      </c>
      <c r="AO231">
        <f t="shared" si="197"/>
        <v>-2827.7834897157595</v>
      </c>
      <c r="AQ231">
        <f t="shared" si="182"/>
        <v>0.25766555011594949</v>
      </c>
      <c r="AR231">
        <f t="shared" si="183"/>
        <v>-50.760113372842049</v>
      </c>
      <c r="AT231">
        <f t="shared" si="209"/>
        <v>-65733.286667803462</v>
      </c>
      <c r="AU231">
        <f t="shared" si="210"/>
        <v>-229829.00432161248</v>
      </c>
      <c r="AV231">
        <f t="shared" si="198"/>
        <v>-1.8493689308762331</v>
      </c>
      <c r="AW231">
        <f t="shared" si="199"/>
        <v>-140995.73354139141</v>
      </c>
      <c r="AX231">
        <f t="shared" si="200"/>
        <v>-42909.826302698457</v>
      </c>
      <c r="AY231">
        <f t="shared" si="208"/>
        <v>-2.8461642709921584</v>
      </c>
      <c r="BA231">
        <f t="shared" si="184"/>
        <v>1.6219527846724981</v>
      </c>
      <c r="BB231">
        <f t="shared" si="201"/>
        <v>4.2007641534256832</v>
      </c>
      <c r="BC231">
        <f t="shared" si="202"/>
        <v>0.9967953401159253</v>
      </c>
      <c r="BD231">
        <f t="shared" si="185"/>
        <v>-122.88783390778988</v>
      </c>
      <c r="BF231">
        <f t="shared" si="186"/>
        <v>-4.7381858269600636</v>
      </c>
      <c r="BG231">
        <f t="shared" si="187"/>
        <v>-119.10246754450327</v>
      </c>
      <c r="BH231">
        <f t="shared" si="203"/>
        <v>60.89753245549673</v>
      </c>
      <c r="BI231">
        <f t="shared" si="204"/>
        <v>60.89753245549673</v>
      </c>
      <c r="BJ231">
        <f t="shared" si="188"/>
        <v>0</v>
      </c>
      <c r="BK231">
        <f t="shared" si="205"/>
        <v>0</v>
      </c>
      <c r="BM231">
        <f t="shared" si="206"/>
        <v>-8.9389499803857468</v>
      </c>
      <c r="BN231">
        <f t="shared" si="189"/>
        <v>-176.21463363671342</v>
      </c>
      <c r="BQ231" s="56">
        <f t="shared" si="207"/>
        <v>21.102724953710819</v>
      </c>
      <c r="BR231" s="59"/>
      <c r="BS231" s="59"/>
      <c r="BT231" s="59">
        <v>16218.101000000001</v>
      </c>
      <c r="BU231" s="59">
        <v>-3.9639700000000002</v>
      </c>
      <c r="BV231" s="59">
        <v>-185.626</v>
      </c>
      <c r="BW231" s="61"/>
      <c r="BY231" s="59"/>
      <c r="BZ231" s="59"/>
      <c r="CA231" s="59"/>
      <c r="CC231" s="59"/>
    </row>
    <row r="232" spans="1:81" x14ac:dyDescent="0.2">
      <c r="A232">
        <f t="shared" si="190"/>
        <v>99000</v>
      </c>
      <c r="B232">
        <f t="shared" si="191"/>
        <v>99</v>
      </c>
      <c r="C232">
        <f t="shared" si="159"/>
        <v>1.0000773825999778</v>
      </c>
      <c r="D232">
        <f t="shared" si="160"/>
        <v>1.2440065132599378E-2</v>
      </c>
      <c r="F232">
        <f t="shared" si="161"/>
        <v>2.3573924604092196E-2</v>
      </c>
      <c r="G232">
        <f t="shared" si="162"/>
        <v>5.3406360170365222E-2</v>
      </c>
      <c r="H232">
        <f t="shared" si="163"/>
        <v>-3.0881862898296348</v>
      </c>
      <c r="J232">
        <f t="shared" si="164"/>
        <v>15</v>
      </c>
      <c r="M232">
        <f t="shared" si="165"/>
        <v>1.8332470734585993E-2</v>
      </c>
      <c r="N232">
        <f t="shared" si="166"/>
        <v>-1.5707963250000001</v>
      </c>
      <c r="O232">
        <f t="shared" si="167"/>
        <v>11.856563300959893</v>
      </c>
      <c r="P232">
        <f t="shared" si="168"/>
        <v>1.4863545398703164</v>
      </c>
      <c r="Q232">
        <f t="shared" si="169"/>
        <v>7.775595699556912</v>
      </c>
      <c r="R232">
        <f t="shared" si="170"/>
        <v>1.4418316263083817</v>
      </c>
      <c r="S232">
        <f t="shared" si="171"/>
        <v>0.9999191817836568</v>
      </c>
      <c r="T232">
        <f t="shared" si="172"/>
        <v>-1.2713717392173435E-2</v>
      </c>
      <c r="U232">
        <f t="shared" si="173"/>
        <v>0.98011367493679347</v>
      </c>
      <c r="V232">
        <f t="shared" si="174"/>
        <v>-0.19976279847869147</v>
      </c>
      <c r="X232">
        <f t="shared" si="192"/>
        <v>-4.6457680254679445</v>
      </c>
      <c r="Y232">
        <f t="shared" si="175"/>
        <v>-110.62857620642077</v>
      </c>
      <c r="Z232">
        <f t="shared" si="193"/>
        <v>69.371423793579226</v>
      </c>
      <c r="AC232">
        <v>1</v>
      </c>
      <c r="AD232">
        <f t="shared" si="176"/>
        <v>11.814317301887101</v>
      </c>
      <c r="AE232">
        <f t="shared" si="177"/>
        <v>-4.9972675959866709E-4</v>
      </c>
      <c r="AF232">
        <f t="shared" si="178"/>
        <v>2.4682362477696004E-3</v>
      </c>
      <c r="AG232">
        <f t="shared" si="194"/>
        <v>4519.2643496617357</v>
      </c>
      <c r="AH232">
        <f t="shared" si="195"/>
        <v>-1320.1318683212185</v>
      </c>
      <c r="AJ232">
        <f t="shared" si="179"/>
        <v>22100</v>
      </c>
      <c r="AK232">
        <f t="shared" si="180"/>
        <v>280.98829404926283</v>
      </c>
      <c r="AL232">
        <v>1</v>
      </c>
      <c r="AM232">
        <f t="shared" si="181"/>
        <v>7.711023828452868</v>
      </c>
      <c r="AN232">
        <f t="shared" si="196"/>
        <v>401.36870973168146</v>
      </c>
      <c r="AO232">
        <f t="shared" si="197"/>
        <v>-2813.9753906871156</v>
      </c>
      <c r="AQ232">
        <f t="shared" si="182"/>
        <v>0.25506950644050502</v>
      </c>
      <c r="AR232">
        <f t="shared" si="183"/>
        <v>-50.503762275219998</v>
      </c>
      <c r="AT232">
        <f t="shared" si="209"/>
        <v>-65518.899522494459</v>
      </c>
      <c r="AU232">
        <f t="shared" si="210"/>
        <v>-228576.57775828207</v>
      </c>
      <c r="AV232">
        <f t="shared" si="198"/>
        <v>-1.8499504500890955</v>
      </c>
      <c r="AW232">
        <f t="shared" si="199"/>
        <v>-139587.76367569383</v>
      </c>
      <c r="AX232">
        <f t="shared" si="200"/>
        <v>-42505.382916129747</v>
      </c>
      <c r="AY232">
        <f t="shared" si="208"/>
        <v>-2.8460065903430771</v>
      </c>
      <c r="BA232">
        <f t="shared" si="184"/>
        <v>1.6295781196104799</v>
      </c>
      <c r="BB232">
        <f t="shared" si="201"/>
        <v>4.2415036949498424</v>
      </c>
      <c r="BC232">
        <f t="shared" si="202"/>
        <v>0.99605614025398159</v>
      </c>
      <c r="BD232">
        <f t="shared" si="185"/>
        <v>-122.9301869401443</v>
      </c>
      <c r="BF232">
        <f t="shared" si="186"/>
        <v>-4.7873612091331754</v>
      </c>
      <c r="BG232">
        <f t="shared" si="187"/>
        <v>-119.15746466995</v>
      </c>
      <c r="BH232">
        <f t="shared" si="203"/>
        <v>60.842535330049998</v>
      </c>
      <c r="BI232">
        <f t="shared" si="204"/>
        <v>60.842535330049998</v>
      </c>
      <c r="BJ232">
        <f t="shared" si="188"/>
        <v>0</v>
      </c>
      <c r="BK232">
        <f t="shared" si="205"/>
        <v>0</v>
      </c>
      <c r="BM232">
        <f t="shared" si="206"/>
        <v>-9.0288649040830187</v>
      </c>
      <c r="BN232">
        <f t="shared" si="189"/>
        <v>-176.22727772980571</v>
      </c>
      <c r="BQ232" s="56">
        <f t="shared" si="207"/>
        <v>21.14346449523498</v>
      </c>
      <c r="BR232" s="59"/>
      <c r="BS232" s="59"/>
      <c r="BT232" s="59">
        <v>16595.868999999999</v>
      </c>
      <c r="BU232" s="59">
        <v>-3.91065</v>
      </c>
      <c r="BV232" s="59">
        <v>-184.43100000000001</v>
      </c>
      <c r="BW232" s="61"/>
      <c r="BY232" s="59"/>
      <c r="BZ232" s="59"/>
      <c r="CA232" s="59"/>
      <c r="CC232" s="59"/>
    </row>
    <row r="233" spans="1:81" x14ac:dyDescent="0.2">
      <c r="A233">
        <f t="shared" si="190"/>
        <v>99500</v>
      </c>
      <c r="B233">
        <f t="shared" si="191"/>
        <v>99.5</v>
      </c>
      <c r="C233">
        <f t="shared" si="159"/>
        <v>1.0000781661856226</v>
      </c>
      <c r="D233">
        <f t="shared" si="160"/>
        <v>1.2502887213362342E-2</v>
      </c>
      <c r="F233">
        <f t="shared" si="161"/>
        <v>2.3332402307737379E-2</v>
      </c>
      <c r="G233">
        <f t="shared" si="162"/>
        <v>5.3125896186026304E-2</v>
      </c>
      <c r="H233">
        <f t="shared" si="163"/>
        <v>-3.0884667538139738</v>
      </c>
      <c r="J233">
        <f t="shared" si="164"/>
        <v>15</v>
      </c>
      <c r="M233">
        <f t="shared" si="165"/>
        <v>1.8240347766070485E-2</v>
      </c>
      <c r="N233">
        <f t="shared" si="166"/>
        <v>-1.5707963250000001</v>
      </c>
      <c r="O233">
        <f t="shared" si="167"/>
        <v>11.916020029456948</v>
      </c>
      <c r="P233">
        <f t="shared" si="168"/>
        <v>1.4867768713018623</v>
      </c>
      <c r="Q233">
        <f t="shared" si="169"/>
        <v>7.8142184571629443</v>
      </c>
      <c r="R233">
        <f t="shared" si="170"/>
        <v>1.44247258149381</v>
      </c>
      <c r="S233">
        <f t="shared" si="171"/>
        <v>0.99991836347677343</v>
      </c>
      <c r="T233">
        <f t="shared" si="172"/>
        <v>-1.2777921114513585E-2</v>
      </c>
      <c r="U233">
        <f t="shared" si="173"/>
        <v>0.97991832135526469</v>
      </c>
      <c r="V233">
        <f t="shared" si="174"/>
        <v>-0.20074487897410009</v>
      </c>
      <c r="X233">
        <f t="shared" si="192"/>
        <v>-4.6942205990542103</v>
      </c>
      <c r="Y233">
        <f t="shared" si="175"/>
        <v>-110.64007200323678</v>
      </c>
      <c r="Z233">
        <f t="shared" si="193"/>
        <v>69.359927996763219</v>
      </c>
      <c r="AC233">
        <v>1</v>
      </c>
      <c r="AD233">
        <f t="shared" si="176"/>
        <v>11.87398557108855</v>
      </c>
      <c r="AE233">
        <f t="shared" si="177"/>
        <v>-5.0478725147604369E-4</v>
      </c>
      <c r="AF233">
        <f t="shared" si="178"/>
        <v>2.4807020874048004E-3</v>
      </c>
      <c r="AG233">
        <f t="shared" si="194"/>
        <v>4517.4629943392165</v>
      </c>
      <c r="AH233">
        <f t="shared" si="195"/>
        <v>-1322.350533428621</v>
      </c>
      <c r="AJ233">
        <f t="shared" si="179"/>
        <v>22100</v>
      </c>
      <c r="AK233">
        <f t="shared" si="180"/>
        <v>282.40742684749142</v>
      </c>
      <c r="AL233">
        <v>1</v>
      </c>
      <c r="AM233">
        <f t="shared" si="181"/>
        <v>7.7499683932430345</v>
      </c>
      <c r="AN233">
        <f t="shared" si="196"/>
        <v>397.77021086913777</v>
      </c>
      <c r="AO233">
        <f t="shared" si="197"/>
        <v>-2800.299135161943</v>
      </c>
      <c r="AQ233">
        <f t="shared" si="182"/>
        <v>0.25251249936871878</v>
      </c>
      <c r="AR233">
        <f t="shared" si="183"/>
        <v>-50.249987374375031</v>
      </c>
      <c r="AT233">
        <f t="shared" si="209"/>
        <v>-65307.381737780008</v>
      </c>
      <c r="AU233">
        <f t="shared" si="210"/>
        <v>-227336.36846798967</v>
      </c>
      <c r="AV233">
        <f t="shared" si="198"/>
        <v>-1.8505355779312185</v>
      </c>
      <c r="AW233">
        <f t="shared" si="199"/>
        <v>-138200.49209761029</v>
      </c>
      <c r="AX233">
        <f t="shared" si="200"/>
        <v>-42107.796133021388</v>
      </c>
      <c r="AY233">
        <f t="shared" si="208"/>
        <v>-2.845842068963222</v>
      </c>
      <c r="BA233">
        <f t="shared" si="184"/>
        <v>1.6371983324469637</v>
      </c>
      <c r="BB233">
        <f t="shared" si="201"/>
        <v>4.2820258725375586</v>
      </c>
      <c r="BC233">
        <f t="shared" si="202"/>
        <v>0.99530649103200353</v>
      </c>
      <c r="BD233">
        <f t="shared" si="185"/>
        <v>-122.97313867672798</v>
      </c>
      <c r="BF233">
        <f t="shared" si="186"/>
        <v>-4.836280907568276</v>
      </c>
      <c r="BG233">
        <f t="shared" si="187"/>
        <v>-119.21288636906804</v>
      </c>
      <c r="BH233">
        <f t="shared" si="203"/>
        <v>60.787113630931955</v>
      </c>
      <c r="BI233">
        <f t="shared" si="204"/>
        <v>60.787113630931955</v>
      </c>
      <c r="BJ233">
        <f t="shared" si="188"/>
        <v>0</v>
      </c>
      <c r="BK233">
        <f t="shared" si="205"/>
        <v>0</v>
      </c>
      <c r="BM233">
        <f t="shared" si="206"/>
        <v>-9.1183067801058346</v>
      </c>
      <c r="BN233">
        <f t="shared" si="189"/>
        <v>-176.23974769234007</v>
      </c>
      <c r="BQ233" s="56">
        <f t="shared" si="207"/>
        <v>21.183986672822694</v>
      </c>
      <c r="BR233" s="59"/>
      <c r="BS233" s="59"/>
      <c r="BT233" s="59">
        <v>16982.437000000002</v>
      </c>
      <c r="BU233" s="59">
        <v>-3.9488799999999999</v>
      </c>
      <c r="BV233" s="59">
        <v>-182.72200000000001</v>
      </c>
      <c r="BW233" s="61"/>
      <c r="BY233" s="59"/>
      <c r="BZ233" s="59"/>
      <c r="CA233" s="59"/>
      <c r="CC233" s="59"/>
    </row>
    <row r="234" spans="1:81" x14ac:dyDescent="0.2">
      <c r="A234">
        <f t="shared" si="190"/>
        <v>100000</v>
      </c>
      <c r="B234">
        <f t="shared" si="191"/>
        <v>100</v>
      </c>
      <c r="C234">
        <f t="shared" si="159"/>
        <v>1.0000789537181833</v>
      </c>
      <c r="D234">
        <f t="shared" si="160"/>
        <v>1.2565709195432187E-2</v>
      </c>
      <c r="F234">
        <f t="shared" si="161"/>
        <v>2.3094598706031626E-2</v>
      </c>
      <c r="G234">
        <f t="shared" si="162"/>
        <v>5.2848421957872066E-2</v>
      </c>
      <c r="H234">
        <f t="shared" si="163"/>
        <v>-3.088744228042128</v>
      </c>
      <c r="J234">
        <f t="shared" si="164"/>
        <v>15</v>
      </c>
      <c r="M234">
        <f t="shared" si="165"/>
        <v>1.8149146027240132E-2</v>
      </c>
      <c r="N234">
        <f t="shared" si="166"/>
        <v>-1.5707963250000001</v>
      </c>
      <c r="O234">
        <f t="shared" si="167"/>
        <v>11.975478862236296</v>
      </c>
      <c r="P234">
        <f t="shared" si="168"/>
        <v>1.4871950090153327</v>
      </c>
      <c r="Q234">
        <f t="shared" si="169"/>
        <v>7.8528443934549923</v>
      </c>
      <c r="R234">
        <f t="shared" si="170"/>
        <v>1.4431072315807134</v>
      </c>
      <c r="S234">
        <f t="shared" si="171"/>
        <v>0.99991754104946162</v>
      </c>
      <c r="T234">
        <f t="shared" si="172"/>
        <v>-1.2842124731503977E-2</v>
      </c>
      <c r="U234">
        <f t="shared" si="173"/>
        <v>0.97972210127383585</v>
      </c>
      <c r="V234">
        <f t="shared" si="174"/>
        <v>-0.20172656710993833</v>
      </c>
      <c r="X234">
        <f t="shared" si="192"/>
        <v>-4.7424173027025933</v>
      </c>
      <c r="Y234">
        <f t="shared" si="175"/>
        <v>-110.65197555659437</v>
      </c>
      <c r="Z234">
        <f t="shared" si="193"/>
        <v>69.348024443405635</v>
      </c>
      <c r="AC234">
        <v>1</v>
      </c>
      <c r="AD234">
        <f t="shared" si="176"/>
        <v>11.933653840290001</v>
      </c>
      <c r="AE234">
        <f t="shared" si="177"/>
        <v>-5.0987323701527111E-4</v>
      </c>
      <c r="AF234">
        <f t="shared" si="178"/>
        <v>2.4931679270400004E-3</v>
      </c>
      <c r="AG234">
        <f t="shared" si="194"/>
        <v>4515.6540104909491</v>
      </c>
      <c r="AH234">
        <f t="shared" si="195"/>
        <v>-1324.5843136971444</v>
      </c>
      <c r="AJ234">
        <f t="shared" si="179"/>
        <v>22100</v>
      </c>
      <c r="AK234">
        <f t="shared" si="180"/>
        <v>283.82655964572007</v>
      </c>
      <c r="AL234">
        <v>1</v>
      </c>
      <c r="AM234">
        <f t="shared" si="181"/>
        <v>7.7889129580332002</v>
      </c>
      <c r="AN234">
        <f t="shared" si="196"/>
        <v>394.22438734654372</v>
      </c>
      <c r="AO234">
        <f t="shared" si="197"/>
        <v>-2786.7528793304737</v>
      </c>
      <c r="AQ234">
        <f t="shared" si="182"/>
        <v>0.24999375015624609</v>
      </c>
      <c r="AR234">
        <f t="shared" si="183"/>
        <v>-49.998750031249216</v>
      </c>
      <c r="AT234">
        <f t="shared" si="209"/>
        <v>-65098.674715366593</v>
      </c>
      <c r="AU234">
        <f t="shared" si="210"/>
        <v>-226108.19389812427</v>
      </c>
      <c r="AV234">
        <f t="shared" si="198"/>
        <v>-1.8511242533504404</v>
      </c>
      <c r="AW234">
        <f t="shared" si="199"/>
        <v>-136833.5176412382</v>
      </c>
      <c r="AX234">
        <f t="shared" si="200"/>
        <v>-41716.909364718726</v>
      </c>
      <c r="AY234">
        <f t="shared" si="208"/>
        <v>-2.8456708043115908</v>
      </c>
      <c r="BA234">
        <f t="shared" si="184"/>
        <v>1.644813378774638</v>
      </c>
      <c r="BB234">
        <f t="shared" si="201"/>
        <v>4.3223325968917843</v>
      </c>
      <c r="BC234">
        <f t="shared" si="202"/>
        <v>0.99454655096115041</v>
      </c>
      <c r="BD234">
        <f t="shared" si="185"/>
        <v>-123.01668003552049</v>
      </c>
      <c r="BF234">
        <f t="shared" si="186"/>
        <v>-4.8849480596742936</v>
      </c>
      <c r="BG234">
        <f t="shared" si="187"/>
        <v>-119.26872639563827</v>
      </c>
      <c r="BH234">
        <f t="shared" si="203"/>
        <v>60.731273604361732</v>
      </c>
      <c r="BI234">
        <f t="shared" si="204"/>
        <v>60.731273604361732</v>
      </c>
      <c r="BJ234">
        <f t="shared" si="188"/>
        <v>0</v>
      </c>
      <c r="BK234">
        <f t="shared" si="205"/>
        <v>0</v>
      </c>
      <c r="BM234">
        <f t="shared" si="206"/>
        <v>-9.207280656566077</v>
      </c>
      <c r="BN234">
        <f t="shared" si="189"/>
        <v>-176.25204636011776</v>
      </c>
      <c r="BQ234" s="56">
        <f t="shared" si="207"/>
        <v>21.224293397176922</v>
      </c>
      <c r="BR234" s="59"/>
      <c r="BS234" s="59"/>
      <c r="BT234" s="59">
        <v>17378.008000000002</v>
      </c>
      <c r="BU234" s="59">
        <v>-3.8028900000000001</v>
      </c>
      <c r="BV234" s="59">
        <v>-181.726</v>
      </c>
      <c r="BW234" s="61"/>
      <c r="BY234" s="59"/>
      <c r="BZ234" s="59"/>
      <c r="CA234" s="59"/>
      <c r="CC234" s="59"/>
    </row>
    <row r="235" spans="1:81" x14ac:dyDescent="0.2">
      <c r="A235">
        <f>A234+5000</f>
        <v>105000</v>
      </c>
      <c r="B235">
        <f t="shared" si="191"/>
        <v>105</v>
      </c>
      <c r="C235">
        <f t="shared" si="159"/>
        <v>1.000087046122105</v>
      </c>
      <c r="D235">
        <f t="shared" si="160"/>
        <v>1.3193923478971964E-2</v>
      </c>
      <c r="F235">
        <f t="shared" si="161"/>
        <v>2.0905196326802589E-2</v>
      </c>
      <c r="G235">
        <f t="shared" si="162"/>
        <v>5.0227966820066965E-2</v>
      </c>
      <c r="H235">
        <f t="shared" si="163"/>
        <v>-3.0913646831799331</v>
      </c>
      <c r="J235">
        <f t="shared" si="164"/>
        <v>15</v>
      </c>
      <c r="M235">
        <f t="shared" si="165"/>
        <v>1.7284900978323938E-2</v>
      </c>
      <c r="N235">
        <f t="shared" si="166"/>
        <v>-1.5707963250000001</v>
      </c>
      <c r="O235">
        <f t="shared" si="167"/>
        <v>12.570176355676352</v>
      </c>
      <c r="P235">
        <f t="shared" si="168"/>
        <v>1.4911587961014592</v>
      </c>
      <c r="Q235">
        <f t="shared" si="169"/>
        <v>8.2392687471200254</v>
      </c>
      <c r="R235">
        <f t="shared" si="170"/>
        <v>1.449126362875204</v>
      </c>
      <c r="S235">
        <f t="shared" si="171"/>
        <v>0.99990909015955876</v>
      </c>
      <c r="T235">
        <f t="shared" si="172"/>
        <v>-1.3484154990783443E-2</v>
      </c>
      <c r="U235">
        <f t="shared" si="173"/>
        <v>0.97771260967890661</v>
      </c>
      <c r="V235">
        <f t="shared" si="174"/>
        <v>-0.21152150656303384</v>
      </c>
      <c r="X235">
        <f t="shared" si="192"/>
        <v>-5.2109604006490384</v>
      </c>
      <c r="Y235">
        <f t="shared" si="175"/>
        <v>-110.79213777446952</v>
      </c>
      <c r="Z235">
        <f t="shared" si="193"/>
        <v>69.207862225530477</v>
      </c>
      <c r="AC235">
        <v>1</v>
      </c>
      <c r="AD235">
        <f t="shared" si="176"/>
        <v>12.530336532304501</v>
      </c>
      <c r="AE235">
        <f t="shared" si="177"/>
        <v>-5.6213524380933639E-4</v>
      </c>
      <c r="AF235">
        <f t="shared" si="178"/>
        <v>2.6178263233920004E-3</v>
      </c>
      <c r="AG235">
        <f t="shared" si="194"/>
        <v>4497.1490429494552</v>
      </c>
      <c r="AH235">
        <f t="shared" si="195"/>
        <v>-1347.6852693321407</v>
      </c>
      <c r="AJ235">
        <f t="shared" si="179"/>
        <v>22100</v>
      </c>
      <c r="AK235">
        <f t="shared" si="180"/>
        <v>298.01788762800606</v>
      </c>
      <c r="AL235">
        <v>1</v>
      </c>
      <c r="AM235">
        <f t="shared" si="181"/>
        <v>8.1783586059348607</v>
      </c>
      <c r="AN235">
        <f t="shared" si="196"/>
        <v>361.45096182224665</v>
      </c>
      <c r="AO235">
        <f t="shared" si="197"/>
        <v>-2658.0576966143976</v>
      </c>
      <c r="AQ235">
        <f t="shared" si="182"/>
        <v>0.22675222784063853</v>
      </c>
      <c r="AR235">
        <f t="shared" si="183"/>
        <v>-47.617967846534093</v>
      </c>
      <c r="AT235">
        <f t="shared" si="209"/>
        <v>-63154.295257885329</v>
      </c>
      <c r="AU235">
        <f t="shared" si="210"/>
        <v>-214450.6891654878</v>
      </c>
      <c r="AV235">
        <f t="shared" si="198"/>
        <v>-1.8571934952822067</v>
      </c>
      <c r="AW235">
        <f t="shared" si="199"/>
        <v>-124198.39608505438</v>
      </c>
      <c r="AX235">
        <f t="shared" si="200"/>
        <v>-38145.060360966032</v>
      </c>
      <c r="AY235">
        <f t="shared" si="208"/>
        <v>-2.8436074275429442</v>
      </c>
      <c r="BA235">
        <f t="shared" si="184"/>
        <v>1.7206701397425082</v>
      </c>
      <c r="BB235">
        <f t="shared" si="201"/>
        <v>4.7139524417608571</v>
      </c>
      <c r="BC235">
        <f t="shared" si="202"/>
        <v>0.98641393226073748</v>
      </c>
      <c r="BD235">
        <f t="shared" si="185"/>
        <v>-123.48264476397577</v>
      </c>
      <c r="BF235">
        <f t="shared" si="186"/>
        <v>-5.3583813271827996</v>
      </c>
      <c r="BG235">
        <f t="shared" si="187"/>
        <v>-119.84883811694692</v>
      </c>
      <c r="BH235">
        <f t="shared" si="203"/>
        <v>60.151161883053078</v>
      </c>
      <c r="BI235">
        <f t="shared" si="204"/>
        <v>60.151161883053078</v>
      </c>
      <c r="BJ235">
        <f t="shared" si="188"/>
        <v>0</v>
      </c>
      <c r="BK235">
        <f t="shared" si="205"/>
        <v>0</v>
      </c>
      <c r="BM235">
        <f t="shared" si="206"/>
        <v>-10.072333768943656</v>
      </c>
      <c r="BN235">
        <f t="shared" si="189"/>
        <v>-176.36619335297112</v>
      </c>
      <c r="BQ235" s="56">
        <f t="shared" si="207"/>
        <v>21.615913242045998</v>
      </c>
      <c r="BR235" s="59"/>
      <c r="BS235" s="59"/>
      <c r="BT235" s="59">
        <v>17782.794000000002</v>
      </c>
      <c r="BU235" s="59">
        <v>-3.8474200000000001</v>
      </c>
      <c r="BV235" s="59">
        <v>-180.351</v>
      </c>
      <c r="BW235" s="61"/>
      <c r="BY235" s="59"/>
      <c r="BZ235" s="59"/>
      <c r="CA235" s="59"/>
      <c r="CC235" s="59"/>
    </row>
    <row r="236" spans="1:81" x14ac:dyDescent="0.2">
      <c r="A236">
        <f t="shared" ref="A236:A299" si="211">A235+5000</f>
        <v>110000</v>
      </c>
      <c r="B236">
        <f t="shared" si="191"/>
        <v>110</v>
      </c>
      <c r="C236">
        <f t="shared" si="159"/>
        <v>1.0000955332070873</v>
      </c>
      <c r="D236">
        <f t="shared" si="160"/>
        <v>1.3822127348033557E-2</v>
      </c>
      <c r="F236">
        <f t="shared" si="161"/>
        <v>1.901463847898166E-2</v>
      </c>
      <c r="G236">
        <f t="shared" si="162"/>
        <v>4.7859260847382547E-2</v>
      </c>
      <c r="H236">
        <f t="shared" si="163"/>
        <v>-3.0937333891526175</v>
      </c>
      <c r="J236">
        <f t="shared" si="164"/>
        <v>15</v>
      </c>
      <c r="M236">
        <f t="shared" si="165"/>
        <v>1.6499223661127393E-2</v>
      </c>
      <c r="N236">
        <f t="shared" si="166"/>
        <v>-1.5707963250000001</v>
      </c>
      <c r="O236">
        <f t="shared" si="167"/>
        <v>13.165053502194386</v>
      </c>
      <c r="P236">
        <f t="shared" si="168"/>
        <v>1.4947644196568788</v>
      </c>
      <c r="Q236">
        <f t="shared" si="169"/>
        <v>8.625964858035255</v>
      </c>
      <c r="R236">
        <f t="shared" si="170"/>
        <v>1.4546060110476233</v>
      </c>
      <c r="S236">
        <f t="shared" si="171"/>
        <v>0.99990022726132366</v>
      </c>
      <c r="T236">
        <f t="shared" si="172"/>
        <v>-1.4126174133168808E-2</v>
      </c>
      <c r="U236">
        <f t="shared" si="173"/>
        <v>0.97561832200932241</v>
      </c>
      <c r="V236">
        <f t="shared" si="174"/>
        <v>-0.22127541647638188</v>
      </c>
      <c r="X236">
        <f t="shared" si="192"/>
        <v>-5.6569748633214099</v>
      </c>
      <c r="Y236">
        <f t="shared" si="175"/>
        <v>-110.96695633271673</v>
      </c>
      <c r="Z236">
        <f t="shared" si="193"/>
        <v>69.033043667283266</v>
      </c>
      <c r="AC236">
        <v>1</v>
      </c>
      <c r="AD236">
        <f t="shared" si="176"/>
        <v>13.127019224319</v>
      </c>
      <c r="AE236">
        <f t="shared" si="177"/>
        <v>-6.1694661678847798E-4</v>
      </c>
      <c r="AF236">
        <f t="shared" si="178"/>
        <v>2.7424847197440004E-3</v>
      </c>
      <c r="AG236">
        <f t="shared" si="194"/>
        <v>4477.9036398735016</v>
      </c>
      <c r="AH236">
        <f t="shared" si="195"/>
        <v>-1371.9775624769911</v>
      </c>
      <c r="AJ236">
        <f t="shared" si="179"/>
        <v>22100</v>
      </c>
      <c r="AK236">
        <f t="shared" si="180"/>
        <v>312.20921561029206</v>
      </c>
      <c r="AL236">
        <v>1</v>
      </c>
      <c r="AM236">
        <f t="shared" si="181"/>
        <v>8.5678042538365204</v>
      </c>
      <c r="AN236">
        <f t="shared" si="196"/>
        <v>332.96407104853455</v>
      </c>
      <c r="AO236">
        <f t="shared" si="197"/>
        <v>-2540.5617686940673</v>
      </c>
      <c r="AQ236">
        <f t="shared" si="182"/>
        <v>0.20660730150203507</v>
      </c>
      <c r="AR236">
        <f t="shared" si="183"/>
        <v>-45.45360633044772</v>
      </c>
      <c r="AT236">
        <f t="shared" si="209"/>
        <v>-61436.160431615986</v>
      </c>
      <c r="AU236">
        <f t="shared" si="210"/>
        <v>-203820.3298143938</v>
      </c>
      <c r="AV236">
        <f t="shared" si="198"/>
        <v>-1.8635582271682369</v>
      </c>
      <c r="AW236">
        <f t="shared" si="199"/>
        <v>-113215.39907707546</v>
      </c>
      <c r="AX236">
        <f t="shared" si="200"/>
        <v>-35099.597413132455</v>
      </c>
      <c r="AY236">
        <f t="shared" si="208"/>
        <v>-2.8409642294457531</v>
      </c>
      <c r="BA236">
        <f t="shared" si="184"/>
        <v>1.7959636325773454</v>
      </c>
      <c r="BB236">
        <f t="shared" si="201"/>
        <v>5.0859507632082153</v>
      </c>
      <c r="BC236">
        <f t="shared" si="202"/>
        <v>0.97740600227751617</v>
      </c>
      <c r="BD236">
        <f t="shared" si="185"/>
        <v>-123.99876113475345</v>
      </c>
      <c r="BF236">
        <f t="shared" si="186"/>
        <v>-5.8096328507505302</v>
      </c>
      <c r="BG236">
        <f t="shared" si="187"/>
        <v>-120.46467791260974</v>
      </c>
      <c r="BH236">
        <f t="shared" si="203"/>
        <v>59.535322087390256</v>
      </c>
      <c r="BI236">
        <f t="shared" si="204"/>
        <v>59.535322087390256</v>
      </c>
      <c r="BJ236">
        <f t="shared" si="188"/>
        <v>0</v>
      </c>
      <c r="BK236">
        <f t="shared" si="205"/>
        <v>0</v>
      </c>
      <c r="BM236">
        <f t="shared" si="206"/>
        <v>-10.895583613958744</v>
      </c>
      <c r="BN236">
        <f t="shared" si="189"/>
        <v>-176.46591677785631</v>
      </c>
      <c r="BQ236" s="56">
        <f t="shared" si="207"/>
        <v>21.987911563493352</v>
      </c>
      <c r="BR236" s="59"/>
      <c r="BS236" s="59"/>
      <c r="BT236" s="59">
        <v>18197.008999999998</v>
      </c>
      <c r="BU236" s="59">
        <v>-3.8303199999999999</v>
      </c>
      <c r="BV236" s="59">
        <v>-179.43</v>
      </c>
      <c r="BY236" s="59"/>
      <c r="BZ236" s="59"/>
      <c r="CA236" s="59"/>
      <c r="CC236" s="59"/>
    </row>
    <row r="237" spans="1:81" x14ac:dyDescent="0.2">
      <c r="A237">
        <f t="shared" si="211"/>
        <v>115000</v>
      </c>
      <c r="B237">
        <f t="shared" si="191"/>
        <v>115</v>
      </c>
      <c r="C237">
        <f t="shared" si="159"/>
        <v>1.0001044149630827</v>
      </c>
      <c r="D237">
        <f t="shared" si="160"/>
        <v>1.4450320307059781E-2</v>
      </c>
      <c r="F237">
        <f t="shared" si="161"/>
        <v>1.7370654289425691E-2</v>
      </c>
      <c r="G237">
        <f t="shared" si="162"/>
        <v>4.5707205473615092E-2</v>
      </c>
      <c r="H237">
        <f t="shared" si="163"/>
        <v>-3.095885444526385</v>
      </c>
      <c r="J237">
        <f t="shared" si="164"/>
        <v>15</v>
      </c>
      <c r="M237">
        <f t="shared" si="165"/>
        <v>1.5781866110643597E-2</v>
      </c>
      <c r="N237">
        <f t="shared" si="166"/>
        <v>-1.5707963250000001</v>
      </c>
      <c r="O237">
        <f t="shared" si="167"/>
        <v>13.760087001482798</v>
      </c>
      <c r="P237">
        <f t="shared" si="168"/>
        <v>1.4980582438680674</v>
      </c>
      <c r="Q237">
        <f t="shared" si="169"/>
        <v>9.0128977472391547</v>
      </c>
      <c r="R237">
        <f t="shared" si="170"/>
        <v>1.4596153052918308</v>
      </c>
      <c r="S237">
        <f t="shared" si="171"/>
        <v>0.9998909523876307</v>
      </c>
      <c r="T237">
        <f t="shared" si="172"/>
        <v>-1.4768181629697071E-2</v>
      </c>
      <c r="U237">
        <f t="shared" si="173"/>
        <v>0.97344097333409629</v>
      </c>
      <c r="V237">
        <f t="shared" si="174"/>
        <v>-0.23098671011537292</v>
      </c>
      <c r="X237">
        <f t="shared" si="192"/>
        <v>-6.0828196016413401</v>
      </c>
      <c r="Y237">
        <f t="shared" si="175"/>
        <v>-111.17173403267589</v>
      </c>
      <c r="Z237">
        <f t="shared" si="193"/>
        <v>68.828265967324114</v>
      </c>
      <c r="AC237">
        <v>1</v>
      </c>
      <c r="AD237">
        <f t="shared" si="176"/>
        <v>13.7237019163335</v>
      </c>
      <c r="AE237">
        <f t="shared" si="177"/>
        <v>-6.743073559526961E-4</v>
      </c>
      <c r="AF237">
        <f t="shared" si="178"/>
        <v>2.8671431160960004E-3</v>
      </c>
      <c r="AG237">
        <f t="shared" si="194"/>
        <v>4457.9387057551367</v>
      </c>
      <c r="AH237">
        <f t="shared" si="195"/>
        <v>-1397.2169157470119</v>
      </c>
      <c r="AJ237">
        <f t="shared" si="179"/>
        <v>22100</v>
      </c>
      <c r="AK237">
        <f t="shared" si="180"/>
        <v>326.40054359257806</v>
      </c>
      <c r="AL237">
        <v>1</v>
      </c>
      <c r="AM237">
        <f t="shared" si="181"/>
        <v>8.9572499017381801</v>
      </c>
      <c r="AN237">
        <f t="shared" si="196"/>
        <v>308.05040961104305</v>
      </c>
      <c r="AO237">
        <f t="shared" si="197"/>
        <v>-2432.8839576263431</v>
      </c>
      <c r="AQ237">
        <f t="shared" si="182"/>
        <v>0.18903234343396155</v>
      </c>
      <c r="AR237">
        <f t="shared" si="183"/>
        <v>-43.477438989811155</v>
      </c>
      <c r="AT237">
        <f t="shared" si="209"/>
        <v>-59904.718609488969</v>
      </c>
      <c r="AU237">
        <f t="shared" si="210"/>
        <v>-194083.87728765587</v>
      </c>
      <c r="AV237">
        <f t="shared" si="198"/>
        <v>-1.8701733211463412</v>
      </c>
      <c r="AW237">
        <f t="shared" si="199"/>
        <v>-103609.89103551256</v>
      </c>
      <c r="AX237">
        <f t="shared" si="200"/>
        <v>-32479.878393552299</v>
      </c>
      <c r="AY237">
        <f t="shared" si="208"/>
        <v>-2.8378130282766132</v>
      </c>
      <c r="BA237">
        <f t="shared" si="184"/>
        <v>1.8706540163043648</v>
      </c>
      <c r="BB237">
        <f t="shared" si="201"/>
        <v>5.4398694143035637</v>
      </c>
      <c r="BC237">
        <f t="shared" si="202"/>
        <v>0.96763970713027203</v>
      </c>
      <c r="BD237">
        <f t="shared" si="185"/>
        <v>-124.55832862880902</v>
      </c>
      <c r="BF237">
        <f t="shared" si="186"/>
        <v>-6.2410749740788765</v>
      </c>
      <c r="BG237">
        <f t="shared" si="187"/>
        <v>-121.11155629168842</v>
      </c>
      <c r="BH237">
        <f t="shared" si="203"/>
        <v>58.888443708311584</v>
      </c>
      <c r="BI237">
        <f t="shared" si="204"/>
        <v>58.888443708311584</v>
      </c>
      <c r="BJ237">
        <f t="shared" si="188"/>
        <v>0</v>
      </c>
      <c r="BK237">
        <f t="shared" si="205"/>
        <v>0</v>
      </c>
      <c r="BM237">
        <f t="shared" si="206"/>
        <v>-11.680944388382441</v>
      </c>
      <c r="BN237">
        <f t="shared" si="189"/>
        <v>-176.55322766287938</v>
      </c>
      <c r="BQ237" s="56">
        <f t="shared" si="207"/>
        <v>22.3418302145887</v>
      </c>
      <c r="BR237" s="59"/>
      <c r="BS237" s="59"/>
      <c r="BT237" s="59">
        <v>18620.870999999999</v>
      </c>
      <c r="BU237" s="59">
        <v>-3.77474</v>
      </c>
      <c r="BV237" s="59">
        <v>-178.09100000000001</v>
      </c>
      <c r="BY237" s="59"/>
      <c r="BZ237" s="59"/>
      <c r="CA237" s="59"/>
      <c r="CC237" s="59"/>
    </row>
    <row r="238" spans="1:81" x14ac:dyDescent="0.2">
      <c r="A238">
        <f t="shared" si="211"/>
        <v>120000</v>
      </c>
      <c r="B238">
        <f t="shared" si="191"/>
        <v>120</v>
      </c>
      <c r="C238">
        <f t="shared" si="159"/>
        <v>1.0001136913795758</v>
      </c>
      <c r="D238">
        <f t="shared" si="160"/>
        <v>1.5078501860545112E-2</v>
      </c>
      <c r="F238">
        <f t="shared" si="161"/>
        <v>1.5931969312120823E-2</v>
      </c>
      <c r="G238">
        <f t="shared" si="162"/>
        <v>4.374300760303005E-2</v>
      </c>
      <c r="H238">
        <f t="shared" si="163"/>
        <v>-3.0978496423969704</v>
      </c>
      <c r="J238">
        <f t="shared" si="164"/>
        <v>15</v>
      </c>
      <c r="M238">
        <f t="shared" si="165"/>
        <v>1.5124288356033445E-2</v>
      </c>
      <c r="N238">
        <f t="shared" si="166"/>
        <v>-1.5707963250000001</v>
      </c>
      <c r="O238">
        <f t="shared" si="167"/>
        <v>14.355257410823757</v>
      </c>
      <c r="P238">
        <f t="shared" si="168"/>
        <v>1.5010789740621009</v>
      </c>
      <c r="Q238">
        <f t="shared" si="169"/>
        <v>9.4000381753297795</v>
      </c>
      <c r="R238">
        <f t="shared" si="170"/>
        <v>1.4642120916847048</v>
      </c>
      <c r="S238">
        <f t="shared" si="171"/>
        <v>0.99988126557288071</v>
      </c>
      <c r="T238">
        <f t="shared" si="172"/>
        <v>-1.5410176951462825E-2</v>
      </c>
      <c r="U238">
        <f t="shared" si="173"/>
        <v>0.97118234614883081</v>
      </c>
      <c r="V238">
        <f t="shared" si="174"/>
        <v>-0.24065384672259882</v>
      </c>
      <c r="X238">
        <f t="shared" si="192"/>
        <v>-6.4905029144373856</v>
      </c>
      <c r="Y238">
        <f t="shared" si="175"/>
        <v>-111.40250032844409</v>
      </c>
      <c r="Z238">
        <f t="shared" si="193"/>
        <v>68.597499671555909</v>
      </c>
      <c r="AC238">
        <v>1</v>
      </c>
      <c r="AD238">
        <f t="shared" si="176"/>
        <v>14.320384608348002</v>
      </c>
      <c r="AE238">
        <f t="shared" si="177"/>
        <v>-7.3421746130199021E-4</v>
      </c>
      <c r="AF238">
        <f t="shared" si="178"/>
        <v>2.9918015124480004E-3</v>
      </c>
      <c r="AG238">
        <f t="shared" si="194"/>
        <v>4437.2756337641322</v>
      </c>
      <c r="AH238">
        <f t="shared" si="195"/>
        <v>-1423.1977733828644</v>
      </c>
      <c r="AJ238">
        <f t="shared" si="179"/>
        <v>22100</v>
      </c>
      <c r="AK238">
        <f t="shared" si="180"/>
        <v>340.59187157486406</v>
      </c>
      <c r="AL238">
        <v>1</v>
      </c>
      <c r="AM238">
        <f t="shared" si="181"/>
        <v>9.3466955496398398</v>
      </c>
      <c r="AN238">
        <f t="shared" si="196"/>
        <v>286.13856008734808</v>
      </c>
      <c r="AO238">
        <f t="shared" si="197"/>
        <v>-2333.8581345739044</v>
      </c>
      <c r="AQ238">
        <f t="shared" si="182"/>
        <v>0.1736080970816479</v>
      </c>
      <c r="AR238">
        <f t="shared" si="183"/>
        <v>-41.66594329959549</v>
      </c>
      <c r="AT238">
        <f t="shared" si="209"/>
        <v>-58528.530750876424</v>
      </c>
      <c r="AU238">
        <f t="shared" si="210"/>
        <v>-185130.35361830081</v>
      </c>
      <c r="AV238">
        <f t="shared" si="198"/>
        <v>-1.8770008836960275</v>
      </c>
      <c r="AW238">
        <f t="shared" si="199"/>
        <v>-95161.804438277599</v>
      </c>
      <c r="AX238">
        <f t="shared" si="200"/>
        <v>-30208.12642374467</v>
      </c>
      <c r="AY238">
        <f t="shared" si="208"/>
        <v>-2.8342139889788491</v>
      </c>
      <c r="BA238">
        <f t="shared" si="184"/>
        <v>1.9447036373838873</v>
      </c>
      <c r="BB238">
        <f t="shared" si="201"/>
        <v>5.7770685301437039</v>
      </c>
      <c r="BC238">
        <f t="shared" si="202"/>
        <v>0.95721310528282166</v>
      </c>
      <c r="BD238">
        <f t="shared" si="185"/>
        <v>-125.15572891001388</v>
      </c>
      <c r="BF238">
        <f t="shared" si="186"/>
        <v>-6.65472960994434</v>
      </c>
      <c r="BG238">
        <f t="shared" si="187"/>
        <v>-121.78550466931114</v>
      </c>
      <c r="BH238">
        <f t="shared" si="203"/>
        <v>58.214495330688862</v>
      </c>
      <c r="BI238">
        <f t="shared" si="204"/>
        <v>58.214495330688862</v>
      </c>
      <c r="BJ238">
        <f t="shared" si="188"/>
        <v>0</v>
      </c>
      <c r="BK238">
        <f t="shared" si="205"/>
        <v>0</v>
      </c>
      <c r="BM238">
        <f t="shared" si="206"/>
        <v>-12.431798140088045</v>
      </c>
      <c r="BN238">
        <f t="shared" si="189"/>
        <v>-176.6297757592973</v>
      </c>
      <c r="BQ238" s="56">
        <f t="shared" si="207"/>
        <v>22.67902933042884</v>
      </c>
      <c r="BR238" s="59"/>
      <c r="BS238" s="59"/>
      <c r="BT238" s="59">
        <v>19054.607</v>
      </c>
      <c r="BU238" s="59">
        <v>-3.7312500000000002</v>
      </c>
      <c r="BV238" s="59">
        <v>-176.916</v>
      </c>
      <c r="BY238" s="59"/>
      <c r="BZ238" s="59"/>
      <c r="CA238" s="59"/>
      <c r="CC238" s="59"/>
    </row>
    <row r="239" spans="1:81" x14ac:dyDescent="0.2">
      <c r="A239">
        <f t="shared" si="211"/>
        <v>125000</v>
      </c>
      <c r="B239">
        <f t="shared" si="191"/>
        <v>125</v>
      </c>
      <c r="C239">
        <f t="shared" si="159"/>
        <v>1.0001233624455852</v>
      </c>
      <c r="D239">
        <f t="shared" si="160"/>
        <v>1.5706671513038017E-2</v>
      </c>
      <c r="F239">
        <f t="shared" si="161"/>
        <v>1.4665631431922562E-2</v>
      </c>
      <c r="G239">
        <f t="shared" si="162"/>
        <v>4.194281219680978E-2</v>
      </c>
      <c r="H239">
        <f t="shared" si="163"/>
        <v>-3.0996498378031903</v>
      </c>
      <c r="J239">
        <f t="shared" si="164"/>
        <v>15</v>
      </c>
      <c r="M239">
        <f t="shared" si="165"/>
        <v>1.4519316821792107E-2</v>
      </c>
      <c r="N239">
        <f t="shared" si="166"/>
        <v>-1.5707963250000001</v>
      </c>
      <c r="O239">
        <f t="shared" si="167"/>
        <v>14.950548379358676</v>
      </c>
      <c r="P239">
        <f t="shared" si="168"/>
        <v>1.5038591731261834</v>
      </c>
      <c r="Q239">
        <f t="shared" si="169"/>
        <v>9.7873615146506605</v>
      </c>
      <c r="R239">
        <f t="shared" si="170"/>
        <v>1.4684451368711262</v>
      </c>
      <c r="S239">
        <f t="shared" si="171"/>
        <v>0.9998711668530007</v>
      </c>
      <c r="T239">
        <f t="shared" si="172"/>
        <v>-1.6052159569620868E-2</v>
      </c>
      <c r="U239">
        <f t="shared" si="173"/>
        <v>0.96884426662963796</v>
      </c>
      <c r="V239">
        <f t="shared" si="174"/>
        <v>-0.25027533252263806</v>
      </c>
      <c r="X239">
        <f t="shared" si="192"/>
        <v>-6.8817489816356803</v>
      </c>
      <c r="Y239">
        <f t="shared" si="175"/>
        <v>-111.65587658518309</v>
      </c>
      <c r="Z239">
        <f t="shared" si="193"/>
        <v>68.344123414816906</v>
      </c>
      <c r="AC239">
        <v>1</v>
      </c>
      <c r="AD239">
        <f t="shared" si="176"/>
        <v>14.917067300362501</v>
      </c>
      <c r="AE239">
        <f t="shared" si="177"/>
        <v>-7.9667693283636118E-4</v>
      </c>
      <c r="AF239">
        <f t="shared" si="178"/>
        <v>3.1164599088000003E-3</v>
      </c>
      <c r="AG239">
        <f t="shared" si="194"/>
        <v>4415.9362529639002</v>
      </c>
      <c r="AH239">
        <f t="shared" si="195"/>
        <v>-1449.7457634075158</v>
      </c>
      <c r="AJ239">
        <f t="shared" si="179"/>
        <v>22100</v>
      </c>
      <c r="AK239">
        <f t="shared" si="180"/>
        <v>354.78319955715006</v>
      </c>
      <c r="AL239">
        <v>1</v>
      </c>
      <c r="AM239">
        <f t="shared" si="181"/>
        <v>9.7361411975415013</v>
      </c>
      <c r="AN239">
        <f t="shared" si="196"/>
        <v>266.76654107504544</v>
      </c>
      <c r="AO239">
        <f t="shared" si="197"/>
        <v>-2242.4935111292471</v>
      </c>
      <c r="AQ239">
        <f t="shared" si="182"/>
        <v>0.15999744004095934</v>
      </c>
      <c r="AR239">
        <f t="shared" si="183"/>
        <v>-39.999360010239833</v>
      </c>
      <c r="AT239">
        <f t="shared" si="209"/>
        <v>-57282.364217998918</v>
      </c>
      <c r="AU239">
        <f t="shared" si="210"/>
        <v>-176866.57957542798</v>
      </c>
      <c r="AV239">
        <f t="shared" si="198"/>
        <v>-1.8840088343193764</v>
      </c>
      <c r="AW239">
        <f t="shared" si="199"/>
        <v>-87693.174876355406</v>
      </c>
      <c r="AX239">
        <f t="shared" si="200"/>
        <v>-28223.519320802799</v>
      </c>
      <c r="AY239">
        <f t="shared" si="208"/>
        <v>-2.8302179208903131</v>
      </c>
      <c r="BA239">
        <f t="shared" si="184"/>
        <v>2.0180766995449719</v>
      </c>
      <c r="BB239">
        <f t="shared" si="201"/>
        <v>6.0987533624592603</v>
      </c>
      <c r="BC239">
        <f t="shared" si="202"/>
        <v>0.94620908657093672</v>
      </c>
      <c r="BD239">
        <f t="shared" si="185"/>
        <v>-125.78621274060831</v>
      </c>
      <c r="BF239">
        <f t="shared" si="186"/>
        <v>-7.052334682693</v>
      </c>
      <c r="BG239">
        <f t="shared" si="187"/>
        <v>-122.48314062915152</v>
      </c>
      <c r="BH239">
        <f t="shared" si="203"/>
        <v>57.516859370848479</v>
      </c>
      <c r="BI239">
        <f t="shared" si="204"/>
        <v>57.516859370848479</v>
      </c>
      <c r="BJ239">
        <f t="shared" si="188"/>
        <v>0</v>
      </c>
      <c r="BK239">
        <f t="shared" si="205"/>
        <v>0</v>
      </c>
      <c r="BM239">
        <f t="shared" si="206"/>
        <v>-13.151088045152262</v>
      </c>
      <c r="BN239">
        <f t="shared" si="189"/>
        <v>-176.69692788854323</v>
      </c>
      <c r="BQ239" s="56">
        <f t="shared" si="207"/>
        <v>23.000714162744398</v>
      </c>
      <c r="BR239" s="59"/>
      <c r="BS239" s="59"/>
      <c r="BT239" s="59">
        <v>19498.446</v>
      </c>
      <c r="BU239" s="59">
        <v>-3.7243200000000001</v>
      </c>
      <c r="BV239" s="59">
        <v>-175.511</v>
      </c>
      <c r="BY239" s="59"/>
      <c r="BZ239" s="59"/>
      <c r="CA239" s="59"/>
      <c r="CC239" s="59"/>
    </row>
    <row r="240" spans="1:81" x14ac:dyDescent="0.2">
      <c r="A240">
        <f t="shared" si="211"/>
        <v>130000</v>
      </c>
      <c r="B240">
        <f t="shared" si="191"/>
        <v>130</v>
      </c>
      <c r="C240">
        <f t="shared" si="159"/>
        <v>1.0001334281496621</v>
      </c>
      <c r="D240">
        <f t="shared" si="160"/>
        <v>1.6334828769143318E-2</v>
      </c>
      <c r="F240">
        <f t="shared" si="161"/>
        <v>1.3545068351209029E-2</v>
      </c>
      <c r="G240">
        <f t="shared" si="162"/>
        <v>4.0286678366797772E-2</v>
      </c>
      <c r="H240">
        <f t="shared" si="163"/>
        <v>-3.1013059716332023</v>
      </c>
      <c r="J240">
        <f t="shared" si="164"/>
        <v>15</v>
      </c>
      <c r="M240">
        <f t="shared" si="165"/>
        <v>1.3960881559415486E-2</v>
      </c>
      <c r="N240">
        <f t="shared" si="166"/>
        <v>-1.5707963250000001</v>
      </c>
      <c r="O240">
        <f t="shared" si="167"/>
        <v>15.54594605760542</v>
      </c>
      <c r="P240">
        <f t="shared" si="168"/>
        <v>1.5064264318504885</v>
      </c>
      <c r="Q240">
        <f t="shared" si="169"/>
        <v>10.174846876715717</v>
      </c>
      <c r="R240">
        <f t="shared" si="170"/>
        <v>1.4723558364053044</v>
      </c>
      <c r="S240">
        <f t="shared" si="171"/>
        <v>0.99986065626544351</v>
      </c>
      <c r="T240">
        <f t="shared" si="172"/>
        <v>-1.6694128955388802E-2</v>
      </c>
      <c r="U240">
        <f t="shared" si="173"/>
        <v>0.96642860087295301</v>
      </c>
      <c r="V240">
        <f t="shared" si="174"/>
        <v>-0.25984972161223313</v>
      </c>
      <c r="X240">
        <f t="shared" si="192"/>
        <v>-7.2580492362594349</v>
      </c>
      <c r="Y240">
        <f t="shared" si="175"/>
        <v>-111.92896985917632</v>
      </c>
      <c r="Z240">
        <f t="shared" si="193"/>
        <v>68.07103014082368</v>
      </c>
      <c r="AC240">
        <v>1</v>
      </c>
      <c r="AD240">
        <f t="shared" si="176"/>
        <v>15.513749992377001</v>
      </c>
      <c r="AE240">
        <f t="shared" si="177"/>
        <v>-8.6168577055580813E-4</v>
      </c>
      <c r="AF240">
        <f t="shared" si="178"/>
        <v>3.2411183051520003E-3</v>
      </c>
      <c r="AG240">
        <f t="shared" si="194"/>
        <v>4393.9427756730829</v>
      </c>
      <c r="AH240">
        <f t="shared" si="195"/>
        <v>-1476.7118987375334</v>
      </c>
      <c r="AJ240">
        <f t="shared" si="179"/>
        <v>22100</v>
      </c>
      <c r="AK240">
        <f t="shared" si="180"/>
        <v>368.97452753943605</v>
      </c>
      <c r="AL240">
        <v>1</v>
      </c>
      <c r="AM240">
        <f t="shared" si="181"/>
        <v>10.125586845443159</v>
      </c>
      <c r="AN240">
        <f t="shared" si="196"/>
        <v>249.55766714321678</v>
      </c>
      <c r="AO240">
        <f t="shared" si="197"/>
        <v>-2157.9433040654021</v>
      </c>
      <c r="AQ240">
        <f t="shared" si="182"/>
        <v>0.14792680581648202</v>
      </c>
      <c r="AR240">
        <f t="shared" si="183"/>
        <v>-38.460969512285324</v>
      </c>
      <c r="AT240">
        <f t="shared" si="209"/>
        <v>-56145.789396027518</v>
      </c>
      <c r="AU240">
        <f t="shared" si="210"/>
        <v>-169213.74440818024</v>
      </c>
      <c r="AV240">
        <f t="shared" si="198"/>
        <v>-1.8911698084704711</v>
      </c>
      <c r="AW240">
        <f t="shared" si="199"/>
        <v>-81058.864278069799</v>
      </c>
      <c r="AX240">
        <f t="shared" si="200"/>
        <v>-26477.972412782394</v>
      </c>
      <c r="AY240">
        <f t="shared" si="208"/>
        <v>-2.8258680582557343</v>
      </c>
      <c r="BA240">
        <f t="shared" si="184"/>
        <v>2.0907390183441557</v>
      </c>
      <c r="BB240">
        <f t="shared" si="201"/>
        <v>6.4059964864168517</v>
      </c>
      <c r="BC240">
        <f t="shared" si="202"/>
        <v>0.93469824978526317</v>
      </c>
      <c r="BD240">
        <f t="shared" si="185"/>
        <v>-126.44573510784494</v>
      </c>
      <c r="BF240">
        <f t="shared" si="186"/>
        <v>-7.4353954493126215</v>
      </c>
      <c r="BG240">
        <f t="shared" si="187"/>
        <v>-123.20156171557863</v>
      </c>
      <c r="BH240">
        <f t="shared" si="203"/>
        <v>56.798438284421366</v>
      </c>
      <c r="BI240">
        <f t="shared" si="204"/>
        <v>56.798438284421366</v>
      </c>
      <c r="BJ240">
        <f t="shared" si="188"/>
        <v>0</v>
      </c>
      <c r="BK240">
        <f t="shared" si="205"/>
        <v>0</v>
      </c>
      <c r="BM240">
        <f t="shared" si="206"/>
        <v>-13.841391935729474</v>
      </c>
      <c r="BN240">
        <f t="shared" si="189"/>
        <v>-176.7558266077337</v>
      </c>
      <c r="BQ240" s="56">
        <f t="shared" si="207"/>
        <v>23.307957286701992</v>
      </c>
      <c r="BR240" s="59"/>
      <c r="BS240" s="59"/>
      <c r="BT240" s="59">
        <v>19952.623</v>
      </c>
      <c r="BU240" s="59">
        <v>-3.67421</v>
      </c>
      <c r="BV240" s="59">
        <v>-174.244</v>
      </c>
      <c r="BY240" s="59"/>
      <c r="BZ240" s="59"/>
      <c r="CA240" s="59"/>
      <c r="CC240" s="59"/>
    </row>
    <row r="241" spans="1:81" x14ac:dyDescent="0.2">
      <c r="A241">
        <f t="shared" si="211"/>
        <v>135000</v>
      </c>
      <c r="B241">
        <f t="shared" si="191"/>
        <v>135</v>
      </c>
      <c r="C241">
        <f t="shared" si="159"/>
        <v>1.0001438884798917</v>
      </c>
      <c r="D241">
        <f t="shared" si="160"/>
        <v>1.69629731335245E-2</v>
      </c>
      <c r="F241">
        <f t="shared" si="161"/>
        <v>1.254865586012463E-2</v>
      </c>
      <c r="G241">
        <f t="shared" si="162"/>
        <v>3.8757801801091292E-2</v>
      </c>
      <c r="H241">
        <f t="shared" si="163"/>
        <v>-3.102834848198909</v>
      </c>
      <c r="J241">
        <f t="shared" si="164"/>
        <v>15</v>
      </c>
      <c r="M241">
        <f t="shared" si="165"/>
        <v>1.3443811872029728E-2</v>
      </c>
      <c r="N241">
        <f t="shared" si="166"/>
        <v>-1.5707963250000001</v>
      </c>
      <c r="O241">
        <f t="shared" si="167"/>
        <v>16.141438637194334</v>
      </c>
      <c r="P241">
        <f t="shared" si="168"/>
        <v>1.5088042818445955</v>
      </c>
      <c r="Q241">
        <f t="shared" si="169"/>
        <v>10.562476430084821</v>
      </c>
      <c r="R241">
        <f t="shared" si="170"/>
        <v>1.4759795525457375</v>
      </c>
      <c r="S241">
        <f t="shared" si="171"/>
        <v>0.99984973384918685</v>
      </c>
      <c r="T241">
        <f t="shared" si="172"/>
        <v>-1.7336084580049666E-2</v>
      </c>
      <c r="U241">
        <f t="shared" si="173"/>
        <v>0.96393725113482731</v>
      </c>
      <c r="V241">
        <f t="shared" si="174"/>
        <v>-0.26937561673640514</v>
      </c>
      <c r="X241">
        <f t="shared" si="192"/>
        <v>-7.6207025674692854</v>
      </c>
      <c r="Y241">
        <f t="shared" si="175"/>
        <v>-112.2192885377648</v>
      </c>
      <c r="Z241">
        <f t="shared" si="193"/>
        <v>67.780711462235203</v>
      </c>
      <c r="AC241">
        <v>1</v>
      </c>
      <c r="AD241">
        <f t="shared" si="176"/>
        <v>16.110432684391501</v>
      </c>
      <c r="AE241">
        <f t="shared" si="177"/>
        <v>-9.2924397446033161E-4</v>
      </c>
      <c r="AF241">
        <f t="shared" si="178"/>
        <v>3.3657767015040007E-3</v>
      </c>
      <c r="AG241">
        <f t="shared" si="194"/>
        <v>4371.317745182927</v>
      </c>
      <c r="AH241">
        <f t="shared" si="195"/>
        <v>-1503.968065647608</v>
      </c>
      <c r="AJ241">
        <f t="shared" si="179"/>
        <v>22100</v>
      </c>
      <c r="AK241">
        <f t="shared" si="180"/>
        <v>383.16585552172205</v>
      </c>
      <c r="AL241">
        <v>1</v>
      </c>
      <c r="AM241">
        <f t="shared" si="181"/>
        <v>10.515032493344821</v>
      </c>
      <c r="AN241">
        <f t="shared" si="196"/>
        <v>234.20238145183532</v>
      </c>
      <c r="AO241">
        <f t="shared" si="197"/>
        <v>-2079.4797954630644</v>
      </c>
      <c r="AQ241">
        <f t="shared" si="182"/>
        <v>0.13717232959767356</v>
      </c>
      <c r="AR241">
        <f t="shared" si="183"/>
        <v>-37.03652899137186</v>
      </c>
      <c r="AT241">
        <f t="shared" si="209"/>
        <v>-55102.133026936703</v>
      </c>
      <c r="AU241">
        <f t="shared" si="210"/>
        <v>-162104.73920317114</v>
      </c>
      <c r="AV241">
        <f t="shared" si="198"/>
        <v>-1.8984603017128476</v>
      </c>
      <c r="AW241">
        <f t="shared" si="199"/>
        <v>-75139.576442110934</v>
      </c>
      <c r="AX241">
        <f t="shared" si="200"/>
        <v>-24933.086436984362</v>
      </c>
      <c r="AY241">
        <f t="shared" si="208"/>
        <v>-2.8212014539096422</v>
      </c>
      <c r="BA241">
        <f t="shared" si="184"/>
        <v>2.1626578387632991</v>
      </c>
      <c r="BB241">
        <f t="shared" si="201"/>
        <v>6.6997562742044012</v>
      </c>
      <c r="BC241">
        <f t="shared" si="202"/>
        <v>0.92274115219679453</v>
      </c>
      <c r="BD241">
        <f t="shared" si="185"/>
        <v>-127.13082633567308</v>
      </c>
      <c r="BF241">
        <f t="shared" si="186"/>
        <v>-7.8052246515306321</v>
      </c>
      <c r="BG241">
        <f t="shared" si="187"/>
        <v>-123.93826109707322</v>
      </c>
      <c r="BH241">
        <f t="shared" si="203"/>
        <v>56.061738902926777</v>
      </c>
      <c r="BI241">
        <f t="shared" si="204"/>
        <v>56.061738902926777</v>
      </c>
      <c r="BJ241">
        <f t="shared" si="188"/>
        <v>0</v>
      </c>
      <c r="BK241">
        <f t="shared" si="205"/>
        <v>0</v>
      </c>
      <c r="BM241">
        <f t="shared" si="206"/>
        <v>-14.504980925735032</v>
      </c>
      <c r="BN241">
        <f t="shared" si="189"/>
        <v>-176.80743476140012</v>
      </c>
      <c r="BQ241" s="56">
        <f t="shared" si="207"/>
        <v>23.601717074489539</v>
      </c>
      <c r="BR241" s="59"/>
      <c r="BS241" s="59"/>
      <c r="BT241" s="59">
        <v>20417.379000000001</v>
      </c>
      <c r="BU241" s="59">
        <v>-3.6440899999999998</v>
      </c>
      <c r="BV241" s="59">
        <v>-173.369</v>
      </c>
      <c r="BY241" s="59"/>
      <c r="BZ241" s="59"/>
      <c r="CA241" s="59"/>
      <c r="CC241" s="59"/>
    </row>
    <row r="242" spans="1:81" x14ac:dyDescent="0.2">
      <c r="A242">
        <f t="shared" si="211"/>
        <v>140000</v>
      </c>
      <c r="B242">
        <f t="shared" si="191"/>
        <v>140</v>
      </c>
      <c r="C242">
        <f t="shared" si="159"/>
        <v>1.0001547434238918</v>
      </c>
      <c r="D242">
        <f t="shared" si="160"/>
        <v>1.759110411090609E-2</v>
      </c>
      <c r="F242">
        <f t="shared" si="161"/>
        <v>1.16586485284952E-2</v>
      </c>
      <c r="G242">
        <f t="shared" si="162"/>
        <v>3.734191667694009E-2</v>
      </c>
      <c r="H242">
        <f t="shared" si="163"/>
        <v>-3.10425073332306</v>
      </c>
      <c r="J242">
        <f t="shared" si="164"/>
        <v>15</v>
      </c>
      <c r="M242">
        <f t="shared" si="165"/>
        <v>1.2963675733742953E-2</v>
      </c>
      <c r="N242">
        <f t="shared" si="166"/>
        <v>-1.5707963250000001</v>
      </c>
      <c r="O242">
        <f t="shared" si="167"/>
        <v>16.737015988536964</v>
      </c>
      <c r="P242">
        <f t="shared" si="168"/>
        <v>1.5110129146728826</v>
      </c>
      <c r="Q242">
        <f t="shared" si="169"/>
        <v>10.95023486199827</v>
      </c>
      <c r="R242">
        <f t="shared" si="170"/>
        <v>1.4793466717258246</v>
      </c>
      <c r="S242">
        <f t="shared" si="171"/>
        <v>0.99983839964473387</v>
      </c>
      <c r="T242">
        <f t="shared" si="172"/>
        <v>-1.797802591495453E-2</v>
      </c>
      <c r="U242">
        <f t="shared" si="173"/>
        <v>0.96137215208281823</v>
      </c>
      <c r="V242">
        <f t="shared" si="174"/>
        <v>-0.27885166995150101</v>
      </c>
      <c r="X242">
        <f t="shared" si="192"/>
        <v>-7.970847152918048</v>
      </c>
      <c r="Y242">
        <f t="shared" si="175"/>
        <v>-112.52467485317757</v>
      </c>
      <c r="Z242">
        <f t="shared" si="193"/>
        <v>67.475325146822428</v>
      </c>
      <c r="AC242">
        <v>1</v>
      </c>
      <c r="AD242">
        <f t="shared" si="176"/>
        <v>16.707115376406001</v>
      </c>
      <c r="AE242">
        <f t="shared" si="177"/>
        <v>-9.9935154454993107E-4</v>
      </c>
      <c r="AF242">
        <f t="shared" si="178"/>
        <v>3.4904350978560007E-3</v>
      </c>
      <c r="AG242">
        <f t="shared" si="194"/>
        <v>4348.0839840308809</v>
      </c>
      <c r="AH242">
        <f t="shared" si="195"/>
        <v>-1531.403477050012</v>
      </c>
      <c r="AJ242">
        <f t="shared" si="179"/>
        <v>22100</v>
      </c>
      <c r="AK242">
        <f t="shared" si="180"/>
        <v>397.35718350400805</v>
      </c>
      <c r="AL242">
        <v>1</v>
      </c>
      <c r="AM242">
        <f t="shared" si="181"/>
        <v>10.90447814124648</v>
      </c>
      <c r="AN242">
        <f t="shared" si="196"/>
        <v>220.44443492486104</v>
      </c>
      <c r="AO242">
        <f t="shared" si="197"/>
        <v>-2006.4743384935714</v>
      </c>
      <c r="AQ242">
        <f t="shared" si="182"/>
        <v>0.12754939350263389</v>
      </c>
      <c r="AR242">
        <f t="shared" si="183"/>
        <v>-35.713830180737489</v>
      </c>
      <c r="AT242">
        <f t="shared" si="209"/>
        <v>-54137.688242493394</v>
      </c>
      <c r="AU242">
        <f t="shared" si="210"/>
        <v>-155482.06260196894</v>
      </c>
      <c r="AV242">
        <f t="shared" si="198"/>
        <v>-1.9058599954815119</v>
      </c>
      <c r="AW242">
        <f t="shared" si="199"/>
        <v>-69836.541659725117</v>
      </c>
      <c r="AX242">
        <f t="shared" si="200"/>
        <v>-23557.909413315698</v>
      </c>
      <c r="AY242">
        <f t="shared" si="208"/>
        <v>-2.8162500803314363</v>
      </c>
      <c r="BA242">
        <f t="shared" si="184"/>
        <v>2.2338017002752313</v>
      </c>
      <c r="BB242">
        <f t="shared" si="201"/>
        <v>6.9808923433744958</v>
      </c>
      <c r="BC242">
        <f t="shared" si="202"/>
        <v>0.91039008484992445</v>
      </c>
      <c r="BD242">
        <f t="shared" si="185"/>
        <v>-127.83849036793922</v>
      </c>
      <c r="BF242">
        <f t="shared" si="186"/>
        <v>-8.1629742974271053</v>
      </c>
      <c r="BG242">
        <f t="shared" si="187"/>
        <v>-124.69106011729473</v>
      </c>
      <c r="BH242">
        <f t="shared" si="203"/>
        <v>55.308939882705275</v>
      </c>
      <c r="BI242">
        <f t="shared" si="204"/>
        <v>55.308939882705275</v>
      </c>
      <c r="BJ242">
        <f t="shared" si="188"/>
        <v>0</v>
      </c>
      <c r="BK242">
        <f t="shared" si="205"/>
        <v>0</v>
      </c>
      <c r="BM242">
        <f t="shared" si="206"/>
        <v>-15.143866640801599</v>
      </c>
      <c r="BN242">
        <f t="shared" si="189"/>
        <v>-176.85256974935552</v>
      </c>
      <c r="BQ242" s="56">
        <f t="shared" si="207"/>
        <v>23.882853143659631</v>
      </c>
      <c r="BR242" s="59"/>
      <c r="BS242" s="59"/>
      <c r="BT242" s="59">
        <v>20892.960999999999</v>
      </c>
      <c r="BU242" s="59">
        <v>-3.5620099999999999</v>
      </c>
      <c r="BV242" s="59">
        <v>-172.084</v>
      </c>
      <c r="BY242" s="59"/>
      <c r="BZ242" s="59"/>
      <c r="CA242" s="59"/>
      <c r="CC242" s="59"/>
    </row>
    <row r="243" spans="1:81" x14ac:dyDescent="0.2">
      <c r="A243">
        <f t="shared" si="211"/>
        <v>145000</v>
      </c>
      <c r="B243">
        <f t="shared" si="191"/>
        <v>145</v>
      </c>
      <c r="C243">
        <f t="shared" si="159"/>
        <v>1.000165992968814</v>
      </c>
      <c r="D243">
        <f t="shared" si="160"/>
        <v>1.8219221206075973E-2</v>
      </c>
      <c r="F243">
        <f t="shared" si="161"/>
        <v>1.0860371357934556E-2</v>
      </c>
      <c r="G243">
        <f t="shared" si="162"/>
        <v>3.6026830261241677E-2</v>
      </c>
      <c r="H243">
        <f t="shared" si="163"/>
        <v>-3.1055658197387586</v>
      </c>
      <c r="J243">
        <f t="shared" si="164"/>
        <v>15</v>
      </c>
      <c r="M243">
        <f t="shared" si="165"/>
        <v>1.2516652432579404E-2</v>
      </c>
      <c r="N243">
        <f t="shared" si="166"/>
        <v>-1.5707963250000001</v>
      </c>
      <c r="O243">
        <f t="shared" si="167"/>
        <v>17.332669372969448</v>
      </c>
      <c r="P243">
        <f t="shared" si="168"/>
        <v>1.5130697535045494</v>
      </c>
      <c r="Q243">
        <f t="shared" si="169"/>
        <v>11.338108949692021</v>
      </c>
      <c r="R243">
        <f t="shared" si="170"/>
        <v>1.482483447730939</v>
      </c>
      <c r="S243">
        <f t="shared" si="171"/>
        <v>0.99982665369411239</v>
      </c>
      <c r="T243">
        <f t="shared" si="172"/>
        <v>-1.8619952431525106E-2</v>
      </c>
      <c r="U243">
        <f t="shared" si="173"/>
        <v>0.95873526707305778</v>
      </c>
      <c r="V243">
        <f t="shared" si="174"/>
        <v>-0.28827658317658766</v>
      </c>
      <c r="X243">
        <f t="shared" si="192"/>
        <v>-8.3094859337286824</v>
      </c>
      <c r="Y243">
        <f t="shared" si="175"/>
        <v>-112.84325051593029</v>
      </c>
      <c r="Z243">
        <f t="shared" si="193"/>
        <v>67.156749484069707</v>
      </c>
      <c r="AC243">
        <v>1</v>
      </c>
      <c r="AD243">
        <f t="shared" si="176"/>
        <v>17.303798068420498</v>
      </c>
      <c r="AE243">
        <f t="shared" si="177"/>
        <v>-1.0720084808246075E-3</v>
      </c>
      <c r="AF243">
        <f t="shared" si="178"/>
        <v>3.6150934942080003E-3</v>
      </c>
      <c r="AG243">
        <f t="shared" si="194"/>
        <v>4324.2645430200855</v>
      </c>
      <c r="AH243">
        <f t="shared" si="195"/>
        <v>-1558.9218570628818</v>
      </c>
      <c r="AJ243">
        <f t="shared" si="179"/>
        <v>22100</v>
      </c>
      <c r="AK243">
        <f t="shared" si="180"/>
        <v>411.5485114862941</v>
      </c>
      <c r="AL243">
        <v>1</v>
      </c>
      <c r="AM243">
        <f t="shared" si="181"/>
        <v>11.29392378914814</v>
      </c>
      <c r="AN243">
        <f t="shared" si="196"/>
        <v>208.07026609151646</v>
      </c>
      <c r="AO243">
        <f t="shared" si="197"/>
        <v>-1938.3812165390673</v>
      </c>
      <c r="AQ243">
        <f t="shared" si="182"/>
        <v>0.11890465036087561</v>
      </c>
      <c r="AR243">
        <f t="shared" si="183"/>
        <v>-34.482348604653929</v>
      </c>
      <c r="AT243">
        <f t="shared" si="209"/>
        <v>-53241.111759101033</v>
      </c>
      <c r="AU243">
        <f t="shared" si="210"/>
        <v>-149296.16048951709</v>
      </c>
      <c r="AV243">
        <f t="shared" si="198"/>
        <v>-1.9133512210670285</v>
      </c>
      <c r="AW243">
        <f t="shared" si="199"/>
        <v>-65067.430971144437</v>
      </c>
      <c r="AX243">
        <f t="shared" si="200"/>
        <v>-22327.275303118287</v>
      </c>
      <c r="AY243">
        <f t="shared" si="208"/>
        <v>-2.8110417069874813</v>
      </c>
      <c r="BA243">
        <f t="shared" si="184"/>
        <v>2.3041403380280281</v>
      </c>
      <c r="BB243">
        <f t="shared" si="201"/>
        <v>7.2501785416819828</v>
      </c>
      <c r="BC243">
        <f t="shared" si="202"/>
        <v>0.89769048592045286</v>
      </c>
      <c r="BD243">
        <f t="shared" si="185"/>
        <v>-128.56612378893823</v>
      </c>
      <c r="BF243">
        <f t="shared" si="186"/>
        <v>-8.5096610860851403</v>
      </c>
      <c r="BG243">
        <f t="shared" si="187"/>
        <v>-125.45805398106</v>
      </c>
      <c r="BH243">
        <f t="shared" si="203"/>
        <v>54.541946018939996</v>
      </c>
      <c r="BI243">
        <f t="shared" si="204"/>
        <v>54.541946018939996</v>
      </c>
      <c r="BJ243">
        <f t="shared" si="188"/>
        <v>0</v>
      </c>
      <c r="BK243">
        <f t="shared" si="205"/>
        <v>0</v>
      </c>
      <c r="BM243">
        <f t="shared" si="206"/>
        <v>-15.759839627767123</v>
      </c>
      <c r="BN243">
        <f t="shared" si="189"/>
        <v>-176.89193019212178</v>
      </c>
      <c r="BQ243" s="56">
        <f t="shared" si="207"/>
        <v>24.152139341967121</v>
      </c>
      <c r="BR243" s="59"/>
      <c r="BS243" s="59"/>
      <c r="BT243" s="59">
        <v>21379.620999999999</v>
      </c>
      <c r="BU243" s="59">
        <v>-3.5589</v>
      </c>
      <c r="BV243" s="59">
        <v>-170.62899999999999</v>
      </c>
      <c r="BY243" s="59"/>
      <c r="BZ243" s="59"/>
      <c r="CA243" s="59"/>
      <c r="CC243" s="59"/>
    </row>
    <row r="244" spans="1:81" x14ac:dyDescent="0.2">
      <c r="A244">
        <f t="shared" si="211"/>
        <v>150000</v>
      </c>
      <c r="B244">
        <f t="shared" si="191"/>
        <v>150</v>
      </c>
      <c r="C244">
        <f t="shared" si="159"/>
        <v>1.0001776371013438</v>
      </c>
      <c r="D244">
        <f t="shared" si="160"/>
        <v>1.8847323923887733E-2</v>
      </c>
      <c r="F244">
        <f t="shared" si="161"/>
        <v>1.01416018822183E-2</v>
      </c>
      <c r="G244">
        <f t="shared" si="162"/>
        <v>3.4802056902974061E-2</v>
      </c>
      <c r="H244">
        <f t="shared" si="163"/>
        <v>-3.1067905930970263</v>
      </c>
      <c r="J244">
        <f t="shared" si="164"/>
        <v>15</v>
      </c>
      <c r="M244">
        <f t="shared" si="165"/>
        <v>1.2099430684826756E-2</v>
      </c>
      <c r="N244">
        <f t="shared" si="166"/>
        <v>-1.5707963250000001</v>
      </c>
      <c r="O244">
        <f t="shared" si="167"/>
        <v>17.928391212116715</v>
      </c>
      <c r="P244">
        <f t="shared" si="168"/>
        <v>1.5149899113639655</v>
      </c>
      <c r="Q244">
        <f t="shared" si="169"/>
        <v>11.726087216228157</v>
      </c>
      <c r="R244">
        <f t="shared" si="170"/>
        <v>1.4854126794622786</v>
      </c>
      <c r="S244">
        <f t="shared" si="171"/>
        <v>0.99981449604087358</v>
      </c>
      <c r="T244">
        <f t="shared" si="172"/>
        <v>-1.9261863601256361E-2</v>
      </c>
      <c r="U244">
        <f t="shared" si="173"/>
        <v>0.95602858446449901</v>
      </c>
      <c r="V244">
        <f t="shared" si="174"/>
        <v>-0.29764910863501248</v>
      </c>
      <c r="X244">
        <f t="shared" si="192"/>
        <v>-8.6375072020724275</v>
      </c>
      <c r="Y244">
        <f t="shared" si="175"/>
        <v>-113.17337262199457</v>
      </c>
      <c r="Z244">
        <f t="shared" si="193"/>
        <v>66.826627378005426</v>
      </c>
      <c r="AC244">
        <v>1</v>
      </c>
      <c r="AD244">
        <f t="shared" si="176"/>
        <v>17.900480760435002</v>
      </c>
      <c r="AE244">
        <f t="shared" si="177"/>
        <v>-1.1472147832843598E-3</v>
      </c>
      <c r="AF244">
        <f t="shared" si="178"/>
        <v>3.7397518905600007E-3</v>
      </c>
      <c r="AG244">
        <f t="shared" si="194"/>
        <v>4299.8826511629895</v>
      </c>
      <c r="AH244">
        <f t="shared" si="195"/>
        <v>-1586.4391856524257</v>
      </c>
      <c r="AJ244">
        <f t="shared" si="179"/>
        <v>22100</v>
      </c>
      <c r="AK244">
        <f t="shared" si="180"/>
        <v>425.73983946858004</v>
      </c>
      <c r="AL244">
        <v>1</v>
      </c>
      <c r="AM244">
        <f t="shared" si="181"/>
        <v>11.683369437049802</v>
      </c>
      <c r="AN244">
        <f t="shared" si="196"/>
        <v>196.90076380767496</v>
      </c>
      <c r="AO244">
        <f t="shared" si="197"/>
        <v>-1874.7245265337713</v>
      </c>
      <c r="AQ244">
        <f t="shared" si="182"/>
        <v>0.11110987655692714</v>
      </c>
      <c r="AR244">
        <f t="shared" si="183"/>
        <v>-33.332962967078146</v>
      </c>
      <c r="AT244">
        <f t="shared" si="209"/>
        <v>-52402.959194293922</v>
      </c>
      <c r="AU244">
        <f t="shared" si="210"/>
        <v>-143504.09823608064</v>
      </c>
      <c r="AV244">
        <f t="shared" si="198"/>
        <v>-1.9209185298731035</v>
      </c>
      <c r="AW244">
        <f t="shared" si="199"/>
        <v>-60763.186250402672</v>
      </c>
      <c r="AX244">
        <f t="shared" si="200"/>
        <v>-21220.556782388256</v>
      </c>
      <c r="AY244">
        <f t="shared" si="208"/>
        <v>-2.8056006049582702</v>
      </c>
      <c r="BA244">
        <f t="shared" si="184"/>
        <v>2.3736446117566947</v>
      </c>
      <c r="BB244">
        <f t="shared" si="201"/>
        <v>7.5083139157349423</v>
      </c>
      <c r="BC244">
        <f t="shared" si="202"/>
        <v>0.88468207508516672</v>
      </c>
      <c r="BD244">
        <f t="shared" si="185"/>
        <v>-129.31145082882404</v>
      </c>
      <c r="BF244">
        <f t="shared" si="186"/>
        <v>-8.8461869454661919</v>
      </c>
      <c r="BG244">
        <f t="shared" si="187"/>
        <v>-126.23756773044235</v>
      </c>
      <c r="BH244">
        <f t="shared" si="203"/>
        <v>53.76243226955765</v>
      </c>
      <c r="BI244">
        <f t="shared" si="204"/>
        <v>53.76243226955765</v>
      </c>
      <c r="BJ244">
        <f t="shared" si="188"/>
        <v>0</v>
      </c>
      <c r="BK244">
        <f t="shared" si="205"/>
        <v>0</v>
      </c>
      <c r="BM244">
        <f t="shared" si="206"/>
        <v>-16.354500861201135</v>
      </c>
      <c r="BN244">
        <f t="shared" si="189"/>
        <v>-176.92611690161834</v>
      </c>
      <c r="BQ244" s="56">
        <f t="shared" si="207"/>
        <v>24.410274716020076</v>
      </c>
      <c r="BR244" s="59"/>
      <c r="BS244" s="59"/>
      <c r="BT244" s="59">
        <v>21877.616000000002</v>
      </c>
      <c r="BU244" s="59">
        <v>-3.49654</v>
      </c>
      <c r="BV244" s="59">
        <v>-169.465</v>
      </c>
      <c r="BY244" s="59"/>
      <c r="BZ244" s="59"/>
      <c r="CA244" s="59"/>
      <c r="CC244" s="59"/>
    </row>
    <row r="245" spans="1:81" x14ac:dyDescent="0.2">
      <c r="A245">
        <f t="shared" si="211"/>
        <v>155000</v>
      </c>
      <c r="B245">
        <f t="shared" si="191"/>
        <v>155</v>
      </c>
      <c r="C245">
        <f t="shared" si="159"/>
        <v>1.0001896758076994</v>
      </c>
      <c r="D245">
        <f t="shared" si="160"/>
        <v>1.9475411769263016E-2</v>
      </c>
      <c r="F245">
        <f t="shared" si="161"/>
        <v>9.4920929855672447E-3</v>
      </c>
      <c r="G245">
        <f t="shared" si="162"/>
        <v>3.3658527380008615E-2</v>
      </c>
      <c r="H245">
        <f t="shared" si="163"/>
        <v>-3.1079341226199917</v>
      </c>
      <c r="J245">
        <f t="shared" si="164"/>
        <v>15</v>
      </c>
      <c r="M245">
        <f t="shared" si="165"/>
        <v>1.1709126469187182E-2</v>
      </c>
      <c r="N245">
        <f t="shared" si="166"/>
        <v>-1.5707963250000001</v>
      </c>
      <c r="O245">
        <f t="shared" si="167"/>
        <v>18.524174901642279</v>
      </c>
      <c r="P245">
        <f t="shared" si="168"/>
        <v>1.5167865613606073</v>
      </c>
      <c r="Q245">
        <f t="shared" si="169"/>
        <v>12.114159652053111</v>
      </c>
      <c r="R245">
        <f t="shared" si="170"/>
        <v>1.4881542598584772</v>
      </c>
      <c r="S245">
        <f t="shared" si="171"/>
        <v>0.9998019267300926</v>
      </c>
      <c r="T245">
        <f t="shared" si="172"/>
        <v>-1.9903758895719117E-2</v>
      </c>
      <c r="U245">
        <f t="shared" si="173"/>
        <v>0.95325411398169524</v>
      </c>
      <c r="V245">
        <f t="shared" si="174"/>
        <v>-0.30696804918832005</v>
      </c>
      <c r="X245">
        <f t="shared" si="192"/>
        <v>-8.9557013891969053</v>
      </c>
      <c r="Y245">
        <f t="shared" si="175"/>
        <v>-113.51359766162646</v>
      </c>
      <c r="Z245">
        <f t="shared" si="193"/>
        <v>66.486402338373537</v>
      </c>
      <c r="AC245">
        <v>1</v>
      </c>
      <c r="AD245">
        <f t="shared" si="176"/>
        <v>18.497163452449502</v>
      </c>
      <c r="AE245">
        <f t="shared" si="177"/>
        <v>-1.2249704519291889E-3</v>
      </c>
      <c r="AF245">
        <f t="shared" si="178"/>
        <v>3.8644102869120006E-3</v>
      </c>
      <c r="AG245">
        <f t="shared" si="194"/>
        <v>4274.9616667149776</v>
      </c>
      <c r="AH245">
        <f t="shared" si="195"/>
        <v>-1613.8818763572517</v>
      </c>
      <c r="AJ245">
        <f t="shared" si="179"/>
        <v>22100</v>
      </c>
      <c r="AK245">
        <f t="shared" si="180"/>
        <v>439.9311674508661</v>
      </c>
      <c r="AL245">
        <v>1</v>
      </c>
      <c r="AM245">
        <f t="shared" si="181"/>
        <v>12.072815084951461</v>
      </c>
      <c r="AN245">
        <f t="shared" si="196"/>
        <v>186.7848222754389</v>
      </c>
      <c r="AO245">
        <f t="shared" si="197"/>
        <v>-1815.0874525560305</v>
      </c>
      <c r="AQ245">
        <f t="shared" si="182"/>
        <v>0.10405718983153141</v>
      </c>
      <c r="AR245">
        <f t="shared" si="183"/>
        <v>-32.257728847774736</v>
      </c>
      <c r="AT245">
        <f t="shared" si="209"/>
        <v>-51615.323462194254</v>
      </c>
      <c r="AU245">
        <f t="shared" si="210"/>
        <v>-138068.49029229669</v>
      </c>
      <c r="AV245">
        <f t="shared" si="198"/>
        <v>-1.9285483461548847</v>
      </c>
      <c r="AW245">
        <f t="shared" si="199"/>
        <v>-56865.539384019678</v>
      </c>
      <c r="AX245">
        <f t="shared" si="200"/>
        <v>-20220.718989450615</v>
      </c>
      <c r="AY245">
        <f t="shared" si="208"/>
        <v>-2.7999481169959961</v>
      </c>
      <c r="BA245">
        <f t="shared" si="184"/>
        <v>2.4422864561311739</v>
      </c>
      <c r="BB245">
        <f t="shared" si="201"/>
        <v>7.7559320211778751</v>
      </c>
      <c r="BC245">
        <f t="shared" si="202"/>
        <v>0.87139977084111142</v>
      </c>
      <c r="BD245">
        <f t="shared" si="185"/>
        <v>-130.07247080508671</v>
      </c>
      <c r="BF245">
        <f t="shared" si="186"/>
        <v>-9.1733557715667562</v>
      </c>
      <c r="BG245">
        <f t="shared" si="187"/>
        <v>-127.02812033944983</v>
      </c>
      <c r="BH245">
        <f t="shared" si="203"/>
        <v>52.971879660550172</v>
      </c>
      <c r="BI245">
        <f t="shared" si="204"/>
        <v>52.971879660550172</v>
      </c>
      <c r="BJ245">
        <f t="shared" si="188"/>
        <v>0</v>
      </c>
      <c r="BK245">
        <f t="shared" si="205"/>
        <v>0</v>
      </c>
      <c r="BM245">
        <f t="shared" si="206"/>
        <v>-16.929287792744631</v>
      </c>
      <c r="BN245">
        <f t="shared" si="189"/>
        <v>-176.95564953436315</v>
      </c>
      <c r="BQ245" s="56">
        <f t="shared" si="207"/>
        <v>24.657892821463008</v>
      </c>
      <c r="BR245" s="59"/>
      <c r="BS245" s="59"/>
      <c r="BT245" s="59">
        <v>22387.210999999999</v>
      </c>
      <c r="BU245" s="59">
        <v>-3.4356</v>
      </c>
      <c r="BV245" s="59">
        <v>-168.34299999999999</v>
      </c>
      <c r="BY245" s="59"/>
      <c r="BZ245" s="59"/>
      <c r="CA245" s="59"/>
      <c r="CC245" s="59"/>
    </row>
    <row r="246" spans="1:81" x14ac:dyDescent="0.2">
      <c r="A246">
        <f t="shared" si="211"/>
        <v>160000</v>
      </c>
      <c r="B246">
        <f t="shared" si="191"/>
        <v>160</v>
      </c>
      <c r="C246">
        <f t="shared" si="159"/>
        <v>1.0002021090736335</v>
      </c>
      <c r="D246">
        <f t="shared" si="160"/>
        <v>2.0103484247193829E-2</v>
      </c>
      <c r="F246">
        <f t="shared" si="161"/>
        <v>8.9032008867380961E-3</v>
      </c>
      <c r="G246">
        <f t="shared" si="162"/>
        <v>3.2588356012213611E-2</v>
      </c>
      <c r="H246">
        <f t="shared" si="163"/>
        <v>-3.1090042939877867</v>
      </c>
      <c r="J246">
        <f t="shared" si="164"/>
        <v>15</v>
      </c>
      <c r="M246">
        <f t="shared" si="165"/>
        <v>1.1343216267025084E-2</v>
      </c>
      <c r="N246">
        <f t="shared" si="166"/>
        <v>-1.5707963250000001</v>
      </c>
      <c r="O246">
        <f t="shared" si="167"/>
        <v>19.120014659734522</v>
      </c>
      <c r="P246">
        <f t="shared" si="168"/>
        <v>1.5184712379935257</v>
      </c>
      <c r="Q246">
        <f t="shared" si="169"/>
        <v>12.502317488114466</v>
      </c>
      <c r="R246">
        <f t="shared" si="170"/>
        <v>1.4907256236093311</v>
      </c>
      <c r="S246">
        <f t="shared" si="171"/>
        <v>0.99978894580836808</v>
      </c>
      <c r="T246">
        <f t="shared" si="172"/>
        <v>-2.0545637786562668E-2</v>
      </c>
      <c r="U246">
        <f t="shared" si="173"/>
        <v>0.95041388313680319</v>
      </c>
      <c r="V246">
        <f t="shared" si="174"/>
        <v>-0.31623225856506354</v>
      </c>
      <c r="X246">
        <f t="shared" si="192"/>
        <v>-9.264774869027697</v>
      </c>
      <c r="Y246">
        <f t="shared" si="175"/>
        <v>-113.86265196033142</v>
      </c>
      <c r="Z246">
        <f t="shared" si="193"/>
        <v>66.137348039668581</v>
      </c>
      <c r="AC246">
        <v>1</v>
      </c>
      <c r="AD246">
        <f t="shared" si="176"/>
        <v>19.093846144463999</v>
      </c>
      <c r="AE246">
        <f t="shared" si="177"/>
        <v>-1.3052754867590938E-3</v>
      </c>
      <c r="AF246">
        <f t="shared" si="178"/>
        <v>3.9890686832640011E-3</v>
      </c>
      <c r="AG246">
        <f t="shared" si="194"/>
        <v>4249.5250294512243</v>
      </c>
      <c r="AH246">
        <f t="shared" si="195"/>
        <v>-1641.1852918900031</v>
      </c>
      <c r="AJ246">
        <f t="shared" si="179"/>
        <v>22100</v>
      </c>
      <c r="AK246">
        <f t="shared" si="180"/>
        <v>454.12249543315204</v>
      </c>
      <c r="AL246">
        <v>1</v>
      </c>
      <c r="AM246">
        <f t="shared" si="181"/>
        <v>12.462260732853121</v>
      </c>
      <c r="AN246">
        <f t="shared" si="196"/>
        <v>177.59425711632423</v>
      </c>
      <c r="AO246">
        <f t="shared" si="197"/>
        <v>-1759.1034414078367</v>
      </c>
      <c r="AQ246">
        <f t="shared" si="182"/>
        <v>9.7655296334996727E-2</v>
      </c>
      <c r="AR246">
        <f t="shared" si="183"/>
        <v>-31.249694827198955</v>
      </c>
      <c r="AT246">
        <f t="shared" si="209"/>
        <v>-50871.55090041599</v>
      </c>
      <c r="AU246">
        <f t="shared" si="210"/>
        <v>-132956.63076691458</v>
      </c>
      <c r="AV246">
        <f t="shared" si="198"/>
        <v>-1.9362286843337972</v>
      </c>
      <c r="AW246">
        <f t="shared" si="199"/>
        <v>-53325.05490814746</v>
      </c>
      <c r="AX246">
        <f t="shared" si="200"/>
        <v>-19313.594522559273</v>
      </c>
      <c r="AY246">
        <f t="shared" si="208"/>
        <v>-2.794103121831125</v>
      </c>
      <c r="BA246">
        <f t="shared" si="184"/>
        <v>2.5100388477596702</v>
      </c>
      <c r="BB246">
        <f t="shared" si="201"/>
        <v>7.9936088617888874</v>
      </c>
      <c r="BC246">
        <f t="shared" si="202"/>
        <v>0.85787443749732772</v>
      </c>
      <c r="BD246">
        <f t="shared" si="185"/>
        <v>-130.84741532307856</v>
      </c>
      <c r="BF246">
        <f t="shared" si="186"/>
        <v>-9.4918871841809516</v>
      </c>
      <c r="BG246">
        <f t="shared" si="187"/>
        <v>-127.8283952579873</v>
      </c>
      <c r="BH246">
        <f t="shared" si="203"/>
        <v>52.171604742012704</v>
      </c>
      <c r="BI246">
        <f t="shared" si="204"/>
        <v>52.171604742012704</v>
      </c>
      <c r="BJ246">
        <f t="shared" si="188"/>
        <v>0</v>
      </c>
      <c r="BK246">
        <f t="shared" si="205"/>
        <v>0</v>
      </c>
      <c r="BM246">
        <f t="shared" si="206"/>
        <v>-17.485496045969839</v>
      </c>
      <c r="BN246">
        <f t="shared" si="189"/>
        <v>-176.98097993490873</v>
      </c>
      <c r="BQ246" s="56">
        <f t="shared" si="207"/>
        <v>24.895569662074024</v>
      </c>
      <c r="BR246" s="59"/>
      <c r="BS246" s="59"/>
      <c r="BT246" s="59">
        <v>22908.677</v>
      </c>
      <c r="BU246" s="59">
        <v>-3.37297</v>
      </c>
      <c r="BV246" s="59">
        <v>-167.03899999999999</v>
      </c>
      <c r="BY246" s="59"/>
      <c r="BZ246" s="59"/>
      <c r="CA246" s="59"/>
      <c r="CC246" s="59"/>
    </row>
    <row r="247" spans="1:81" x14ac:dyDescent="0.2">
      <c r="A247">
        <f t="shared" si="211"/>
        <v>165000</v>
      </c>
      <c r="B247">
        <f t="shared" si="191"/>
        <v>165</v>
      </c>
      <c r="C247">
        <f t="shared" si="159"/>
        <v>1.0002149368844324</v>
      </c>
      <c r="D247">
        <f t="shared" si="160"/>
        <v>2.0731540862744903E-2</v>
      </c>
      <c r="F247">
        <f t="shared" si="161"/>
        <v>8.3675925529085628E-3</v>
      </c>
      <c r="G247">
        <f t="shared" si="162"/>
        <v>3.1584652512056763E-2</v>
      </c>
      <c r="H247">
        <f t="shared" si="163"/>
        <v>-3.1100079974879433</v>
      </c>
      <c r="J247">
        <f t="shared" si="164"/>
        <v>15</v>
      </c>
      <c r="M247">
        <f t="shared" si="165"/>
        <v>1.0999482440751596E-2</v>
      </c>
      <c r="N247">
        <f t="shared" si="166"/>
        <v>-1.5707963250000001</v>
      </c>
      <c r="O247">
        <f t="shared" si="167"/>
        <v>19.715905403003724</v>
      </c>
      <c r="P247">
        <f t="shared" si="168"/>
        <v>1.5200540840374879</v>
      </c>
      <c r="Q247">
        <f t="shared" si="169"/>
        <v>12.890553009748384</v>
      </c>
      <c r="R247">
        <f t="shared" si="170"/>
        <v>1.4931421147379376</v>
      </c>
      <c r="S247">
        <f t="shared" si="171"/>
        <v>0.99977555332382118</v>
      </c>
      <c r="T247">
        <f t="shared" si="172"/>
        <v>-2.1187499745517376E-2</v>
      </c>
      <c r="U247">
        <f t="shared" si="173"/>
        <v>0.94750993372077708</v>
      </c>
      <c r="V247">
        <f t="shared" si="174"/>
        <v>-0.32544064148736712</v>
      </c>
      <c r="X247">
        <f t="shared" si="192"/>
        <v>-9.5653613951658514</v>
      </c>
      <c r="Y247">
        <f t="shared" si="175"/>
        <v>-114.21940725984267</v>
      </c>
      <c r="Z247">
        <f t="shared" si="193"/>
        <v>65.780592740157331</v>
      </c>
      <c r="AC247">
        <v>1</v>
      </c>
      <c r="AD247">
        <f t="shared" si="176"/>
        <v>19.690528836478503</v>
      </c>
      <c r="AE247">
        <f t="shared" si="177"/>
        <v>-1.3881298877740755E-3</v>
      </c>
      <c r="AF247">
        <f t="shared" si="178"/>
        <v>4.1137270796160006E-3</v>
      </c>
      <c r="AG247">
        <f t="shared" si="194"/>
        <v>4223.5962143266916</v>
      </c>
      <c r="AH247">
        <f t="shared" si="195"/>
        <v>-1668.29252553063</v>
      </c>
      <c r="AJ247">
        <f t="shared" si="179"/>
        <v>22100</v>
      </c>
      <c r="AK247">
        <f t="shared" si="180"/>
        <v>468.31382341543809</v>
      </c>
      <c r="AL247">
        <v>1</v>
      </c>
      <c r="AM247">
        <f t="shared" si="181"/>
        <v>12.851706380754782</v>
      </c>
      <c r="AN247">
        <f t="shared" si="196"/>
        <v>169.21976432323754</v>
      </c>
      <c r="AO247">
        <f t="shared" si="197"/>
        <v>-1706.4489014873341</v>
      </c>
      <c r="AQ247">
        <f t="shared" si="182"/>
        <v>9.1826521335892239E-2</v>
      </c>
      <c r="AR247">
        <f t="shared" si="183"/>
        <v>-30.302752040844435</v>
      </c>
      <c r="AT247">
        <f t="shared" si="209"/>
        <v>-50166.016584859746</v>
      </c>
      <c r="AU247">
        <f t="shared" si="210"/>
        <v>-128139.78230258114</v>
      </c>
      <c r="AV247">
        <f t="shared" si="198"/>
        <v>-1.9439489172848097</v>
      </c>
      <c r="AW247">
        <f t="shared" si="199"/>
        <v>-50099.573849357097</v>
      </c>
      <c r="AX247">
        <f t="shared" si="200"/>
        <v>-18487.322820476402</v>
      </c>
      <c r="AY247">
        <f t="shared" si="208"/>
        <v>-2.788082414705185</v>
      </c>
      <c r="BA247">
        <f t="shared" si="184"/>
        <v>2.5768757851646686</v>
      </c>
      <c r="BB247">
        <f t="shared" si="201"/>
        <v>8.2218696894680221</v>
      </c>
      <c r="BC247">
        <f t="shared" si="202"/>
        <v>0.84413349742037536</v>
      </c>
      <c r="BD247">
        <f t="shared" si="185"/>
        <v>-131.63471319692974</v>
      </c>
      <c r="BF247">
        <f t="shared" si="186"/>
        <v>-9.8024279172860869</v>
      </c>
      <c r="BG247">
        <f t="shared" si="187"/>
        <v>-128.63721611293818</v>
      </c>
      <c r="BH247">
        <f t="shared" si="203"/>
        <v>51.362783887061823</v>
      </c>
      <c r="BI247">
        <f t="shared" si="204"/>
        <v>51.362783887061823</v>
      </c>
      <c r="BJ247">
        <f t="shared" si="188"/>
        <v>0</v>
      </c>
      <c r="BK247">
        <f t="shared" si="205"/>
        <v>0</v>
      </c>
      <c r="BM247">
        <f t="shared" si="206"/>
        <v>-18.024297606754111</v>
      </c>
      <c r="BN247">
        <f t="shared" si="189"/>
        <v>-177.00250291600844</v>
      </c>
      <c r="BQ247" s="56">
        <f t="shared" si="207"/>
        <v>25.123830489753161</v>
      </c>
      <c r="BR247" s="59"/>
      <c r="BS247" s="59"/>
      <c r="BT247" s="59">
        <v>23442.288</v>
      </c>
      <c r="BU247" s="59">
        <v>-3.29522</v>
      </c>
      <c r="BV247" s="59">
        <v>-165.876</v>
      </c>
      <c r="BY247" s="59"/>
      <c r="BZ247" s="59"/>
      <c r="CA247" s="59"/>
      <c r="CC247" s="59"/>
    </row>
    <row r="248" spans="1:81" x14ac:dyDescent="0.2">
      <c r="A248">
        <f t="shared" si="211"/>
        <v>170000</v>
      </c>
      <c r="B248">
        <f t="shared" si="191"/>
        <v>170</v>
      </c>
      <c r="C248">
        <f t="shared" si="159"/>
        <v>1.0002281592249158</v>
      </c>
      <c r="D248">
        <f t="shared" si="160"/>
        <v>2.1359581121056036E-2</v>
      </c>
      <c r="F248">
        <f t="shared" si="161"/>
        <v>7.8790136960922991E-3</v>
      </c>
      <c r="G248">
        <f t="shared" si="162"/>
        <v>3.064136881084634E-2</v>
      </c>
      <c r="H248">
        <f t="shared" si="163"/>
        <v>-3.1109512811891538</v>
      </c>
      <c r="J248">
        <f t="shared" si="164"/>
        <v>15</v>
      </c>
      <c r="M248">
        <f t="shared" si="165"/>
        <v>1.0675968251317726E-2</v>
      </c>
      <c r="N248">
        <f t="shared" si="166"/>
        <v>-1.5707963250000001</v>
      </c>
      <c r="O248">
        <f t="shared" si="167"/>
        <v>20.3118426441773</v>
      </c>
      <c r="P248">
        <f t="shared" si="168"/>
        <v>1.5215440541330281</v>
      </c>
      <c r="Q248">
        <f t="shared" si="169"/>
        <v>13.278859403050875</v>
      </c>
      <c r="R248">
        <f t="shared" si="170"/>
        <v>1.4954172902663176</v>
      </c>
      <c r="S248">
        <f t="shared" si="171"/>
        <v>0.99976174932609485</v>
      </c>
      <c r="T248">
        <f t="shared" si="172"/>
        <v>-2.1829344244397274E-2</v>
      </c>
      <c r="U248">
        <f t="shared" si="173"/>
        <v>0.94454431837299735</v>
      </c>
      <c r="V248">
        <f t="shared" si="174"/>
        <v>-0.33459215369838646</v>
      </c>
      <c r="X248">
        <f t="shared" si="192"/>
        <v>-9.8580316445651199</v>
      </c>
      <c r="Y248">
        <f t="shared" si="175"/>
        <v>-114.58286043229583</v>
      </c>
      <c r="Z248">
        <f t="shared" si="193"/>
        <v>65.417139567704169</v>
      </c>
      <c r="AC248">
        <v>1</v>
      </c>
      <c r="AD248">
        <f t="shared" si="176"/>
        <v>20.287211528493</v>
      </c>
      <c r="AE248">
        <f t="shared" si="177"/>
        <v>-1.4735336549741337E-3</v>
      </c>
      <c r="AF248">
        <f t="shared" si="178"/>
        <v>4.2383854759680002E-3</v>
      </c>
      <c r="AG248">
        <f t="shared" si="194"/>
        <v>4197.1986866457491</v>
      </c>
      <c r="AH248">
        <f t="shared" si="195"/>
        <v>-1695.1533932257153</v>
      </c>
      <c r="AJ248">
        <f t="shared" si="179"/>
        <v>22100</v>
      </c>
      <c r="AK248">
        <f t="shared" si="180"/>
        <v>482.50515139772403</v>
      </c>
      <c r="AL248">
        <v>1</v>
      </c>
      <c r="AM248">
        <f t="shared" si="181"/>
        <v>13.24115202865644</v>
      </c>
      <c r="AN248">
        <f t="shared" si="196"/>
        <v>161.56768504771756</v>
      </c>
      <c r="AO248">
        <f t="shared" si="197"/>
        <v>-1656.8371292371862</v>
      </c>
      <c r="AQ248">
        <f t="shared" si="182"/>
        <v>8.6504442003096857E-2</v>
      </c>
      <c r="AR248">
        <f t="shared" si="183"/>
        <v>-29.411510281052934</v>
      </c>
      <c r="AT248">
        <f t="shared" si="209"/>
        <v>-49493.945122455472</v>
      </c>
      <c r="AU248">
        <f t="shared" si="210"/>
        <v>-123592.59062229397</v>
      </c>
      <c r="AV248">
        <f t="shared" si="198"/>
        <v>-1.9516995851654204</v>
      </c>
      <c r="AW248">
        <f t="shared" si="199"/>
        <v>-47152.967655989451</v>
      </c>
      <c r="AX248">
        <f t="shared" si="200"/>
        <v>-17731.912898280385</v>
      </c>
      <c r="AY248">
        <f t="shared" si="208"/>
        <v>-2.7819010210378305</v>
      </c>
      <c r="BA248">
        <f t="shared" si="184"/>
        <v>2.6427722788572332</v>
      </c>
      <c r="BB248">
        <f t="shared" si="201"/>
        <v>8.4411948532774659</v>
      </c>
      <c r="BC248">
        <f t="shared" si="202"/>
        <v>0.83020143587241013</v>
      </c>
      <c r="BD248">
        <f t="shared" si="185"/>
        <v>-132.43296152445677</v>
      </c>
      <c r="BF248">
        <f t="shared" si="186"/>
        <v>-10.10556131752238</v>
      </c>
      <c r="BG248">
        <f t="shared" si="187"/>
        <v>-129.45352655928312</v>
      </c>
      <c r="BH248">
        <f t="shared" si="203"/>
        <v>50.546473440716881</v>
      </c>
      <c r="BI248">
        <f t="shared" si="204"/>
        <v>50.546473440716881</v>
      </c>
      <c r="BJ248">
        <f t="shared" si="188"/>
        <v>0</v>
      </c>
      <c r="BK248">
        <f t="shared" si="205"/>
        <v>0</v>
      </c>
      <c r="BM248">
        <f t="shared" si="206"/>
        <v>-18.546756170799846</v>
      </c>
      <c r="BN248">
        <f t="shared" si="189"/>
        <v>-177.02056503482638</v>
      </c>
      <c r="BQ248" s="56">
        <f t="shared" si="207"/>
        <v>25.343155653562604</v>
      </c>
      <c r="BR248" s="59"/>
      <c r="BS248" s="59"/>
      <c r="BT248" s="59">
        <v>23988.329000000002</v>
      </c>
      <c r="BU248" s="59">
        <v>-3.2437399999999998</v>
      </c>
      <c r="BV248" s="59">
        <v>-164.703</v>
      </c>
      <c r="BY248" s="59"/>
      <c r="BZ248" s="59"/>
      <c r="CA248" s="59"/>
      <c r="CC248" s="59"/>
    </row>
    <row r="249" spans="1:81" x14ac:dyDescent="0.2">
      <c r="A249">
        <f t="shared" si="211"/>
        <v>175000</v>
      </c>
      <c r="B249">
        <f t="shared" si="191"/>
        <v>175</v>
      </c>
      <c r="C249">
        <f t="shared" si="159"/>
        <v>1.0002417760794378</v>
      </c>
      <c r="D249">
        <f t="shared" si="160"/>
        <v>2.1987604527344405E-2</v>
      </c>
      <c r="F249">
        <f t="shared" si="161"/>
        <v>7.4321034003240506E-3</v>
      </c>
      <c r="G249">
        <f t="shared" si="162"/>
        <v>2.9753173469050438E-2</v>
      </c>
      <c r="H249">
        <f t="shared" si="163"/>
        <v>-3.1118394765309496</v>
      </c>
      <c r="J249">
        <f t="shared" si="164"/>
        <v>15</v>
      </c>
      <c r="M249">
        <f t="shared" si="165"/>
        <v>1.0370940586994363E-2</v>
      </c>
      <c r="N249">
        <f t="shared" si="166"/>
        <v>-1.5707963250000001</v>
      </c>
      <c r="O249">
        <f t="shared" si="167"/>
        <v>20.907822407255775</v>
      </c>
      <c r="P249">
        <f t="shared" si="168"/>
        <v>1.5229490836803823</v>
      </c>
      <c r="Q249">
        <f t="shared" si="169"/>
        <v>13.667230627314048</v>
      </c>
      <c r="R249">
        <f t="shared" si="170"/>
        <v>1.4975631725420133</v>
      </c>
      <c r="S249">
        <f t="shared" si="171"/>
        <v>0.99974753386635418</v>
      </c>
      <c r="T249">
        <f t="shared" si="172"/>
        <v>-2.247117075510268E-2</v>
      </c>
      <c r="U249">
        <f t="shared" si="173"/>
        <v>0.94151909723781468</v>
      </c>
      <c r="V249">
        <f t="shared" si="174"/>
        <v>-0.34368580189407244</v>
      </c>
      <c r="X249">
        <f t="shared" si="192"/>
        <v>-10.143301234048101</v>
      </c>
      <c r="Y249">
        <f t="shared" si="175"/>
        <v>-114.95211653791883</v>
      </c>
      <c r="Z249">
        <f t="shared" si="193"/>
        <v>65.047883462081174</v>
      </c>
      <c r="AC249">
        <v>1</v>
      </c>
      <c r="AD249">
        <f t="shared" si="176"/>
        <v>20.8838942205075</v>
      </c>
      <c r="AE249">
        <f t="shared" si="177"/>
        <v>-1.5614867883592674E-3</v>
      </c>
      <c r="AF249">
        <f t="shared" si="178"/>
        <v>4.3630438723200006E-3</v>
      </c>
      <c r="AG249">
        <f t="shared" si="194"/>
        <v>4170.3558588542264</v>
      </c>
      <c r="AH249">
        <f t="shared" si="195"/>
        <v>-1721.7235939374455</v>
      </c>
      <c r="AJ249">
        <f t="shared" si="179"/>
        <v>22100</v>
      </c>
      <c r="AK249">
        <f t="shared" si="180"/>
        <v>496.69647938001009</v>
      </c>
      <c r="AL249">
        <v>1</v>
      </c>
      <c r="AM249">
        <f t="shared" si="181"/>
        <v>13.6305976765581</v>
      </c>
      <c r="AN249">
        <f t="shared" si="196"/>
        <v>154.55739800256572</v>
      </c>
      <c r="AO249">
        <f t="shared" si="197"/>
        <v>-1610.0132307286278</v>
      </c>
      <c r="AQ249">
        <f t="shared" si="182"/>
        <v>8.1631986677659779E-2</v>
      </c>
      <c r="AR249">
        <f t="shared" si="183"/>
        <v>-28.571195337180921</v>
      </c>
      <c r="AT249">
        <f t="shared" si="209"/>
        <v>-48851.266685108829</v>
      </c>
      <c r="AU249">
        <f t="shared" si="210"/>
        <v>-119292.59958636393</v>
      </c>
      <c r="AV249">
        <f t="shared" si="198"/>
        <v>-1.9594722367208406</v>
      </c>
      <c r="AW249">
        <f t="shared" si="199"/>
        <v>-44454.133695631317</v>
      </c>
      <c r="AX249">
        <f t="shared" si="200"/>
        <v>-17038.899520208932</v>
      </c>
      <c r="AY249">
        <f t="shared" si="208"/>
        <v>-2.7755724563444941</v>
      </c>
      <c r="BA249">
        <f t="shared" si="184"/>
        <v>2.7077043492361823</v>
      </c>
      <c r="BB249">
        <f t="shared" si="201"/>
        <v>8.6520248508904256</v>
      </c>
      <c r="BC249">
        <f t="shared" si="202"/>
        <v>0.81610021962365353</v>
      </c>
      <c r="BD249">
        <f t="shared" si="185"/>
        <v>-133.24090170243502</v>
      </c>
      <c r="BF249">
        <f t="shared" si="186"/>
        <v>-10.401815317104258</v>
      </c>
      <c r="BG249">
        <f t="shared" si="187"/>
        <v>-130.27637349113076</v>
      </c>
      <c r="BH249">
        <f t="shared" si="203"/>
        <v>49.723626508869245</v>
      </c>
      <c r="BI249">
        <f t="shared" si="204"/>
        <v>49.723626508869245</v>
      </c>
      <c r="BJ249">
        <f t="shared" si="188"/>
        <v>0</v>
      </c>
      <c r="BK249">
        <f t="shared" si="205"/>
        <v>0</v>
      </c>
      <c r="BM249">
        <f t="shared" si="206"/>
        <v>-19.053840167994686</v>
      </c>
      <c r="BN249">
        <f t="shared" si="189"/>
        <v>-177.03547178869576</v>
      </c>
      <c r="BQ249" s="56">
        <f t="shared" si="207"/>
        <v>25.553985651175562</v>
      </c>
      <c r="BR249" s="59"/>
      <c r="BS249" s="59"/>
      <c r="BT249" s="59">
        <v>24547.089</v>
      </c>
      <c r="BU249" s="59">
        <v>-3.1709299999999998</v>
      </c>
      <c r="BV249" s="59">
        <v>-163.65100000000001</v>
      </c>
      <c r="BY249" s="59"/>
      <c r="BZ249" s="59"/>
      <c r="CA249" s="59"/>
      <c r="CC249" s="59"/>
    </row>
    <row r="250" spans="1:81" x14ac:dyDescent="0.2">
      <c r="A250">
        <f t="shared" si="211"/>
        <v>180000</v>
      </c>
      <c r="B250">
        <f t="shared" si="191"/>
        <v>180</v>
      </c>
      <c r="C250">
        <f t="shared" si="159"/>
        <v>1.0002557874318865</v>
      </c>
      <c r="D250">
        <f t="shared" si="160"/>
        <v>2.2615610586906913E-2</v>
      </c>
      <c r="F250">
        <f t="shared" si="161"/>
        <v>7.0222449477190113E-3</v>
      </c>
      <c r="G250">
        <f t="shared" si="162"/>
        <v>2.8915348018897561E-2</v>
      </c>
      <c r="H250">
        <f t="shared" si="163"/>
        <v>-3.1126773019811025</v>
      </c>
      <c r="J250">
        <f t="shared" si="164"/>
        <v>15</v>
      </c>
      <c r="M250">
        <f t="shared" si="165"/>
        <v>1.0082858904022298E-2</v>
      </c>
      <c r="N250">
        <f t="shared" si="166"/>
        <v>-1.5707963250000001</v>
      </c>
      <c r="O250">
        <f t="shared" si="167"/>
        <v>21.503841156750887</v>
      </c>
      <c r="P250">
        <f t="shared" si="168"/>
        <v>1.5242762297402941</v>
      </c>
      <c r="Q250">
        <f t="shared" si="169"/>
        <v>14.055661308516534</v>
      </c>
      <c r="R250">
        <f t="shared" si="170"/>
        <v>1.4995904600568857</v>
      </c>
      <c r="S250">
        <f t="shared" si="171"/>
        <v>0.99973290699728534</v>
      </c>
      <c r="T250">
        <f t="shared" si="172"/>
        <v>-2.311297874962279E-2</v>
      </c>
      <c r="U250">
        <f t="shared" si="173"/>
        <v>0.93843633471572341</v>
      </c>
      <c r="V250">
        <f t="shared" si="174"/>
        <v>-0.35272064356287547</v>
      </c>
      <c r="X250">
        <f t="shared" si="192"/>
        <v>-10.421637495558706</v>
      </c>
      <c r="Y250">
        <f t="shared" si="175"/>
        <v>-115.3263746029303</v>
      </c>
      <c r="Z250">
        <f t="shared" si="193"/>
        <v>64.673625397069699</v>
      </c>
      <c r="AC250">
        <v>1</v>
      </c>
      <c r="AD250">
        <f t="shared" si="176"/>
        <v>21.480576912522</v>
      </c>
      <c r="AE250">
        <f t="shared" si="177"/>
        <v>-1.6519892879294782E-3</v>
      </c>
      <c r="AF250">
        <f t="shared" si="178"/>
        <v>4.487702268672001E-3</v>
      </c>
      <c r="AG250">
        <f t="shared" si="194"/>
        <v>4143.0910490530268</v>
      </c>
      <c r="AH250">
        <f t="shared" si="195"/>
        <v>-1747.9640052577283</v>
      </c>
      <c r="AJ250">
        <f t="shared" si="179"/>
        <v>22100</v>
      </c>
      <c r="AK250">
        <f t="shared" si="180"/>
        <v>510.88780736229609</v>
      </c>
      <c r="AL250">
        <v>1</v>
      </c>
      <c r="AM250">
        <f t="shared" si="181"/>
        <v>14.020043324459762</v>
      </c>
      <c r="AN250">
        <f t="shared" si="196"/>
        <v>148.11920432954184</v>
      </c>
      <c r="AO250">
        <f t="shared" si="197"/>
        <v>-1565.7498545223887</v>
      </c>
      <c r="AQ250">
        <f t="shared" si="182"/>
        <v>7.7159898457573636E-2</v>
      </c>
      <c r="AR250">
        <f t="shared" si="183"/>
        <v>-27.777563444726507</v>
      </c>
      <c r="AT250">
        <f t="shared" si="209"/>
        <v>-48234.500570499396</v>
      </c>
      <c r="AU250">
        <f t="shared" si="210"/>
        <v>-115219.84719750214</v>
      </c>
      <c r="AV250">
        <f t="shared" si="198"/>
        <v>-1.9672592967790539</v>
      </c>
      <c r="AW250">
        <f t="shared" si="199"/>
        <v>-41976.180339516904</v>
      </c>
      <c r="AX250">
        <f t="shared" si="200"/>
        <v>-16401.070772610106</v>
      </c>
      <c r="AY250">
        <f t="shared" si="208"/>
        <v>-2.7691089426593862</v>
      </c>
      <c r="BA250">
        <f t="shared" si="184"/>
        <v>2.7716490304906873</v>
      </c>
      <c r="BB250">
        <f t="shared" si="201"/>
        <v>8.8547647080348089</v>
      </c>
      <c r="BC250">
        <f t="shared" si="202"/>
        <v>0.80184964588033236</v>
      </c>
      <c r="BD250">
        <f t="shared" si="185"/>
        <v>-134.05739943450027</v>
      </c>
      <c r="BF250">
        <f t="shared" si="186"/>
        <v>-10.691669167229778</v>
      </c>
      <c r="BG250">
        <f t="shared" si="187"/>
        <v>-131.10489298875058</v>
      </c>
      <c r="BH250">
        <f t="shared" si="203"/>
        <v>48.895107011249422</v>
      </c>
      <c r="BI250">
        <f t="shared" si="204"/>
        <v>48.895107011249422</v>
      </c>
      <c r="BJ250">
        <f t="shared" si="188"/>
        <v>0</v>
      </c>
      <c r="BK250">
        <f t="shared" si="205"/>
        <v>0</v>
      </c>
      <c r="BM250">
        <f t="shared" si="206"/>
        <v>-19.54643387526459</v>
      </c>
      <c r="BN250">
        <f t="shared" si="189"/>
        <v>-177.04749355425031</v>
      </c>
      <c r="BQ250" s="56">
        <f t="shared" si="207"/>
        <v>25.756725508319946</v>
      </c>
      <c r="BR250" s="59"/>
      <c r="BS250" s="59"/>
      <c r="BT250" s="59">
        <v>25118.864000000001</v>
      </c>
      <c r="BU250" s="59">
        <v>-3.1069800000000001</v>
      </c>
      <c r="BV250" s="59">
        <v>-162.52199999999999</v>
      </c>
      <c r="BY250" s="59"/>
      <c r="BZ250" s="59"/>
      <c r="CA250" s="59"/>
      <c r="CC250" s="59"/>
    </row>
    <row r="251" spans="1:81" x14ac:dyDescent="0.2">
      <c r="A251">
        <f t="shared" si="211"/>
        <v>185000</v>
      </c>
      <c r="B251">
        <f t="shared" si="191"/>
        <v>185</v>
      </c>
      <c r="C251">
        <f t="shared" si="159"/>
        <v>1.0002701932656839</v>
      </c>
      <c r="D251">
        <f t="shared" si="160"/>
        <v>2.3243598805122532E-2</v>
      </c>
      <c r="F251">
        <f t="shared" si="161"/>
        <v>6.6454449699857102E-3</v>
      </c>
      <c r="G251">
        <f t="shared" si="162"/>
        <v>2.8123700878221549E-2</v>
      </c>
      <c r="H251">
        <f t="shared" si="163"/>
        <v>-3.1134689491217786</v>
      </c>
      <c r="J251">
        <f t="shared" si="164"/>
        <v>15</v>
      </c>
      <c r="M251">
        <f t="shared" si="165"/>
        <v>9.8103492039135851E-3</v>
      </c>
      <c r="N251">
        <f t="shared" si="166"/>
        <v>-1.5707963250000001</v>
      </c>
      <c r="O251">
        <f t="shared" si="167"/>
        <v>22.099895738353592</v>
      </c>
      <c r="P251">
        <f t="shared" si="168"/>
        <v>1.525531789205488</v>
      </c>
      <c r="Q251">
        <f t="shared" si="169"/>
        <v>14.444146649927278</v>
      </c>
      <c r="R251">
        <f t="shared" si="170"/>
        <v>1.5015087044986231</v>
      </c>
      <c r="S251">
        <f t="shared" si="171"/>
        <v>0.99971786877309499</v>
      </c>
      <c r="T251">
        <f t="shared" si="172"/>
        <v>-2.3754767700038287E-2</v>
      </c>
      <c r="U251">
        <f t="shared" si="173"/>
        <v>0.93529809631610461</v>
      </c>
      <c r="V251">
        <f t="shared" si="174"/>
        <v>-0.36169578673722752</v>
      </c>
      <c r="X251">
        <f t="shared" si="192"/>
        <v>-10.693465235303631</v>
      </c>
      <c r="Y251">
        <f t="shared" si="175"/>
        <v>-115.70491562264313</v>
      </c>
      <c r="Z251">
        <f t="shared" si="193"/>
        <v>64.295084377356872</v>
      </c>
      <c r="AC251">
        <v>1</v>
      </c>
      <c r="AD251">
        <f t="shared" si="176"/>
        <v>22.077259604536501</v>
      </c>
      <c r="AE251">
        <f t="shared" si="177"/>
        <v>-1.7450411536847651E-3</v>
      </c>
      <c r="AF251">
        <f t="shared" si="178"/>
        <v>4.6123606650240005E-3</v>
      </c>
      <c r="AG251">
        <f t="shared" si="194"/>
        <v>4115.4274413188232</v>
      </c>
      <c r="AH251">
        <f t="shared" si="195"/>
        <v>-1773.8400884706982</v>
      </c>
      <c r="AJ251">
        <f t="shared" si="179"/>
        <v>22100</v>
      </c>
      <c r="AK251">
        <f t="shared" si="180"/>
        <v>525.07913534458214</v>
      </c>
      <c r="AL251">
        <v>1</v>
      </c>
      <c r="AM251">
        <f t="shared" si="181"/>
        <v>14.409488972361421</v>
      </c>
      <c r="AN251">
        <f t="shared" si="196"/>
        <v>142.1926016090332</v>
      </c>
      <c r="AO251">
        <f t="shared" si="197"/>
        <v>-1523.8435894921631</v>
      </c>
      <c r="AQ251">
        <f t="shared" si="182"/>
        <v>7.3045485423773385E-2</v>
      </c>
      <c r="AR251">
        <f t="shared" si="183"/>
        <v>-27.026829606796152</v>
      </c>
      <c r="AT251">
        <f t="shared" si="209"/>
        <v>-47640.660425624315</v>
      </c>
      <c r="AU251">
        <f t="shared" si="210"/>
        <v>-111356.52722598339</v>
      </c>
      <c r="AV251">
        <f t="shared" si="198"/>
        <v>-1.9750539549995236</v>
      </c>
      <c r="AW251">
        <f t="shared" si="199"/>
        <v>-39695.7618853077</v>
      </c>
      <c r="AX251">
        <f t="shared" si="200"/>
        <v>-15812.250651197728</v>
      </c>
      <c r="AY251">
        <f t="shared" si="208"/>
        <v>-2.7625215895408566</v>
      </c>
      <c r="BA251">
        <f t="shared" si="184"/>
        <v>2.8345843790283434</v>
      </c>
      <c r="BB251">
        <f t="shared" si="201"/>
        <v>9.0497877892560847</v>
      </c>
      <c r="BC251">
        <f t="shared" si="202"/>
        <v>0.78746763454133295</v>
      </c>
      <c r="BD251">
        <f t="shared" si="185"/>
        <v>-134.88142798607581</v>
      </c>
      <c r="BF251">
        <f t="shared" si="186"/>
        <v>-10.975559157298916</v>
      </c>
      <c r="BG251">
        <f t="shared" si="187"/>
        <v>-131.93829850587349</v>
      </c>
      <c r="BH251">
        <f t="shared" si="203"/>
        <v>48.06170149412651</v>
      </c>
      <c r="BI251">
        <f t="shared" si="204"/>
        <v>48.06170149412651</v>
      </c>
      <c r="BJ251">
        <f t="shared" si="188"/>
        <v>0</v>
      </c>
      <c r="BK251">
        <f t="shared" si="205"/>
        <v>0</v>
      </c>
      <c r="BM251">
        <f t="shared" si="206"/>
        <v>-20.025346946555</v>
      </c>
      <c r="BN251">
        <f t="shared" si="189"/>
        <v>-177.05687051979768</v>
      </c>
      <c r="BQ251" s="56">
        <f t="shared" si="207"/>
        <v>25.951748589541221</v>
      </c>
      <c r="BR251" s="59"/>
      <c r="BS251" s="59"/>
      <c r="BT251" s="59">
        <v>25703.957999999999</v>
      </c>
      <c r="BU251" s="59">
        <v>-3.0172699999999999</v>
      </c>
      <c r="BV251" s="59">
        <v>-161.32599999999999</v>
      </c>
      <c r="BY251" s="59"/>
      <c r="BZ251" s="59"/>
      <c r="CA251" s="59"/>
      <c r="CC251" s="59"/>
    </row>
    <row r="252" spans="1:81" x14ac:dyDescent="0.2">
      <c r="A252">
        <f t="shared" si="211"/>
        <v>190000</v>
      </c>
      <c r="B252">
        <f t="shared" si="191"/>
        <v>190</v>
      </c>
      <c r="C252">
        <f t="shared" si="159"/>
        <v>1.0002849935637863</v>
      </c>
      <c r="D252">
        <f t="shared" si="160"/>
        <v>2.3871568687454613E-2</v>
      </c>
      <c r="F252">
        <f t="shared" si="161"/>
        <v>6.2982349306561379E-3</v>
      </c>
      <c r="G252">
        <f t="shared" si="162"/>
        <v>2.7374495441789076E-2</v>
      </c>
      <c r="H252">
        <f t="shared" si="163"/>
        <v>-3.1142181545582113</v>
      </c>
      <c r="J252">
        <f t="shared" si="164"/>
        <v>15</v>
      </c>
      <c r="M252">
        <f t="shared" si="165"/>
        <v>9.5521821196000705E-3</v>
      </c>
      <c r="N252">
        <f t="shared" si="166"/>
        <v>-1.5707963250000001</v>
      </c>
      <c r="O252">
        <f t="shared" si="167"/>
        <v>22.695983328935643</v>
      </c>
      <c r="P252">
        <f t="shared" si="168"/>
        <v>1.5267213984057342</v>
      </c>
      <c r="Q252">
        <f t="shared" si="169"/>
        <v>14.83268235670208</v>
      </c>
      <c r="R252">
        <f t="shared" si="170"/>
        <v>1.503326460171168</v>
      </c>
      <c r="S252">
        <f t="shared" si="171"/>
        <v>0.99970241924950998</v>
      </c>
      <c r="T252">
        <f t="shared" si="172"/>
        <v>-2.4396537078523919E-2</v>
      </c>
      <c r="U252">
        <f t="shared" si="173"/>
        <v>0.93210644561770395</v>
      </c>
      <c r="V252">
        <f t="shared" si="174"/>
        <v>-0.37061038966081039</v>
      </c>
      <c r="X252">
        <f t="shared" si="192"/>
        <v>-10.959171655524756</v>
      </c>
      <c r="Y252">
        <f t="shared" si="175"/>
        <v>-116.08709239435414</v>
      </c>
      <c r="Z252">
        <f t="shared" si="193"/>
        <v>63.912907605645856</v>
      </c>
      <c r="AC252">
        <v>1</v>
      </c>
      <c r="AD252">
        <f t="shared" si="176"/>
        <v>22.673942296551001</v>
      </c>
      <c r="AE252">
        <f t="shared" si="177"/>
        <v>-1.8406423856251288E-3</v>
      </c>
      <c r="AF252">
        <f t="shared" si="178"/>
        <v>4.7370190613760009E-3</v>
      </c>
      <c r="AG252">
        <f t="shared" si="194"/>
        <v>4087.3880479039331</v>
      </c>
      <c r="AH252">
        <f t="shared" si="195"/>
        <v>-1799.3213827165109</v>
      </c>
      <c r="AJ252">
        <f t="shared" si="179"/>
        <v>22100</v>
      </c>
      <c r="AK252">
        <f t="shared" si="180"/>
        <v>539.27046332686803</v>
      </c>
      <c r="AL252">
        <v>1</v>
      </c>
      <c r="AM252">
        <f t="shared" si="181"/>
        <v>14.798934620263083</v>
      </c>
      <c r="AN252">
        <f t="shared" si="196"/>
        <v>136.72486741393786</v>
      </c>
      <c r="AO252">
        <f t="shared" si="197"/>
        <v>-1484.1119104961365</v>
      </c>
      <c r="AQ252">
        <f t="shared" si="182"/>
        <v>6.92515979806234E-2</v>
      </c>
      <c r="AR252">
        <f t="shared" si="183"/>
        <v>-26.315607232636893</v>
      </c>
      <c r="AT252">
        <f t="shared" si="209"/>
        <v>-47067.176638968587</v>
      </c>
      <c r="AU252">
        <f t="shared" si="210"/>
        <v>-107686.70435704816</v>
      </c>
      <c r="AV252">
        <f t="shared" si="198"/>
        <v>-1.9828500719722193</v>
      </c>
      <c r="AW252">
        <f t="shared" si="199"/>
        <v>-37592.532689750871</v>
      </c>
      <c r="AX252">
        <f t="shared" si="200"/>
        <v>-15267.124369817933</v>
      </c>
      <c r="AY252">
        <f t="shared" si="208"/>
        <v>-2.7558205460656491</v>
      </c>
      <c r="BA252">
        <f t="shared" si="184"/>
        <v>2.8964894852149317</v>
      </c>
      <c r="BB252">
        <f t="shared" si="201"/>
        <v>9.2374391253953068</v>
      </c>
      <c r="BC252">
        <f t="shared" si="202"/>
        <v>0.77297047409342978</v>
      </c>
      <c r="BD252">
        <f t="shared" si="185"/>
        <v>-135.71205409561378</v>
      </c>
      <c r="BF252">
        <f t="shared" si="186"/>
        <v>-11.253883498829635</v>
      </c>
      <c r="BG252">
        <f t="shared" si="187"/>
        <v>-132.77587090099627</v>
      </c>
      <c r="BH252">
        <f t="shared" si="203"/>
        <v>47.224129099003733</v>
      </c>
      <c r="BI252">
        <f t="shared" si="204"/>
        <v>47.224129099003733</v>
      </c>
      <c r="BJ252">
        <f t="shared" si="188"/>
        <v>0</v>
      </c>
      <c r="BK252">
        <f t="shared" si="205"/>
        <v>0</v>
      </c>
      <c r="BM252">
        <f t="shared" si="206"/>
        <v>-20.491322624224942</v>
      </c>
      <c r="BN252">
        <f t="shared" si="189"/>
        <v>-177.06381680538249</v>
      </c>
      <c r="BQ252" s="56">
        <f t="shared" si="207"/>
        <v>26.139399925680443</v>
      </c>
      <c r="BR252" s="59"/>
      <c r="BS252" s="59"/>
      <c r="BT252" s="59">
        <v>26302.68</v>
      </c>
      <c r="BU252" s="59">
        <v>-2.9494799999999999</v>
      </c>
      <c r="BV252" s="59">
        <v>-160.22999999999999</v>
      </c>
      <c r="BY252" s="59"/>
      <c r="BZ252" s="59"/>
      <c r="CA252" s="59"/>
      <c r="CC252" s="59"/>
    </row>
    <row r="253" spans="1:81" x14ac:dyDescent="0.2">
      <c r="A253">
        <f t="shared" si="211"/>
        <v>195000</v>
      </c>
      <c r="B253">
        <f t="shared" si="191"/>
        <v>195</v>
      </c>
      <c r="C253">
        <f t="shared" si="159"/>
        <v>1.0003001883086846</v>
      </c>
      <c r="D253">
        <f t="shared" si="160"/>
        <v>2.4499519739453243E-2</v>
      </c>
      <c r="F253">
        <f t="shared" si="161"/>
        <v>5.9775903360179536E-3</v>
      </c>
      <c r="G253">
        <f t="shared" si="162"/>
        <v>2.666438968801951E-2</v>
      </c>
      <c r="H253">
        <f t="shared" si="163"/>
        <v>-3.1149282603119808</v>
      </c>
      <c r="J253">
        <f t="shared" si="164"/>
        <v>15</v>
      </c>
      <c r="M253">
        <f t="shared" si="165"/>
        <v>9.3072543729436595E-3</v>
      </c>
      <c r="N253">
        <f t="shared" si="166"/>
        <v>-1.5707963250000001</v>
      </c>
      <c r="O253">
        <f t="shared" si="167"/>
        <v>23.292101394216225</v>
      </c>
      <c r="P253">
        <f t="shared" si="168"/>
        <v>1.5278501174608048</v>
      </c>
      <c r="Q253">
        <f t="shared" si="169"/>
        <v>15.221264571985339</v>
      </c>
      <c r="R253">
        <f t="shared" si="170"/>
        <v>1.5050514106800472</v>
      </c>
      <c r="S253">
        <f t="shared" si="171"/>
        <v>0.99968655848377652</v>
      </c>
      <c r="T253">
        <f t="shared" si="172"/>
        <v>-2.5038286357351138E-2</v>
      </c>
      <c r="U253">
        <f t="shared" si="173"/>
        <v>0.9288634413422393</v>
      </c>
      <c r="V253">
        <f t="shared" si="174"/>
        <v>-0.37946366037576079</v>
      </c>
      <c r="X253">
        <f t="shared" si="192"/>
        <v>-11.219110581871149</v>
      </c>
      <c r="Y253">
        <f t="shared" si="175"/>
        <v>-116.47232086236951</v>
      </c>
      <c r="Z253">
        <f t="shared" si="193"/>
        <v>63.527679137630486</v>
      </c>
      <c r="AC253">
        <v>1</v>
      </c>
      <c r="AD253">
        <f t="shared" si="176"/>
        <v>23.270624988565501</v>
      </c>
      <c r="AE253">
        <f t="shared" si="177"/>
        <v>-1.9387929837505681E-3</v>
      </c>
      <c r="AF253">
        <f t="shared" si="178"/>
        <v>4.8616774577280005E-3</v>
      </c>
      <c r="AG253">
        <f t="shared" si="194"/>
        <v>4058.9956733743597</v>
      </c>
      <c r="AH253">
        <f t="shared" si="195"/>
        <v>-1824.3810721160253</v>
      </c>
      <c r="AJ253">
        <f t="shared" si="179"/>
        <v>22100</v>
      </c>
      <c r="AK253">
        <f t="shared" si="180"/>
        <v>553.46179130915402</v>
      </c>
      <c r="AL253">
        <v>1</v>
      </c>
      <c r="AM253">
        <f t="shared" si="181"/>
        <v>15.188380268164741</v>
      </c>
      <c r="AN253">
        <f t="shared" si="196"/>
        <v>131.66989064215164</v>
      </c>
      <c r="AO253">
        <f t="shared" si="197"/>
        <v>-1446.3905776315114</v>
      </c>
      <c r="AQ253">
        <f t="shared" si="182"/>
        <v>6.5745787338676268E-2</v>
      </c>
      <c r="AR253">
        <f t="shared" si="183"/>
        <v>-25.640857062083747</v>
      </c>
      <c r="AT253">
        <f t="shared" si="209"/>
        <v>-46511.832430547824</v>
      </c>
      <c r="AU253">
        <f t="shared" si="210"/>
        <v>-104196.07324660037</v>
      </c>
      <c r="AV253">
        <f t="shared" si="198"/>
        <v>-1.9906420995599594</v>
      </c>
      <c r="AW253">
        <f t="shared" si="199"/>
        <v>-35648.696739332641</v>
      </c>
      <c r="AX253">
        <f t="shared" si="200"/>
        <v>-14761.097090700869</v>
      </c>
      <c r="AY253">
        <f t="shared" si="208"/>
        <v>-2.7490151289276197</v>
      </c>
      <c r="BA253">
        <f t="shared" si="184"/>
        <v>2.957344487417648</v>
      </c>
      <c r="BB253">
        <f t="shared" si="201"/>
        <v>9.4180383286731875</v>
      </c>
      <c r="BC253">
        <f t="shared" si="202"/>
        <v>0.75837302936766027</v>
      </c>
      <c r="BD253">
        <f t="shared" si="185"/>
        <v>-136.54842607103157</v>
      </c>
      <c r="BF253">
        <f t="shared" si="186"/>
        <v>-11.52700651717478</v>
      </c>
      <c r="BG253">
        <f t="shared" si="187"/>
        <v>-133.61694999409806</v>
      </c>
      <c r="BH253">
        <f t="shared" si="203"/>
        <v>46.383050005901936</v>
      </c>
      <c r="BI253">
        <f t="shared" si="204"/>
        <v>46.383050005901936</v>
      </c>
      <c r="BJ253">
        <f t="shared" si="188"/>
        <v>0</v>
      </c>
      <c r="BK253">
        <f t="shared" si="205"/>
        <v>0</v>
      </c>
      <c r="BM253">
        <f t="shared" si="206"/>
        <v>-20.945044845847967</v>
      </c>
      <c r="BN253">
        <f t="shared" si="189"/>
        <v>-177.06852392306652</v>
      </c>
      <c r="BQ253" s="56">
        <f t="shared" si="207"/>
        <v>26.319999128958326</v>
      </c>
      <c r="BR253" s="59"/>
      <c r="BS253" s="59"/>
      <c r="BT253" s="59">
        <v>26915.348000000002</v>
      </c>
      <c r="BU253" s="59">
        <v>-2.8411300000000002</v>
      </c>
      <c r="BV253" s="59">
        <v>-159.27600000000001</v>
      </c>
      <c r="BY253" s="59"/>
      <c r="BZ253" s="59"/>
      <c r="CA253" s="59"/>
      <c r="CC253" s="59"/>
    </row>
    <row r="254" spans="1:81" x14ac:dyDescent="0.2">
      <c r="A254">
        <f t="shared" si="211"/>
        <v>200000</v>
      </c>
      <c r="B254">
        <f t="shared" si="191"/>
        <v>200</v>
      </c>
      <c r="C254">
        <f t="shared" si="159"/>
        <v>1.0003157774824039</v>
      </c>
      <c r="D254">
        <f t="shared" si="160"/>
        <v>2.5127451466757555E-2</v>
      </c>
      <c r="F254">
        <f t="shared" si="161"/>
        <v>5.6808641144717714E-3</v>
      </c>
      <c r="G254">
        <f t="shared" si="162"/>
        <v>2.5990385197329949E-2</v>
      </c>
      <c r="H254">
        <f t="shared" si="163"/>
        <v>-3.1156022648026704</v>
      </c>
      <c r="J254">
        <f t="shared" si="164"/>
        <v>15</v>
      </c>
      <c r="M254">
        <f t="shared" si="165"/>
        <v>9.0745730136200659E-3</v>
      </c>
      <c r="N254">
        <f t="shared" si="166"/>
        <v>-1.5707963250000001</v>
      </c>
      <c r="O254">
        <f t="shared" si="167"/>
        <v>23.888247652757482</v>
      </c>
      <c r="P254">
        <f t="shared" si="168"/>
        <v>1.5289225020366806</v>
      </c>
      <c r="Q254">
        <f t="shared" si="169"/>
        <v>15.609889822521811</v>
      </c>
      <c r="R254">
        <f t="shared" si="170"/>
        <v>1.5066904768130001</v>
      </c>
      <c r="S254">
        <f t="shared" si="171"/>
        <v>0.99967028653465972</v>
      </c>
      <c r="T254">
        <f t="shared" si="172"/>
        <v>-2.5680015008890663E-2</v>
      </c>
      <c r="U254">
        <f t="shared" si="173"/>
        <v>0.92557113454577455</v>
      </c>
      <c r="V254">
        <f t="shared" si="174"/>
        <v>-0.38825485623407791</v>
      </c>
      <c r="X254">
        <f t="shared" si="192"/>
        <v>-11.473606111534531</v>
      </c>
      <c r="Y254">
        <f t="shared" si="175"/>
        <v>-116.86007271861173</v>
      </c>
      <c r="Z254">
        <f t="shared" si="193"/>
        <v>63.139927281388267</v>
      </c>
      <c r="AC254">
        <v>1</v>
      </c>
      <c r="AD254">
        <f t="shared" si="176"/>
        <v>23.867307680580002</v>
      </c>
      <c r="AE254">
        <f t="shared" si="177"/>
        <v>-2.0394929480610845E-3</v>
      </c>
      <c r="AF254">
        <f t="shared" si="178"/>
        <v>4.9863358540800009E-3</v>
      </c>
      <c r="AG254">
        <f t="shared" si="194"/>
        <v>4030.2728807321691</v>
      </c>
      <c r="AH254">
        <f t="shared" si="195"/>
        <v>-1848.9956129752443</v>
      </c>
      <c r="AJ254">
        <f t="shared" si="179"/>
        <v>22100</v>
      </c>
      <c r="AK254">
        <f t="shared" si="180"/>
        <v>567.65311929144013</v>
      </c>
      <c r="AL254">
        <v>1</v>
      </c>
      <c r="AM254">
        <f t="shared" si="181"/>
        <v>15.5778259160664</v>
      </c>
      <c r="AN254">
        <f t="shared" si="196"/>
        <v>126.98720236975207</v>
      </c>
      <c r="AO254">
        <f t="shared" si="197"/>
        <v>-1410.5314127928523</v>
      </c>
      <c r="AQ254">
        <f t="shared" si="182"/>
        <v>6.2499609377441388E-2</v>
      </c>
      <c r="AR254">
        <f t="shared" si="183"/>
        <v>-24.999843750976556</v>
      </c>
      <c r="AT254">
        <f t="shared" si="209"/>
        <v>-45972.710939891971</v>
      </c>
      <c r="AU254">
        <f t="shared" si="210"/>
        <v>-100871.75379565395</v>
      </c>
      <c r="AV254">
        <f t="shared" si="198"/>
        <v>-1.9984250129955041</v>
      </c>
      <c r="AW254">
        <f t="shared" si="199"/>
        <v>-33848.634082196033</v>
      </c>
      <c r="AX254">
        <f t="shared" si="200"/>
        <v>-14290.178984164886</v>
      </c>
      <c r="AY254">
        <f t="shared" si="208"/>
        <v>-2.742113930751696</v>
      </c>
      <c r="BA254">
        <f t="shared" si="184"/>
        <v>3.0171305875058092</v>
      </c>
      <c r="BB254">
        <f t="shared" si="201"/>
        <v>9.5918821544830291</v>
      </c>
      <c r="BC254">
        <f t="shared" si="202"/>
        <v>0.74368891775619184</v>
      </c>
      <c r="BD254">
        <f t="shared" si="185"/>
        <v>-137.38976369322913</v>
      </c>
      <c r="BF254">
        <f t="shared" si="186"/>
        <v>-11.795262266325</v>
      </c>
      <c r="BG254">
        <f t="shared" si="187"/>
        <v>-134.46092739119115</v>
      </c>
      <c r="BH254">
        <f t="shared" si="203"/>
        <v>45.539072608808851</v>
      </c>
      <c r="BI254">
        <f t="shared" si="204"/>
        <v>45.539072608808851</v>
      </c>
      <c r="BJ254">
        <f t="shared" si="188"/>
        <v>0</v>
      </c>
      <c r="BK254">
        <f t="shared" si="205"/>
        <v>0</v>
      </c>
      <c r="BM254">
        <f t="shared" si="206"/>
        <v>-21.387144420808028</v>
      </c>
      <c r="BN254">
        <f t="shared" si="189"/>
        <v>-177.07116369796202</v>
      </c>
      <c r="BQ254" s="56">
        <f t="shared" si="207"/>
        <v>26.493842954768162</v>
      </c>
      <c r="BR254" s="59"/>
      <c r="BS254" s="59"/>
      <c r="BT254" s="59">
        <v>27542.287</v>
      </c>
      <c r="BU254" s="59">
        <v>-2.7366600000000001</v>
      </c>
      <c r="BV254" s="59">
        <v>-158.108</v>
      </c>
      <c r="BY254" s="59"/>
      <c r="BZ254" s="59"/>
      <c r="CA254" s="59"/>
      <c r="CC254" s="59"/>
    </row>
    <row r="255" spans="1:81" x14ac:dyDescent="0.2">
      <c r="A255">
        <f t="shared" si="211"/>
        <v>205000</v>
      </c>
      <c r="B255">
        <f t="shared" si="191"/>
        <v>205</v>
      </c>
      <c r="C255">
        <f t="shared" si="159"/>
        <v>1.0003317610665037</v>
      </c>
      <c r="D255">
        <f t="shared" si="160"/>
        <v>2.5755363375098067E-2</v>
      </c>
      <c r="F255">
        <f t="shared" si="161"/>
        <v>5.4057313898269602E-3</v>
      </c>
      <c r="G255">
        <f t="shared" si="162"/>
        <v>2.5349783907894788E-2</v>
      </c>
      <c r="H255">
        <f t="shared" si="163"/>
        <v>-3.1162428660921053</v>
      </c>
      <c r="J255">
        <f t="shared" si="164"/>
        <v>15</v>
      </c>
      <c r="M255">
        <f t="shared" si="165"/>
        <v>8.8532419645073815E-3</v>
      </c>
      <c r="N255">
        <f t="shared" si="166"/>
        <v>-1.5707963250000001</v>
      </c>
      <c r="O255">
        <f t="shared" si="167"/>
        <v>24.484420045212357</v>
      </c>
      <c r="P255">
        <f t="shared" si="168"/>
        <v>1.5299426646451413</v>
      </c>
      <c r="Q255">
        <f t="shared" si="169"/>
        <v>15.998554972168677</v>
      </c>
      <c r="R255">
        <f t="shared" si="170"/>
        <v>1.5082499087895094</v>
      </c>
      <c r="S255">
        <f t="shared" si="171"/>
        <v>0.99965360346244292</v>
      </c>
      <c r="T255">
        <f t="shared" si="172"/>
        <v>-2.6321722505615083E-2</v>
      </c>
      <c r="U255">
        <f t="shared" si="173"/>
        <v>0.92223156593175304</v>
      </c>
      <c r="V255">
        <f t="shared" si="174"/>
        <v>-0.39698328333758498</v>
      </c>
      <c r="X255">
        <f t="shared" si="192"/>
        <v>-11.722955775532615</v>
      </c>
      <c r="Y255">
        <f t="shared" si="175"/>
        <v>-117.24986905052764</v>
      </c>
      <c r="Z255">
        <f t="shared" si="193"/>
        <v>62.750130949472364</v>
      </c>
      <c r="AC255">
        <v>1</v>
      </c>
      <c r="AD255">
        <f t="shared" si="176"/>
        <v>24.463990372594498</v>
      </c>
      <c r="AE255">
        <f t="shared" si="177"/>
        <v>-2.1427422785566769E-3</v>
      </c>
      <c r="AF255">
        <f t="shared" si="178"/>
        <v>5.1109942504320013E-3</v>
      </c>
      <c r="AG255">
        <f t="shared" si="194"/>
        <v>4001.2419595561337</v>
      </c>
      <c r="AH255">
        <f t="shared" si="195"/>
        <v>-1873.1444107311781</v>
      </c>
      <c r="AJ255">
        <f t="shared" si="179"/>
        <v>22100</v>
      </c>
      <c r="AK255">
        <f t="shared" si="180"/>
        <v>581.84444727372602</v>
      </c>
      <c r="AL255">
        <v>1</v>
      </c>
      <c r="AM255">
        <f t="shared" si="181"/>
        <v>15.967271563968062</v>
      </c>
      <c r="AN255">
        <f t="shared" si="196"/>
        <v>122.64116827486069</v>
      </c>
      <c r="AO255">
        <f t="shared" si="197"/>
        <v>-1376.4003914932789</v>
      </c>
      <c r="AQ255">
        <f t="shared" si="182"/>
        <v>5.9488045877180984E-2</v>
      </c>
      <c r="AR255">
        <f t="shared" si="183"/>
        <v>-24.390098809644201</v>
      </c>
      <c r="AT255">
        <f t="shared" si="209"/>
        <v>-45448.15119721042</v>
      </c>
      <c r="AU255">
        <f t="shared" si="210"/>
        <v>-97702.116455508643</v>
      </c>
      <c r="AV255">
        <f t="shared" si="198"/>
        <v>-2.0061942527284309</v>
      </c>
      <c r="AW255">
        <f t="shared" si="199"/>
        <v>-32178.589509996873</v>
      </c>
      <c r="AX255">
        <f t="shared" si="200"/>
        <v>-13850.891168633296</v>
      </c>
      <c r="AY255">
        <f t="shared" si="208"/>
        <v>-2.7351249119465759</v>
      </c>
      <c r="BA255">
        <f t="shared" si="184"/>
        <v>3.0758300670926806</v>
      </c>
      <c r="BB255">
        <f t="shared" si="201"/>
        <v>9.7592467593721661</v>
      </c>
      <c r="BC255">
        <f t="shared" si="202"/>
        <v>0.72893065921814504</v>
      </c>
      <c r="BD255">
        <f t="shared" si="185"/>
        <v>-138.23534962138834</v>
      </c>
      <c r="BF255">
        <f t="shared" si="186"/>
        <v>-12.058957660290112</v>
      </c>
      <c r="BG255">
        <f t="shared" si="187"/>
        <v>-135.30724036733253</v>
      </c>
      <c r="BH255">
        <f t="shared" si="203"/>
        <v>44.692759632667475</v>
      </c>
      <c r="BI255">
        <f t="shared" si="204"/>
        <v>44.692759632667475</v>
      </c>
      <c r="BJ255">
        <f t="shared" si="188"/>
        <v>0</v>
      </c>
      <c r="BK255">
        <f t="shared" si="205"/>
        <v>0</v>
      </c>
      <c r="BM255">
        <f t="shared" si="206"/>
        <v>-21.818204419662276</v>
      </c>
      <c r="BN255">
        <f t="shared" si="189"/>
        <v>-177.07189074594419</v>
      </c>
      <c r="BQ255" s="56">
        <f t="shared" si="207"/>
        <v>26.661207559657303</v>
      </c>
      <c r="BR255" s="59"/>
      <c r="BS255" s="59"/>
      <c r="BT255" s="59">
        <v>28183.829000000002</v>
      </c>
      <c r="BU255" s="59">
        <v>-2.6523400000000001</v>
      </c>
      <c r="BV255" s="59">
        <v>-157.06299999999999</v>
      </c>
      <c r="BY255" s="59"/>
      <c r="BZ255" s="59"/>
      <c r="CA255" s="59"/>
      <c r="CC255" s="59"/>
    </row>
    <row r="256" spans="1:81" x14ac:dyDescent="0.2">
      <c r="A256">
        <f t="shared" si="211"/>
        <v>210000</v>
      </c>
      <c r="B256">
        <f t="shared" si="191"/>
        <v>210</v>
      </c>
      <c r="C256">
        <f t="shared" si="159"/>
        <v>1.0003481390420783</v>
      </c>
      <c r="D256">
        <f t="shared" si="160"/>
        <v>2.6383254970299013E-2</v>
      </c>
      <c r="F256">
        <f t="shared" si="161"/>
        <v>5.1501434714950273E-3</v>
      </c>
      <c r="G256">
        <f t="shared" si="162"/>
        <v>2.4740151267658942E-2</v>
      </c>
      <c r="H256">
        <f t="shared" si="163"/>
        <v>-3.1168524987323414</v>
      </c>
      <c r="J256">
        <f t="shared" si="164"/>
        <v>15</v>
      </c>
      <c r="M256">
        <f t="shared" si="165"/>
        <v>8.642450489161969E-3</v>
      </c>
      <c r="N256">
        <f t="shared" si="166"/>
        <v>-1.5707963250000001</v>
      </c>
      <c r="O256">
        <f t="shared" si="167"/>
        <v>25.080616707952366</v>
      </c>
      <c r="P256">
        <f t="shared" si="168"/>
        <v>1.5309143272214005</v>
      </c>
      <c r="Q256">
        <f t="shared" si="169"/>
        <v>16.387257182001971</v>
      </c>
      <c r="R256">
        <f t="shared" si="170"/>
        <v>1.5097353654559196</v>
      </c>
      <c r="S256">
        <f t="shared" si="171"/>
        <v>0.99963650932892778</v>
      </c>
      <c r="T256">
        <f t="shared" si="172"/>
        <v>-2.6963408320101471E-2</v>
      </c>
      <c r="U256">
        <f t="shared" si="173"/>
        <v>0.91884676328885984</v>
      </c>
      <c r="V256">
        <f t="shared" si="174"/>
        <v>-0.40564829591085816</v>
      </c>
      <c r="X256">
        <f t="shared" si="192"/>
        <v>-11.967433291338583</v>
      </c>
      <c r="Y256">
        <f t="shared" si="175"/>
        <v>-117.64127486637157</v>
      </c>
      <c r="Z256">
        <f t="shared" si="193"/>
        <v>62.358725133628425</v>
      </c>
      <c r="AC256">
        <v>1</v>
      </c>
      <c r="AD256">
        <f t="shared" si="176"/>
        <v>25.060673064609002</v>
      </c>
      <c r="AE256">
        <f t="shared" si="177"/>
        <v>-2.2485409752373456E-3</v>
      </c>
      <c r="AF256">
        <f t="shared" si="178"/>
        <v>5.2356526467840009E-3</v>
      </c>
      <c r="AG256">
        <f t="shared" si="194"/>
        <v>3971.9248961826916</v>
      </c>
      <c r="AH256">
        <f t="shared" si="195"/>
        <v>-1896.8095382974384</v>
      </c>
      <c r="AJ256">
        <f t="shared" si="179"/>
        <v>22100</v>
      </c>
      <c r="AK256">
        <f t="shared" si="180"/>
        <v>596.03577525601213</v>
      </c>
      <c r="AL256">
        <v>1</v>
      </c>
      <c r="AM256">
        <f t="shared" si="181"/>
        <v>16.356717211869721</v>
      </c>
      <c r="AN256">
        <f t="shared" si="196"/>
        <v>118.60031260360736</v>
      </c>
      <c r="AO256">
        <f t="shared" si="197"/>
        <v>-1343.8759992405417</v>
      </c>
      <c r="AQ256">
        <f t="shared" si="182"/>
        <v>5.6689021037295707E-2</v>
      </c>
      <c r="AR256">
        <f t="shared" si="183"/>
        <v>-23.809388835664198</v>
      </c>
      <c r="AT256">
        <f t="shared" si="209"/>
        <v>-44936.711310522136</v>
      </c>
      <c r="AU256">
        <f t="shared" si="210"/>
        <v>-94676.632555089134</v>
      </c>
      <c r="AV256">
        <f t="shared" si="198"/>
        <v>-2.0139456743974371</v>
      </c>
      <c r="AW256">
        <f t="shared" si="199"/>
        <v>-30626.411926367651</v>
      </c>
      <c r="AX256">
        <f t="shared" si="200"/>
        <v>-13440.188314116935</v>
      </c>
      <c r="AY256">
        <f t="shared" si="208"/>
        <v>-2.7280554787988267</v>
      </c>
      <c r="BA256">
        <f t="shared" si="184"/>
        <v>3.1334263039076111</v>
      </c>
      <c r="BB256">
        <f t="shared" si="201"/>
        <v>9.9203896968031735</v>
      </c>
      <c r="BC256">
        <f t="shared" si="202"/>
        <v>0.7141098044013896</v>
      </c>
      <c r="BD256">
        <f t="shared" si="185"/>
        <v>-139.0845220521349</v>
      </c>
      <c r="BF256">
        <f t="shared" si="186"/>
        <v>-12.318375197350324</v>
      </c>
      <c r="BG256">
        <f t="shared" si="187"/>
        <v>-136.15536663702005</v>
      </c>
      <c r="BH256">
        <f t="shared" si="203"/>
        <v>43.844633362979948</v>
      </c>
      <c r="BI256">
        <f t="shared" si="204"/>
        <v>43.844633362979948</v>
      </c>
      <c r="BJ256">
        <f t="shared" si="188"/>
        <v>0</v>
      </c>
      <c r="BK256">
        <f t="shared" si="205"/>
        <v>0</v>
      </c>
      <c r="BM256">
        <f t="shared" si="206"/>
        <v>-22.238764894153494</v>
      </c>
      <c r="BN256">
        <f t="shared" si="189"/>
        <v>-177.07084458488518</v>
      </c>
      <c r="BQ256" s="56">
        <f t="shared" si="207"/>
        <v>26.822350497088308</v>
      </c>
      <c r="BR256" s="59"/>
      <c r="BS256" s="59"/>
      <c r="BT256" s="59">
        <v>28840.314999999999</v>
      </c>
      <c r="BU256" s="59">
        <v>-2.5506799999999998</v>
      </c>
      <c r="BV256" s="59">
        <v>-156.01</v>
      </c>
      <c r="BY256" s="59"/>
      <c r="BZ256" s="59"/>
      <c r="CA256" s="59"/>
      <c r="CC256" s="59"/>
    </row>
    <row r="257" spans="1:81" x14ac:dyDescent="0.2">
      <c r="A257">
        <f t="shared" si="211"/>
        <v>215000</v>
      </c>
      <c r="B257">
        <f t="shared" si="191"/>
        <v>215</v>
      </c>
      <c r="C257">
        <f t="shared" si="159"/>
        <v>1.000364911389757</v>
      </c>
      <c r="D257">
        <f t="shared" si="160"/>
        <v>2.7011125758280668E-2</v>
      </c>
      <c r="F257">
        <f t="shared" si="161"/>
        <v>4.9122893421978051E-3</v>
      </c>
      <c r="G257">
        <f t="shared" si="162"/>
        <v>2.4159284701552274E-2</v>
      </c>
      <c r="H257">
        <f t="shared" si="163"/>
        <v>-3.1174333652984481</v>
      </c>
      <c r="J257">
        <f t="shared" si="164"/>
        <v>15</v>
      </c>
      <c r="M257">
        <f t="shared" si="165"/>
        <v>8.4414632684837818E-3</v>
      </c>
      <c r="N257">
        <f t="shared" si="166"/>
        <v>-1.5707963250000001</v>
      </c>
      <c r="O257">
        <f t="shared" si="167"/>
        <v>25.676835950364705</v>
      </c>
      <c r="P257">
        <f t="shared" si="168"/>
        <v>1.5318408663933496</v>
      </c>
      <c r="Q257">
        <f t="shared" si="169"/>
        <v>16.775993875952221</v>
      </c>
      <c r="R257">
        <f t="shared" si="170"/>
        <v>1.5111519825291477</v>
      </c>
      <c r="S257">
        <f t="shared" si="171"/>
        <v>0.9996190041974321</v>
      </c>
      <c r="T257">
        <f t="shared" si="172"/>
        <v>-2.7605071925033944E-2</v>
      </c>
      <c r="U257">
        <f t="shared" si="173"/>
        <v>0.91541873905618532</v>
      </c>
      <c r="V257">
        <f t="shared" si="174"/>
        <v>-0.41424929561157098</v>
      </c>
      <c r="X257">
        <f t="shared" si="192"/>
        <v>-12.207290968398986</v>
      </c>
      <c r="Y257">
        <f t="shared" si="175"/>
        <v>-118.03389435857299</v>
      </c>
      <c r="Z257">
        <f t="shared" si="193"/>
        <v>61.966105641427006</v>
      </c>
      <c r="AC257">
        <v>1</v>
      </c>
      <c r="AD257">
        <f t="shared" si="176"/>
        <v>25.657355756623502</v>
      </c>
      <c r="AE257">
        <f t="shared" si="177"/>
        <v>-2.3568890381030902E-3</v>
      </c>
      <c r="AF257">
        <f t="shared" si="178"/>
        <v>5.3603110431360004E-3</v>
      </c>
      <c r="AG257">
        <f t="shared" si="194"/>
        <v>3942.3433459381313</v>
      </c>
      <c r="AH257">
        <f t="shared" si="195"/>
        <v>-1919.9754890453514</v>
      </c>
      <c r="AJ257">
        <f t="shared" si="179"/>
        <v>22100</v>
      </c>
      <c r="AK257">
        <f t="shared" si="180"/>
        <v>610.22710323829801</v>
      </c>
      <c r="AL257">
        <v>1</v>
      </c>
      <c r="AM257">
        <f t="shared" si="181"/>
        <v>16.746162859771381</v>
      </c>
      <c r="AN257">
        <f t="shared" si="196"/>
        <v>114.8367497778342</v>
      </c>
      <c r="AO257">
        <f t="shared" si="197"/>
        <v>-1312.8478108281283</v>
      </c>
      <c r="AQ257">
        <f t="shared" si="182"/>
        <v>5.4082995765301428E-2</v>
      </c>
      <c r="AR257">
        <f t="shared" si="183"/>
        <v>-23.255688179079616</v>
      </c>
      <c r="AT257">
        <f t="shared" si="209"/>
        <v>-44437.13754623085</v>
      </c>
      <c r="AU257">
        <f t="shared" si="210"/>
        <v>-91785.745574250104</v>
      </c>
      <c r="AV257">
        <f t="shared" si="198"/>
        <v>-2.0216755056051552</v>
      </c>
      <c r="AW257">
        <f t="shared" si="199"/>
        <v>-29181.335197122084</v>
      </c>
      <c r="AX257">
        <f t="shared" si="200"/>
        <v>-13055.394623714259</v>
      </c>
      <c r="AY257">
        <f t="shared" si="208"/>
        <v>-2.7209125500184892</v>
      </c>
      <c r="BA257">
        <f t="shared" si="184"/>
        <v>3.1899037877747864</v>
      </c>
      <c r="BB257">
        <f t="shared" si="201"/>
        <v>10.075551685791673</v>
      </c>
      <c r="BC257">
        <f t="shared" si="202"/>
        <v>0.69923704441333401</v>
      </c>
      <c r="BD257">
        <f t="shared" si="185"/>
        <v>-139.93666843013523</v>
      </c>
      <c r="BF257">
        <f t="shared" si="186"/>
        <v>-12.573775339798679</v>
      </c>
      <c r="BG257">
        <f t="shared" si="187"/>
        <v>-137.00481987148461</v>
      </c>
      <c r="BH257">
        <f t="shared" si="203"/>
        <v>42.995180128515386</v>
      </c>
      <c r="BI257">
        <f t="shared" si="204"/>
        <v>42.995180128515386</v>
      </c>
      <c r="BJ257">
        <f t="shared" si="188"/>
        <v>0</v>
      </c>
      <c r="BK257">
        <f t="shared" si="205"/>
        <v>0</v>
      </c>
      <c r="BM257">
        <f t="shared" si="206"/>
        <v>-22.649327025590352</v>
      </c>
      <c r="BN257">
        <f t="shared" si="189"/>
        <v>-177.06815144134939</v>
      </c>
      <c r="BQ257" s="56">
        <f t="shared" si="207"/>
        <v>26.977512486076808</v>
      </c>
      <c r="BR257" s="59"/>
      <c r="BS257" s="59"/>
      <c r="BT257" s="59">
        <v>29512.092000000001</v>
      </c>
      <c r="BU257" s="59">
        <v>-2.44991</v>
      </c>
      <c r="BV257" s="59">
        <v>-155.03200000000001</v>
      </c>
      <c r="BY257" s="59"/>
      <c r="BZ257" s="59"/>
      <c r="CA257" s="59"/>
      <c r="CC257" s="59"/>
    </row>
    <row r="258" spans="1:81" x14ac:dyDescent="0.2">
      <c r="A258">
        <f t="shared" si="211"/>
        <v>220000</v>
      </c>
      <c r="B258">
        <f t="shared" si="191"/>
        <v>220</v>
      </c>
      <c r="C258">
        <f t="shared" si="159"/>
        <v>1.0003820780897035</v>
      </c>
      <c r="D258">
        <f t="shared" si="160"/>
        <v>2.7638975245061669E-2</v>
      </c>
      <c r="F258">
        <f t="shared" si="161"/>
        <v>4.6905632768760881E-3</v>
      </c>
      <c r="G258">
        <f t="shared" si="162"/>
        <v>2.360518651739256E-2</v>
      </c>
      <c r="H258">
        <f t="shared" si="163"/>
        <v>-3.1179874634826077</v>
      </c>
      <c r="J258">
        <f t="shared" si="164"/>
        <v>15</v>
      </c>
      <c r="M258">
        <f t="shared" si="165"/>
        <v>8.2496118305636964E-3</v>
      </c>
      <c r="N258">
        <f t="shared" si="166"/>
        <v>-1.5707963250000001</v>
      </c>
      <c r="O258">
        <f t="shared" si="167"/>
        <v>26.273076235236761</v>
      </c>
      <c r="P258">
        <f t="shared" si="168"/>
        <v>1.5327253526001998</v>
      </c>
      <c r="Q258">
        <f t="shared" si="169"/>
        <v>17.164762711096145</v>
      </c>
      <c r="R258">
        <f t="shared" si="170"/>
        <v>1.5125044316139769</v>
      </c>
      <c r="S258">
        <f t="shared" si="171"/>
        <v>0.99960108813279036</v>
      </c>
      <c r="T258">
        <f t="shared" si="172"/>
        <v>-2.8246712793206293E-2</v>
      </c>
      <c r="U258">
        <f t="shared" si="173"/>
        <v>0.91194948801748199</v>
      </c>
      <c r="V258">
        <f t="shared" si="174"/>
        <v>-0.42278573078271448</v>
      </c>
      <c r="X258">
        <f t="shared" si="192"/>
        <v>-12.44276181816106</v>
      </c>
      <c r="Y258">
        <f t="shared" si="175"/>
        <v>-118.42736679049466</v>
      </c>
      <c r="Z258">
        <f t="shared" si="193"/>
        <v>61.572633209505341</v>
      </c>
      <c r="AC258">
        <v>1</v>
      </c>
      <c r="AD258">
        <f t="shared" si="176"/>
        <v>26.254038448637999</v>
      </c>
      <c r="AE258">
        <f t="shared" si="177"/>
        <v>-2.4677864671539119E-3</v>
      </c>
      <c r="AF258">
        <f t="shared" si="178"/>
        <v>5.4849694394880008E-3</v>
      </c>
      <c r="AG258">
        <f t="shared" si="194"/>
        <v>3912.5186074222465</v>
      </c>
      <c r="AH258">
        <f t="shared" si="195"/>
        <v>-1942.6289589097719</v>
      </c>
      <c r="AJ258">
        <f t="shared" si="179"/>
        <v>22100</v>
      </c>
      <c r="AK258">
        <f t="shared" si="180"/>
        <v>624.41843122058413</v>
      </c>
      <c r="AL258">
        <v>1</v>
      </c>
      <c r="AM258">
        <f t="shared" si="181"/>
        <v>17.135608507673041</v>
      </c>
      <c r="AN258">
        <f t="shared" si="196"/>
        <v>111.32570451527086</v>
      </c>
      <c r="AO258">
        <f t="shared" si="197"/>
        <v>-1283.2152581939863</v>
      </c>
      <c r="AQ258">
        <f t="shared" si="182"/>
        <v>5.1652625761230572E-2</v>
      </c>
      <c r="AR258">
        <f t="shared" si="183"/>
        <v>-22.72715533494145</v>
      </c>
      <c r="AT258">
        <f t="shared" si="209"/>
        <v>-43948.338247884945</v>
      </c>
      <c r="AU258">
        <f t="shared" si="210"/>
        <v>-89020.760028341698</v>
      </c>
      <c r="AV258">
        <f t="shared" si="198"/>
        <v>-2.0293803084126663</v>
      </c>
      <c r="AW258">
        <f t="shared" si="199"/>
        <v>-27833.793113834159</v>
      </c>
      <c r="AX258">
        <f t="shared" si="200"/>
        <v>-12694.150616781812</v>
      </c>
      <c r="AY258">
        <f t="shared" si="208"/>
        <v>-2.7137026135532114</v>
      </c>
      <c r="BA258">
        <f t="shared" si="184"/>
        <v>3.2452481357482448</v>
      </c>
      <c r="BB258">
        <f t="shared" si="201"/>
        <v>10.224958182149862</v>
      </c>
      <c r="BC258">
        <f t="shared" si="202"/>
        <v>0.68432230514054515</v>
      </c>
      <c r="BD258">
        <f t="shared" si="185"/>
        <v>-140.79122004398053</v>
      </c>
      <c r="BF258">
        <f t="shared" si="186"/>
        <v>-12.825398600859476</v>
      </c>
      <c r="BG258">
        <f t="shared" si="187"/>
        <v>-137.85514584695127</v>
      </c>
      <c r="BH258">
        <f t="shared" si="203"/>
        <v>42.144854153048726</v>
      </c>
      <c r="BI258">
        <f t="shared" si="204"/>
        <v>42.144854153048726</v>
      </c>
      <c r="BJ258">
        <f t="shared" si="188"/>
        <v>0</v>
      </c>
      <c r="BK258">
        <f t="shared" si="205"/>
        <v>0</v>
      </c>
      <c r="BM258">
        <f t="shared" si="206"/>
        <v>-23.050356783009338</v>
      </c>
      <c r="BN258">
        <f t="shared" si="189"/>
        <v>-177.06392580297077</v>
      </c>
      <c r="BQ258" s="56">
        <f t="shared" si="207"/>
        <v>27.126918982434994</v>
      </c>
      <c r="BR258" s="59"/>
      <c r="BS258" s="59"/>
      <c r="BT258" s="59">
        <v>30199.517</v>
      </c>
      <c r="BU258" s="59">
        <v>-2.3553299999999999</v>
      </c>
      <c r="BV258" s="59">
        <v>-154.00200000000001</v>
      </c>
      <c r="BY258" s="59"/>
      <c r="BZ258" s="59"/>
      <c r="CA258" s="59"/>
      <c r="CC258" s="59"/>
    </row>
    <row r="259" spans="1:81" x14ac:dyDescent="0.2">
      <c r="A259">
        <f t="shared" si="211"/>
        <v>225000</v>
      </c>
      <c r="B259">
        <f t="shared" si="191"/>
        <v>225</v>
      </c>
      <c r="C259">
        <f t="shared" si="159"/>
        <v>1.0003996391216168</v>
      </c>
      <c r="D259">
        <f t="shared" si="160"/>
        <v>2.8266802936761346E-2</v>
      </c>
      <c r="F259">
        <f t="shared" si="161"/>
        <v>4.4835375006981289E-3</v>
      </c>
      <c r="G259">
        <f t="shared" si="162"/>
        <v>2.3076040535853316E-2</v>
      </c>
      <c r="H259">
        <f t="shared" si="163"/>
        <v>-3.1185166094641468</v>
      </c>
      <c r="J259">
        <f t="shared" si="164"/>
        <v>15</v>
      </c>
      <c r="M259">
        <f t="shared" si="165"/>
        <v>8.0662871232178371E-3</v>
      </c>
      <c r="N259">
        <f t="shared" si="166"/>
        <v>-1.5707963250000001</v>
      </c>
      <c r="O259">
        <f t="shared" si="167"/>
        <v>26.869336161749203</v>
      </c>
      <c r="P259">
        <f t="shared" si="168"/>
        <v>1.5335705840134335</v>
      </c>
      <c r="Q259">
        <f t="shared" si="169"/>
        <v>17.553561551885306</v>
      </c>
      <c r="R259">
        <f t="shared" si="170"/>
        <v>1.5137969714155639</v>
      </c>
      <c r="S259">
        <f t="shared" si="171"/>
        <v>0.99958276120135292</v>
      </c>
      <c r="T259">
        <f t="shared" si="172"/>
        <v>-2.8888330397524555E-2</v>
      </c>
      <c r="U259">
        <f t="shared" si="173"/>
        <v>0.90844098512567673</v>
      </c>
      <c r="V259">
        <f t="shared" si="174"/>
        <v>-0.43125709565114467</v>
      </c>
      <c r="X259">
        <f t="shared" si="192"/>
        <v>-12.674061411440977</v>
      </c>
      <c r="Y259">
        <f t="shared" si="175"/>
        <v>-118.82136291172895</v>
      </c>
      <c r="Z259">
        <f t="shared" si="193"/>
        <v>61.178637088271046</v>
      </c>
      <c r="AC259">
        <v>1</v>
      </c>
      <c r="AD259">
        <f t="shared" si="176"/>
        <v>26.850721140652499</v>
      </c>
      <c r="AE259">
        <f t="shared" si="177"/>
        <v>-2.58123326238981E-3</v>
      </c>
      <c r="AF259">
        <f t="shared" si="178"/>
        <v>5.6096278358400012E-3</v>
      </c>
      <c r="AG259">
        <f t="shared" si="194"/>
        <v>3882.4715988338526</v>
      </c>
      <c r="AH259">
        <f t="shared" si="195"/>
        <v>-1964.7586531100574</v>
      </c>
      <c r="AJ259">
        <f t="shared" si="179"/>
        <v>22100</v>
      </c>
      <c r="AK259">
        <f t="shared" si="180"/>
        <v>638.60975920287001</v>
      </c>
      <c r="AL259">
        <v>1</v>
      </c>
      <c r="AM259">
        <f t="shared" si="181"/>
        <v>17.525054155574701</v>
      </c>
      <c r="AN259">
        <f t="shared" si="196"/>
        <v>108.04510506993097</v>
      </c>
      <c r="AO259">
        <f t="shared" si="197"/>
        <v>-1254.8865583924289</v>
      </c>
      <c r="AQ259">
        <f t="shared" si="182"/>
        <v>4.9382472185322539E-2</v>
      </c>
      <c r="AR259">
        <f t="shared" si="183"/>
        <v>-22.222112483395144</v>
      </c>
      <c r="AT259">
        <f t="shared" si="209"/>
        <v>-43469.361746395916</v>
      </c>
      <c r="AU259">
        <f t="shared" si="210"/>
        <v>-86373.745222410944</v>
      </c>
      <c r="AV259">
        <f t="shared" si="198"/>
        <v>-2.0370569466632502</v>
      </c>
      <c r="AW259">
        <f t="shared" si="199"/>
        <v>-26575.262541126642</v>
      </c>
      <c r="AX259">
        <f t="shared" si="200"/>
        <v>-12354.368681029013</v>
      </c>
      <c r="AY259">
        <f t="shared" si="208"/>
        <v>-2.7064317751725055</v>
      </c>
      <c r="BA259">
        <f t="shared" si="184"/>
        <v>3.2994461060156688</v>
      </c>
      <c r="BB259">
        <f t="shared" si="201"/>
        <v>10.368820777610894</v>
      </c>
      <c r="BC259">
        <f t="shared" si="202"/>
        <v>0.66937482850925534</v>
      </c>
      <c r="BD259">
        <f t="shared" si="185"/>
        <v>-141.64764737030248</v>
      </c>
      <c r="BF259">
        <f t="shared" si="186"/>
        <v>-13.073467381662784</v>
      </c>
      <c r="BG259">
        <f t="shared" si="187"/>
        <v>-138.70591912775942</v>
      </c>
      <c r="BH259">
        <f t="shared" si="203"/>
        <v>41.294080872240585</v>
      </c>
      <c r="BI259">
        <f t="shared" si="204"/>
        <v>41.294080872240585</v>
      </c>
      <c r="BJ259">
        <f t="shared" si="188"/>
        <v>0</v>
      </c>
      <c r="BK259">
        <f t="shared" si="205"/>
        <v>0</v>
      </c>
      <c r="BM259">
        <f t="shared" si="206"/>
        <v>-23.442288159273676</v>
      </c>
      <c r="BN259">
        <f t="shared" si="189"/>
        <v>-177.05827175745694</v>
      </c>
      <c r="BQ259" s="56">
        <f t="shared" si="207"/>
        <v>27.270781577896027</v>
      </c>
      <c r="BR259" s="59"/>
      <c r="BS259" s="59"/>
      <c r="BT259" s="59">
        <v>30902.954000000002</v>
      </c>
      <c r="BU259" s="59">
        <v>-2.2543500000000001</v>
      </c>
      <c r="BV259" s="59">
        <v>-152.994</v>
      </c>
      <c r="BY259" s="59"/>
      <c r="BZ259" s="59"/>
      <c r="CA259" s="59"/>
      <c r="CC259" s="59"/>
    </row>
    <row r="260" spans="1:81" x14ac:dyDescent="0.2">
      <c r="A260">
        <f t="shared" si="211"/>
        <v>230000</v>
      </c>
      <c r="B260">
        <f t="shared" si="191"/>
        <v>230</v>
      </c>
      <c r="C260">
        <f t="shared" si="159"/>
        <v>1.0004175944647311</v>
      </c>
      <c r="D260">
        <f t="shared" si="160"/>
        <v>2.8894608339602047E-2</v>
      </c>
      <c r="F260">
        <f t="shared" si="161"/>
        <v>4.2899390083972217E-3</v>
      </c>
      <c r="G260">
        <f t="shared" si="162"/>
        <v>2.2570191858792468E-2</v>
      </c>
      <c r="H260">
        <f t="shared" si="163"/>
        <v>-3.1190224581412078</v>
      </c>
      <c r="J260">
        <f t="shared" si="164"/>
        <v>15</v>
      </c>
      <c r="M260">
        <f t="shared" si="165"/>
        <v>7.8909330553217985E-3</v>
      </c>
      <c r="N260">
        <f t="shared" si="166"/>
        <v>-1.5707963250000001</v>
      </c>
      <c r="O260">
        <f t="shared" si="167"/>
        <v>27.465614450681848</v>
      </c>
      <c r="P260">
        <f t="shared" si="168"/>
        <v>1.5343791160479725</v>
      </c>
      <c r="Q260">
        <f t="shared" si="169"/>
        <v>17.942388447716613</v>
      </c>
      <c r="R260">
        <f t="shared" si="170"/>
        <v>1.5150334923241191</v>
      </c>
      <c r="S260">
        <f t="shared" si="171"/>
        <v>0.99956402347098516</v>
      </c>
      <c r="T260">
        <f t="shared" si="172"/>
        <v>-2.9529924211009594E-2</v>
      </c>
      <c r="U260">
        <f t="shared" si="173"/>
        <v>0.9048951834581791</v>
      </c>
      <c r="V260">
        <f t="shared" si="174"/>
        <v>-0.43966292947687435</v>
      </c>
      <c r="X260">
        <f t="shared" si="192"/>
        <v>-12.901389518850126</v>
      </c>
      <c r="Y260">
        <f t="shared" si="175"/>
        <v>-119.21558182316591</v>
      </c>
      <c r="Z260">
        <f t="shared" si="193"/>
        <v>60.784418176834095</v>
      </c>
      <c r="AC260">
        <v>1</v>
      </c>
      <c r="AD260">
        <f t="shared" si="176"/>
        <v>27.447403832667</v>
      </c>
      <c r="AE260">
        <f t="shared" si="177"/>
        <v>-2.6972294238107844E-3</v>
      </c>
      <c r="AF260">
        <f t="shared" si="178"/>
        <v>5.7342862321920008E-3</v>
      </c>
      <c r="AG260">
        <f t="shared" si="194"/>
        <v>3852.2228363192394</v>
      </c>
      <c r="AH260">
        <f t="shared" si="195"/>
        <v>-1986.3551137805682</v>
      </c>
      <c r="AJ260">
        <f t="shared" si="179"/>
        <v>22100</v>
      </c>
      <c r="AK260">
        <f t="shared" si="180"/>
        <v>652.80108718515612</v>
      </c>
      <c r="AL260">
        <v>1</v>
      </c>
      <c r="AM260">
        <f t="shared" si="181"/>
        <v>17.91449980347636</v>
      </c>
      <c r="AN260">
        <f t="shared" si="196"/>
        <v>104.97523714445335</v>
      </c>
      <c r="AO260">
        <f t="shared" si="197"/>
        <v>-1227.7777780090373</v>
      </c>
      <c r="AQ260">
        <f t="shared" si="182"/>
        <v>4.7258755865993068E-2</v>
      </c>
      <c r="AR260">
        <f t="shared" si="183"/>
        <v>-21.739027698356814</v>
      </c>
      <c r="AT260">
        <f t="shared" si="209"/>
        <v>-42999.37757868546</v>
      </c>
      <c r="AU260">
        <f t="shared" si="210"/>
        <v>-83837.451610371922</v>
      </c>
      <c r="AV260">
        <f t="shared" si="198"/>
        <v>-2.0447025573997708</v>
      </c>
      <c r="AW260">
        <f t="shared" si="199"/>
        <v>-25398.129951567553</v>
      </c>
      <c r="AX260">
        <f t="shared" si="200"/>
        <v>-12034.195780269214</v>
      </c>
      <c r="AY260">
        <f t="shared" si="208"/>
        <v>-2.6991058000692139</v>
      </c>
      <c r="BA260">
        <f t="shared" si="184"/>
        <v>3.3524856102382676</v>
      </c>
      <c r="BB260">
        <f t="shared" si="201"/>
        <v>10.507338448399482</v>
      </c>
      <c r="BC260">
        <f t="shared" si="202"/>
        <v>0.65440324266944305</v>
      </c>
      <c r="BD260">
        <f t="shared" si="185"/>
        <v>-142.50545605252171</v>
      </c>
      <c r="BF260">
        <f t="shared" si="186"/>
        <v>-13.318187594025524</v>
      </c>
      <c r="BG260">
        <f t="shared" si="187"/>
        <v>-139.55674020430027</v>
      </c>
      <c r="BH260">
        <f t="shared" si="203"/>
        <v>40.443259795699731</v>
      </c>
      <c r="BI260">
        <f t="shared" si="204"/>
        <v>40.443259795699731</v>
      </c>
      <c r="BJ260">
        <f t="shared" si="188"/>
        <v>0</v>
      </c>
      <c r="BK260">
        <f t="shared" si="205"/>
        <v>0</v>
      </c>
      <c r="BM260">
        <f t="shared" si="206"/>
        <v>-23.825526042425004</v>
      </c>
      <c r="BN260">
        <f t="shared" si="189"/>
        <v>-177.05128415177856</v>
      </c>
      <c r="BQ260" s="56">
        <f t="shared" si="207"/>
        <v>27.409299248684619</v>
      </c>
      <c r="BR260" s="59"/>
      <c r="BS260" s="59"/>
      <c r="BT260" s="59">
        <v>31622.776999999998</v>
      </c>
      <c r="BU260" s="59">
        <v>-2.1282199999999998</v>
      </c>
      <c r="BV260" s="59">
        <v>-152.041</v>
      </c>
      <c r="BY260" s="59"/>
      <c r="BZ260" s="59"/>
      <c r="CA260" s="59"/>
      <c r="CC260" s="59"/>
    </row>
    <row r="261" spans="1:81" x14ac:dyDescent="0.2">
      <c r="A261">
        <f t="shared" si="211"/>
        <v>235000</v>
      </c>
      <c r="B261">
        <f t="shared" si="191"/>
        <v>235</v>
      </c>
      <c r="C261">
        <f t="shared" si="159"/>
        <v>1.0004359440978154</v>
      </c>
      <c r="D261">
        <f t="shared" si="160"/>
        <v>2.9522390959911458E-2</v>
      </c>
      <c r="F261">
        <f t="shared" si="161"/>
        <v>4.1086298357070009E-3</v>
      </c>
      <c r="G261">
        <f t="shared" si="162"/>
        <v>2.2086129293501403E-2</v>
      </c>
      <c r="H261">
        <f t="shared" si="163"/>
        <v>-3.1195065207064987</v>
      </c>
      <c r="J261">
        <f t="shared" si="164"/>
        <v>15</v>
      </c>
      <c r="M261">
        <f t="shared" si="165"/>
        <v>7.7230408626553764E-3</v>
      </c>
      <c r="N261">
        <f t="shared" si="166"/>
        <v>-1.5707963250000001</v>
      </c>
      <c r="O261">
        <f t="shared" si="167"/>
        <v>28.061909931503646</v>
      </c>
      <c r="P261">
        <f t="shared" si="168"/>
        <v>1.5351532871179279</v>
      </c>
      <c r="Q261">
        <f t="shared" si="169"/>
        <v>18.331241613350205</v>
      </c>
      <c r="R261">
        <f t="shared" si="170"/>
        <v>1.5162175553503439</v>
      </c>
      <c r="S261">
        <f t="shared" si="171"/>
        <v>0.9995448750110667</v>
      </c>
      <c r="T261">
        <f t="shared" si="172"/>
        <v>-3.017149370679971E-2</v>
      </c>
      <c r="U261">
        <f t="shared" si="173"/>
        <v>0.90131401230295605</v>
      </c>
      <c r="V261">
        <f t="shared" si="174"/>
        <v>-0.44800281565747968</v>
      </c>
      <c r="X261">
        <f t="shared" si="192"/>
        <v>-13.124931564205156</v>
      </c>
      <c r="Y261">
        <f t="shared" si="175"/>
        <v>-119.60974822616389</v>
      </c>
      <c r="Z261">
        <f t="shared" si="193"/>
        <v>60.390251773836113</v>
      </c>
      <c r="AC261">
        <v>1</v>
      </c>
      <c r="AD261">
        <f t="shared" si="176"/>
        <v>28.0440865246815</v>
      </c>
      <c r="AE261">
        <f t="shared" si="177"/>
        <v>-2.8157749514168338E-3</v>
      </c>
      <c r="AF261">
        <f t="shared" si="178"/>
        <v>5.8589446285440012E-3</v>
      </c>
      <c r="AG261">
        <f t="shared" si="194"/>
        <v>3821.7924143161781</v>
      </c>
      <c r="AH261">
        <f t="shared" si="195"/>
        <v>-2007.4105654535174</v>
      </c>
      <c r="AJ261">
        <f t="shared" si="179"/>
        <v>22100</v>
      </c>
      <c r="AK261">
        <f t="shared" si="180"/>
        <v>666.99241516744212</v>
      </c>
      <c r="AL261">
        <v>1</v>
      </c>
      <c r="AM261">
        <f t="shared" si="181"/>
        <v>18.303945451378024</v>
      </c>
      <c r="AN261">
        <f t="shared" si="196"/>
        <v>102.09844835812164</v>
      </c>
      <c r="AO261">
        <f t="shared" si="197"/>
        <v>-1201.8120142499524</v>
      </c>
      <c r="AQ261">
        <f t="shared" si="182"/>
        <v>4.526914771775592E-2</v>
      </c>
      <c r="AR261">
        <f t="shared" si="183"/>
        <v>-21.276499427345282</v>
      </c>
      <c r="AT261">
        <f t="shared" si="209"/>
        <v>-42537.660460968349</v>
      </c>
      <c r="AU261">
        <f t="shared" si="210"/>
        <v>-81405.2378800484</v>
      </c>
      <c r="AV261">
        <f t="shared" si="198"/>
        <v>-2.0523145257654605</v>
      </c>
      <c r="AW261">
        <f t="shared" si="199"/>
        <v>-24295.577450131485</v>
      </c>
      <c r="AX261">
        <f t="shared" si="200"/>
        <v>-11731.982030293992</v>
      </c>
      <c r="AY261">
        <f t="shared" si="208"/>
        <v>-2.691730148518868</v>
      </c>
      <c r="BA261">
        <f t="shared" si="184"/>
        <v>3.4043557240427567</v>
      </c>
      <c r="BB261">
        <f t="shared" si="201"/>
        <v>10.640698671712963</v>
      </c>
      <c r="BC261">
        <f t="shared" si="202"/>
        <v>0.63941562275340758</v>
      </c>
      <c r="BD261">
        <f t="shared" si="185"/>
        <v>-143.36418341963801</v>
      </c>
      <c r="BF261">
        <f t="shared" si="186"/>
        <v>-13.559750098982931</v>
      </c>
      <c r="BG261">
        <f t="shared" si="187"/>
        <v>-140.40723301882321</v>
      </c>
      <c r="BH261">
        <f t="shared" si="203"/>
        <v>39.592766981176794</v>
      </c>
      <c r="BI261">
        <f t="shared" si="204"/>
        <v>39.592766981176794</v>
      </c>
      <c r="BJ261">
        <f t="shared" si="188"/>
        <v>0</v>
      </c>
      <c r="BK261">
        <f t="shared" si="205"/>
        <v>0</v>
      </c>
      <c r="BM261">
        <f t="shared" si="206"/>
        <v>-24.200448770695893</v>
      </c>
      <c r="BN261">
        <f t="shared" si="189"/>
        <v>-177.0430495991852</v>
      </c>
      <c r="BQ261" s="56">
        <f t="shared" si="207"/>
        <v>27.5426594719981</v>
      </c>
      <c r="BR261" s="59"/>
      <c r="BS261" s="59"/>
      <c r="BT261" s="59">
        <v>32359.366000000002</v>
      </c>
      <c r="BU261" s="59">
        <v>-2.03586</v>
      </c>
      <c r="BV261" s="59">
        <v>-151.05000000000001</v>
      </c>
      <c r="BY261" s="59"/>
      <c r="BZ261" s="59"/>
      <c r="CA261" s="59"/>
      <c r="CC261" s="59"/>
    </row>
    <row r="262" spans="1:81" x14ac:dyDescent="0.2">
      <c r="A262">
        <f t="shared" si="211"/>
        <v>240000</v>
      </c>
      <c r="B262">
        <f t="shared" si="191"/>
        <v>240</v>
      </c>
      <c r="C262">
        <f t="shared" si="159"/>
        <v>1.0004546879991747</v>
      </c>
      <c r="D262">
        <f t="shared" si="160"/>
        <v>3.015015030412492E-2</v>
      </c>
      <c r="F262">
        <f t="shared" si="161"/>
        <v>3.9385902069589678E-3</v>
      </c>
      <c r="G262">
        <f t="shared" si="162"/>
        <v>2.1622470033605037E-2</v>
      </c>
      <c r="H262">
        <f t="shared" si="163"/>
        <v>-3.119970179966395</v>
      </c>
      <c r="J262">
        <f t="shared" si="164"/>
        <v>15</v>
      </c>
      <c r="M262">
        <f t="shared" si="165"/>
        <v>7.5621441780167227E-3</v>
      </c>
      <c r="N262">
        <f t="shared" si="166"/>
        <v>-1.5707963250000001</v>
      </c>
      <c r="O262">
        <f t="shared" si="167"/>
        <v>28.658221531072748</v>
      </c>
      <c r="P262">
        <f t="shared" si="168"/>
        <v>1.5358952411826667</v>
      </c>
      <c r="Q262">
        <f t="shared" si="169"/>
        <v>18.720119411762013</v>
      </c>
      <c r="R262">
        <f t="shared" si="170"/>
        <v>1.5173524262286697</v>
      </c>
      <c r="S262">
        <f t="shared" si="171"/>
        <v>0.99952531589249094</v>
      </c>
      <c r="T262">
        <f t="shared" si="172"/>
        <v>-3.0813038358153206E-2</v>
      </c>
      <c r="U262">
        <f t="shared" si="173"/>
        <v>0.89769937537480371</v>
      </c>
      <c r="V262">
        <f t="shared" si="174"/>
        <v>-0.4562763807919214</v>
      </c>
      <c r="X262">
        <f t="shared" si="192"/>
        <v>-13.344859916108714</v>
      </c>
      <c r="Y262">
        <f t="shared" si="175"/>
        <v>-120.0036100008642</v>
      </c>
      <c r="Z262">
        <f t="shared" si="193"/>
        <v>59.996389999135801</v>
      </c>
      <c r="AC262">
        <v>1</v>
      </c>
      <c r="AD262">
        <f t="shared" si="176"/>
        <v>28.640769216696004</v>
      </c>
      <c r="AE262">
        <f t="shared" si="177"/>
        <v>-2.9368698452079608E-3</v>
      </c>
      <c r="AF262">
        <f t="shared" si="178"/>
        <v>5.9836030248960007E-3</v>
      </c>
      <c r="AG262">
        <f t="shared" si="194"/>
        <v>3791.1999878582983</v>
      </c>
      <c r="AH262">
        <f t="shared" si="195"/>
        <v>-2027.9187758624287</v>
      </c>
      <c r="AJ262">
        <f t="shared" si="179"/>
        <v>22100</v>
      </c>
      <c r="AK262">
        <f t="shared" si="180"/>
        <v>681.18374314972812</v>
      </c>
      <c r="AL262">
        <v>1</v>
      </c>
      <c r="AM262">
        <f t="shared" si="181"/>
        <v>18.69339109927968</v>
      </c>
      <c r="AN262">
        <f t="shared" si="196"/>
        <v>99.398895011279635</v>
      </c>
      <c r="AO262">
        <f t="shared" si="197"/>
        <v>-1176.918676132362</v>
      </c>
      <c r="AQ262">
        <f t="shared" si="182"/>
        <v>4.3402589398483515E-2</v>
      </c>
      <c r="AR262">
        <f t="shared" si="183"/>
        <v>-20.833242911272087</v>
      </c>
      <c r="AT262">
        <f t="shared" si="209"/>
        <v>-42083.576565470961</v>
      </c>
      <c r="AU262">
        <f t="shared" si="210"/>
        <v>-79071.007198225954</v>
      </c>
      <c r="AV262">
        <f t="shared" si="198"/>
        <v>-2.0598904628797881</v>
      </c>
      <c r="AW262">
        <f t="shared" si="199"/>
        <v>-23261.485105401312</v>
      </c>
      <c r="AX262">
        <f t="shared" si="200"/>
        <v>-11446.254109798476</v>
      </c>
      <c r="AY262">
        <f t="shared" si="208"/>
        <v>-2.6843100064693708</v>
      </c>
      <c r="BA262">
        <f t="shared" si="184"/>
        <v>3.455046695425283</v>
      </c>
      <c r="BB262">
        <f t="shared" si="201"/>
        <v>10.769078425975628</v>
      </c>
      <c r="BC262">
        <f t="shared" si="202"/>
        <v>0.62441954358958274</v>
      </c>
      <c r="BD262">
        <f t="shared" si="185"/>
        <v>-144.22339546595106</v>
      </c>
      <c r="BF262">
        <f t="shared" si="186"/>
        <v>-13.798331986260324</v>
      </c>
      <c r="BG262">
        <f t="shared" si="187"/>
        <v>-141.25704282287637</v>
      </c>
      <c r="BH262">
        <f t="shared" si="203"/>
        <v>38.742957177123628</v>
      </c>
      <c r="BI262">
        <f t="shared" si="204"/>
        <v>38.742957177123628</v>
      </c>
      <c r="BJ262">
        <f t="shared" si="188"/>
        <v>0</v>
      </c>
      <c r="BK262">
        <f t="shared" si="205"/>
        <v>0</v>
      </c>
      <c r="BM262">
        <f t="shared" si="206"/>
        <v>-24.567410412235951</v>
      </c>
      <c r="BN262">
        <f t="shared" si="189"/>
        <v>-177.03364735692534</v>
      </c>
      <c r="BQ262" s="56">
        <f t="shared" si="207"/>
        <v>27.671039226260767</v>
      </c>
      <c r="BR262" s="59"/>
      <c r="BS262" s="59"/>
      <c r="BT262" s="59">
        <v>33113.112000000001</v>
      </c>
      <c r="BU262" s="59">
        <v>-1.91717</v>
      </c>
      <c r="BV262" s="59">
        <v>-150.17400000000001</v>
      </c>
      <c r="BY262" s="59"/>
      <c r="BZ262" s="59"/>
      <c r="CA262" s="59"/>
      <c r="CC262" s="59"/>
    </row>
    <row r="263" spans="1:81" x14ac:dyDescent="0.2">
      <c r="A263">
        <f t="shared" si="211"/>
        <v>245000</v>
      </c>
      <c r="B263">
        <f t="shared" si="191"/>
        <v>245</v>
      </c>
      <c r="C263">
        <f t="shared" si="159"/>
        <v>1.0004738261466486</v>
      </c>
      <c r="D263">
        <f t="shared" si="160"/>
        <v>3.0777885878787759E-2</v>
      </c>
      <c r="F263">
        <f t="shared" si="161"/>
        <v>3.7789040889081686E-3</v>
      </c>
      <c r="G263">
        <f t="shared" si="162"/>
        <v>2.1177946264683979E-2</v>
      </c>
      <c r="H263">
        <f t="shared" si="163"/>
        <v>-3.120414703735316</v>
      </c>
      <c r="J263">
        <f t="shared" si="164"/>
        <v>15</v>
      </c>
      <c r="M263">
        <f t="shared" si="165"/>
        <v>7.4078147049959726E-3</v>
      </c>
      <c r="N263">
        <f t="shared" si="166"/>
        <v>-1.5707963250000001</v>
      </c>
      <c r="O263">
        <f t="shared" si="167"/>
        <v>29.254548263717211</v>
      </c>
      <c r="P263">
        <f t="shared" si="168"/>
        <v>1.5366069475401789</v>
      </c>
      <c r="Q263">
        <f t="shared" si="169"/>
        <v>19.109020339085273</v>
      </c>
      <c r="R263">
        <f t="shared" si="170"/>
        <v>1.5184411053731404</v>
      </c>
      <c r="S263">
        <f t="shared" si="171"/>
        <v>0.99950534618766373</v>
      </c>
      <c r="T263">
        <f t="shared" si="172"/>
        <v>-3.1454557638450995E-2</v>
      </c>
      <c r="U263">
        <f t="shared" si="173"/>
        <v>0.89405314916074741</v>
      </c>
      <c r="V263">
        <f t="shared" si="174"/>
        <v>-0.46448329370799607</v>
      </c>
      <c r="X263">
        <f t="shared" si="192"/>
        <v>-13.56133503899056</v>
      </c>
      <c r="Y263">
        <f t="shared" si="175"/>
        <v>-120.39693606748735</v>
      </c>
      <c r="Z263">
        <f t="shared" si="193"/>
        <v>59.603063932512654</v>
      </c>
      <c r="AC263">
        <v>1</v>
      </c>
      <c r="AD263">
        <f t="shared" si="176"/>
        <v>29.237451908710497</v>
      </c>
      <c r="AE263">
        <f t="shared" si="177"/>
        <v>-3.0605141051841646E-3</v>
      </c>
      <c r="AF263">
        <f t="shared" si="178"/>
        <v>6.1082614212480011E-3</v>
      </c>
      <c r="AG263">
        <f t="shared" si="194"/>
        <v>3760.4647567975549</v>
      </c>
      <c r="AH263">
        <f t="shared" si="195"/>
        <v>-2047.8749299618394</v>
      </c>
      <c r="AJ263">
        <f t="shared" si="179"/>
        <v>22100</v>
      </c>
      <c r="AK263">
        <f t="shared" si="180"/>
        <v>695.37507113201411</v>
      </c>
      <c r="AL263">
        <v>1</v>
      </c>
      <c r="AM263">
        <f t="shared" si="181"/>
        <v>19.082836747181339</v>
      </c>
      <c r="AN263">
        <f t="shared" si="196"/>
        <v>96.862324373025274</v>
      </c>
      <c r="AO263">
        <f t="shared" si="197"/>
        <v>-1153.0328518309514</v>
      </c>
      <c r="AQ263">
        <f t="shared" si="182"/>
        <v>4.164913932053594E-2</v>
      </c>
      <c r="AR263">
        <f t="shared" si="183"/>
        <v>-20.40807826706261</v>
      </c>
      <c r="AT263">
        <f t="shared" si="209"/>
        <v>-41636.571731250748</v>
      </c>
      <c r="AU263">
        <f t="shared" si="210"/>
        <v>-76829.151305524079</v>
      </c>
      <c r="AV263">
        <f t="shared" si="198"/>
        <v>-2.0674281862643591</v>
      </c>
      <c r="AW263">
        <f t="shared" si="199"/>
        <v>-22290.346977155841</v>
      </c>
      <c r="AX263">
        <f t="shared" si="200"/>
        <v>-11175.692673209687</v>
      </c>
      <c r="AY263">
        <f t="shared" si="208"/>
        <v>-2.6768503117956355</v>
      </c>
      <c r="BA263">
        <f t="shared" si="184"/>
        <v>3.5045499508672107</v>
      </c>
      <c r="BB263">
        <f t="shared" si="201"/>
        <v>10.892645088539332</v>
      </c>
      <c r="BC263">
        <f t="shared" si="202"/>
        <v>0.60942212553127639</v>
      </c>
      <c r="BD263">
        <f t="shared" si="185"/>
        <v>-145.08268422526717</v>
      </c>
      <c r="BF263">
        <f t="shared" si="186"/>
        <v>-14.034097715962922</v>
      </c>
      <c r="BG263">
        <f t="shared" si="187"/>
        <v>-142.10583431895452</v>
      </c>
      <c r="BH263">
        <f t="shared" si="203"/>
        <v>37.894165681045479</v>
      </c>
      <c r="BI263">
        <f t="shared" si="204"/>
        <v>37.894165681045479</v>
      </c>
      <c r="BJ263">
        <f t="shared" si="188"/>
        <v>0</v>
      </c>
      <c r="BK263">
        <f t="shared" si="205"/>
        <v>0</v>
      </c>
      <c r="BM263">
        <f t="shared" si="206"/>
        <v>-24.926742804502254</v>
      </c>
      <c r="BN263">
        <f t="shared" si="189"/>
        <v>-177.02315009368738</v>
      </c>
      <c r="BQ263" s="56">
        <f t="shared" si="207"/>
        <v>27.794605888824471</v>
      </c>
      <c r="BR263" s="59"/>
      <c r="BS263" s="59"/>
      <c r="BT263" s="59">
        <v>33884.415999999997</v>
      </c>
      <c r="BU263" s="59">
        <v>-1.81593</v>
      </c>
      <c r="BV263" s="59">
        <v>-149.483</v>
      </c>
      <c r="BY263" s="59"/>
      <c r="BZ263" s="59"/>
      <c r="CA263" s="59"/>
      <c r="CC263" s="59"/>
    </row>
    <row r="264" spans="1:81" x14ac:dyDescent="0.2">
      <c r="A264">
        <f t="shared" si="211"/>
        <v>250000</v>
      </c>
      <c r="B264">
        <f t="shared" si="191"/>
        <v>250</v>
      </c>
      <c r="C264">
        <f t="shared" si="159"/>
        <v>1.0004933585176132</v>
      </c>
      <c r="D264">
        <f t="shared" si="160"/>
        <v>3.1405597190557598E-2</v>
      </c>
      <c r="F264">
        <f t="shared" si="161"/>
        <v>3.6287467655900726E-3</v>
      </c>
      <c r="G264">
        <f t="shared" si="162"/>
        <v>2.0751393417485595E-2</v>
      </c>
      <c r="H264">
        <f t="shared" si="163"/>
        <v>-3.1208412565825148</v>
      </c>
      <c r="J264">
        <f t="shared" si="164"/>
        <v>15</v>
      </c>
      <c r="M264">
        <f t="shared" si="165"/>
        <v>7.2596584108960537E-3</v>
      </c>
      <c r="N264">
        <f t="shared" si="166"/>
        <v>-1.5707963250000001</v>
      </c>
      <c r="O264">
        <f t="shared" si="167"/>
        <v>29.850889222503525</v>
      </c>
      <c r="P264">
        <f t="shared" si="168"/>
        <v>1.5372902182518746</v>
      </c>
      <c r="Q264">
        <f t="shared" si="169"/>
        <v>19.497943011350184</v>
      </c>
      <c r="R264">
        <f t="shared" si="170"/>
        <v>1.5194863542621602</v>
      </c>
      <c r="S264">
        <f t="shared" si="171"/>
        <v>0.99948496597050385</v>
      </c>
      <c r="T264">
        <f t="shared" si="172"/>
        <v>-3.2096051021199168E-2</v>
      </c>
      <c r="U264">
        <f t="shared" si="173"/>
        <v>0.89037718139302879</v>
      </c>
      <c r="V264">
        <f t="shared" si="174"/>
        <v>-0.47262326445753655</v>
      </c>
      <c r="X264">
        <f t="shared" si="192"/>
        <v>-13.77450652167823</v>
      </c>
      <c r="Y264">
        <f t="shared" si="175"/>
        <v>-120.78951449170162</v>
      </c>
      <c r="Z264">
        <f t="shared" si="193"/>
        <v>59.210485508298376</v>
      </c>
      <c r="AC264">
        <v>1</v>
      </c>
      <c r="AD264">
        <f t="shared" si="176"/>
        <v>29.834134600725001</v>
      </c>
      <c r="AE264">
        <f t="shared" si="177"/>
        <v>-3.1867077313454447E-3</v>
      </c>
      <c r="AF264">
        <f t="shared" si="178"/>
        <v>6.2329198176000007E-3</v>
      </c>
      <c r="AG264">
        <f t="shared" si="194"/>
        <v>3729.6054518962478</v>
      </c>
      <c r="AH264">
        <f t="shared" si="195"/>
        <v>-2067.2755154080182</v>
      </c>
      <c r="AJ264">
        <f t="shared" si="179"/>
        <v>22100</v>
      </c>
      <c r="AK264">
        <f t="shared" si="180"/>
        <v>709.56639911430011</v>
      </c>
      <c r="AL264">
        <v>1</v>
      </c>
      <c r="AM264">
        <f t="shared" si="181"/>
        <v>19.472282395083003</v>
      </c>
      <c r="AN264">
        <f t="shared" si="196"/>
        <v>94.475886914200458</v>
      </c>
      <c r="AO264">
        <f t="shared" si="197"/>
        <v>-1130.0947504049382</v>
      </c>
      <c r="AQ264">
        <f t="shared" si="182"/>
        <v>3.9999840000639997E-2</v>
      </c>
      <c r="AR264">
        <f t="shared" si="183"/>
        <v>-19.99992000032</v>
      </c>
      <c r="AT264">
        <f t="shared" si="209"/>
        <v>-41196.161305439295</v>
      </c>
      <c r="AU264">
        <f t="shared" si="210"/>
        <v>-74674.50136053584</v>
      </c>
      <c r="AV264">
        <f t="shared" si="198"/>
        <v>-2.0749257024621155</v>
      </c>
      <c r="AW264">
        <f t="shared" si="199"/>
        <v>-21377.198690404657</v>
      </c>
      <c r="AX264">
        <f t="shared" si="200"/>
        <v>-10919.113090209557</v>
      </c>
      <c r="AY264">
        <f t="shared" si="208"/>
        <v>-2.6693557768403595</v>
      </c>
      <c r="BA264">
        <f t="shared" si="184"/>
        <v>3.5528580989997303</v>
      </c>
      <c r="BB264">
        <f t="shared" si="201"/>
        <v>11.011557242654199</v>
      </c>
      <c r="BC264">
        <f t="shared" si="202"/>
        <v>0.59443007437824402</v>
      </c>
      <c r="BD264">
        <f t="shared" si="185"/>
        <v>-145.94166548356168</v>
      </c>
      <c r="BF264">
        <f t="shared" si="186"/>
        <v>-14.267200140526551</v>
      </c>
      <c r="BG264">
        <f t="shared" si="187"/>
        <v>-142.9532900462026</v>
      </c>
      <c r="BH264">
        <f t="shared" si="203"/>
        <v>37.046709953797404</v>
      </c>
      <c r="BI264">
        <f t="shared" si="204"/>
        <v>37.046709953797404</v>
      </c>
      <c r="BJ264">
        <f t="shared" si="188"/>
        <v>0</v>
      </c>
      <c r="BK264">
        <f t="shared" si="205"/>
        <v>0</v>
      </c>
      <c r="BM264">
        <f t="shared" si="206"/>
        <v>-25.27875738318075</v>
      </c>
      <c r="BN264">
        <f t="shared" si="189"/>
        <v>-177.01162456264095</v>
      </c>
      <c r="BQ264" s="56">
        <f t="shared" si="207"/>
        <v>27.913518042939334</v>
      </c>
      <c r="BR264" s="59"/>
      <c r="BS264" s="59"/>
      <c r="BT264" s="59">
        <v>34673.684999999998</v>
      </c>
      <c r="BU264" s="59">
        <v>-1.6807799999999999</v>
      </c>
      <c r="BV264" s="59">
        <v>-148.328</v>
      </c>
      <c r="BY264" s="59"/>
      <c r="BZ264" s="59"/>
      <c r="CA264" s="59"/>
      <c r="CC264" s="59"/>
    </row>
    <row r="265" spans="1:81" x14ac:dyDescent="0.2">
      <c r="A265">
        <f t="shared" si="211"/>
        <v>255000</v>
      </c>
      <c r="B265">
        <f t="shared" si="191"/>
        <v>255</v>
      </c>
      <c r="C265">
        <f t="shared" ref="C265:C328" si="212">SQRT((A265/Fesr)^2+1)</f>
        <v>1.00051328508898</v>
      </c>
      <c r="D265">
        <f t="shared" ref="D265:D328" si="213">ATAN(A265/Fesr)</f>
        <v>3.2033283746206689E-2</v>
      </c>
      <c r="F265">
        <f t="shared" ref="F265:F328" si="214">(Ro/(Ro+Rdcr))/SQRT((A265/(Q*Fo))^2+(1-(A265^2/Fo^2))^2)</f>
        <v>3.4873741170890599E-3</v>
      </c>
      <c r="G265">
        <f t="shared" ref="G265:G328" si="215">-ATAN(A265*Fo/(Q*(Fo^2-A265^2)))</f>
        <v>2.0341739836391801E-2</v>
      </c>
      <c r="H265">
        <f t="shared" ref="H265:H328" si="216">IF(G265&gt;0,G265-Pi,G265)</f>
        <v>-3.1212509101636083</v>
      </c>
      <c r="J265">
        <f t="shared" ref="J265:J328" si="217">Vin/Vramp</f>
        <v>15</v>
      </c>
      <c r="M265">
        <f t="shared" ref="M265:M328" si="218">1/(2*Pi*_Rfb1*(Cc1ea_u+Cc2ea_u)*A265)</f>
        <v>7.1173121675451503E-3</v>
      </c>
      <c r="N265">
        <f t="shared" ref="N265:N328" si="219">-Pi/2</f>
        <v>-1.5707963250000001</v>
      </c>
      <c r="O265">
        <f t="shared" ref="O265:O328" si="220">SQRT(1+(A265/Fz1_u)^2)</f>
        <v>30.447243571530311</v>
      </c>
      <c r="P265">
        <f t="shared" ref="P265:P328" si="221">ATAN2(Fz1_u,A265)</f>
        <v>1.5379467235229041</v>
      </c>
      <c r="Q265">
        <f t="shared" ref="Q265:Q328" si="222">SQRT(1+(A265/Fz2_u)^2)</f>
        <v>19.886886152776238</v>
      </c>
      <c r="R265">
        <f t="shared" ref="R265:R328" si="223">ATAN2(Fz2_u,A265)</f>
        <v>1.5204907187386947</v>
      </c>
      <c r="S265">
        <f t="shared" ref="S265:S328" si="224">1/SQRT(1+(A265/Fp1_u)^2)</f>
        <v>0.99946417531644072</v>
      </c>
      <c r="T265">
        <f t="shared" ref="T265:T328" si="225">-ATAN2(Fp1_u,A265)</f>
        <v>-3.273751798003157E-2</v>
      </c>
      <c r="U265">
        <f t="shared" ref="U265:U328" si="226">1/SQRT(1+(A265/Fp2_u)^2)</f>
        <v>0.88667328964772463</v>
      </c>
      <c r="V265">
        <f t="shared" ref="V265:V328" si="227">-ATAN2(Fp2_u,A265)</f>
        <v>-0.48069604328336524</v>
      </c>
      <c r="X265">
        <f t="shared" si="192"/>
        <v>-13.9845139988931</v>
      </c>
      <c r="Y265">
        <f t="shared" ref="Y265:Y328" si="228">(180/Pi)*(D265+H265+N265+P265+R265+T265+V265)</f>
        <v>-121.18115080115685</v>
      </c>
      <c r="Z265">
        <f t="shared" si="193"/>
        <v>58.818849198843154</v>
      </c>
      <c r="AC265">
        <v>1</v>
      </c>
      <c r="AD265">
        <f t="shared" ref="AD265:AD328" si="229">Rcea1_u*Cc1ea_u*A265*2*Pi</f>
        <v>30.430817292739501</v>
      </c>
      <c r="AE265">
        <f t="shared" ref="AE265:AE328" si="230">-Rcea1_u*Cc1ea_u*Cc2ea_u*(A265*2*Pi)^2</f>
        <v>-3.3154507236917998E-3</v>
      </c>
      <c r="AF265">
        <f t="shared" ref="AF265:AF328" si="231">(Cc2ea_u+Cc1ea_u)*A265*2*Pi</f>
        <v>6.357578213952002E-3</v>
      </c>
      <c r="AG265">
        <f t="shared" si="194"/>
        <v>3698.6403227343621</v>
      </c>
      <c r="AH265">
        <f t="shared" si="195"/>
        <v>-2086.1182180314809</v>
      </c>
      <c r="AJ265">
        <f t="shared" ref="AJ265:AJ328" si="232">_Rfb1</f>
        <v>22100</v>
      </c>
      <c r="AK265">
        <f t="shared" ref="AK265:AK328" si="233">_Rfb1*Rcea2_u*Cc3ea_u*A265*2*Pi</f>
        <v>723.75772709658611</v>
      </c>
      <c r="AL265">
        <v>1</v>
      </c>
      <c r="AM265">
        <f t="shared" ref="AM265:AM328" si="234">(_Rfb1+Rcea2_u)*Cc3ea_u*A265*2*Pi</f>
        <v>19.861728042984662</v>
      </c>
      <c r="AN265">
        <f t="shared" si="196"/>
        <v>92.227973873220776</v>
      </c>
      <c r="AO265">
        <f t="shared" si="197"/>
        <v>-1108.0492079288197</v>
      </c>
      <c r="AQ265">
        <f t="shared" ref="AQ265:AQ328" si="235">Eadcg/(1+(Eadcg*A265/GBP)^2)</f>
        <v>3.8446603434819551E-2</v>
      </c>
      <c r="AR265">
        <f t="shared" ref="AR265:AR328" si="236">-(A265*Eadcg*Eadcg/GBP)/(1+(Eadcg*A265/GBP)^2)</f>
        <v>-19.607767751757972</v>
      </c>
      <c r="AT265">
        <f t="shared" si="209"/>
        <v>-40761.921364136273</v>
      </c>
      <c r="AU265">
        <f t="shared" si="210"/>
        <v>-72602.284605309338</v>
      </c>
      <c r="AV265">
        <f t="shared" si="198"/>
        <v>-2.0823811915493824</v>
      </c>
      <c r="AW265">
        <f t="shared" si="199"/>
        <v>-20517.554777934314</v>
      </c>
      <c r="AX265">
        <f t="shared" si="200"/>
        <v>-10675.4489621717</v>
      </c>
      <c r="AY265">
        <f t="shared" si="208"/>
        <v>-2.6618309077683406</v>
      </c>
      <c r="BA265">
        <f t="shared" ref="BA265:BA328" si="237">SQRT(AT265^2+AU265^2)/SQRT(AW265^2+AX265^2)</f>
        <v>3.5999649316886408</v>
      </c>
      <c r="BB265">
        <f t="shared" si="201"/>
        <v>11.125965403966342</v>
      </c>
      <c r="BC265">
        <f t="shared" si="202"/>
        <v>0.57944971621895824</v>
      </c>
      <c r="BD265">
        <f t="shared" ref="BD265:BD328" si="238">BC265*180/Pi-180</f>
        <v>-146.79997678266389</v>
      </c>
      <c r="BF265">
        <f t="shared" ref="BF265:BF328" si="239">20*LOG(BA265*J265*F265*C265)</f>
        <v>-14.497781422284948</v>
      </c>
      <c r="BG265">
        <f t="shared" ref="BG265:BG328" si="240">(180/Pi)*(D265+H265+BC265)</f>
        <v>-143.79910897605384</v>
      </c>
      <c r="BH265">
        <f t="shared" si="203"/>
        <v>36.200891023946156</v>
      </c>
      <c r="BI265">
        <f t="shared" si="204"/>
        <v>36.200891023946156</v>
      </c>
      <c r="BJ265">
        <f t="shared" ref="BJ265:BJ328" si="241">SUM((BF266&lt;0)*(BF265&gt;0))*A265</f>
        <v>0</v>
      </c>
      <c r="BK265">
        <f t="shared" si="205"/>
        <v>0</v>
      </c>
      <c r="BM265">
        <f t="shared" si="206"/>
        <v>-25.623746826251292</v>
      </c>
      <c r="BN265">
        <f t="shared" ref="BN265:BN328" si="242">(H265+D265)*180/Pi</f>
        <v>-176.99913219338995</v>
      </c>
      <c r="BQ265" s="56">
        <f t="shared" si="207"/>
        <v>28.027926204251479</v>
      </c>
      <c r="BR265" s="59"/>
      <c r="BS265" s="59"/>
      <c r="BT265" s="59">
        <v>35481.339</v>
      </c>
      <c r="BU265" s="59">
        <v>-1.5620799999999999</v>
      </c>
      <c r="BV265" s="59">
        <v>-147.47</v>
      </c>
      <c r="BY265" s="59"/>
      <c r="BZ265" s="59"/>
      <c r="CA265" s="59"/>
      <c r="CC265" s="59"/>
    </row>
    <row r="266" spans="1:81" x14ac:dyDescent="0.2">
      <c r="A266">
        <f t="shared" si="211"/>
        <v>260000</v>
      </c>
      <c r="B266">
        <f t="shared" ref="B266:B329" si="243">A266/1000</f>
        <v>260</v>
      </c>
      <c r="C266">
        <f t="shared" si="212"/>
        <v>1.0005336058371963</v>
      </c>
      <c r="D266">
        <f t="shared" si="213"/>
        <v>3.2660945052624187E-2</v>
      </c>
      <c r="F266">
        <f t="shared" si="214"/>
        <v>3.354113340053054E-3</v>
      </c>
      <c r="G266">
        <f t="shared" si="215"/>
        <v>1.9947997667606982E-2</v>
      </c>
      <c r="H266">
        <f t="shared" si="216"/>
        <v>-3.1216446523323933</v>
      </c>
      <c r="J266">
        <f t="shared" si="217"/>
        <v>15</v>
      </c>
      <c r="M266">
        <f t="shared" si="218"/>
        <v>6.9804407797077429E-3</v>
      </c>
      <c r="N266">
        <f t="shared" si="219"/>
        <v>-1.5707963250000001</v>
      </c>
      <c r="O266">
        <f t="shared" si="220"/>
        <v>31.043610539109494</v>
      </c>
      <c r="P266">
        <f t="shared" si="221"/>
        <v>1.5385780053123952</v>
      </c>
      <c r="Q266">
        <f t="shared" si="222"/>
        <v>20.275848585409349</v>
      </c>
      <c r="R266">
        <f t="shared" si="223"/>
        <v>1.5214565496382406</v>
      </c>
      <c r="S266">
        <f t="shared" si="224"/>
        <v>0.9994429743024148</v>
      </c>
      <c r="T266">
        <f t="shared" si="225"/>
        <v>-3.3378957988712404E-2</v>
      </c>
      <c r="U266">
        <f t="shared" si="226"/>
        <v>0.88294326006664192</v>
      </c>
      <c r="V266">
        <f t="shared" si="227"/>
        <v>-0.4887014195618839</v>
      </c>
      <c r="X266">
        <f t="shared" ref="X266:X329" si="244">20*LOG(C266*J266*O266*Q266*F266*M266*S266*U266)</f>
        <v>-14.19148797883903</v>
      </c>
      <c r="Y266">
        <f t="shared" si="228"/>
        <v>-121.57166648526228</v>
      </c>
      <c r="Z266">
        <f t="shared" ref="Z266:Z329" si="245">Y266+180</f>
        <v>58.428333514737716</v>
      </c>
      <c r="AC266">
        <v>1</v>
      </c>
      <c r="AD266">
        <f t="shared" si="229"/>
        <v>31.027499984754002</v>
      </c>
      <c r="AE266">
        <f t="shared" si="230"/>
        <v>-3.4467430822232325E-3</v>
      </c>
      <c r="AF266">
        <f t="shared" si="231"/>
        <v>6.4822366103040006E-3</v>
      </c>
      <c r="AG266">
        <f t="shared" ref="AG266:AG329" si="246">AC266*AE266/(AE266^2+AF266^2)+AD266*AF266/(AE266^2+AF266^2)</f>
        <v>3667.5871273732105</v>
      </c>
      <c r="AH266">
        <f t="shared" ref="AH266:AH329" si="247">AD266*AE266/(AE266^2+AF266^2)-AC266*AF266/(AE266^2+AF266^2)</f>
        <v>-2104.4018260673843</v>
      </c>
      <c r="AJ266">
        <f t="shared" si="232"/>
        <v>22100</v>
      </c>
      <c r="AK266">
        <f t="shared" si="233"/>
        <v>737.94905507887211</v>
      </c>
      <c r="AL266">
        <v>1</v>
      </c>
      <c r="AM266">
        <f t="shared" si="234"/>
        <v>20.251173690886318</v>
      </c>
      <c r="AN266">
        <f t="shared" ref="AN266:AN329" si="248">AJ266*AL266/(AL266^2+AM266^2)+AK266*AM266/(AL266^2+AM266^2)</f>
        <v>90.108076325781596</v>
      </c>
      <c r="AO266">
        <f t="shared" ref="AO266:AO329" si="249">AK266*AL266/(AL266^2+AM266^2)-AJ266*AM266/(AL266^2+AM266^2)</f>
        <v>-1086.8452495461725</v>
      </c>
      <c r="AQ266">
        <f t="shared" si="235"/>
        <v>3.6982111752545295E-2</v>
      </c>
      <c r="AR266">
        <f t="shared" si="236"/>
        <v>-19.230698111323552</v>
      </c>
      <c r="AT266">
        <f t="shared" si="209"/>
        <v>-40333.481105013168</v>
      </c>
      <c r="AU266">
        <f t="shared" si="210"/>
        <v>-70608.086066994452</v>
      </c>
      <c r="AV266">
        <f t="shared" ref="AV266:AV329" si="250">ATAN2(AT266,AU266)</f>
        <v>-2.0897929932868564</v>
      </c>
      <c r="AW266">
        <f t="shared" ref="AW266:AW329" si="251">AG266-AH266*AO266/_Rfb2+AG266*AN266/_Rfb2+AN266-AO266*AR266+AQ266*AN266</f>
        <v>-19707.354315326957</v>
      </c>
      <c r="AX266">
        <f t="shared" ref="AX266:AX329" si="252">AH266+AH266*AN266/_Rfb2+AG266*AO266/_Rfb2+AO266+AO266*AQ266+AN266*AR266</f>
        <v>-10443.737965842758</v>
      </c>
      <c r="AY266">
        <f t="shared" si="208"/>
        <v>-2.6542800211837996</v>
      </c>
      <c r="BA266">
        <f t="shared" si="237"/>
        <v>3.6458654224431064</v>
      </c>
      <c r="BB266">
        <f t="shared" ref="BB266:BB329" si="253">20*LOG(BA266)</f>
        <v>11.236012675468402</v>
      </c>
      <c r="BC266">
        <f t="shared" ref="BC266:BC329" si="254">AV266-AY266</f>
        <v>0.56448702789694316</v>
      </c>
      <c r="BD266">
        <f t="shared" si="238"/>
        <v>-147.65727567466465</v>
      </c>
      <c r="BF266">
        <f t="shared" si="239"/>
        <v>-14.725973859766802</v>
      </c>
      <c r="BG266">
        <f t="shared" si="240"/>
        <v>-144.64300528870561</v>
      </c>
      <c r="BH266">
        <f t="shared" ref="BH266:BH329" si="255">IF(BG266&gt;180,BG266-180,BG266+180)</f>
        <v>35.356994711294391</v>
      </c>
      <c r="BI266">
        <f t="shared" ref="BI266:BI329" si="256">IF(BH266&gt;180,BH266-360,BH266)</f>
        <v>35.356994711294391</v>
      </c>
      <c r="BJ266">
        <f t="shared" si="241"/>
        <v>0</v>
      </c>
      <c r="BK266">
        <f t="shared" ref="BK266:BK329" si="257">IF(BJ266&gt;0,BI266,0)</f>
        <v>0</v>
      </c>
      <c r="BM266">
        <f t="shared" ref="BM266:BM329" si="258">20*LOG(J266*F266*C266)</f>
        <v>-25.961986535235205</v>
      </c>
      <c r="BN266">
        <f t="shared" si="242"/>
        <v>-176.98572961404096</v>
      </c>
      <c r="BQ266" s="56">
        <f t="shared" ref="BQ266:BQ329" si="259">20*LOG(BA266*7)</f>
        <v>28.13797347575354</v>
      </c>
      <c r="BR266" s="59"/>
      <c r="BS266" s="59"/>
      <c r="BT266" s="59">
        <v>36307.805</v>
      </c>
      <c r="BU266" s="59">
        <v>-1.4274800000000001</v>
      </c>
      <c r="BV266" s="59">
        <v>-146.52500000000001</v>
      </c>
      <c r="BY266" s="59"/>
      <c r="BZ266" s="59"/>
      <c r="CA266" s="59"/>
      <c r="CC266" s="59"/>
    </row>
    <row r="267" spans="1:81" x14ac:dyDescent="0.2">
      <c r="A267">
        <f t="shared" si="211"/>
        <v>265000</v>
      </c>
      <c r="B267">
        <f t="shared" si="243"/>
        <v>265</v>
      </c>
      <c r="C267">
        <f t="shared" si="212"/>
        <v>1.0005543207382457</v>
      </c>
      <c r="D267">
        <f t="shared" si="213"/>
        <v>3.3288580616818525E-2</v>
      </c>
      <c r="F267">
        <f t="shared" si="214"/>
        <v>3.2283548923524017E-3</v>
      </c>
      <c r="G267">
        <f t="shared" si="215"/>
        <v>1.9569254801881673E-2</v>
      </c>
      <c r="H267">
        <f t="shared" si="216"/>
        <v>-3.1220233951981187</v>
      </c>
      <c r="J267">
        <f t="shared" si="217"/>
        <v>15</v>
      </c>
      <c r="M267">
        <f t="shared" si="218"/>
        <v>6.8487343499019377E-3</v>
      </c>
      <c r="N267">
        <f t="shared" si="219"/>
        <v>-1.5707963250000001</v>
      </c>
      <c r="O267">
        <f t="shared" si="220"/>
        <v>31.639989411717973</v>
      </c>
      <c r="P267">
        <f t="shared" si="221"/>
        <v>1.5391854894067276</v>
      </c>
      <c r="Q267">
        <f t="shared" si="222"/>
        <v>20.664829219926993</v>
      </c>
      <c r="R267">
        <f t="shared" si="223"/>
        <v>1.5223860210951341</v>
      </c>
      <c r="S267">
        <f t="shared" si="224"/>
        <v>0.99942136300687612</v>
      </c>
      <c r="T267">
        <f t="shared" si="225"/>
        <v>-3.4020370521138807E-2</v>
      </c>
      <c r="U267">
        <f t="shared" si="226"/>
        <v>0.87918884619979865</v>
      </c>
      <c r="V267">
        <f t="shared" si="227"/>
        <v>-0.49663922072504812</v>
      </c>
      <c r="X267">
        <f t="shared" si="244"/>
        <v>-14.395550588184687</v>
      </c>
      <c r="Y267">
        <f t="shared" si="228"/>
        <v>-121.96089765444691</v>
      </c>
      <c r="Z267">
        <f t="shared" si="245"/>
        <v>58.03910234555309</v>
      </c>
      <c r="AC267">
        <v>1</v>
      </c>
      <c r="AD267">
        <f t="shared" si="229"/>
        <v>31.624182676768502</v>
      </c>
      <c r="AE267">
        <f t="shared" si="230"/>
        <v>-3.5805848069397415E-3</v>
      </c>
      <c r="AF267">
        <f t="shared" si="231"/>
        <v>6.6068950066560002E-3</v>
      </c>
      <c r="AG267">
        <f t="shared" si="246"/>
        <v>3636.4631237120543</v>
      </c>
      <c r="AH267">
        <f t="shared" si="247"/>
        <v>-2122.1261421038389</v>
      </c>
      <c r="AJ267">
        <f t="shared" si="232"/>
        <v>22100</v>
      </c>
      <c r="AK267">
        <f t="shared" si="233"/>
        <v>752.1403830611581</v>
      </c>
      <c r="AL267">
        <v>1</v>
      </c>
      <c r="AM267">
        <f t="shared" si="234"/>
        <v>20.640619338787982</v>
      </c>
      <c r="AN267">
        <f t="shared" si="248"/>
        <v>88.106662567953975</v>
      </c>
      <c r="AO267">
        <f t="shared" si="249"/>
        <v>-1066.43570021502</v>
      </c>
      <c r="AQ267">
        <f t="shared" si="235"/>
        <v>3.559973086603465E-2</v>
      </c>
      <c r="AR267">
        <f t="shared" si="236"/>
        <v>-18.867857358998364</v>
      </c>
      <c r="AT267">
        <f t="shared" si="209"/>
        <v>-39910.516238508317</v>
      </c>
      <c r="AU267">
        <f t="shared" si="210"/>
        <v>-68687.814628979337</v>
      </c>
      <c r="AV267">
        <f t="shared" si="250"/>
        <v>-2.0971595946942632</v>
      </c>
      <c r="AW267">
        <f t="shared" si="251"/>
        <v>-18942.913618454866</v>
      </c>
      <c r="AX267">
        <f t="shared" si="252"/>
        <v>-10223.109654890295</v>
      </c>
      <c r="AY267">
        <f t="shared" ref="AY267:AY330" si="260">ATAN2(AW267,AX267)</f>
        <v>-2.6467072583951303</v>
      </c>
      <c r="BA267">
        <f t="shared" si="237"/>
        <v>3.6905557220823719</v>
      </c>
      <c r="BB267">
        <f t="shared" si="253"/>
        <v>11.341835338693265</v>
      </c>
      <c r="BC267">
        <f t="shared" si="254"/>
        <v>0.54954766370086716</v>
      </c>
      <c r="BD267">
        <f t="shared" si="238"/>
        <v>-148.51323819268674</v>
      </c>
      <c r="BF267">
        <f t="shared" si="239"/>
        <v>-14.951900633957592</v>
      </c>
      <c r="BG267">
        <f t="shared" si="240"/>
        <v>-145.48470730553748</v>
      </c>
      <c r="BH267">
        <f t="shared" si="255"/>
        <v>34.515292694462516</v>
      </c>
      <c r="BI267">
        <f t="shared" si="256"/>
        <v>34.515292694462516</v>
      </c>
      <c r="BJ267">
        <f t="shared" si="241"/>
        <v>0</v>
      </c>
      <c r="BK267">
        <f t="shared" si="257"/>
        <v>0</v>
      </c>
      <c r="BM267">
        <f t="shared" si="258"/>
        <v>-26.293735972650857</v>
      </c>
      <c r="BN267">
        <f t="shared" si="242"/>
        <v>-176.97146911285077</v>
      </c>
      <c r="BQ267" s="56">
        <f t="shared" si="259"/>
        <v>28.2437961389784</v>
      </c>
      <c r="BR267" s="59"/>
      <c r="BS267" s="59"/>
      <c r="BT267" s="59">
        <v>37153.523000000001</v>
      </c>
      <c r="BU267" s="59">
        <v>-1.30297</v>
      </c>
      <c r="BV267" s="59">
        <v>-145.744</v>
      </c>
      <c r="BY267" s="59"/>
      <c r="BZ267" s="59"/>
      <c r="CA267" s="59"/>
      <c r="CC267" s="59"/>
    </row>
    <row r="268" spans="1:81" x14ac:dyDescent="0.2">
      <c r="A268">
        <f t="shared" si="211"/>
        <v>270000</v>
      </c>
      <c r="B268">
        <f t="shared" si="243"/>
        <v>270</v>
      </c>
      <c r="C268">
        <f t="shared" si="212"/>
        <v>1.0005754297676472</v>
      </c>
      <c r="D268">
        <f t="shared" si="213"/>
        <v>3.3916189945919689E-2</v>
      </c>
      <c r="F268">
        <f t="shared" si="214"/>
        <v>3.1095454805767156E-3</v>
      </c>
      <c r="G268">
        <f t="shared" si="215"/>
        <v>1.9204667731728707E-2</v>
      </c>
      <c r="H268">
        <f t="shared" si="216"/>
        <v>-3.1223879822682714</v>
      </c>
      <c r="J268">
        <f t="shared" si="217"/>
        <v>15</v>
      </c>
      <c r="M268">
        <f t="shared" si="218"/>
        <v>6.7219059360148639E-3</v>
      </c>
      <c r="N268">
        <f t="shared" si="219"/>
        <v>-1.5707963250000001</v>
      </c>
      <c r="O268">
        <f t="shared" si="220"/>
        <v>32.236379528620148</v>
      </c>
      <c r="P268">
        <f t="shared" si="221"/>
        <v>1.5397704961545287</v>
      </c>
      <c r="Q268">
        <f t="shared" si="222"/>
        <v>21.053827047460743</v>
      </c>
      <c r="R268">
        <f t="shared" si="223"/>
        <v>1.5232811468262002</v>
      </c>
      <c r="S268">
        <f t="shared" si="224"/>
        <v>0.99939934150978427</v>
      </c>
      <c r="T268">
        <f t="shared" si="225"/>
        <v>-3.466175505134339E-2</v>
      </c>
      <c r="U268">
        <f t="shared" si="226"/>
        <v>0.87541176796547115</v>
      </c>
      <c r="V268">
        <f t="shared" si="227"/>
        <v>-0.50450931116533593</v>
      </c>
      <c r="X268">
        <f t="shared" si="244"/>
        <v>-14.596816244172622</v>
      </c>
      <c r="Y268">
        <f t="shared" si="228"/>
        <v>-122.34869383861535</v>
      </c>
      <c r="Z268">
        <f t="shared" si="245"/>
        <v>57.651306161384653</v>
      </c>
      <c r="AC268">
        <v>1</v>
      </c>
      <c r="AD268">
        <f t="shared" si="229"/>
        <v>32.220865368783002</v>
      </c>
      <c r="AE268">
        <f t="shared" si="230"/>
        <v>-3.7169758978413264E-3</v>
      </c>
      <c r="AF268">
        <f t="shared" si="231"/>
        <v>6.7315534030080015E-3</v>
      </c>
      <c r="AG268">
        <f t="shared" si="246"/>
        <v>3605.2850624709017</v>
      </c>
      <c r="AH268">
        <f t="shared" si="247"/>
        <v>-2139.2919018686994</v>
      </c>
      <c r="AJ268">
        <f t="shared" si="232"/>
        <v>22100</v>
      </c>
      <c r="AK268">
        <f t="shared" si="233"/>
        <v>766.3317110434441</v>
      </c>
      <c r="AL268">
        <v>1</v>
      </c>
      <c r="AM268">
        <f t="shared" si="234"/>
        <v>21.030064986689641</v>
      </c>
      <c r="AN268">
        <f t="shared" si="248"/>
        <v>86.21507114460961</v>
      </c>
      <c r="AO268">
        <f t="shared" si="249"/>
        <v>-1046.7768379597671</v>
      </c>
      <c r="AQ268">
        <f t="shared" si="235"/>
        <v>3.4293435207698189E-2</v>
      </c>
      <c r="AR268">
        <f t="shared" si="236"/>
        <v>-18.518455012157023</v>
      </c>
      <c r="AT268">
        <f t="shared" si="209"/>
        <v>-39492.743232932218</v>
      </c>
      <c r="AU268">
        <f t="shared" si="210"/>
        <v>-66837.672903596205</v>
      </c>
      <c r="AV268">
        <f t="shared" si="250"/>
        <v>-2.1044796188656303</v>
      </c>
      <c r="AW268">
        <f t="shared" si="251"/>
        <v>-18220.884974793662</v>
      </c>
      <c r="AX268">
        <f t="shared" si="252"/>
        <v>-10012.774914633605</v>
      </c>
      <c r="AY268">
        <f t="shared" si="260"/>
        <v>-2.6391165976569995</v>
      </c>
      <c r="BA268">
        <f t="shared" si="237"/>
        <v>3.7340331516231338</v>
      </c>
      <c r="BB268">
        <f t="shared" si="253"/>
        <v>11.443563387971317</v>
      </c>
      <c r="BC268">
        <f t="shared" si="254"/>
        <v>0.53463697879136918</v>
      </c>
      <c r="BD268">
        <f t="shared" si="238"/>
        <v>-149.36755750862656</v>
      </c>
      <c r="BF268">
        <f t="shared" si="239"/>
        <v>-15.1756764841808</v>
      </c>
      <c r="BG268">
        <f t="shared" si="240"/>
        <v>-146.32395655610438</v>
      </c>
      <c r="BH268">
        <f t="shared" si="255"/>
        <v>33.676043443895622</v>
      </c>
      <c r="BI268">
        <f t="shared" si="256"/>
        <v>33.676043443895622</v>
      </c>
      <c r="BJ268">
        <f t="shared" si="241"/>
        <v>0</v>
      </c>
      <c r="BK268">
        <f t="shared" si="257"/>
        <v>0</v>
      </c>
      <c r="BM268">
        <f t="shared" si="258"/>
        <v>-26.619239872152114</v>
      </c>
      <c r="BN268">
        <f t="shared" si="242"/>
        <v>-176.95639904747784</v>
      </c>
      <c r="BQ268" s="56">
        <f t="shared" si="259"/>
        <v>28.345524188256451</v>
      </c>
      <c r="BR268" s="59"/>
      <c r="BS268" s="59"/>
      <c r="BT268" s="59">
        <v>38018.94</v>
      </c>
      <c r="BU268" s="59">
        <v>-1.18652</v>
      </c>
      <c r="BV268" s="59">
        <v>-144.86799999999999</v>
      </c>
      <c r="BY268" s="59"/>
      <c r="BZ268" s="59"/>
      <c r="CA268" s="59"/>
      <c r="CC268" s="59"/>
    </row>
    <row r="269" spans="1:81" x14ac:dyDescent="0.2">
      <c r="A269">
        <f t="shared" si="211"/>
        <v>275000</v>
      </c>
      <c r="B269">
        <f t="shared" si="243"/>
        <v>275</v>
      </c>
      <c r="C269">
        <f t="shared" si="212"/>
        <v>1.0005969329004576</v>
      </c>
      <c r="D269">
        <f t="shared" si="213"/>
        <v>3.454377254718153E-2</v>
      </c>
      <c r="F269">
        <f t="shared" si="214"/>
        <v>2.9971819387492431E-3</v>
      </c>
      <c r="G269">
        <f t="shared" si="215"/>
        <v>1.8853455203995926E-2</v>
      </c>
      <c r="H269">
        <f t="shared" si="216"/>
        <v>-3.1227391947960044</v>
      </c>
      <c r="J269">
        <f t="shared" si="217"/>
        <v>15</v>
      </c>
      <c r="M269">
        <f t="shared" si="218"/>
        <v>6.5996894644509575E-3</v>
      </c>
      <c r="N269">
        <f t="shared" si="219"/>
        <v>-1.5707963250000001</v>
      </c>
      <c r="O269">
        <f t="shared" si="220"/>
        <v>32.832780277076054</v>
      </c>
      <c r="P269">
        <f t="shared" si="221"/>
        <v>1.5403342500332646</v>
      </c>
      <c r="Q269">
        <f t="shared" si="222"/>
        <v>21.442841132307301</v>
      </c>
      <c r="R269">
        <f t="shared" si="223"/>
        <v>1.5241437946475738</v>
      </c>
      <c r="S269">
        <f t="shared" si="224"/>
        <v>0.9993769098926063</v>
      </c>
      <c r="T269">
        <f t="shared" si="225"/>
        <v>-3.5303111053496879E-2</v>
      </c>
      <c r="U269">
        <f t="shared" si="226"/>
        <v>0.87161371072453009</v>
      </c>
      <c r="V269">
        <f t="shared" si="227"/>
        <v>-0.5123115911271674</v>
      </c>
      <c r="X269">
        <f t="shared" si="244"/>
        <v>-14.795392262264766</v>
      </c>
      <c r="Y269">
        <f t="shared" si="228"/>
        <v>-122.73491690743444</v>
      </c>
      <c r="Z269">
        <f t="shared" si="245"/>
        <v>57.265083092565561</v>
      </c>
      <c r="AC269">
        <v>1</v>
      </c>
      <c r="AD269">
        <f t="shared" si="229"/>
        <v>32.817548060797499</v>
      </c>
      <c r="AE269">
        <f t="shared" si="230"/>
        <v>-3.8559163549279872E-3</v>
      </c>
      <c r="AF269">
        <f t="shared" si="231"/>
        <v>6.856211799360001E-3</v>
      </c>
      <c r="AG269">
        <f t="shared" si="246"/>
        <v>3574.0691817297602</v>
      </c>
      <c r="AH269">
        <f t="shared" si="247"/>
        <v>-2155.9006991084557</v>
      </c>
      <c r="AJ269">
        <f t="shared" si="232"/>
        <v>22100</v>
      </c>
      <c r="AK269">
        <f t="shared" si="233"/>
        <v>780.5230390257301</v>
      </c>
      <c r="AL269">
        <v>1</v>
      </c>
      <c r="AM269">
        <f t="shared" si="234"/>
        <v>21.419510634591301</v>
      </c>
      <c r="AN269">
        <f t="shared" si="248"/>
        <v>84.425417284260249</v>
      </c>
      <c r="AO269">
        <f t="shared" si="249"/>
        <v>-1027.8280843242901</v>
      </c>
      <c r="AQ269">
        <f t="shared" si="235"/>
        <v>3.3057741957877827E-2</v>
      </c>
      <c r="AR269">
        <f t="shared" si="236"/>
        <v>-18.181758076832804</v>
      </c>
      <c r="AT269">
        <f t="shared" si="209"/>
        <v>-39079.914292115427</v>
      </c>
      <c r="AU269">
        <f t="shared" si="210"/>
        <v>-65054.130421072216</v>
      </c>
      <c r="AV269">
        <f t="shared" si="250"/>
        <v>-2.1117518148690162</v>
      </c>
      <c r="AW269">
        <f t="shared" si="251"/>
        <v>-17538.220545300079</v>
      </c>
      <c r="AX269">
        <f t="shared" si="252"/>
        <v>-9812.0168176338593</v>
      </c>
      <c r="AY269">
        <f t="shared" si="260"/>
        <v>-2.6315118646737634</v>
      </c>
      <c r="BA269">
        <f t="shared" si="237"/>
        <v>3.776296192377123</v>
      </c>
      <c r="BB269">
        <f t="shared" si="253"/>
        <v>11.541321013739518</v>
      </c>
      <c r="BC269">
        <f t="shared" si="254"/>
        <v>0.51976004980474722</v>
      </c>
      <c r="BD269">
        <f t="shared" si="238"/>
        <v>-150.21994275264984</v>
      </c>
      <c r="BF269">
        <f t="shared" si="239"/>
        <v>-15.397408321918746</v>
      </c>
      <c r="BG269">
        <f t="shared" si="240"/>
        <v>-147.16050696131262</v>
      </c>
      <c r="BH269">
        <f t="shared" si="255"/>
        <v>32.83949303868738</v>
      </c>
      <c r="BI269">
        <f t="shared" si="256"/>
        <v>32.83949303868738</v>
      </c>
      <c r="BJ269">
        <f t="shared" si="241"/>
        <v>0</v>
      </c>
      <c r="BK269">
        <f t="shared" si="257"/>
        <v>0</v>
      </c>
      <c r="BM269">
        <f t="shared" si="258"/>
        <v>-26.938729335658266</v>
      </c>
      <c r="BN269">
        <f t="shared" si="242"/>
        <v>-176.94056420866281</v>
      </c>
      <c r="BQ269" s="56">
        <f t="shared" si="259"/>
        <v>28.443281814024655</v>
      </c>
      <c r="BR269" s="59"/>
      <c r="BS269" s="59"/>
      <c r="BT269" s="59">
        <v>38904.514000000003</v>
      </c>
      <c r="BU269" s="59">
        <v>-1.0515600000000001</v>
      </c>
      <c r="BV269" s="59">
        <v>-144.06</v>
      </c>
      <c r="BY269" s="59"/>
      <c r="BZ269" s="59"/>
      <c r="CA269" s="59"/>
      <c r="CC269" s="59"/>
    </row>
    <row r="270" spans="1:81" x14ac:dyDescent="0.2">
      <c r="A270">
        <f t="shared" si="211"/>
        <v>280000</v>
      </c>
      <c r="B270">
        <f t="shared" si="243"/>
        <v>280</v>
      </c>
      <c r="C270">
        <f t="shared" si="212"/>
        <v>1.0006188301112684</v>
      </c>
      <c r="D270">
        <f t="shared" si="213"/>
        <v>3.5171327927984088E-2</v>
      </c>
      <c r="F270">
        <f t="shared" si="214"/>
        <v>2.890805871015666E-3</v>
      </c>
      <c r="G270">
        <f t="shared" si="215"/>
        <v>1.8514892566112596E-2</v>
      </c>
      <c r="H270">
        <f t="shared" si="216"/>
        <v>-3.1230777574338875</v>
      </c>
      <c r="J270">
        <f t="shared" si="217"/>
        <v>15</v>
      </c>
      <c r="M270">
        <f t="shared" si="218"/>
        <v>6.4818378668714764E-3</v>
      </c>
      <c r="N270">
        <f t="shared" si="219"/>
        <v>-1.5707963250000001</v>
      </c>
      <c r="O270">
        <f t="shared" si="220"/>
        <v>33.429191088062062</v>
      </c>
      <c r="P270">
        <f t="shared" si="221"/>
        <v>1.5408778881931089</v>
      </c>
      <c r="Q270">
        <f t="shared" si="222"/>
        <v>21.831870605417421</v>
      </c>
      <c r="R270">
        <f t="shared" si="223"/>
        <v>1.5249756994442183</v>
      </c>
      <c r="S270">
        <f t="shared" si="224"/>
        <v>0.99935406823831707</v>
      </c>
      <c r="T270">
        <f t="shared" si="225"/>
        <v>-3.5944438001910606E-2</v>
      </c>
      <c r="U270">
        <f t="shared" si="226"/>
        <v>0.8677963244655349</v>
      </c>
      <c r="V270">
        <f t="shared" si="227"/>
        <v>-0.52004599558808218</v>
      </c>
      <c r="X270">
        <f t="shared" si="244"/>
        <v>-14.991379406613843</v>
      </c>
      <c r="Y270">
        <f t="shared" si="228"/>
        <v>-123.11944009753859</v>
      </c>
      <c r="Z270">
        <f t="shared" si="245"/>
        <v>56.880559902461414</v>
      </c>
      <c r="AC270">
        <v>1</v>
      </c>
      <c r="AD270">
        <f t="shared" si="229"/>
        <v>33.414230752812003</v>
      </c>
      <c r="AE270">
        <f t="shared" si="230"/>
        <v>-3.9974061781997243E-3</v>
      </c>
      <c r="AF270">
        <f t="shared" si="231"/>
        <v>6.9808701957120014E-3</v>
      </c>
      <c r="AG270">
        <f t="shared" si="246"/>
        <v>3542.8312029523072</v>
      </c>
      <c r="AH270">
        <f t="shared" si="247"/>
        <v>-2171.9549159234693</v>
      </c>
      <c r="AJ270">
        <f t="shared" si="232"/>
        <v>22100</v>
      </c>
      <c r="AK270">
        <f t="shared" si="233"/>
        <v>794.7143670080161</v>
      </c>
      <c r="AL270">
        <v>1</v>
      </c>
      <c r="AM270">
        <f t="shared" si="234"/>
        <v>21.808956282492961</v>
      </c>
      <c r="AN270">
        <f t="shared" si="248"/>
        <v>82.73051085525239</v>
      </c>
      <c r="AO270">
        <f t="shared" si="249"/>
        <v>-1009.5517274624926</v>
      </c>
      <c r="AQ270">
        <f t="shared" si="235"/>
        <v>3.1887653419472514E-2</v>
      </c>
      <c r="AR270">
        <f t="shared" si="236"/>
        <v>-17.857085914904609</v>
      </c>
      <c r="AT270">
        <f t="shared" si="209"/>
        <v>-38671.812963421369</v>
      </c>
      <c r="AU270">
        <f t="shared" si="210"/>
        <v>-63333.899718725886</v>
      </c>
      <c r="AV270">
        <f t="shared" si="250"/>
        <v>-2.1189750485971288</v>
      </c>
      <c r="AW270">
        <f t="shared" si="251"/>
        <v>-16892.140709995045</v>
      </c>
      <c r="AX270">
        <f t="shared" si="252"/>
        <v>-9620.1826703791739</v>
      </c>
      <c r="AY270">
        <f t="shared" si="260"/>
        <v>-2.6238967416093653</v>
      </c>
      <c r="BA270">
        <f t="shared" si="237"/>
        <v>3.8173444732735691</v>
      </c>
      <c r="BB270">
        <f t="shared" si="253"/>
        <v>11.635227040174886</v>
      </c>
      <c r="BC270">
        <f t="shared" si="254"/>
        <v>0.50492169301223644</v>
      </c>
      <c r="BD270">
        <f t="shared" si="238"/>
        <v>-151.07011797274146</v>
      </c>
      <c r="BF270">
        <f t="shared" si="239"/>
        <v>-15.617195789763299</v>
      </c>
      <c r="BG270">
        <f t="shared" si="240"/>
        <v>-147.99412411690614</v>
      </c>
      <c r="BH270">
        <f t="shared" si="255"/>
        <v>32.005875883093864</v>
      </c>
      <c r="BI270">
        <f t="shared" si="256"/>
        <v>32.005875883093864</v>
      </c>
      <c r="BJ270">
        <f t="shared" si="241"/>
        <v>0</v>
      </c>
      <c r="BK270">
        <f t="shared" si="257"/>
        <v>0</v>
      </c>
      <c r="BM270">
        <f t="shared" si="258"/>
        <v>-27.252422829938187</v>
      </c>
      <c r="BN270">
        <f t="shared" si="242"/>
        <v>-176.92400614416471</v>
      </c>
      <c r="BQ270" s="56">
        <f t="shared" si="259"/>
        <v>28.537187840460025</v>
      </c>
      <c r="BR270" s="59"/>
      <c r="BS270" s="59"/>
      <c r="BT270" s="59">
        <v>39810.716999999997</v>
      </c>
      <c r="BU270" s="59">
        <v>-0.92721699999999996</v>
      </c>
      <c r="BV270" s="59">
        <v>-143.22999999999999</v>
      </c>
      <c r="BY270" s="59"/>
      <c r="BZ270" s="59"/>
      <c r="CA270" s="59"/>
      <c r="CC270" s="59"/>
    </row>
    <row r="271" spans="1:81" x14ac:dyDescent="0.2">
      <c r="A271">
        <f t="shared" si="211"/>
        <v>285000</v>
      </c>
      <c r="B271">
        <f t="shared" si="243"/>
        <v>285</v>
      </c>
      <c r="C271">
        <f t="shared" si="212"/>
        <v>1.000641121374209</v>
      </c>
      <c r="D271">
        <f t="shared" si="213"/>
        <v>3.5798855595835899E-2</v>
      </c>
      <c r="F271">
        <f t="shared" si="214"/>
        <v>2.7899989511598372E-3</v>
      </c>
      <c r="G271">
        <f t="shared" si="215"/>
        <v>1.818830671894887E-2</v>
      </c>
      <c r="H271">
        <f t="shared" si="216"/>
        <v>-3.1234043432810514</v>
      </c>
      <c r="J271">
        <f t="shared" si="217"/>
        <v>15</v>
      </c>
      <c r="M271">
        <f t="shared" si="218"/>
        <v>6.3681214130667137E-3</v>
      </c>
      <c r="N271">
        <f t="shared" si="219"/>
        <v>-1.5707963250000001</v>
      </c>
      <c r="O271">
        <f t="shared" si="220"/>
        <v>34.025611432441309</v>
      </c>
      <c r="P271">
        <f t="shared" si="221"/>
        <v>1.5414024681033707</v>
      </c>
      <c r="Q271">
        <f t="shared" si="222"/>
        <v>22.220914658567672</v>
      </c>
      <c r="R271">
        <f t="shared" si="223"/>
        <v>1.5257784747810657</v>
      </c>
      <c r="S271">
        <f t="shared" si="224"/>
        <v>0.99933081663139833</v>
      </c>
      <c r="T271">
        <f t="shared" si="225"/>
        <v>-3.6585735371039166E-2</v>
      </c>
      <c r="U271">
        <f t="shared" si="226"/>
        <v>0.86396122309685819</v>
      </c>
      <c r="V271">
        <f t="shared" si="227"/>
        <v>-0.52771249313282109</v>
      </c>
      <c r="X271">
        <f t="shared" si="244"/>
        <v>-15.184872389697981</v>
      </c>
      <c r="Y271">
        <f t="shared" si="228"/>
        <v>-123.50214713382242</v>
      </c>
      <c r="Z271">
        <f t="shared" si="245"/>
        <v>56.497852866177581</v>
      </c>
      <c r="AC271">
        <v>1</v>
      </c>
      <c r="AD271">
        <f t="shared" si="229"/>
        <v>34.0109134448265</v>
      </c>
      <c r="AE271">
        <f t="shared" si="230"/>
        <v>-4.1414453676565394E-3</v>
      </c>
      <c r="AF271">
        <f t="shared" si="231"/>
        <v>7.105528592064001E-3</v>
      </c>
      <c r="AG271">
        <f t="shared" si="246"/>
        <v>3511.5863284202674</v>
      </c>
      <c r="AH271">
        <f t="shared" si="247"/>
        <v>-2187.4576580160151</v>
      </c>
      <c r="AJ271">
        <f t="shared" si="232"/>
        <v>22100</v>
      </c>
      <c r="AK271">
        <f t="shared" si="233"/>
        <v>808.90569499030209</v>
      </c>
      <c r="AL271">
        <v>1</v>
      </c>
      <c r="AM271">
        <f t="shared" si="234"/>
        <v>22.198401930394621</v>
      </c>
      <c r="AN271">
        <f t="shared" si="248"/>
        <v>81.123784251086079</v>
      </c>
      <c r="AO271">
        <f t="shared" si="249"/>
        <v>-991.91267392992404</v>
      </c>
      <c r="AQ271">
        <f t="shared" si="235"/>
        <v>3.0778606406259137E-2</v>
      </c>
      <c r="AR271">
        <f t="shared" si="236"/>
        <v>-17.543805651567709</v>
      </c>
      <c r="AT271">
        <f t="shared" si="209"/>
        <v>-38268.250289802389</v>
      </c>
      <c r="AU271">
        <f t="shared" si="210"/>
        <v>-61673.91497279382</v>
      </c>
      <c r="AV271">
        <f t="shared" si="250"/>
        <v>-2.1261482944542522</v>
      </c>
      <c r="AW271">
        <f t="shared" si="251"/>
        <v>-16280.106243272472</v>
      </c>
      <c r="AX271">
        <f t="shared" si="252"/>
        <v>-9436.6770760358995</v>
      </c>
      <c r="AY271">
        <f t="shared" si="260"/>
        <v>-2.6162747748158264</v>
      </c>
      <c r="BA271">
        <f t="shared" si="237"/>
        <v>3.8571787554449357</v>
      </c>
      <c r="BB271">
        <f t="shared" si="253"/>
        <v>11.72539532180844</v>
      </c>
      <c r="BC271">
        <f t="shared" si="254"/>
        <v>0.49012648036157414</v>
      </c>
      <c r="BD271">
        <f t="shared" si="238"/>
        <v>-151.9178212155916</v>
      </c>
      <c r="BF271">
        <f t="shared" si="239"/>
        <v>-15.835131771724708</v>
      </c>
      <c r="BG271">
        <f t="shared" si="240"/>
        <v>-148.82458466353219</v>
      </c>
      <c r="BH271">
        <f t="shared" si="255"/>
        <v>31.175415336467807</v>
      </c>
      <c r="BI271">
        <f t="shared" si="256"/>
        <v>31.175415336467807</v>
      </c>
      <c r="BJ271">
        <f t="shared" si="241"/>
        <v>0</v>
      </c>
      <c r="BK271">
        <f t="shared" si="257"/>
        <v>0</v>
      </c>
      <c r="BM271">
        <f t="shared" si="258"/>
        <v>-27.560527093533153</v>
      </c>
      <c r="BN271">
        <f t="shared" si="242"/>
        <v>-176.90676344794059</v>
      </c>
      <c r="BQ271" s="56">
        <f t="shared" si="259"/>
        <v>28.627356122093577</v>
      </c>
      <c r="BR271" s="59"/>
      <c r="BS271" s="59"/>
      <c r="BT271" s="59">
        <v>40738.027999999998</v>
      </c>
      <c r="BU271" s="59">
        <v>-0.80365399999999998</v>
      </c>
      <c r="BV271" s="59">
        <v>-142.31399999999999</v>
      </c>
      <c r="BY271" s="59"/>
      <c r="BZ271" s="59"/>
      <c r="CA271" s="59"/>
      <c r="CC271" s="59"/>
    </row>
    <row r="272" spans="1:81" x14ac:dyDescent="0.2">
      <c r="A272">
        <f t="shared" si="211"/>
        <v>290000</v>
      </c>
      <c r="B272">
        <f t="shared" si="243"/>
        <v>290</v>
      </c>
      <c r="C272">
        <f t="shared" si="212"/>
        <v>1.0006638066629447</v>
      </c>
      <c r="D272">
        <f t="shared" si="213"/>
        <v>3.6426355058376297E-2</v>
      </c>
      <c r="F272">
        <f t="shared" si="214"/>
        <v>2.6943787884263887E-3</v>
      </c>
      <c r="G272">
        <f t="shared" si="215"/>
        <v>1.7873071601521757E-2</v>
      </c>
      <c r="H272">
        <f t="shared" si="216"/>
        <v>-3.1237195783984784</v>
      </c>
      <c r="J272">
        <f t="shared" si="217"/>
        <v>15</v>
      </c>
      <c r="M272">
        <f t="shared" si="218"/>
        <v>6.2583262162897021E-3</v>
      </c>
      <c r="N272">
        <f t="shared" si="219"/>
        <v>-1.5707963250000001</v>
      </c>
      <c r="O272">
        <f t="shared" si="220"/>
        <v>34.622040817529701</v>
      </c>
      <c r="P272">
        <f t="shared" si="221"/>
        <v>1.5419089744095431</v>
      </c>
      <c r="Q272">
        <f t="shared" si="222"/>
        <v>22.609972539132933</v>
      </c>
      <c r="R272">
        <f t="shared" si="223"/>
        <v>1.5265536233188004</v>
      </c>
      <c r="S272">
        <f t="shared" si="224"/>
        <v>0.99930715515783652</v>
      </c>
      <c r="T272">
        <f t="shared" si="225"/>
        <v>-3.7227002635482946E-2</v>
      </c>
      <c r="U272">
        <f t="shared" si="226"/>
        <v>0.86010998384193615</v>
      </c>
      <c r="V272">
        <f t="shared" si="227"/>
        <v>-0.53531108482329637</v>
      </c>
      <c r="X272">
        <f t="shared" si="244"/>
        <v>-15.375960326644245</v>
      </c>
      <c r="Y272">
        <f t="shared" si="228"/>
        <v>-123.88293143374167</v>
      </c>
      <c r="Z272">
        <f t="shared" si="245"/>
        <v>56.117068566258325</v>
      </c>
      <c r="AC272">
        <v>1</v>
      </c>
      <c r="AD272">
        <f t="shared" si="229"/>
        <v>34.607596136840996</v>
      </c>
      <c r="AE272">
        <f t="shared" si="230"/>
        <v>-4.28803392329843E-3</v>
      </c>
      <c r="AF272">
        <f t="shared" si="231"/>
        <v>7.2301869884160005E-3</v>
      </c>
      <c r="AG272">
        <f t="shared" si="246"/>
        <v>3480.349240003542</v>
      </c>
      <c r="AH272">
        <f t="shared" si="247"/>
        <v>-2202.4126943845081</v>
      </c>
      <c r="AJ272">
        <f t="shared" si="232"/>
        <v>22100</v>
      </c>
      <c r="AK272">
        <f t="shared" si="233"/>
        <v>823.09702297258821</v>
      </c>
      <c r="AL272">
        <v>1</v>
      </c>
      <c r="AM272">
        <f t="shared" si="234"/>
        <v>22.58784757829628</v>
      </c>
      <c r="AN272">
        <f t="shared" si="248"/>
        <v>79.599228855806018</v>
      </c>
      <c r="AO272">
        <f t="shared" si="249"/>
        <v>-974.87822577228121</v>
      </c>
      <c r="AQ272">
        <f t="shared" si="235"/>
        <v>2.9726427686005689E-2</v>
      </c>
      <c r="AR272">
        <f t="shared" si="236"/>
        <v>-17.241328057883301</v>
      </c>
      <c r="AT272">
        <f t="shared" si="209"/>
        <v>-37869.061432724971</v>
      </c>
      <c r="AU272">
        <f t="shared" si="210"/>
        <v>-60071.312864600259</v>
      </c>
      <c r="AV272">
        <f t="shared" si="250"/>
        <v>-2.133270627780929</v>
      </c>
      <c r="AW272">
        <f t="shared" si="251"/>
        <v>-15699.793798702338</v>
      </c>
      <c r="AX272">
        <f t="shared" si="252"/>
        <v>-9260.9558667006186</v>
      </c>
      <c r="AY272">
        <f t="shared" si="260"/>
        <v>-2.6086493814643292</v>
      </c>
      <c r="BA272">
        <f t="shared" si="237"/>
        <v>3.8958009141359602</v>
      </c>
      <c r="BB272">
        <f t="shared" si="253"/>
        <v>11.811935103241636</v>
      </c>
      <c r="BC272">
        <f t="shared" si="254"/>
        <v>0.47537875368340021</v>
      </c>
      <c r="BD272">
        <f t="shared" si="238"/>
        <v>-152.76280371262899</v>
      </c>
      <c r="BF272">
        <f t="shared" si="239"/>
        <v>-16.051302860307882</v>
      </c>
      <c r="BG272">
        <f t="shared" si="240"/>
        <v>-149.6516757314817</v>
      </c>
      <c r="BH272">
        <f t="shared" si="255"/>
        <v>30.348324268518297</v>
      </c>
      <c r="BI272">
        <f t="shared" si="256"/>
        <v>30.348324268518297</v>
      </c>
      <c r="BJ272">
        <f t="shared" si="241"/>
        <v>0</v>
      </c>
      <c r="BK272">
        <f t="shared" si="257"/>
        <v>0</v>
      </c>
      <c r="BM272">
        <f t="shared" si="258"/>
        <v>-27.863237963549516</v>
      </c>
      <c r="BN272">
        <f t="shared" si="242"/>
        <v>-176.88887201885271</v>
      </c>
      <c r="BQ272" s="56">
        <f t="shared" si="259"/>
        <v>28.713895903526772</v>
      </c>
      <c r="BR272" s="59"/>
      <c r="BS272" s="59"/>
      <c r="BT272" s="59">
        <v>41686.938000000002</v>
      </c>
      <c r="BU272" s="59">
        <v>-0.666377</v>
      </c>
      <c r="BV272" s="59">
        <v>-141.465</v>
      </c>
      <c r="BY272" s="59"/>
      <c r="BZ272" s="59"/>
      <c r="CA272" s="59"/>
      <c r="CC272" s="59"/>
    </row>
    <row r="273" spans="1:81" x14ac:dyDescent="0.2">
      <c r="A273">
        <f t="shared" si="211"/>
        <v>295000</v>
      </c>
      <c r="B273">
        <f t="shared" si="243"/>
        <v>295</v>
      </c>
      <c r="C273">
        <f t="shared" si="212"/>
        <v>1.0006868859506788</v>
      </c>
      <c r="D273">
        <f t="shared" si="213"/>
        <v>3.7053825823377726E-2</v>
      </c>
      <c r="F273">
        <f t="shared" si="214"/>
        <v>2.6035952829370798E-3</v>
      </c>
      <c r="G273">
        <f t="shared" si="215"/>
        <v>1.756860414315177E-2</v>
      </c>
      <c r="H273">
        <f t="shared" si="216"/>
        <v>-3.1240240458568485</v>
      </c>
      <c r="J273">
        <f t="shared" si="217"/>
        <v>15</v>
      </c>
      <c r="M273">
        <f t="shared" si="218"/>
        <v>6.1522528905898757E-3</v>
      </c>
      <c r="N273">
        <f t="shared" si="219"/>
        <v>-1.5707963250000001</v>
      </c>
      <c r="O273">
        <f t="shared" si="220"/>
        <v>35.218478784010593</v>
      </c>
      <c r="P273">
        <f t="shared" si="221"/>
        <v>1.5423983250944073</v>
      </c>
      <c r="Q273">
        <f t="shared" si="222"/>
        <v>22.99904354538862</v>
      </c>
      <c r="R273">
        <f t="shared" si="223"/>
        <v>1.5273025461753524</v>
      </c>
      <c r="S273">
        <f t="shared" si="224"/>
        <v>0.99928308390512355</v>
      </c>
      <c r="T273">
        <f t="shared" si="225"/>
        <v>-3.7868239269990681E-2</v>
      </c>
      <c r="U273">
        <f t="shared" si="226"/>
        <v>0.85624414673360361</v>
      </c>
      <c r="V273">
        <f t="shared" si="227"/>
        <v>-0.54284180306727159</v>
      </c>
      <c r="X273">
        <f t="shared" si="244"/>
        <v>-15.564727149072471</v>
      </c>
      <c r="Y273">
        <f t="shared" si="228"/>
        <v>-124.26169538503824</v>
      </c>
      <c r="Z273">
        <f t="shared" si="245"/>
        <v>55.738304614961763</v>
      </c>
      <c r="AC273">
        <v>1</v>
      </c>
      <c r="AD273">
        <f t="shared" si="229"/>
        <v>35.2042788288555</v>
      </c>
      <c r="AE273">
        <f t="shared" si="230"/>
        <v>-4.4371718451253961E-3</v>
      </c>
      <c r="AF273">
        <f t="shared" si="231"/>
        <v>7.3548453847680018E-3</v>
      </c>
      <c r="AG273">
        <f t="shared" si="246"/>
        <v>3449.134099190519</v>
      </c>
      <c r="AH273">
        <f t="shared" si="247"/>
        <v>-2216.8244010617518</v>
      </c>
      <c r="AJ273">
        <f t="shared" si="232"/>
        <v>22100</v>
      </c>
      <c r="AK273">
        <f t="shared" si="233"/>
        <v>837.28835095487398</v>
      </c>
      <c r="AL273">
        <v>1</v>
      </c>
      <c r="AM273">
        <f t="shared" si="234"/>
        <v>22.977293226197943</v>
      </c>
      <c r="AN273">
        <f t="shared" si="248"/>
        <v>78.151338943040486</v>
      </c>
      <c r="AO273">
        <f t="shared" si="249"/>
        <v>-958.41787995934976</v>
      </c>
      <c r="AQ273">
        <f t="shared" si="235"/>
        <v>2.8727294664479562E-2</v>
      </c>
      <c r="AR273">
        <f t="shared" si="236"/>
        <v>-16.949103852042942</v>
      </c>
      <c r="AT273">
        <f t="shared" si="209"/>
        <v>-37474.102703733777</v>
      </c>
      <c r="AU273">
        <f t="shared" si="210"/>
        <v>-58523.4154145914</v>
      </c>
      <c r="AV273">
        <f t="shared" si="250"/>
        <v>-2.1403412179314332</v>
      </c>
      <c r="AW273">
        <f t="shared" si="251"/>
        <v>-15149.074261215283</v>
      </c>
      <c r="AX273">
        <f t="shared" si="252"/>
        <v>-9092.5207820004125</v>
      </c>
      <c r="AY273">
        <f t="shared" si="260"/>
        <v>-2.601023855238707</v>
      </c>
      <c r="BA273">
        <f t="shared" si="237"/>
        <v>3.9332139180163788</v>
      </c>
      <c r="BB273">
        <f t="shared" si="253"/>
        <v>11.894951345625145</v>
      </c>
      <c r="BC273">
        <f t="shared" si="254"/>
        <v>0.46068263730727388</v>
      </c>
      <c r="BD273">
        <f t="shared" si="238"/>
        <v>-153.60482915717628</v>
      </c>
      <c r="BF273">
        <f t="shared" si="239"/>
        <v>-16.265789785063298</v>
      </c>
      <c r="BG273">
        <f t="shared" si="240"/>
        <v>-150.47519444976908</v>
      </c>
      <c r="BH273">
        <f t="shared" si="255"/>
        <v>29.524805550230923</v>
      </c>
      <c r="BI273">
        <f t="shared" si="256"/>
        <v>29.524805550230923</v>
      </c>
      <c r="BJ273">
        <f t="shared" si="241"/>
        <v>0</v>
      </c>
      <c r="BK273">
        <f t="shared" si="257"/>
        <v>0</v>
      </c>
      <c r="BM273">
        <f t="shared" si="258"/>
        <v>-28.160741130688439</v>
      </c>
      <c r="BN273">
        <f t="shared" si="242"/>
        <v>-176.87036529259282</v>
      </c>
      <c r="BQ273" s="56">
        <f t="shared" si="259"/>
        <v>28.796912145910284</v>
      </c>
      <c r="BR273" s="59"/>
      <c r="BS273" s="59"/>
      <c r="BT273" s="59">
        <v>42657.951999999997</v>
      </c>
      <c r="BU273" s="59">
        <v>-0.55182299999999995</v>
      </c>
      <c r="BV273" s="59">
        <v>-140.39099999999999</v>
      </c>
      <c r="BY273" s="59"/>
      <c r="BZ273" s="59"/>
      <c r="CA273" s="59"/>
      <c r="CC273" s="59"/>
    </row>
    <row r="274" spans="1:81" x14ac:dyDescent="0.2">
      <c r="A274">
        <f t="shared" si="211"/>
        <v>300000</v>
      </c>
      <c r="B274">
        <f t="shared" si="243"/>
        <v>300</v>
      </c>
      <c r="C274">
        <f t="shared" si="212"/>
        <v>1.0007103592101507</v>
      </c>
      <c r="D274">
        <f t="shared" si="213"/>
        <v>3.7681267398748032E-2</v>
      </c>
      <c r="F274">
        <f t="shared" si="214"/>
        <v>2.5173274054921093E-3</v>
      </c>
      <c r="G274">
        <f t="shared" si="215"/>
        <v>1.7274360627451697E-2</v>
      </c>
      <c r="H274">
        <f t="shared" si="216"/>
        <v>-3.1243182893725483</v>
      </c>
      <c r="J274">
        <f t="shared" si="217"/>
        <v>15</v>
      </c>
      <c r="M274">
        <f t="shared" si="218"/>
        <v>6.0497153424133778E-3</v>
      </c>
      <c r="N274">
        <f t="shared" si="219"/>
        <v>-1.5707963250000001</v>
      </c>
      <c r="O274">
        <f t="shared" si="220"/>
        <v>35.814924903157554</v>
      </c>
      <c r="P274">
        <f t="shared" si="221"/>
        <v>1.5428713770242095</v>
      </c>
      <c r="Q274">
        <f t="shared" si="222"/>
        <v>23.388127022281147</v>
      </c>
      <c r="R274">
        <f t="shared" si="223"/>
        <v>1.5280265513554534</v>
      </c>
      <c r="S274">
        <f t="shared" si="224"/>
        <v>0.9992586029622551</v>
      </c>
      <c r="T274">
        <f t="shared" si="225"/>
        <v>-3.8509444749462059E-2</v>
      </c>
      <c r="U274">
        <f t="shared" si="226"/>
        <v>0.8523652142033542</v>
      </c>
      <c r="V274">
        <f t="shared" si="227"/>
        <v>-0.55030471048840912</v>
      </c>
      <c r="X274">
        <f t="shared" si="244"/>
        <v>-15.751251982695303</v>
      </c>
      <c r="Y274">
        <f t="shared" si="228"/>
        <v>-124.63834968857641</v>
      </c>
      <c r="Z274">
        <f t="shared" si="245"/>
        <v>55.361650311423588</v>
      </c>
      <c r="AC274">
        <v>1</v>
      </c>
      <c r="AD274">
        <f t="shared" si="229"/>
        <v>35.800961520870004</v>
      </c>
      <c r="AE274">
        <f t="shared" si="230"/>
        <v>-4.5888591331374393E-3</v>
      </c>
      <c r="AF274">
        <f t="shared" si="231"/>
        <v>7.4795037811200013E-3</v>
      </c>
      <c r="AG274">
        <f t="shared" si="246"/>
        <v>3417.9545483027105</v>
      </c>
      <c r="AH274">
        <f t="shared" si="247"/>
        <v>-2230.697708548943</v>
      </c>
      <c r="AJ274">
        <f t="shared" si="232"/>
        <v>22100</v>
      </c>
      <c r="AK274">
        <f t="shared" si="233"/>
        <v>851.47967893716009</v>
      </c>
      <c r="AL274">
        <v>1</v>
      </c>
      <c r="AM274">
        <f t="shared" si="234"/>
        <v>23.366738874099603</v>
      </c>
      <c r="AN274">
        <f t="shared" si="248"/>
        <v>76.77506203165143</v>
      </c>
      <c r="AO274">
        <f t="shared" si="249"/>
        <v>-942.50314759923799</v>
      </c>
      <c r="AQ274">
        <f t="shared" si="235"/>
        <v>2.7777700617498284E-2</v>
      </c>
      <c r="AR274">
        <f t="shared" si="236"/>
        <v>-16.666620370498972</v>
      </c>
      <c r="AT274">
        <f t="shared" si="209"/>
        <v>-37083.248951560221</v>
      </c>
      <c r="AU274">
        <f t="shared" si="210"/>
        <v>-57027.714553297774</v>
      </c>
      <c r="AV274">
        <f t="shared" si="250"/>
        <v>-2.1473593219305336</v>
      </c>
      <c r="AW274">
        <f t="shared" si="251"/>
        <v>-14625.993589864807</v>
      </c>
      <c r="AX274">
        <f t="shared" si="252"/>
        <v>-8930.9147902185578</v>
      </c>
      <c r="AY274">
        <f t="shared" si="260"/>
        <v>-2.5934013712304211</v>
      </c>
      <c r="BA274">
        <f t="shared" si="237"/>
        <v>3.9694218059958826</v>
      </c>
      <c r="BB274">
        <f t="shared" si="253"/>
        <v>11.974545023156972</v>
      </c>
      <c r="BC274">
        <f t="shared" si="254"/>
        <v>0.44604204929988756</v>
      </c>
      <c r="BD274">
        <f t="shared" si="238"/>
        <v>-154.44367306054789</v>
      </c>
      <c r="BF274">
        <f t="shared" si="239"/>
        <v>-16.47866780671885</v>
      </c>
      <c r="BG274">
        <f t="shared" si="240"/>
        <v>-151.29494751055782</v>
      </c>
      <c r="BH274">
        <f t="shared" si="255"/>
        <v>28.705052489442181</v>
      </c>
      <c r="BI274">
        <f t="shared" si="256"/>
        <v>28.705052489442181</v>
      </c>
      <c r="BJ274">
        <f t="shared" si="241"/>
        <v>0</v>
      </c>
      <c r="BK274">
        <f t="shared" si="257"/>
        <v>0</v>
      </c>
      <c r="BM274">
        <f t="shared" si="258"/>
        <v>-28.453212829875824</v>
      </c>
      <c r="BN274">
        <f t="shared" si="242"/>
        <v>-176.85127445000992</v>
      </c>
      <c r="BQ274" s="56">
        <f t="shared" si="259"/>
        <v>28.876505823442109</v>
      </c>
      <c r="BR274" s="59"/>
      <c r="BS274" s="59"/>
      <c r="BT274" s="59">
        <v>43651.582999999999</v>
      </c>
      <c r="BU274" s="59">
        <v>-0.43071199999999998</v>
      </c>
      <c r="BV274" s="59">
        <v>-139.065</v>
      </c>
      <c r="BY274" s="59"/>
      <c r="BZ274" s="59"/>
      <c r="CA274" s="59"/>
      <c r="CC274" s="59"/>
    </row>
    <row r="275" spans="1:81" x14ac:dyDescent="0.2">
      <c r="A275">
        <f t="shared" si="211"/>
        <v>305000</v>
      </c>
      <c r="B275">
        <f t="shared" si="243"/>
        <v>305</v>
      </c>
      <c r="C275">
        <f t="shared" si="212"/>
        <v>1.0007342264136372</v>
      </c>
      <c r="D275">
        <f t="shared" si="213"/>
        <v>3.8308679292532795E-2</v>
      </c>
      <c r="F275">
        <f t="shared" si="214"/>
        <v>2.4352803461651262E-3</v>
      </c>
      <c r="G275">
        <f t="shared" si="215"/>
        <v>1.6989833419980106E-2</v>
      </c>
      <c r="H275">
        <f t="shared" si="216"/>
        <v>-3.1246028165800199</v>
      </c>
      <c r="J275">
        <f t="shared" si="217"/>
        <v>15</v>
      </c>
      <c r="M275">
        <f t="shared" si="218"/>
        <v>5.9505396810623397E-3</v>
      </c>
      <c r="N275">
        <f t="shared" si="219"/>
        <v>-1.5707963250000001</v>
      </c>
      <c r="O275">
        <f t="shared" si="220"/>
        <v>36.41137877432994</v>
      </c>
      <c r="P275">
        <f t="shared" si="221"/>
        <v>1.5433289309503238</v>
      </c>
      <c r="Q275">
        <f t="shared" si="222"/>
        <v>23.777222357613017</v>
      </c>
      <c r="R275">
        <f t="shared" si="223"/>
        <v>1.528726861354667</v>
      </c>
      <c r="S275">
        <f t="shared" si="224"/>
        <v>0.99923371241972969</v>
      </c>
      <c r="T275">
        <f t="shared" si="225"/>
        <v>-3.9150618548950238E-2</v>
      </c>
      <c r="U275">
        <f t="shared" si="226"/>
        <v>0.84847465076129358</v>
      </c>
      <c r="V275">
        <f t="shared" si="227"/>
        <v>-0.55769989880017556</v>
      </c>
      <c r="X275">
        <f t="shared" si="244"/>
        <v>-15.93560949239748</v>
      </c>
      <c r="Y275">
        <f t="shared" si="228"/>
        <v>-125.01281275906092</v>
      </c>
      <c r="Z275">
        <f t="shared" si="245"/>
        <v>54.987187240939079</v>
      </c>
      <c r="AC275">
        <v>1</v>
      </c>
      <c r="AD275">
        <f t="shared" si="229"/>
        <v>36.397644212884501</v>
      </c>
      <c r="AE275">
        <f t="shared" si="230"/>
        <v>-4.7430957873345588E-3</v>
      </c>
      <c r="AF275">
        <f t="shared" si="231"/>
        <v>7.6041621774720009E-3</v>
      </c>
      <c r="AG275">
        <f t="shared" si="246"/>
        <v>3386.8237128181513</v>
      </c>
      <c r="AH275">
        <f t="shared" si="247"/>
        <v>-2244.0380526425711</v>
      </c>
      <c r="AJ275">
        <f t="shared" si="232"/>
        <v>22100</v>
      </c>
      <c r="AK275">
        <f t="shared" si="233"/>
        <v>865.67100691944609</v>
      </c>
      <c r="AL275">
        <v>1</v>
      </c>
      <c r="AM275">
        <f t="shared" si="234"/>
        <v>23.756184522001259</v>
      </c>
      <c r="AN275">
        <f t="shared" si="248"/>
        <v>75.465754863003397</v>
      </c>
      <c r="AO275">
        <f t="shared" si="249"/>
        <v>-927.10739069817657</v>
      </c>
      <c r="AQ275">
        <f t="shared" si="235"/>
        <v>2.6874423879538083E-2</v>
      </c>
      <c r="AR275">
        <f t="shared" si="236"/>
        <v>-16.393398566518229</v>
      </c>
      <c r="AT275">
        <f t="shared" si="209"/>
        <v>-36696.391259339536</v>
      </c>
      <c r="AU275">
        <f t="shared" si="210"/>
        <v>-55581.858228591555</v>
      </c>
      <c r="AV275">
        <f t="shared" si="250"/>
        <v>-2.1543242786458991</v>
      </c>
      <c r="AW275">
        <f t="shared" si="251"/>
        <v>-14128.755829132164</v>
      </c>
      <c r="AX275">
        <f t="shared" si="252"/>
        <v>-8775.7179641387593</v>
      </c>
      <c r="AY275">
        <f t="shared" si="260"/>
        <v>-2.5857849901561143</v>
      </c>
      <c r="BA275">
        <f t="shared" si="237"/>
        <v>4.0044296616566388</v>
      </c>
      <c r="BB275">
        <f t="shared" si="253"/>
        <v>12.050813392506512</v>
      </c>
      <c r="BC275">
        <f t="shared" si="254"/>
        <v>0.43146071151021514</v>
      </c>
      <c r="BD275">
        <f t="shared" si="238"/>
        <v>-155.27912217650538</v>
      </c>
      <c r="BF275">
        <f t="shared" si="239"/>
        <v>-16.690007080480719</v>
      </c>
      <c r="BG275">
        <f t="shared" si="240"/>
        <v>-152.11075078110744</v>
      </c>
      <c r="BH275">
        <f t="shared" si="255"/>
        <v>27.889249218892559</v>
      </c>
      <c r="BI275">
        <f t="shared" si="256"/>
        <v>27.889249218892559</v>
      </c>
      <c r="BJ275">
        <f t="shared" si="241"/>
        <v>0</v>
      </c>
      <c r="BK275">
        <f t="shared" si="257"/>
        <v>0</v>
      </c>
      <c r="BM275">
        <f t="shared" si="258"/>
        <v>-28.740820472987231</v>
      </c>
      <c r="BN275">
        <f t="shared" si="242"/>
        <v>-176.83162860460209</v>
      </c>
      <c r="BQ275" s="56">
        <f t="shared" si="259"/>
        <v>28.952774192791647</v>
      </c>
      <c r="BR275" s="59"/>
      <c r="BS275" s="59"/>
      <c r="BT275" s="59">
        <v>44668.358999999997</v>
      </c>
      <c r="BU275" s="59">
        <v>-0.21105299999999999</v>
      </c>
      <c r="BV275" s="59">
        <v>-136.58699999999999</v>
      </c>
      <c r="BY275" s="59"/>
      <c r="BZ275" s="59"/>
      <c r="CA275" s="59"/>
      <c r="CC275" s="59"/>
    </row>
    <row r="276" spans="1:81" x14ac:dyDescent="0.2">
      <c r="A276">
        <f t="shared" si="211"/>
        <v>310000</v>
      </c>
      <c r="B276">
        <f t="shared" si="243"/>
        <v>310</v>
      </c>
      <c r="C276">
        <f t="shared" si="212"/>
        <v>1.0007584875329527</v>
      </c>
      <c r="D276">
        <f t="shared" si="213"/>
        <v>3.8936061012917585E-2</v>
      </c>
      <c r="F276">
        <f t="shared" si="214"/>
        <v>2.3571829841664521E-3</v>
      </c>
      <c r="G276">
        <f t="shared" si="215"/>
        <v>1.6714548017736888E-2</v>
      </c>
      <c r="H276">
        <f t="shared" si="216"/>
        <v>-3.1248781019822633</v>
      </c>
      <c r="J276">
        <f t="shared" si="217"/>
        <v>15</v>
      </c>
      <c r="M276">
        <f t="shared" si="218"/>
        <v>5.8545632345935912E-3</v>
      </c>
      <c r="N276">
        <f t="shared" si="219"/>
        <v>-1.5707963250000001</v>
      </c>
      <c r="O276">
        <f t="shared" si="220"/>
        <v>37.007840022710525</v>
      </c>
      <c r="P276">
        <f t="shared" si="221"/>
        <v>1.5437717360277505</v>
      </c>
      <c r="Q276">
        <f t="shared" si="222"/>
        <v>24.166328978595946</v>
      </c>
      <c r="R276">
        <f t="shared" si="223"/>
        <v>1.5294046200306437</v>
      </c>
      <c r="S276">
        <f t="shared" si="224"/>
        <v>0.99920841236954816</v>
      </c>
      <c r="T276">
        <f t="shared" si="225"/>
        <v>-3.9791760143664458E-2</v>
      </c>
      <c r="U276">
        <f t="shared" si="226"/>
        <v>0.84457388276248602</v>
      </c>
      <c r="V276">
        <f t="shared" si="227"/>
        <v>-0.56502748768593469</v>
      </c>
      <c r="X276">
        <f t="shared" si="244"/>
        <v>-16.117870198075359</v>
      </c>
      <c r="Y276">
        <f t="shared" si="228"/>
        <v>-125.38501017733766</v>
      </c>
      <c r="Z276">
        <f t="shared" si="245"/>
        <v>54.614989822662338</v>
      </c>
      <c r="AC276">
        <v>1</v>
      </c>
      <c r="AD276">
        <f t="shared" si="229"/>
        <v>36.994326904899005</v>
      </c>
      <c r="AE276">
        <f t="shared" si="230"/>
        <v>-4.8998818077167555E-3</v>
      </c>
      <c r="AF276">
        <f t="shared" si="231"/>
        <v>7.7288205738240013E-3</v>
      </c>
      <c r="AG276">
        <f t="shared" si="246"/>
        <v>3355.7542047285237</v>
      </c>
      <c r="AH276">
        <f t="shared" si="247"/>
        <v>-2256.8513283894363</v>
      </c>
      <c r="AJ276">
        <f t="shared" si="232"/>
        <v>22100</v>
      </c>
      <c r="AK276">
        <f t="shared" si="233"/>
        <v>879.8623349017322</v>
      </c>
      <c r="AL276">
        <v>1</v>
      </c>
      <c r="AM276">
        <f t="shared" si="234"/>
        <v>24.145630169902923</v>
      </c>
      <c r="AN276">
        <f t="shared" si="248"/>
        <v>74.219144284338554</v>
      </c>
      <c r="AO276">
        <f t="shared" si="249"/>
        <v>-912.20567451457077</v>
      </c>
      <c r="AQ276">
        <f t="shared" si="235"/>
        <v>2.6014500482568984E-2</v>
      </c>
      <c r="AR276">
        <f t="shared" si="236"/>
        <v>-16.128990299192768</v>
      </c>
      <c r="AT276">
        <f t="shared" si="209"/>
        <v>-36313.434912935241</v>
      </c>
      <c r="AU276">
        <f t="shared" si="210"/>
        <v>-54183.637874513173</v>
      </c>
      <c r="AV276">
        <f t="shared" si="250"/>
        <v>-2.1612355034208015</v>
      </c>
      <c r="AW276">
        <f t="shared" si="251"/>
        <v>-13655.708012809882</v>
      </c>
      <c r="AX276">
        <f t="shared" si="252"/>
        <v>-8626.5438371166565</v>
      </c>
      <c r="AY276">
        <f t="shared" si="260"/>
        <v>-2.5781776620032875</v>
      </c>
      <c r="BA276">
        <f t="shared" si="237"/>
        <v>4.0382435854332437</v>
      </c>
      <c r="BB276">
        <f t="shared" si="253"/>
        <v>12.123850237763723</v>
      </c>
      <c r="BC276">
        <f t="shared" si="254"/>
        <v>0.41694215858248596</v>
      </c>
      <c r="BD276">
        <f t="shared" si="238"/>
        <v>-156.11097398485208</v>
      </c>
      <c r="BF276">
        <f t="shared" si="239"/>
        <v>-16.899872991645925</v>
      </c>
      <c r="BG276">
        <f t="shared" si="240"/>
        <v>-152.92242895641951</v>
      </c>
      <c r="BH276">
        <f t="shared" si="255"/>
        <v>27.077571043580491</v>
      </c>
      <c r="BI276">
        <f t="shared" si="256"/>
        <v>27.077571043580491</v>
      </c>
      <c r="BJ276">
        <f t="shared" si="241"/>
        <v>0</v>
      </c>
      <c r="BK276">
        <f t="shared" si="257"/>
        <v>0</v>
      </c>
      <c r="BM276">
        <f t="shared" si="258"/>
        <v>-29.023723229409647</v>
      </c>
      <c r="BN276">
        <f t="shared" si="242"/>
        <v>-176.81145497156743</v>
      </c>
      <c r="BQ276" s="56">
        <f t="shared" si="259"/>
        <v>29.025811038048857</v>
      </c>
      <c r="BR276" s="59"/>
      <c r="BS276" s="59"/>
      <c r="BT276" s="59">
        <v>45708.819000000003</v>
      </c>
      <c r="BU276" s="59">
        <v>0.52166999999999997</v>
      </c>
      <c r="BV276" s="59">
        <v>-135.751</v>
      </c>
      <c r="BY276" s="59"/>
      <c r="BZ276" s="59"/>
      <c r="CA276" s="59"/>
      <c r="CC276" s="59"/>
    </row>
    <row r="277" spans="1:81" x14ac:dyDescent="0.2">
      <c r="A277">
        <f t="shared" si="211"/>
        <v>315000</v>
      </c>
      <c r="B277">
        <f t="shared" si="243"/>
        <v>315</v>
      </c>
      <c r="C277">
        <f t="shared" si="212"/>
        <v>1.0007831425394496</v>
      </c>
      <c r="D277">
        <f t="shared" si="213"/>
        <v>3.9563412068230303E-2</v>
      </c>
      <c r="F277">
        <f t="shared" si="214"/>
        <v>2.2827856382343402E-3</v>
      </c>
      <c r="G277">
        <f t="shared" si="215"/>
        <v>1.644806038409645E-2</v>
      </c>
      <c r="H277">
        <f t="shared" si="216"/>
        <v>-3.1251445896159038</v>
      </c>
      <c r="J277">
        <f t="shared" si="217"/>
        <v>15</v>
      </c>
      <c r="M277">
        <f t="shared" si="218"/>
        <v>5.7616336594413118E-3</v>
      </c>
      <c r="N277">
        <f t="shared" si="219"/>
        <v>-1.5707963250000001</v>
      </c>
      <c r="O277">
        <f t="shared" si="220"/>
        <v>37.604308297258221</v>
      </c>
      <c r="P277">
        <f t="shared" si="221"/>
        <v>1.5442004939040299</v>
      </c>
      <c r="Q277">
        <f t="shared" si="222"/>
        <v>24.555446348731259</v>
      </c>
      <c r="R277">
        <f t="shared" si="223"/>
        <v>1.5300608988226343</v>
      </c>
      <c r="S277">
        <f t="shared" si="224"/>
        <v>0.99918270290521194</v>
      </c>
      <c r="T277">
        <f t="shared" si="225"/>
        <v>-4.0432869008972576E-2</v>
      </c>
      <c r="U277">
        <f t="shared" si="226"/>
        <v>0.84066429825537337</v>
      </c>
      <c r="V277">
        <f t="shared" si="227"/>
        <v>-0.5722876236873925</v>
      </c>
      <c r="X277">
        <f t="shared" si="244"/>
        <v>-16.298100764134578</v>
      </c>
      <c r="Y277">
        <f t="shared" si="228"/>
        <v>-125.7548741887741</v>
      </c>
      <c r="Z277">
        <f t="shared" si="245"/>
        <v>54.245125811225904</v>
      </c>
      <c r="AC277">
        <v>1</v>
      </c>
      <c r="AD277">
        <f t="shared" si="229"/>
        <v>37.591009596913501</v>
      </c>
      <c r="AE277">
        <f t="shared" si="230"/>
        <v>-5.0592171942840268E-3</v>
      </c>
      <c r="AF277">
        <f t="shared" si="231"/>
        <v>7.8534789701760008E-3</v>
      </c>
      <c r="AG277">
        <f t="shared" si="246"/>
        <v>3324.7581268559779</v>
      </c>
      <c r="AH277">
        <f t="shared" si="247"/>
        <v>-2269.1438469371678</v>
      </c>
      <c r="AJ277">
        <f t="shared" si="232"/>
        <v>22100</v>
      </c>
      <c r="AK277">
        <f t="shared" si="233"/>
        <v>894.05366288401808</v>
      </c>
      <c r="AL277">
        <v>1</v>
      </c>
      <c r="AM277">
        <f t="shared" si="234"/>
        <v>24.535075817804582</v>
      </c>
      <c r="AN277">
        <f t="shared" si="248"/>
        <v>73.031292423534666</v>
      </c>
      <c r="AO277">
        <f t="shared" si="249"/>
        <v>-897.77463379966252</v>
      </c>
      <c r="AQ277">
        <f t="shared" si="235"/>
        <v>2.5195199810532098E-2</v>
      </c>
      <c r="AR277">
        <f t="shared" si="236"/>
        <v>-15.872975880635222</v>
      </c>
      <c r="AT277">
        <f t="shared" si="209"/>
        <v>-35934.297606797663</v>
      </c>
      <c r="AU277">
        <f t="shared" si="210"/>
        <v>-52830.977089153297</v>
      </c>
      <c r="AV277">
        <f t="shared" si="250"/>
        <v>-2.1680924831189348</v>
      </c>
      <c r="AW277">
        <f t="shared" si="251"/>
        <v>-13205.326723365974</v>
      </c>
      <c r="AX277">
        <f t="shared" si="252"/>
        <v>-8483.0361759947864</v>
      </c>
      <c r="AY277">
        <f t="shared" si="260"/>
        <v>-2.5705822291960629</v>
      </c>
      <c r="BA277">
        <f t="shared" si="237"/>
        <v>4.0708706646830866</v>
      </c>
      <c r="BB277">
        <f t="shared" si="253"/>
        <v>12.193746093243989</v>
      </c>
      <c r="BC277">
        <f t="shared" si="254"/>
        <v>0.40248974607712817</v>
      </c>
      <c r="BD277">
        <f t="shared" si="238"/>
        <v>-156.93903622613738</v>
      </c>
      <c r="BF277">
        <f t="shared" si="239"/>
        <v>-17.108326466283003</v>
      </c>
      <c r="BG277">
        <f t="shared" si="240"/>
        <v>-153.72981524663871</v>
      </c>
      <c r="BH277">
        <f t="shared" si="255"/>
        <v>26.270184753361292</v>
      </c>
      <c r="BI277">
        <f t="shared" si="256"/>
        <v>26.270184753361292</v>
      </c>
      <c r="BJ277">
        <f t="shared" si="241"/>
        <v>0</v>
      </c>
      <c r="BK277">
        <f t="shared" si="257"/>
        <v>0</v>
      </c>
      <c r="BM277">
        <f t="shared" si="258"/>
        <v>-29.302072559526991</v>
      </c>
      <c r="BN277">
        <f t="shared" si="242"/>
        <v>-176.79077902050133</v>
      </c>
      <c r="BQ277" s="56">
        <f t="shared" si="259"/>
        <v>29.095706893529126</v>
      </c>
      <c r="BR277" s="59"/>
      <c r="BS277" s="59"/>
      <c r="BT277" s="59">
        <v>46773.514000000003</v>
      </c>
      <c r="BU277" s="59">
        <v>0.78233600000000003</v>
      </c>
      <c r="BV277" s="59">
        <v>-137.57599999999999</v>
      </c>
      <c r="BY277" s="59"/>
      <c r="BZ277" s="59"/>
      <c r="CA277" s="59"/>
      <c r="CC277" s="59"/>
    </row>
    <row r="278" spans="1:81" x14ac:dyDescent="0.2">
      <c r="A278">
        <f t="shared" si="211"/>
        <v>320000</v>
      </c>
      <c r="B278">
        <f t="shared" si="243"/>
        <v>320</v>
      </c>
      <c r="C278">
        <f t="shared" si="212"/>
        <v>1.0008081914040168</v>
      </c>
      <c r="D278">
        <f t="shared" si="213"/>
        <v>4.019073196694347E-2</v>
      </c>
      <c r="F278">
        <f t="shared" si="214"/>
        <v>2.2118580625391177E-3</v>
      </c>
      <c r="G278">
        <f t="shared" si="215"/>
        <v>1.6189954537413613E-2</v>
      </c>
      <c r="H278">
        <f t="shared" si="216"/>
        <v>-3.1254026954625864</v>
      </c>
      <c r="J278">
        <f t="shared" si="217"/>
        <v>15</v>
      </c>
      <c r="M278">
        <f t="shared" si="218"/>
        <v>5.671608133512542E-3</v>
      </c>
      <c r="N278">
        <f t="shared" si="219"/>
        <v>-1.5707963250000001</v>
      </c>
      <c r="O278">
        <f t="shared" si="220"/>
        <v>38.200783268852639</v>
      </c>
      <c r="P278">
        <f t="shared" si="221"/>
        <v>1.5446158624254622</v>
      </c>
      <c r="Q278">
        <f t="shared" si="222"/>
        <v>24.944573964981871</v>
      </c>
      <c r="R278">
        <f t="shared" si="223"/>
        <v>1.530696702390226</v>
      </c>
      <c r="S278">
        <f t="shared" si="224"/>
        <v>0.99915658412172292</v>
      </c>
      <c r="T278">
        <f t="shared" si="225"/>
        <v>-4.1073944620403625E-2</v>
      </c>
      <c r="U278">
        <f t="shared" si="226"/>
        <v>0.83674724690792568</v>
      </c>
      <c r="V278">
        <f t="shared" si="227"/>
        <v>-0.57948047910340306</v>
      </c>
      <c r="X278">
        <f t="shared" si="244"/>
        <v>-16.476364265211831</v>
      </c>
      <c r="Y278">
        <f t="shared" si="228"/>
        <v>-126.12234324290169</v>
      </c>
      <c r="Z278">
        <f t="shared" si="245"/>
        <v>53.877656757098308</v>
      </c>
      <c r="AC278">
        <v>1</v>
      </c>
      <c r="AD278">
        <f t="shared" si="229"/>
        <v>38.187692288927998</v>
      </c>
      <c r="AE278">
        <f t="shared" si="230"/>
        <v>-5.2211019470363752E-3</v>
      </c>
      <c r="AF278">
        <f t="shared" si="231"/>
        <v>7.9781373665280021E-3</v>
      </c>
      <c r="AG278">
        <f t="shared" si="246"/>
        <v>3293.8470780568582</v>
      </c>
      <c r="AH278">
        <f t="shared" si="247"/>
        <v>-2280.922295074758</v>
      </c>
      <c r="AJ278">
        <f t="shared" si="232"/>
        <v>22100</v>
      </c>
      <c r="AK278">
        <f t="shared" si="233"/>
        <v>908.24499086630408</v>
      </c>
      <c r="AL278">
        <v>1</v>
      </c>
      <c r="AM278">
        <f t="shared" si="234"/>
        <v>24.924521465706242</v>
      </c>
      <c r="AN278">
        <f t="shared" si="248"/>
        <v>71.89856562579044</v>
      </c>
      <c r="AO278">
        <f t="shared" si="249"/>
        <v>-883.7923514271987</v>
      </c>
      <c r="AQ278">
        <f t="shared" si="235"/>
        <v>2.4414002895500744E-2</v>
      </c>
      <c r="AR278">
        <f t="shared" si="236"/>
        <v>-15.624961853120476</v>
      </c>
      <c r="AT278">
        <f t="shared" ref="AT278:AT341" si="261">-AR278*AH278+AG278*AQ278</f>
        <v>-35558.907858374085</v>
      </c>
      <c r="AU278">
        <f t="shared" ref="AU278:AU341" si="262">AQ278*AH278+AG278*AR278</f>
        <v>-51521.921388167117</v>
      </c>
      <c r="AV278">
        <f t="shared" si="250"/>
        <v>-2.1748947715392979</v>
      </c>
      <c r="AW278">
        <f t="shared" si="251"/>
        <v>-12776.206102573071</v>
      </c>
      <c r="AX278">
        <f t="shared" si="252"/>
        <v>-8344.8661167728314</v>
      </c>
      <c r="AY278">
        <f t="shared" si="260"/>
        <v>-2.5630014293611509</v>
      </c>
      <c r="BA278">
        <f t="shared" si="237"/>
        <v>4.1023189418009887</v>
      </c>
      <c r="BB278">
        <f t="shared" si="253"/>
        <v>12.260588446242018</v>
      </c>
      <c r="BC278">
        <f t="shared" si="254"/>
        <v>0.38810665782185305</v>
      </c>
      <c r="BD278">
        <f t="shared" si="238"/>
        <v>-157.76312648047048</v>
      </c>
      <c r="BF278">
        <f t="shared" si="239"/>
        <v>-17.315424259403954</v>
      </c>
      <c r="BG278">
        <f t="shared" si="240"/>
        <v>-154.53275109402938</v>
      </c>
      <c r="BH278">
        <f t="shared" si="255"/>
        <v>25.467248905970621</v>
      </c>
      <c r="BI278">
        <f t="shared" si="256"/>
        <v>25.467248905970621</v>
      </c>
      <c r="BJ278">
        <f t="shared" si="241"/>
        <v>0</v>
      </c>
      <c r="BK278">
        <f t="shared" si="257"/>
        <v>0</v>
      </c>
      <c r="BM278">
        <f t="shared" si="258"/>
        <v>-29.576012705645969</v>
      </c>
      <c r="BN278">
        <f t="shared" si="242"/>
        <v>-176.76962461355888</v>
      </c>
      <c r="BQ278" s="56">
        <f t="shared" si="259"/>
        <v>29.162549246527156</v>
      </c>
      <c r="BR278" s="59"/>
      <c r="BS278" s="59"/>
      <c r="BT278" s="59">
        <v>47863.008999999998</v>
      </c>
      <c r="BU278" s="59">
        <v>0.81724300000000005</v>
      </c>
      <c r="BV278" s="59">
        <v>-138.25</v>
      </c>
      <c r="BY278" s="59"/>
      <c r="BZ278" s="59"/>
      <c r="CA278" s="59"/>
      <c r="CC278" s="59"/>
    </row>
    <row r="279" spans="1:81" x14ac:dyDescent="0.2">
      <c r="A279">
        <f t="shared" si="211"/>
        <v>325000</v>
      </c>
      <c r="B279">
        <f t="shared" si="243"/>
        <v>325</v>
      </c>
      <c r="C279">
        <f t="shared" si="212"/>
        <v>1.0008336340970823</v>
      </c>
      <c r="D279">
        <f t="shared" si="213"/>
        <v>4.0818020217676484E-2</v>
      </c>
      <c r="F279">
        <f t="shared" si="214"/>
        <v>2.1441876579293999E-3</v>
      </c>
      <c r="G279">
        <f t="shared" si="215"/>
        <v>1.5939840365521152E-2</v>
      </c>
      <c r="H279">
        <f t="shared" si="216"/>
        <v>-3.1256528096344791</v>
      </c>
      <c r="J279">
        <f t="shared" si="217"/>
        <v>15</v>
      </c>
      <c r="M279">
        <f t="shared" si="218"/>
        <v>5.5843526237661948E-3</v>
      </c>
      <c r="N279">
        <f t="shared" si="219"/>
        <v>-1.5707963250000001</v>
      </c>
      <c r="O279">
        <f t="shared" si="220"/>
        <v>38.797264628609568</v>
      </c>
      <c r="P279">
        <f t="shared" si="221"/>
        <v>1.5450184590017733</v>
      </c>
      <c r="Q279">
        <f t="shared" si="222"/>
        <v>25.333711355204596</v>
      </c>
      <c r="R279">
        <f t="shared" si="223"/>
        <v>1.5313129737335673</v>
      </c>
      <c r="S279">
        <f t="shared" si="224"/>
        <v>0.99913005611558237</v>
      </c>
      <c r="T279">
        <f t="shared" si="225"/>
        <v>-4.1714986453650398E-2</v>
      </c>
      <c r="U279">
        <f t="shared" si="226"/>
        <v>0.83282404000720134</v>
      </c>
      <c r="V279">
        <f t="shared" si="227"/>
        <v>-0.58660625090098317</v>
      </c>
      <c r="X279">
        <f t="shared" si="244"/>
        <v>-16.652720430397469</v>
      </c>
      <c r="Y279">
        <f t="shared" si="228"/>
        <v>-126.48736157009317</v>
      </c>
      <c r="Z279">
        <f t="shared" si="245"/>
        <v>53.512638429906829</v>
      </c>
      <c r="AC279">
        <v>1</v>
      </c>
      <c r="AD279">
        <f t="shared" si="229"/>
        <v>38.784374980942502</v>
      </c>
      <c r="AE279">
        <f t="shared" si="230"/>
        <v>-5.3855360659738009E-3</v>
      </c>
      <c r="AF279">
        <f t="shared" si="231"/>
        <v>8.1027957628800017E-3</v>
      </c>
      <c r="AG279">
        <f t="shared" si="246"/>
        <v>3263.0321592411124</v>
      </c>
      <c r="AH279">
        <f t="shared" si="247"/>
        <v>-2292.1936972805861</v>
      </c>
      <c r="AJ279">
        <f t="shared" si="232"/>
        <v>22100</v>
      </c>
      <c r="AK279">
        <f t="shared" si="233"/>
        <v>922.43631884859019</v>
      </c>
      <c r="AL279">
        <v>1</v>
      </c>
      <c r="AM279">
        <f t="shared" si="234"/>
        <v>25.313967113607902</v>
      </c>
      <c r="AN279">
        <f t="shared" si="248"/>
        <v>70.81760669511462</v>
      </c>
      <c r="AO279">
        <f t="shared" si="249"/>
        <v>-870.2382480959601</v>
      </c>
      <c r="AQ279">
        <f t="shared" si="235"/>
        <v>2.3668583032939568E-2</v>
      </c>
      <c r="AR279">
        <f t="shared" si="236"/>
        <v>-15.384578971410718</v>
      </c>
      <c r="AT279">
        <f t="shared" si="261"/>
        <v>-35187.203605982941</v>
      </c>
      <c r="AU279">
        <f t="shared" si="262"/>
        <v>-50254.628916949398</v>
      </c>
      <c r="AV279">
        <f t="shared" si="250"/>
        <v>-2.1816419851643163</v>
      </c>
      <c r="AW279">
        <f t="shared" si="251"/>
        <v>-12367.047137081479</v>
      </c>
      <c r="AX279">
        <f t="shared" si="252"/>
        <v>-8211.729616748029</v>
      </c>
      <c r="AY279">
        <f t="shared" si="260"/>
        <v>-2.5554378977637451</v>
      </c>
      <c r="BA279">
        <f t="shared" si="237"/>
        <v>4.1325973805413083</v>
      </c>
      <c r="BB279">
        <f t="shared" si="253"/>
        <v>12.324461921619605</v>
      </c>
      <c r="BC279">
        <f t="shared" si="254"/>
        <v>0.37379591259942879</v>
      </c>
      <c r="BD279">
        <f t="shared" si="238"/>
        <v>-158.58307178433932</v>
      </c>
      <c r="BF279">
        <f t="shared" si="239"/>
        <v>-17.521219222760543</v>
      </c>
      <c r="BG279">
        <f t="shared" si="240"/>
        <v>-155.33108591501423</v>
      </c>
      <c r="BH279">
        <f t="shared" si="255"/>
        <v>24.668914084985772</v>
      </c>
      <c r="BI279">
        <f t="shared" si="256"/>
        <v>24.668914084985772</v>
      </c>
      <c r="BJ279">
        <f t="shared" si="241"/>
        <v>0</v>
      </c>
      <c r="BK279">
        <f t="shared" si="257"/>
        <v>0</v>
      </c>
      <c r="BM279">
        <f t="shared" si="258"/>
        <v>-29.845681144380151</v>
      </c>
      <c r="BN279">
        <f t="shared" si="242"/>
        <v>-176.7480141306749</v>
      </c>
      <c r="BQ279" s="56">
        <f t="shared" si="259"/>
        <v>29.22642272190474</v>
      </c>
      <c r="BR279" s="59"/>
      <c r="BS279" s="59"/>
      <c r="BT279" s="59">
        <v>48977.881999999998</v>
      </c>
      <c r="BU279" s="59">
        <v>0.86195100000000002</v>
      </c>
      <c r="BV279" s="59">
        <v>-138.07900000000001</v>
      </c>
      <c r="BY279" s="59"/>
      <c r="BZ279" s="59"/>
      <c r="CA279" s="59"/>
      <c r="CC279" s="59"/>
    </row>
    <row r="280" spans="1:81" x14ac:dyDescent="0.2">
      <c r="A280">
        <f>A279+5000</f>
        <v>330000</v>
      </c>
      <c r="B280">
        <f t="shared" si="243"/>
        <v>330</v>
      </c>
      <c r="C280">
        <f t="shared" si="212"/>
        <v>1.0008594705886116</v>
      </c>
      <c r="D280">
        <f t="shared" si="213"/>
        <v>4.1445276329197991E-2</v>
      </c>
      <c r="F280">
        <f t="shared" si="214"/>
        <v>2.0795778724600677E-3</v>
      </c>
      <c r="G280">
        <f t="shared" si="215"/>
        <v>1.5697351641767318E-2</v>
      </c>
      <c r="H280">
        <f t="shared" si="216"/>
        <v>-3.1258952983582331</v>
      </c>
      <c r="J280">
        <f t="shared" si="217"/>
        <v>15</v>
      </c>
      <c r="M280">
        <f t="shared" si="218"/>
        <v>5.4997412203757982E-3</v>
      </c>
      <c r="N280">
        <f t="shared" si="219"/>
        <v>-1.5707963250000001</v>
      </c>
      <c r="O280">
        <f t="shared" si="220"/>
        <v>39.393752086349501</v>
      </c>
      <c r="P280">
        <f t="shared" si="221"/>
        <v>1.5454088636653847</v>
      </c>
      <c r="Q280">
        <f t="shared" si="222"/>
        <v>25.722858075815225</v>
      </c>
      <c r="R280">
        <f t="shared" si="223"/>
        <v>1.5319105988498423</v>
      </c>
      <c r="S280">
        <f t="shared" si="224"/>
        <v>0.9991031189847891</v>
      </c>
      <c r="T280">
        <f t="shared" si="225"/>
        <v>-4.2355993984571953E-2</v>
      </c>
      <c r="U280">
        <f t="shared" si="226"/>
        <v>0.82889595052802423</v>
      </c>
      <c r="V280">
        <f t="shared" si="227"/>
        <v>-0.59366515964023447</v>
      </c>
      <c r="X280">
        <f t="shared" si="244"/>
        <v>-16.827225867983778</v>
      </c>
      <c r="Y280">
        <f t="shared" si="228"/>
        <v>-126.84987879155833</v>
      </c>
      <c r="Z280">
        <f t="shared" si="245"/>
        <v>53.150121208441675</v>
      </c>
      <c r="AC280">
        <v>1</v>
      </c>
      <c r="AD280">
        <f t="shared" si="229"/>
        <v>39.381057672957006</v>
      </c>
      <c r="AE280">
        <f t="shared" si="230"/>
        <v>-5.552519551096302E-3</v>
      </c>
      <c r="AF280">
        <f t="shared" si="231"/>
        <v>8.2274541592320012E-3</v>
      </c>
      <c r="AG280">
        <f t="shared" si="246"/>
        <v>3232.3239801379464</v>
      </c>
      <c r="AH280">
        <f t="shared" si="247"/>
        <v>-2302.9653801148661</v>
      </c>
      <c r="AJ280">
        <f t="shared" si="232"/>
        <v>22100</v>
      </c>
      <c r="AK280">
        <f t="shared" si="233"/>
        <v>936.62764683087619</v>
      </c>
      <c r="AL280">
        <v>1</v>
      </c>
      <c r="AM280">
        <f t="shared" si="234"/>
        <v>25.703412761509565</v>
      </c>
      <c r="AN280">
        <f t="shared" si="248"/>
        <v>69.785310045018377</v>
      </c>
      <c r="AO280">
        <f t="shared" si="249"/>
        <v>-857.09298194615076</v>
      </c>
      <c r="AQ280">
        <f t="shared" si="235"/>
        <v>2.29567884371248E-2</v>
      </c>
      <c r="AR280">
        <f t="shared" si="236"/>
        <v>-15.151480368502368</v>
      </c>
      <c r="AT280">
        <f t="shared" si="261"/>
        <v>-34819.130968378711</v>
      </c>
      <c r="AU280">
        <f t="shared" si="262"/>
        <v>-49027.362018708853</v>
      </c>
      <c r="AV280">
        <f t="shared" si="250"/>
        <v>-2.1883337992089262</v>
      </c>
      <c r="AW280">
        <f t="shared" si="251"/>
        <v>-11976.648066342284</v>
      </c>
      <c r="AX280">
        <f t="shared" si="252"/>
        <v>-8083.3451834109901</v>
      </c>
      <c r="AY280">
        <f t="shared" si="260"/>
        <v>-2.5478941694739339</v>
      </c>
      <c r="BA280">
        <f t="shared" si="237"/>
        <v>4.1617158307179993</v>
      </c>
      <c r="BB280">
        <f t="shared" si="253"/>
        <v>12.38544844992717</v>
      </c>
      <c r="BC280">
        <f t="shared" si="254"/>
        <v>0.35956037026500764</v>
      </c>
      <c r="BD280">
        <f t="shared" si="238"/>
        <v>-159.39870828011348</v>
      </c>
      <c r="BF280">
        <f t="shared" si="239"/>
        <v>-17.725760554146589</v>
      </c>
      <c r="BG280">
        <f t="shared" si="240"/>
        <v>-156.12467686334983</v>
      </c>
      <c r="BH280">
        <f t="shared" si="255"/>
        <v>23.875323136650167</v>
      </c>
      <c r="BI280">
        <f t="shared" si="256"/>
        <v>23.875323136650167</v>
      </c>
      <c r="BJ280">
        <f t="shared" si="241"/>
        <v>0</v>
      </c>
      <c r="BK280">
        <f t="shared" si="257"/>
        <v>0</v>
      </c>
      <c r="BM280">
        <f t="shared" si="258"/>
        <v>-30.111209004073764</v>
      </c>
      <c r="BN280">
        <f t="shared" si="242"/>
        <v>-176.72596858323635</v>
      </c>
      <c r="BQ280" s="56">
        <f t="shared" si="259"/>
        <v>29.287409250212306</v>
      </c>
      <c r="BR280" s="59"/>
      <c r="BS280" s="59"/>
      <c r="BT280" s="59">
        <v>50118.722999999998</v>
      </c>
      <c r="BU280" s="59">
        <v>0.950021</v>
      </c>
      <c r="BV280" s="59">
        <v>-137.59100000000001</v>
      </c>
      <c r="BY280" s="59"/>
      <c r="BZ280" s="59"/>
      <c r="CA280" s="59"/>
      <c r="CC280" s="59"/>
    </row>
    <row r="281" spans="1:81" x14ac:dyDescent="0.2">
      <c r="A281">
        <f t="shared" si="211"/>
        <v>335000</v>
      </c>
      <c r="B281">
        <f t="shared" si="243"/>
        <v>335</v>
      </c>
      <c r="C281">
        <f t="shared" si="212"/>
        <v>1.0008857008481087</v>
      </c>
      <c r="D281">
        <f t="shared" si="213"/>
        <v>4.2072499810428106E-2</v>
      </c>
      <c r="F281">
        <f t="shared" si="214"/>
        <v>2.0178467686388503E-3</v>
      </c>
      <c r="G281">
        <f t="shared" si="215"/>
        <v>1.5462144221201495E-2</v>
      </c>
      <c r="H281">
        <f t="shared" si="216"/>
        <v>-3.1261305057787987</v>
      </c>
      <c r="J281">
        <f t="shared" si="217"/>
        <v>15</v>
      </c>
      <c r="M281">
        <f t="shared" si="218"/>
        <v>5.417655530519443E-3</v>
      </c>
      <c r="N281">
        <f t="shared" si="219"/>
        <v>-1.5707963250000001</v>
      </c>
      <c r="O281">
        <f t="shared" si="220"/>
        <v>39.99024536920313</v>
      </c>
      <c r="P281">
        <f t="shared" si="221"/>
        <v>1.5457876218571369</v>
      </c>
      <c r="Q281">
        <f t="shared" si="222"/>
        <v>26.112013709662108</v>
      </c>
      <c r="R281">
        <f t="shared" si="223"/>
        <v>1.5324904109742439</v>
      </c>
      <c r="S281">
        <f t="shared" si="224"/>
        <v>0.99907577282883953</v>
      </c>
      <c r="T281">
        <f t="shared" si="225"/>
        <v>-4.2996966689196212E-2</v>
      </c>
      <c r="U281">
        <f t="shared" si="226"/>
        <v>0.82496421326653013</v>
      </c>
      <c r="V281">
        <f t="shared" si="227"/>
        <v>-0.60065744841471991</v>
      </c>
      <c r="X281">
        <f t="shared" si="244"/>
        <v>-16.999934272543385</v>
      </c>
      <c r="Y281">
        <f t="shared" si="228"/>
        <v>-127.20984955938286</v>
      </c>
      <c r="Z281">
        <f t="shared" si="245"/>
        <v>52.79015044061714</v>
      </c>
      <c r="AC281">
        <v>1</v>
      </c>
      <c r="AD281">
        <f t="shared" si="229"/>
        <v>39.977740364971503</v>
      </c>
      <c r="AE281">
        <f t="shared" si="230"/>
        <v>-5.7220524024038802E-3</v>
      </c>
      <c r="AF281">
        <f t="shared" si="231"/>
        <v>8.3521125555840025E-3</v>
      </c>
      <c r="AG281">
        <f t="shared" si="246"/>
        <v>3201.7326667402913</v>
      </c>
      <c r="AH281">
        <f t="shared" si="247"/>
        <v>-2313.2449388100144</v>
      </c>
      <c r="AJ281">
        <f t="shared" si="232"/>
        <v>22100</v>
      </c>
      <c r="AK281">
        <f t="shared" si="233"/>
        <v>950.81897481316207</v>
      </c>
      <c r="AL281">
        <v>1</v>
      </c>
      <c r="AM281">
        <f t="shared" si="234"/>
        <v>26.092858409411225</v>
      </c>
      <c r="AN281">
        <f t="shared" si="248"/>
        <v>68.798799415272356</v>
      </c>
      <c r="AO281">
        <f t="shared" si="249"/>
        <v>-844.33835706702314</v>
      </c>
      <c r="AQ281">
        <f t="shared" si="235"/>
        <v>2.2276626694972834E-2</v>
      </c>
      <c r="AR281">
        <f t="shared" si="236"/>
        <v>-14.925339885631798</v>
      </c>
      <c r="AT281">
        <f t="shared" si="261"/>
        <v>-34454.643147062925</v>
      </c>
      <c r="AU281">
        <f t="shared" si="262"/>
        <v>-47838.479567985043</v>
      </c>
      <c r="AV281">
        <f t="shared" si="250"/>
        <v>-2.1949699439422341</v>
      </c>
      <c r="AW281">
        <f t="shared" si="251"/>
        <v>-11603.895780520392</v>
      </c>
      <c r="AX281">
        <f t="shared" si="252"/>
        <v>-7959.4518459304154</v>
      </c>
      <c r="AY281">
        <f t="shared" si="260"/>
        <v>-2.5403726813161542</v>
      </c>
      <c r="BA281">
        <f t="shared" si="237"/>
        <v>4.1896849914587131</v>
      </c>
      <c r="BB281">
        <f t="shared" si="253"/>
        <v>12.443627420595035</v>
      </c>
      <c r="BC281">
        <f t="shared" si="254"/>
        <v>0.34540273737392013</v>
      </c>
      <c r="BD281">
        <f t="shared" si="238"/>
        <v>-160.20988089359528</v>
      </c>
      <c r="BF281">
        <f t="shared" si="239"/>
        <v>-17.929094029868729</v>
      </c>
      <c r="BG281">
        <f t="shared" si="240"/>
        <v>-156.91338861102855</v>
      </c>
      <c r="BH281">
        <f t="shared" si="255"/>
        <v>23.086611388971448</v>
      </c>
      <c r="BI281">
        <f t="shared" si="256"/>
        <v>23.086611388971448</v>
      </c>
      <c r="BJ281">
        <f t="shared" si="241"/>
        <v>0</v>
      </c>
      <c r="BK281">
        <f t="shared" si="257"/>
        <v>0</v>
      </c>
      <c r="BM281">
        <f t="shared" si="258"/>
        <v>-30.372721450463764</v>
      </c>
      <c r="BN281">
        <f t="shared" si="242"/>
        <v>-176.70350771743327</v>
      </c>
      <c r="BQ281" s="56">
        <f t="shared" si="259"/>
        <v>29.345588220880174</v>
      </c>
      <c r="BR281" s="59"/>
      <c r="BS281" s="59"/>
      <c r="BT281" s="59">
        <v>51286.137999999999</v>
      </c>
      <c r="BU281" s="59">
        <v>1.0492999999999999</v>
      </c>
      <c r="BV281" s="59">
        <v>-137.08699999999999</v>
      </c>
      <c r="BY281" s="59"/>
      <c r="BZ281" s="59"/>
      <c r="CA281" s="59"/>
      <c r="CC281" s="59"/>
    </row>
    <row r="282" spans="1:81" x14ac:dyDescent="0.2">
      <c r="A282">
        <f t="shared" si="211"/>
        <v>340000</v>
      </c>
      <c r="B282">
        <f t="shared" si="243"/>
        <v>340</v>
      </c>
      <c r="C282">
        <f t="shared" si="212"/>
        <v>1.0009123248446157</v>
      </c>
      <c r="D282">
        <f t="shared" si="213"/>
        <v>4.2699690170440729E-2</v>
      </c>
      <c r="F282">
        <f t="shared" si="214"/>
        <v>1.9588257378114751E-3</v>
      </c>
      <c r="G282">
        <f t="shared" si="215"/>
        <v>1.5233894398076193E-2</v>
      </c>
      <c r="H282">
        <f t="shared" si="216"/>
        <v>-3.1263587556019239</v>
      </c>
      <c r="J282">
        <f t="shared" si="217"/>
        <v>15</v>
      </c>
      <c r="M282">
        <f t="shared" si="218"/>
        <v>5.3379841256588631E-3</v>
      </c>
      <c r="N282">
        <f t="shared" si="219"/>
        <v>-1.5707963250000001</v>
      </c>
      <c r="O282">
        <f t="shared" si="220"/>
        <v>40.586744220339696</v>
      </c>
      <c r="P282">
        <f t="shared" si="221"/>
        <v>1.5461552469665787</v>
      </c>
      <c r="Q282">
        <f t="shared" si="222"/>
        <v>26.50117786408692</v>
      </c>
      <c r="R282">
        <f t="shared" si="223"/>
        <v>1.5330531944480483</v>
      </c>
      <c r="S282">
        <f t="shared" si="224"/>
        <v>0.99904801774872609</v>
      </c>
      <c r="T282">
        <f t="shared" si="225"/>
        <v>-4.3637904043722489E-2</v>
      </c>
      <c r="U282">
        <f t="shared" si="226"/>
        <v>0.82103002503440037</v>
      </c>
      <c r="V282">
        <f t="shared" si="227"/>
        <v>-0.6075833818087002</v>
      </c>
      <c r="X282">
        <f t="shared" si="244"/>
        <v>-17.170896615949069</v>
      </c>
      <c r="Y282">
        <f t="shared" si="228"/>
        <v>-127.56723322371862</v>
      </c>
      <c r="Z282">
        <f t="shared" si="245"/>
        <v>52.432766776281383</v>
      </c>
      <c r="AC282">
        <v>1</v>
      </c>
      <c r="AD282">
        <f t="shared" si="229"/>
        <v>40.574423056985999</v>
      </c>
      <c r="AE282">
        <f t="shared" si="230"/>
        <v>-5.8941346198965348E-3</v>
      </c>
      <c r="AF282">
        <f t="shared" si="231"/>
        <v>8.4767709519360003E-3</v>
      </c>
      <c r="AG282">
        <f t="shared" si="246"/>
        <v>3171.2678693628595</v>
      </c>
      <c r="AH282">
        <f t="shared" si="247"/>
        <v>-2323.0402059264966</v>
      </c>
      <c r="AJ282">
        <f t="shared" si="232"/>
        <v>22100</v>
      </c>
      <c r="AK282">
        <f t="shared" si="233"/>
        <v>965.01030279544807</v>
      </c>
      <c r="AL282">
        <v>1</v>
      </c>
      <c r="AM282">
        <f t="shared" si="234"/>
        <v>26.482304057312881</v>
      </c>
      <c r="AN282">
        <f t="shared" si="248"/>
        <v>67.855407856438006</v>
      </c>
      <c r="AO282">
        <f t="shared" si="249"/>
        <v>-831.95723999172026</v>
      </c>
      <c r="AQ282">
        <f t="shared" si="235"/>
        <v>2.1626250808281122E-2</v>
      </c>
      <c r="AR282">
        <f t="shared" si="236"/>
        <v>-14.705850549631164</v>
      </c>
      <c r="AT282">
        <f t="shared" si="261"/>
        <v>-34093.699454816371</v>
      </c>
      <c r="AU282">
        <f t="shared" si="262"/>
        <v>-46686.429989828546</v>
      </c>
      <c r="AV282">
        <f t="shared" si="250"/>
        <v>-2.2015502012567318</v>
      </c>
      <c r="AW282">
        <f t="shared" si="251"/>
        <v>-11247.758093334762</v>
      </c>
      <c r="AX282">
        <f t="shared" si="252"/>
        <v>-7839.8073397585295</v>
      </c>
      <c r="AY282">
        <f t="shared" si="260"/>
        <v>-2.5328757736471013</v>
      </c>
      <c r="BA282">
        <f t="shared" si="237"/>
        <v>4.2165163731929436</v>
      </c>
      <c r="BB282">
        <f t="shared" si="253"/>
        <v>12.4990758215847</v>
      </c>
      <c r="BC282">
        <f t="shared" si="254"/>
        <v>0.33132557239036942</v>
      </c>
      <c r="BD282">
        <f t="shared" si="238"/>
        <v>-161.01644303558373</v>
      </c>
      <c r="BF282">
        <f t="shared" si="239"/>
        <v>-18.131262221857018</v>
      </c>
      <c r="BG282">
        <f t="shared" si="240"/>
        <v>-157.69709314395055</v>
      </c>
      <c r="BH282">
        <f t="shared" si="255"/>
        <v>22.302906856049447</v>
      </c>
      <c r="BI282">
        <f t="shared" si="256"/>
        <v>22.302906856049447</v>
      </c>
      <c r="BJ282">
        <f t="shared" si="241"/>
        <v>0</v>
      </c>
      <c r="BK282">
        <f t="shared" si="257"/>
        <v>0</v>
      </c>
      <c r="BM282">
        <f t="shared" si="258"/>
        <v>-30.630338043441718</v>
      </c>
      <c r="BN282">
        <f t="shared" si="242"/>
        <v>-176.68065010836682</v>
      </c>
      <c r="BQ282" s="56">
        <f t="shared" si="259"/>
        <v>29.401036621869835</v>
      </c>
      <c r="BR282" s="59"/>
      <c r="BS282" s="59"/>
      <c r="BT282" s="59">
        <v>52480.745999999999</v>
      </c>
      <c r="BU282" s="59">
        <v>1.1752400000000001</v>
      </c>
      <c r="BV282" s="59">
        <v>-136.553</v>
      </c>
      <c r="BY282" s="59"/>
      <c r="BZ282" s="59"/>
      <c r="CA282" s="59"/>
      <c r="CC282" s="59"/>
    </row>
    <row r="283" spans="1:81" x14ac:dyDescent="0.2">
      <c r="A283">
        <f t="shared" si="211"/>
        <v>345000</v>
      </c>
      <c r="B283">
        <f t="shared" si="243"/>
        <v>345</v>
      </c>
      <c r="C283">
        <f t="shared" si="212"/>
        <v>1.0009393425467139</v>
      </c>
      <c r="D283">
        <f t="shared" si="213"/>
        <v>4.3326846918465854E-2</v>
      </c>
      <c r="F283">
        <f t="shared" si="214"/>
        <v>1.9023583446563083E-3</v>
      </c>
      <c r="G283">
        <f t="shared" si="215"/>
        <v>1.5012297408054273E-2</v>
      </c>
      <c r="H283">
        <f t="shared" si="216"/>
        <v>-3.126580352591946</v>
      </c>
      <c r="J283">
        <f t="shared" si="217"/>
        <v>15</v>
      </c>
      <c r="M283">
        <f t="shared" si="218"/>
        <v>5.2606220368811981E-3</v>
      </c>
      <c r="N283">
        <f t="shared" si="219"/>
        <v>-1.5707963250000001</v>
      </c>
      <c r="O283">
        <f t="shared" si="220"/>
        <v>41.183248397805905</v>
      </c>
      <c r="P283">
        <f t="shared" si="221"/>
        <v>1.5465122226516812</v>
      </c>
      <c r="Q283">
        <f t="shared" si="222"/>
        <v>26.890350169153578</v>
      </c>
      <c r="R283">
        <f t="shared" si="223"/>
        <v>1.5335996882514704</v>
      </c>
      <c r="S283">
        <f t="shared" si="224"/>
        <v>0.99901985384693692</v>
      </c>
      <c r="T283">
        <f t="shared" si="225"/>
        <v>-4.4278805524524067E-2</v>
      </c>
      <c r="U283">
        <f t="shared" si="226"/>
        <v>0.81709454490967781</v>
      </c>
      <c r="V283">
        <f t="shared" si="227"/>
        <v>-0.61444324487249335</v>
      </c>
      <c r="X283">
        <f t="shared" si="244"/>
        <v>-17.340161323776702</v>
      </c>
      <c r="Y283">
        <f t="shared" si="228"/>
        <v>-127.92199352456539</v>
      </c>
      <c r="Z283">
        <f t="shared" si="245"/>
        <v>52.078006475434606</v>
      </c>
      <c r="AC283">
        <v>1</v>
      </c>
      <c r="AD283">
        <f t="shared" si="229"/>
        <v>41.171105749000503</v>
      </c>
      <c r="AE283">
        <f t="shared" si="230"/>
        <v>-6.0687662035742631E-3</v>
      </c>
      <c r="AF283">
        <f t="shared" si="231"/>
        <v>8.6014293482880016E-3</v>
      </c>
      <c r="AG283">
        <f t="shared" si="246"/>
        <v>3140.9387712508537</v>
      </c>
      <c r="AH283">
        <f t="shared" si="247"/>
        <v>-2332.3592219537613</v>
      </c>
      <c r="AJ283">
        <f t="shared" si="232"/>
        <v>22100</v>
      </c>
      <c r="AK283">
        <f t="shared" si="233"/>
        <v>979.20163077773418</v>
      </c>
      <c r="AL283">
        <v>1</v>
      </c>
      <c r="AM283">
        <f t="shared" si="234"/>
        <v>26.87174970521454</v>
      </c>
      <c r="AN283">
        <f t="shared" si="248"/>
        <v>66.952659722315303</v>
      </c>
      <c r="AO283">
        <f t="shared" si="249"/>
        <v>-819.93348337872135</v>
      </c>
      <c r="AQ283">
        <f t="shared" si="235"/>
        <v>2.1003946641573953E-2</v>
      </c>
      <c r="AR283">
        <f t="shared" si="236"/>
        <v>-14.492723182686026</v>
      </c>
      <c r="AT283">
        <f t="shared" si="261"/>
        <v>-33736.264456005018</v>
      </c>
      <c r="AU283">
        <f t="shared" si="262"/>
        <v>-45569.74489415151</v>
      </c>
      <c r="AV283">
        <f t="shared" si="250"/>
        <v>-2.2080744014629703</v>
      </c>
      <c r="AW283">
        <f t="shared" si="251"/>
        <v>-10907.276789586707</v>
      </c>
      <c r="AX283">
        <f t="shared" si="252"/>
        <v>-7724.1864788789244</v>
      </c>
      <c r="AY283">
        <f t="shared" si="260"/>
        <v>-2.5254056920012067</v>
      </c>
      <c r="BA283">
        <f t="shared" si="237"/>
        <v>4.2422222585562537</v>
      </c>
      <c r="BB283">
        <f t="shared" si="253"/>
        <v>12.551868366759875</v>
      </c>
      <c r="BC283">
        <f t="shared" si="254"/>
        <v>0.31733129053823639</v>
      </c>
      <c r="BD283">
        <f t="shared" si="238"/>
        <v>-161.81825632394367</v>
      </c>
      <c r="BF283">
        <f t="shared" si="239"/>
        <v>-18.332304700720425</v>
      </c>
      <c r="BG283">
        <f t="shared" si="240"/>
        <v>-158.47566956981001</v>
      </c>
      <c r="BH283">
        <f t="shared" si="255"/>
        <v>21.524330430189991</v>
      </c>
      <c r="BI283">
        <f t="shared" si="256"/>
        <v>21.524330430189991</v>
      </c>
      <c r="BJ283">
        <f t="shared" si="241"/>
        <v>0</v>
      </c>
      <c r="BK283">
        <f t="shared" si="257"/>
        <v>0</v>
      </c>
      <c r="BM283">
        <f t="shared" si="258"/>
        <v>-30.884173067480297</v>
      </c>
      <c r="BN283">
        <f t="shared" si="242"/>
        <v>-176.65741324586634</v>
      </c>
      <c r="BQ283" s="56">
        <f t="shared" si="259"/>
        <v>29.453829167045011</v>
      </c>
      <c r="BR283" s="59"/>
      <c r="BS283" s="59"/>
      <c r="BT283" s="59">
        <v>53703.18</v>
      </c>
      <c r="BU283" s="59">
        <v>1.3152900000000001</v>
      </c>
      <c r="BV283" s="59">
        <v>-136.001</v>
      </c>
      <c r="BY283" s="59"/>
      <c r="BZ283" s="59"/>
      <c r="CA283" s="59"/>
      <c r="CC283" s="59"/>
    </row>
    <row r="284" spans="1:81" x14ac:dyDescent="0.2">
      <c r="A284">
        <f t="shared" si="211"/>
        <v>350000</v>
      </c>
      <c r="B284">
        <f t="shared" si="243"/>
        <v>350</v>
      </c>
      <c r="C284">
        <f t="shared" si="212"/>
        <v>1.0009667539225229</v>
      </c>
      <c r="D284">
        <f t="shared" si="213"/>
        <v>4.3953969563891832E-2</v>
      </c>
      <c r="F284">
        <f t="shared" si="214"/>
        <v>1.8482992869462006E-3</v>
      </c>
      <c r="G284">
        <f t="shared" si="215"/>
        <v>1.479706606043942E-2</v>
      </c>
      <c r="H284">
        <f t="shared" si="216"/>
        <v>-3.1267955839395607</v>
      </c>
      <c r="J284">
        <f t="shared" si="217"/>
        <v>15</v>
      </c>
      <c r="M284">
        <f t="shared" si="218"/>
        <v>5.1854702934971816E-3</v>
      </c>
      <c r="N284">
        <f t="shared" si="219"/>
        <v>-1.5707963250000001</v>
      </c>
      <c r="O284">
        <f t="shared" si="220"/>
        <v>41.779757673464154</v>
      </c>
      <c r="P284">
        <f t="shared" si="221"/>
        <v>1.5468590049599953</v>
      </c>
      <c r="Q284">
        <f t="shared" si="222"/>
        <v>27.279530276028662</v>
      </c>
      <c r="R284">
        <f t="shared" si="223"/>
        <v>1.5341305892346992</v>
      </c>
      <c r="S284">
        <f t="shared" si="224"/>
        <v>0.99899128122745318</v>
      </c>
      <c r="T284">
        <f t="shared" si="225"/>
        <v>-4.4919670608150705E-2</v>
      </c>
      <c r="U284">
        <f t="shared" si="226"/>
        <v>0.81315889454014945</v>
      </c>
      <c r="V284">
        <f t="shared" si="227"/>
        <v>-0.62123734211709014</v>
      </c>
      <c r="X284">
        <f t="shared" si="244"/>
        <v>-17.507774438383741</v>
      </c>
      <c r="Y284">
        <f t="shared" si="228"/>
        <v>-128.27409830587635</v>
      </c>
      <c r="Z284">
        <f t="shared" si="245"/>
        <v>51.72590169412365</v>
      </c>
      <c r="AC284">
        <v>1</v>
      </c>
      <c r="AD284">
        <f t="shared" si="229"/>
        <v>41.767788441015</v>
      </c>
      <c r="AE284">
        <f t="shared" si="230"/>
        <v>-6.2459471534370694E-3</v>
      </c>
      <c r="AF284">
        <f t="shared" si="231"/>
        <v>8.7260877446400011E-3</v>
      </c>
      <c r="AG284">
        <f t="shared" si="246"/>
        <v>3110.7540976789205</v>
      </c>
      <c r="AH284">
        <f t="shared" si="247"/>
        <v>-2341.2102077462196</v>
      </c>
      <c r="AJ284">
        <f t="shared" si="232"/>
        <v>22100</v>
      </c>
      <c r="AK284">
        <f t="shared" si="233"/>
        <v>993.39295876002018</v>
      </c>
      <c r="AL284">
        <v>1</v>
      </c>
      <c r="AM284">
        <f t="shared" si="234"/>
        <v>27.2611953531162</v>
      </c>
      <c r="AN284">
        <f t="shared" si="248"/>
        <v>66.088254443457984</v>
      </c>
      <c r="AO284">
        <f t="shared" si="249"/>
        <v>-808.25185616953763</v>
      </c>
      <c r="AQ284">
        <f t="shared" si="235"/>
        <v>2.0408121616078335E-2</v>
      </c>
      <c r="AR284">
        <f t="shared" si="236"/>
        <v>-14.285685131254834</v>
      </c>
      <c r="AT284">
        <f t="shared" si="261"/>
        <v>-33382.307205999066</v>
      </c>
      <c r="AU284">
        <f t="shared" si="262"/>
        <v>-44487.033262850295</v>
      </c>
      <c r="AV284">
        <f t="shared" si="250"/>
        <v>-2.2145424202901323</v>
      </c>
      <c r="AW284">
        <f t="shared" si="251"/>
        <v>-10581.561359869123</v>
      </c>
      <c r="AX284">
        <f t="shared" si="252"/>
        <v>-7612.3796936152921</v>
      </c>
      <c r="AY284">
        <f t="shared" si="260"/>
        <v>-2.5179645886372053</v>
      </c>
      <c r="BA284">
        <f t="shared" si="237"/>
        <v>4.2668156623933093</v>
      </c>
      <c r="BB284">
        <f t="shared" si="253"/>
        <v>12.602077612120857</v>
      </c>
      <c r="BC284">
        <f t="shared" si="254"/>
        <v>0.30342216834707303</v>
      </c>
      <c r="BD284">
        <f t="shared" si="238"/>
        <v>-162.61519032313973</v>
      </c>
      <c r="BF284">
        <f t="shared" si="239"/>
        <v>-18.532258225906357</v>
      </c>
      <c r="BG284">
        <f t="shared" si="240"/>
        <v>-159.24900393599634</v>
      </c>
      <c r="BH284">
        <f t="shared" si="255"/>
        <v>20.750996064003658</v>
      </c>
      <c r="BI284">
        <f t="shared" si="256"/>
        <v>20.750996064003658</v>
      </c>
      <c r="BJ284">
        <f t="shared" si="241"/>
        <v>0</v>
      </c>
      <c r="BK284">
        <f t="shared" si="257"/>
        <v>0</v>
      </c>
      <c r="BM284">
        <f t="shared" si="258"/>
        <v>-31.134335838027212</v>
      </c>
      <c r="BN284">
        <f t="shared" si="242"/>
        <v>-176.63381361285664</v>
      </c>
      <c r="BQ284" s="56">
        <f t="shared" si="259"/>
        <v>29.504038412405997</v>
      </c>
      <c r="BR284" s="59"/>
      <c r="BS284" s="59"/>
      <c r="BT284" s="59">
        <v>54954.087</v>
      </c>
      <c r="BU284" s="59">
        <v>1.4637500000000001</v>
      </c>
      <c r="BV284" s="59">
        <v>-135.524</v>
      </c>
      <c r="BY284" s="59"/>
      <c r="BZ284" s="59"/>
      <c r="CA284" s="59"/>
      <c r="CC284" s="59"/>
    </row>
    <row r="285" spans="1:81" x14ac:dyDescent="0.2">
      <c r="A285">
        <f t="shared" si="211"/>
        <v>355000</v>
      </c>
      <c r="B285">
        <f t="shared" si="243"/>
        <v>355</v>
      </c>
      <c r="C285">
        <f t="shared" si="212"/>
        <v>1.0009945589397016</v>
      </c>
      <c r="D285">
        <f t="shared" si="213"/>
        <v>4.4581057616267648E-2</v>
      </c>
      <c r="F285">
        <f t="shared" si="214"/>
        <v>1.7965134576142299E-3</v>
      </c>
      <c r="G285">
        <f t="shared" si="215"/>
        <v>1.4587929487428796E-2</v>
      </c>
      <c r="H285">
        <f t="shared" si="216"/>
        <v>-3.1270047205125713</v>
      </c>
      <c r="J285">
        <f t="shared" si="217"/>
        <v>15</v>
      </c>
      <c r="M285">
        <f t="shared" si="218"/>
        <v>5.1124355006310239E-3</v>
      </c>
      <c r="N285">
        <f t="shared" si="219"/>
        <v>-1.5707963250000001</v>
      </c>
      <c r="O285">
        <f t="shared" si="220"/>
        <v>42.376271832020464</v>
      </c>
      <c r="P285">
        <f t="shared" si="221"/>
        <v>1.5471960242708021</v>
      </c>
      <c r="Q285">
        <f t="shared" si="222"/>
        <v>27.668717855498294</v>
      </c>
      <c r="R285">
        <f t="shared" si="223"/>
        <v>1.534646555076757</v>
      </c>
      <c r="S285">
        <f t="shared" si="224"/>
        <v>0.99896229999574981</v>
      </c>
      <c r="T285">
        <f t="shared" si="225"/>
        <v>-4.5560498771331198E-2</v>
      </c>
      <c r="U285">
        <f t="shared" si="226"/>
        <v>0.8092241584953801</v>
      </c>
      <c r="V285">
        <f t="shared" si="227"/>
        <v>-0.62796599652902574</v>
      </c>
      <c r="X285">
        <f t="shared" si="244"/>
        <v>-17.673779769823955</v>
      </c>
      <c r="Y285">
        <f t="shared" si="228"/>
        <v>-128.62351924996969</v>
      </c>
      <c r="Z285">
        <f t="shared" si="245"/>
        <v>51.376480750030311</v>
      </c>
      <c r="AC285">
        <v>1</v>
      </c>
      <c r="AD285">
        <f t="shared" si="229"/>
        <v>42.364471133029504</v>
      </c>
      <c r="AE285">
        <f t="shared" si="230"/>
        <v>-6.4256774694849529E-3</v>
      </c>
      <c r="AF285">
        <f t="shared" si="231"/>
        <v>8.8507461409920007E-3</v>
      </c>
      <c r="AG285">
        <f t="shared" si="246"/>
        <v>3080.7221254824449</v>
      </c>
      <c r="AH285">
        <f t="shared" si="247"/>
        <v>-2349.6015386930458</v>
      </c>
      <c r="AJ285">
        <f t="shared" si="232"/>
        <v>22100</v>
      </c>
      <c r="AK285">
        <f t="shared" si="233"/>
        <v>1007.5842867423061</v>
      </c>
      <c r="AL285">
        <v>1</v>
      </c>
      <c r="AM285">
        <f t="shared" si="234"/>
        <v>27.65064100101786</v>
      </c>
      <c r="AN285">
        <f t="shared" si="248"/>
        <v>65.260051883326071</v>
      </c>
      <c r="AO285">
        <f t="shared" si="249"/>
        <v>-796.89797959134273</v>
      </c>
      <c r="AQ285">
        <f t="shared" si="235"/>
        <v>1.9837294510425488E-2</v>
      </c>
      <c r="AR285">
        <f t="shared" si="236"/>
        <v>-14.084479102402097</v>
      </c>
      <c r="AT285">
        <f t="shared" si="261"/>
        <v>-33031.800578586037</v>
      </c>
      <c r="AU285">
        <f t="shared" si="262"/>
        <v>-43436.976134370467</v>
      </c>
      <c r="AV285">
        <f t="shared" si="250"/>
        <v>-2.2209541760751206</v>
      </c>
      <c r="AW285">
        <f t="shared" si="251"/>
        <v>-10269.783345911268</v>
      </c>
      <c r="AX285">
        <f t="shared" si="252"/>
        <v>-7504.1917148191678</v>
      </c>
      <c r="AY285">
        <f t="shared" si="260"/>
        <v>-2.5105545240143585</v>
      </c>
      <c r="BA285">
        <f t="shared" si="237"/>
        <v>4.2903102910414495</v>
      </c>
      <c r="BB285">
        <f t="shared" si="253"/>
        <v>12.649774061941022</v>
      </c>
      <c r="BC285">
        <f t="shared" si="254"/>
        <v>0.28960034793923795</v>
      </c>
      <c r="BD285">
        <f t="shared" si="238"/>
        <v>-163.40712229860137</v>
      </c>
      <c r="BF285">
        <f t="shared" si="239"/>
        <v>-18.731156923996146</v>
      </c>
      <c r="BG285">
        <f t="shared" si="240"/>
        <v>-160.01698905562176</v>
      </c>
      <c r="BH285">
        <f t="shared" si="255"/>
        <v>19.983010944378236</v>
      </c>
      <c r="BI285">
        <f t="shared" si="256"/>
        <v>19.983010944378236</v>
      </c>
      <c r="BJ285">
        <f t="shared" si="241"/>
        <v>0</v>
      </c>
      <c r="BK285">
        <f t="shared" si="257"/>
        <v>0</v>
      </c>
      <c r="BM285">
        <f t="shared" si="258"/>
        <v>-31.380930985937162</v>
      </c>
      <c r="BN285">
        <f t="shared" si="242"/>
        <v>-176.6098667570204</v>
      </c>
      <c r="BQ285" s="56">
        <f t="shared" si="259"/>
        <v>29.551734862226159</v>
      </c>
      <c r="BR285" s="59"/>
      <c r="BS285" s="59"/>
      <c r="BT285" s="59">
        <v>56234.133000000002</v>
      </c>
      <c r="BU285" s="59">
        <v>1.62296</v>
      </c>
      <c r="BV285" s="59">
        <v>-134.983</v>
      </c>
      <c r="BY285" s="59"/>
      <c r="BZ285" s="59"/>
      <c r="CA285" s="59"/>
      <c r="CC285" s="59"/>
    </row>
    <row r="286" spans="1:81" x14ac:dyDescent="0.2">
      <c r="A286">
        <f t="shared" si="211"/>
        <v>360000</v>
      </c>
      <c r="B286">
        <f t="shared" si="243"/>
        <v>360</v>
      </c>
      <c r="C286">
        <f t="shared" si="212"/>
        <v>1.0010227575654476</v>
      </c>
      <c r="D286">
        <f t="shared" si="213"/>
        <v>4.5208110585305245E-2</v>
      </c>
      <c r="F286">
        <f t="shared" si="214"/>
        <v>1.7468750977782557E-3</v>
      </c>
      <c r="G286">
        <f t="shared" si="215"/>
        <v>1.4384631998853703E-2</v>
      </c>
      <c r="H286">
        <f t="shared" si="216"/>
        <v>-3.1272080180011463</v>
      </c>
      <c r="J286">
        <f t="shared" si="217"/>
        <v>15</v>
      </c>
      <c r="M286">
        <f t="shared" si="218"/>
        <v>5.041429452011149E-3</v>
      </c>
      <c r="N286">
        <f t="shared" si="219"/>
        <v>-1.5707963250000001</v>
      </c>
      <c r="O286">
        <f t="shared" si="220"/>
        <v>42.972790670133278</v>
      </c>
      <c r="P286">
        <f t="shared" si="221"/>
        <v>1.5475236870756279</v>
      </c>
      <c r="Q286">
        <f t="shared" si="222"/>
        <v>28.057912596608375</v>
      </c>
      <c r="R286">
        <f t="shared" si="223"/>
        <v>1.5351482069985516</v>
      </c>
      <c r="S286">
        <f t="shared" si="224"/>
        <v>0.99893291025879327</v>
      </c>
      <c r="T286">
        <f t="shared" si="225"/>
        <v>-4.6201289490975954E-2</v>
      </c>
      <c r="U286">
        <f t="shared" si="226"/>
        <v>0.80529138466359085</v>
      </c>
      <c r="V286">
        <f t="shared" si="227"/>
        <v>-0.63462954860638765</v>
      </c>
      <c r="X286">
        <f t="shared" si="244"/>
        <v>-17.838219035642652</v>
      </c>
      <c r="Y286">
        <f t="shared" si="228"/>
        <v>-128.97023163045171</v>
      </c>
      <c r="Z286">
        <f t="shared" si="245"/>
        <v>51.029768369548293</v>
      </c>
      <c r="AC286">
        <v>1</v>
      </c>
      <c r="AD286">
        <f t="shared" si="229"/>
        <v>42.961153825044001</v>
      </c>
      <c r="AE286">
        <f t="shared" si="230"/>
        <v>-6.6079571517179128E-3</v>
      </c>
      <c r="AF286">
        <f t="shared" si="231"/>
        <v>8.975404537344002E-3</v>
      </c>
      <c r="AG286">
        <f t="shared" si="246"/>
        <v>3050.8506929659279</v>
      </c>
      <c r="AH286">
        <f t="shared" si="247"/>
        <v>-2357.5417205283293</v>
      </c>
      <c r="AJ286">
        <f t="shared" si="232"/>
        <v>22100</v>
      </c>
      <c r="AK286">
        <f t="shared" si="233"/>
        <v>1021.7756147245922</v>
      </c>
      <c r="AL286">
        <v>1</v>
      </c>
      <c r="AM286">
        <f t="shared" si="234"/>
        <v>28.040086648919523</v>
      </c>
      <c r="AN286">
        <f t="shared" si="248"/>
        <v>64.466059103163303</v>
      </c>
      <c r="AO286">
        <f t="shared" si="249"/>
        <v>-785.85826844247424</v>
      </c>
      <c r="AQ286">
        <f t="shared" si="235"/>
        <v>1.9290086245975606E-2</v>
      </c>
      <c r="AR286">
        <f t="shared" si="236"/>
        <v>-13.888862097102436</v>
      </c>
      <c r="AT286">
        <f t="shared" si="261"/>
        <v>-32684.72067159267</v>
      </c>
      <c r="AU286">
        <f t="shared" si="262"/>
        <v>-42418.321736570659</v>
      </c>
      <c r="AV286">
        <f t="shared" si="250"/>
        <v>-2.2273096271247237</v>
      </c>
      <c r="AW286">
        <f t="shared" si="251"/>
        <v>-9971.1712294710742</v>
      </c>
      <c r="AX286">
        <f t="shared" si="252"/>
        <v>-7399.4403877361019</v>
      </c>
      <c r="AY286">
        <f t="shared" si="260"/>
        <v>-2.5031774682225074</v>
      </c>
      <c r="BA286">
        <f t="shared" si="237"/>
        <v>4.3127205010741712</v>
      </c>
      <c r="BB286">
        <f t="shared" si="253"/>
        <v>12.695026265750212</v>
      </c>
      <c r="BC286">
        <f t="shared" si="254"/>
        <v>0.27586784109778373</v>
      </c>
      <c r="BD286">
        <f t="shared" si="238"/>
        <v>-164.1939369836503</v>
      </c>
      <c r="BF286">
        <f t="shared" si="239"/>
        <v>-18.929032456057097</v>
      </c>
      <c r="BG286">
        <f t="shared" si="240"/>
        <v>-160.7795243400669</v>
      </c>
      <c r="BH286">
        <f t="shared" si="255"/>
        <v>19.220475659933101</v>
      </c>
      <c r="BI286">
        <f t="shared" si="256"/>
        <v>19.220475659933101</v>
      </c>
      <c r="BJ286">
        <f t="shared" si="241"/>
        <v>0</v>
      </c>
      <c r="BK286">
        <f t="shared" si="257"/>
        <v>0</v>
      </c>
      <c r="BM286">
        <f t="shared" si="258"/>
        <v>-31.624058721807309</v>
      </c>
      <c r="BN286">
        <f t="shared" si="242"/>
        <v>-176.58558735641662</v>
      </c>
      <c r="BQ286" s="56">
        <f t="shared" si="259"/>
        <v>29.596987066035346</v>
      </c>
      <c r="BR286" s="59"/>
      <c r="BS286" s="59"/>
      <c r="BT286" s="59">
        <v>57543.993999999999</v>
      </c>
      <c r="BU286" s="59">
        <v>1.78169</v>
      </c>
      <c r="BV286" s="59">
        <v>-134.52199999999999</v>
      </c>
      <c r="BY286" s="59"/>
      <c r="BZ286" s="59"/>
      <c r="CA286" s="59"/>
      <c r="CC286" s="59"/>
    </row>
    <row r="287" spans="1:81" x14ac:dyDescent="0.2">
      <c r="A287">
        <f t="shared" si="211"/>
        <v>365000</v>
      </c>
      <c r="B287">
        <f t="shared" si="243"/>
        <v>365</v>
      </c>
      <c r="C287">
        <f t="shared" si="212"/>
        <v>1.0010513497664983</v>
      </c>
      <c r="D287">
        <f t="shared" si="213"/>
        <v>4.5835127980881768E-2</v>
      </c>
      <c r="F287">
        <f t="shared" si="214"/>
        <v>1.6992670307759412E-3</v>
      </c>
      <c r="G287">
        <f t="shared" si="215"/>
        <v>1.4186932032157156E-2</v>
      </c>
      <c r="H287">
        <f t="shared" si="216"/>
        <v>-3.1274057179678429</v>
      </c>
      <c r="J287">
        <f t="shared" si="217"/>
        <v>15</v>
      </c>
      <c r="M287">
        <f t="shared" si="218"/>
        <v>4.9723687745863382E-3</v>
      </c>
      <c r="N287">
        <f t="shared" si="219"/>
        <v>-1.5707963250000001</v>
      </c>
      <c r="O287">
        <f t="shared" si="220"/>
        <v>43.569313995595522</v>
      </c>
      <c r="P287">
        <f t="shared" si="221"/>
        <v>1.5478423776126087</v>
      </c>
      <c r="Q287">
        <f t="shared" si="222"/>
        <v>28.447114205416316</v>
      </c>
      <c r="R287">
        <f t="shared" si="223"/>
        <v>1.535636132253611</v>
      </c>
      <c r="S287">
        <f t="shared" si="224"/>
        <v>0.99890311212504113</v>
      </c>
      <c r="T287">
        <f t="shared" si="225"/>
        <v>-4.6842042244179469E-2</v>
      </c>
      <c r="U287">
        <f t="shared" si="226"/>
        <v>0.80136158468969299</v>
      </c>
      <c r="V287">
        <f t="shared" si="227"/>
        <v>-0.64122835541672196</v>
      </c>
      <c r="X287">
        <f t="shared" si="244"/>
        <v>-18.001131990493537</v>
      </c>
      <c r="Y287">
        <f t="shared" si="228"/>
        <v>-129.31421408205028</v>
      </c>
      <c r="Z287">
        <f t="shared" si="245"/>
        <v>50.685785917949715</v>
      </c>
      <c r="AC287">
        <v>1</v>
      </c>
      <c r="AD287">
        <f t="shared" si="229"/>
        <v>43.557836517058497</v>
      </c>
      <c r="AE287">
        <f t="shared" si="230"/>
        <v>-6.7927862001359489E-3</v>
      </c>
      <c r="AF287">
        <f t="shared" si="231"/>
        <v>9.1000629336960015E-3</v>
      </c>
      <c r="AG287">
        <f t="shared" si="246"/>
        <v>3021.1472101358745</v>
      </c>
      <c r="AH287">
        <f t="shared" si="247"/>
        <v>-2365.0393666946879</v>
      </c>
      <c r="AJ287">
        <f t="shared" si="232"/>
        <v>22100</v>
      </c>
      <c r="AK287">
        <f t="shared" si="233"/>
        <v>1035.9669427068782</v>
      </c>
      <c r="AL287">
        <v>1</v>
      </c>
      <c r="AM287">
        <f t="shared" si="234"/>
        <v>28.429532296821183</v>
      </c>
      <c r="AN287">
        <f t="shared" si="248"/>
        <v>63.704418382886658</v>
      </c>
      <c r="AO287">
        <f t="shared" si="249"/>
        <v>-775.11987715960697</v>
      </c>
      <c r="AQ287">
        <f t="shared" si="235"/>
        <v>1.8765211549612405E-2</v>
      </c>
      <c r="AR287">
        <f t="shared" si="236"/>
        <v>-13.698604431217055</v>
      </c>
      <c r="AT287">
        <f t="shared" si="261"/>
        <v>-32341.046282085907</v>
      </c>
      <c r="AU287">
        <f t="shared" si="262"/>
        <v>-41429.881024165523</v>
      </c>
      <c r="AV287">
        <f t="shared" si="250"/>
        <v>-2.2336087692370676</v>
      </c>
      <c r="AW287">
        <f t="shared" si="251"/>
        <v>-9685.0058058643335</v>
      </c>
      <c r="AX287">
        <f t="shared" si="252"/>
        <v>-7297.9556009782264</v>
      </c>
      <c r="AY287">
        <f t="shared" si="260"/>
        <v>-2.4958353023862148</v>
      </c>
      <c r="BA287">
        <f t="shared" si="237"/>
        <v>4.3340612576802471</v>
      </c>
      <c r="BB287">
        <f t="shared" si="253"/>
        <v>12.737900907024828</v>
      </c>
      <c r="BC287">
        <f t="shared" si="254"/>
        <v>0.26222653314914712</v>
      </c>
      <c r="BD287">
        <f t="shared" si="238"/>
        <v>-164.97552635703852</v>
      </c>
      <c r="BF287">
        <f t="shared" si="239"/>
        <v>-19.125914174873976</v>
      </c>
      <c r="BG287">
        <f t="shared" si="240"/>
        <v>-161.5365156366808</v>
      </c>
      <c r="BH287">
        <f t="shared" si="255"/>
        <v>18.463484363319196</v>
      </c>
      <c r="BI287">
        <f t="shared" si="256"/>
        <v>18.463484363319196</v>
      </c>
      <c r="BJ287">
        <f t="shared" si="241"/>
        <v>0</v>
      </c>
      <c r="BK287">
        <f t="shared" si="257"/>
        <v>0</v>
      </c>
      <c r="BM287">
        <f t="shared" si="258"/>
        <v>-31.863815081898807</v>
      </c>
      <c r="BN287">
        <f t="shared" si="242"/>
        <v>-176.56098927964229</v>
      </c>
      <c r="BQ287" s="56">
        <f t="shared" si="259"/>
        <v>29.639861707309969</v>
      </c>
      <c r="BR287" s="59"/>
      <c r="BS287" s="59"/>
      <c r="BT287" s="59">
        <v>58884.366000000002</v>
      </c>
      <c r="BU287" s="59">
        <v>1.9421999999999999</v>
      </c>
      <c r="BV287" s="59">
        <v>-134.059</v>
      </c>
      <c r="BY287" s="59"/>
      <c r="BZ287" s="59"/>
      <c r="CA287" s="59"/>
      <c r="CC287" s="59"/>
    </row>
    <row r="288" spans="1:81" x14ac:dyDescent="0.2">
      <c r="A288">
        <f t="shared" si="211"/>
        <v>370000</v>
      </c>
      <c r="B288">
        <f t="shared" si="243"/>
        <v>370</v>
      </c>
      <c r="C288">
        <f t="shared" si="212"/>
        <v>1.0010803355091309</v>
      </c>
      <c r="D288">
        <f t="shared" si="213"/>
        <v>4.6462109313041865E-2</v>
      </c>
      <c r="F288">
        <f t="shared" si="214"/>
        <v>1.6535799684700295E-3</v>
      </c>
      <c r="G288">
        <f t="shared" si="215"/>
        <v>1.3994601188481752E-2</v>
      </c>
      <c r="H288">
        <f t="shared" si="216"/>
        <v>-3.1275980488115183</v>
      </c>
      <c r="J288">
        <f t="shared" si="217"/>
        <v>15</v>
      </c>
      <c r="M288">
        <f t="shared" si="218"/>
        <v>4.9051746019567926E-3</v>
      </c>
      <c r="N288">
        <f t="shared" si="219"/>
        <v>-1.5707963250000001</v>
      </c>
      <c r="O288">
        <f t="shared" si="220"/>
        <v>44.165841626582839</v>
      </c>
      <c r="P288">
        <f t="shared" si="221"/>
        <v>1.5481524593684972</v>
      </c>
      <c r="Q288">
        <f t="shared" si="222"/>
        <v>28.836322403843763</v>
      </c>
      <c r="R288">
        <f t="shared" si="223"/>
        <v>1.5361108864174562</v>
      </c>
      <c r="S288">
        <f t="shared" si="224"/>
        <v>0.99887290570444054</v>
      </c>
      <c r="T288">
        <f t="shared" si="225"/>
        <v>-4.7482756508222937E-2</v>
      </c>
      <c r="U288">
        <f t="shared" si="226"/>
        <v>0.79743573445091476</v>
      </c>
      <c r="V288">
        <f t="shared" si="227"/>
        <v>-0.64776278967748802</v>
      </c>
      <c r="X288">
        <f t="shared" si="244"/>
        <v>-18.162556546426831</v>
      </c>
      <c r="Y288">
        <f t="shared" si="228"/>
        <v>-129.65544838592686</v>
      </c>
      <c r="Z288">
        <f t="shared" si="245"/>
        <v>50.34455161407314</v>
      </c>
      <c r="AC288">
        <v>1</v>
      </c>
      <c r="AD288">
        <f t="shared" si="229"/>
        <v>44.154519209073001</v>
      </c>
      <c r="AE288">
        <f t="shared" si="230"/>
        <v>-6.9801646147390605E-3</v>
      </c>
      <c r="AF288">
        <f t="shared" si="231"/>
        <v>9.224721330048001E-3</v>
      </c>
      <c r="AG288">
        <f t="shared" si="246"/>
        <v>2991.618669208322</v>
      </c>
      <c r="AH288">
        <f t="shared" si="247"/>
        <v>-2372.1031771793182</v>
      </c>
      <c r="AJ288">
        <f t="shared" si="232"/>
        <v>22100</v>
      </c>
      <c r="AK288">
        <f t="shared" si="233"/>
        <v>1050.1582706891643</v>
      </c>
      <c r="AL288">
        <v>1</v>
      </c>
      <c r="AM288">
        <f t="shared" si="234"/>
        <v>28.818977944722842</v>
      </c>
      <c r="AN288">
        <f t="shared" si="248"/>
        <v>62.973396363642365</v>
      </c>
      <c r="AO288">
        <f t="shared" si="249"/>
        <v>-764.67065021893484</v>
      </c>
      <c r="AQ288">
        <f t="shared" si="235"/>
        <v>1.8261471399796569E-2</v>
      </c>
      <c r="AR288">
        <f t="shared" si="236"/>
        <v>-13.51348883584946</v>
      </c>
      <c r="AT288">
        <f t="shared" si="261"/>
        <v>-32000.758443528906</v>
      </c>
      <c r="AU288">
        <f t="shared" si="262"/>
        <v>-40470.523581792906</v>
      </c>
      <c r="AV288">
        <f t="shared" si="250"/>
        <v>-2.239851633370022</v>
      </c>
      <c r="AW288">
        <f t="shared" si="251"/>
        <v>-9410.6159903052812</v>
      </c>
      <c r="AX288">
        <f t="shared" si="252"/>
        <v>-7199.5783178613474</v>
      </c>
      <c r="AY288">
        <f t="shared" si="260"/>
        <v>-2.4885298200598003</v>
      </c>
      <c r="BA288">
        <f t="shared" si="237"/>
        <v>4.3543480928494231</v>
      </c>
      <c r="BB288">
        <f t="shared" si="253"/>
        <v>12.778462884367785</v>
      </c>
      <c r="BC288">
        <f t="shared" si="254"/>
        <v>0.24867818668977826</v>
      </c>
      <c r="BD288">
        <f t="shared" si="238"/>
        <v>-165.75178942942838</v>
      </c>
      <c r="BF288">
        <f t="shared" si="239"/>
        <v>-19.321829272797181</v>
      </c>
      <c r="BG288">
        <f t="shared" si="240"/>
        <v>-162.28787507048872</v>
      </c>
      <c r="BH288">
        <f t="shared" si="255"/>
        <v>17.712124929511276</v>
      </c>
      <c r="BI288">
        <f t="shared" si="256"/>
        <v>17.712124929511276</v>
      </c>
      <c r="BJ288">
        <f t="shared" si="241"/>
        <v>0</v>
      </c>
      <c r="BK288">
        <f t="shared" si="257"/>
        <v>0</v>
      </c>
      <c r="BM288">
        <f t="shared" si="258"/>
        <v>-32.100292157164965</v>
      </c>
      <c r="BN288">
        <f t="shared" si="242"/>
        <v>-176.53608564106034</v>
      </c>
      <c r="BQ288" s="56">
        <f t="shared" si="259"/>
        <v>29.680423684652922</v>
      </c>
      <c r="BR288" s="59"/>
      <c r="BS288" s="59"/>
      <c r="BT288" s="59">
        <v>60255.959000000003</v>
      </c>
      <c r="BU288" s="59">
        <v>2.1075200000000001</v>
      </c>
      <c r="BV288" s="59">
        <v>-133.65100000000001</v>
      </c>
      <c r="BY288" s="59"/>
      <c r="BZ288" s="59"/>
      <c r="CA288" s="59"/>
      <c r="CC288" s="59"/>
    </row>
    <row r="289" spans="1:81" x14ac:dyDescent="0.2">
      <c r="A289">
        <f t="shared" si="211"/>
        <v>375000</v>
      </c>
      <c r="B289">
        <f t="shared" si="243"/>
        <v>375</v>
      </c>
      <c r="C289">
        <f t="shared" si="212"/>
        <v>1.0011097147591619</v>
      </c>
      <c r="D289">
        <f t="shared" si="213"/>
        <v>4.7089054091999934E-2</v>
      </c>
      <c r="F289">
        <f t="shared" si="214"/>
        <v>1.6097118821309243E-3</v>
      </c>
      <c r="G289">
        <f t="shared" si="215"/>
        <v>1.3807423346728661E-2</v>
      </c>
      <c r="H289">
        <f t="shared" si="216"/>
        <v>-3.1277852266532715</v>
      </c>
      <c r="J289">
        <f t="shared" si="217"/>
        <v>15</v>
      </c>
      <c r="M289">
        <f t="shared" si="218"/>
        <v>4.8397722739307028E-3</v>
      </c>
      <c r="N289">
        <f t="shared" si="219"/>
        <v>-1.5707963250000001</v>
      </c>
      <c r="O289">
        <f t="shared" si="220"/>
        <v>44.762373390961947</v>
      </c>
      <c r="P289">
        <f t="shared" si="221"/>
        <v>1.5484542764606612</v>
      </c>
      <c r="Q289">
        <f t="shared" si="222"/>
        <v>29.225536928620894</v>
      </c>
      <c r="R289">
        <f t="shared" si="223"/>
        <v>1.5365729954943472</v>
      </c>
      <c r="S289">
        <f t="shared" si="224"/>
        <v>0.99884229110842737</v>
      </c>
      <c r="T289">
        <f t="shared" si="225"/>
        <v>-4.8123431760576721E-2</v>
      </c>
      <c r="U289">
        <f t="shared" si="226"/>
        <v>0.79351477456658082</v>
      </c>
      <c r="V289">
        <f t="shared" si="227"/>
        <v>-0.65423323885960738</v>
      </c>
      <c r="X289">
        <f t="shared" si="244"/>
        <v>-18.322528884616837</v>
      </c>
      <c r="Y289">
        <f t="shared" si="228"/>
        <v>-129.99391926918355</v>
      </c>
      <c r="Z289">
        <f t="shared" si="245"/>
        <v>50.00608073081645</v>
      </c>
      <c r="AC289">
        <v>1</v>
      </c>
      <c r="AD289">
        <f t="shared" si="229"/>
        <v>44.751201901087505</v>
      </c>
      <c r="AE289">
        <f t="shared" si="230"/>
        <v>-7.1700923955272493E-3</v>
      </c>
      <c r="AF289">
        <f t="shared" si="231"/>
        <v>9.3493797264000023E-3</v>
      </c>
      <c r="AG289">
        <f t="shared" si="246"/>
        <v>2962.2716553438354</v>
      </c>
      <c r="AH289">
        <f t="shared" si="247"/>
        <v>-2378.7419187465407</v>
      </c>
      <c r="AJ289">
        <f t="shared" si="232"/>
        <v>22100</v>
      </c>
      <c r="AK289">
        <f t="shared" si="233"/>
        <v>1064.3495986714502</v>
      </c>
      <c r="AL289">
        <v>1</v>
      </c>
      <c r="AM289">
        <f t="shared" si="234"/>
        <v>29.208423592624502</v>
      </c>
      <c r="AN289">
        <f t="shared" si="248"/>
        <v>62.271374193629683</v>
      </c>
      <c r="AO289">
        <f t="shared" si="249"/>
        <v>-754.49907647091152</v>
      </c>
      <c r="AQ289">
        <f t="shared" si="235"/>
        <v>1.7777746172895691E-2</v>
      </c>
      <c r="AR289">
        <f t="shared" si="236"/>
        <v>-13.333309629671769</v>
      </c>
      <c r="AT289">
        <f t="shared" si="261"/>
        <v>-31663.840018143284</v>
      </c>
      <c r="AU289">
        <f t="shared" si="262"/>
        <v>-39539.173857941998</v>
      </c>
      <c r="AV289">
        <f t="shared" si="250"/>
        <v>-2.2460382834455284</v>
      </c>
      <c r="AW289">
        <f t="shared" si="251"/>
        <v>-9147.3750113844671</v>
      </c>
      <c r="AX289">
        <f t="shared" si="252"/>
        <v>-7104.1596989420323</v>
      </c>
      <c r="AY289">
        <f t="shared" si="260"/>
        <v>-2.4812627286269988</v>
      </c>
      <c r="BA289">
        <f t="shared" si="237"/>
        <v>4.373597063529596</v>
      </c>
      <c r="BB289">
        <f t="shared" si="253"/>
        <v>12.816775385891521</v>
      </c>
      <c r="BC289">
        <f t="shared" si="254"/>
        <v>0.23522444518147045</v>
      </c>
      <c r="BD289">
        <f t="shared" si="238"/>
        <v>-166.5226320373952</v>
      </c>
      <c r="BF289">
        <f t="shared" si="239"/>
        <v>-19.516802920870077</v>
      </c>
      <c r="BG289">
        <f t="shared" si="240"/>
        <v>-163.03352088895554</v>
      </c>
      <c r="BH289">
        <f t="shared" si="255"/>
        <v>16.966479111044464</v>
      </c>
      <c r="BI289">
        <f t="shared" si="256"/>
        <v>16.966479111044464</v>
      </c>
      <c r="BJ289">
        <f t="shared" si="241"/>
        <v>0</v>
      </c>
      <c r="BK289">
        <f t="shared" si="257"/>
        <v>0</v>
      </c>
      <c r="BM289">
        <f t="shared" si="258"/>
        <v>-32.333578306761595</v>
      </c>
      <c r="BN289">
        <f t="shared" si="242"/>
        <v>-176.51088885156034</v>
      </c>
      <c r="BQ289" s="56">
        <f t="shared" si="259"/>
        <v>29.71873618617666</v>
      </c>
      <c r="BR289" s="59"/>
      <c r="BS289" s="59"/>
      <c r="BT289" s="59">
        <v>61659.5</v>
      </c>
      <c r="BU289" s="59">
        <v>2.2781099999999999</v>
      </c>
      <c r="BV289" s="59">
        <v>-133.24799999999999</v>
      </c>
      <c r="BY289" s="59"/>
      <c r="BZ289" s="59"/>
      <c r="CA289" s="59"/>
      <c r="CC289" s="59"/>
    </row>
    <row r="290" spans="1:81" x14ac:dyDescent="0.2">
      <c r="A290">
        <f t="shared" si="211"/>
        <v>380000</v>
      </c>
      <c r="B290">
        <f t="shared" si="243"/>
        <v>380</v>
      </c>
      <c r="C290">
        <f t="shared" si="212"/>
        <v>1.0011394874819475</v>
      </c>
      <c r="D290">
        <f t="shared" si="213"/>
        <v>4.7715961828142452E-2</v>
      </c>
      <c r="F290">
        <f t="shared" si="214"/>
        <v>1.5675674311131716E-3</v>
      </c>
      <c r="G290">
        <f t="shared" si="215"/>
        <v>1.3625193848317263E-2</v>
      </c>
      <c r="H290">
        <f t="shared" si="216"/>
        <v>-3.127967456151683</v>
      </c>
      <c r="J290">
        <f t="shared" si="217"/>
        <v>15</v>
      </c>
      <c r="M290">
        <f t="shared" si="218"/>
        <v>4.7760910598000353E-3</v>
      </c>
      <c r="N290">
        <f t="shared" si="219"/>
        <v>-1.5707963250000001</v>
      </c>
      <c r="O290">
        <f t="shared" si="220"/>
        <v>45.358909125653568</v>
      </c>
      <c r="P290">
        <f t="shared" si="221"/>
        <v>1.5487481549101028</v>
      </c>
      <c r="Q290">
        <f t="shared" si="222"/>
        <v>29.614757530313913</v>
      </c>
      <c r="R290">
        <f t="shared" si="223"/>
        <v>1.5370229578581698</v>
      </c>
      <c r="S290">
        <f t="shared" si="224"/>
        <v>0.99881126844992485</v>
      </c>
      <c r="T290">
        <f t="shared" si="225"/>
        <v>-4.8764067478902925E-2</v>
      </c>
      <c r="U290">
        <f t="shared" si="226"/>
        <v>0.7895996109387442</v>
      </c>
      <c r="V290">
        <f t="shared" si="227"/>
        <v>-0.66064010431455211</v>
      </c>
      <c r="X290">
        <f t="shared" si="244"/>
        <v>-18.481083559224651</v>
      </c>
      <c r="Y290">
        <f t="shared" si="228"/>
        <v>-130.32961421741615</v>
      </c>
      <c r="Z290">
        <f t="shared" si="245"/>
        <v>49.67038578258385</v>
      </c>
      <c r="AC290">
        <v>1</v>
      </c>
      <c r="AD290">
        <f t="shared" si="229"/>
        <v>45.347884593102002</v>
      </c>
      <c r="AE290">
        <f t="shared" si="230"/>
        <v>-7.3625695425005152E-3</v>
      </c>
      <c r="AF290">
        <f t="shared" si="231"/>
        <v>9.4740381227520019E-3</v>
      </c>
      <c r="AG290">
        <f t="shared" si="246"/>
        <v>2933.1123575655593</v>
      </c>
      <c r="AH290">
        <f t="shared" si="247"/>
        <v>-2384.964406495405</v>
      </c>
      <c r="AJ290">
        <f t="shared" si="232"/>
        <v>22100</v>
      </c>
      <c r="AK290">
        <f t="shared" si="233"/>
        <v>1078.5409266537361</v>
      </c>
      <c r="AL290">
        <v>1</v>
      </c>
      <c r="AM290">
        <f t="shared" si="234"/>
        <v>29.597869240526165</v>
      </c>
      <c r="AN290">
        <f t="shared" si="248"/>
        <v>61.59683857266419</v>
      </c>
      <c r="AO290">
        <f t="shared" si="249"/>
        <v>-744.59424704977698</v>
      </c>
      <c r="AQ290">
        <f t="shared" si="235"/>
        <v>1.7312989416569571E-2</v>
      </c>
      <c r="AR290">
        <f t="shared" si="236"/>
        <v>-13.157871956592873</v>
      </c>
      <c r="AT290">
        <f t="shared" si="261"/>
        <v>-31330.27533849391</v>
      </c>
      <c r="AU290">
        <f t="shared" si="262"/>
        <v>-38634.807698676428</v>
      </c>
      <c r="AV290">
        <f t="shared" si="250"/>
        <v>-2.2521688142799006</v>
      </c>
      <c r="AW290">
        <f t="shared" si="251"/>
        <v>-8894.6969513606273</v>
      </c>
      <c r="AX290">
        <f t="shared" si="252"/>
        <v>-7011.5603059525256</v>
      </c>
      <c r="AY290">
        <f t="shared" si="260"/>
        <v>-2.4740356507162606</v>
      </c>
      <c r="BA290">
        <f t="shared" si="237"/>
        <v>4.391824709913724</v>
      </c>
      <c r="BB290">
        <f t="shared" si="253"/>
        <v>12.852899957454492</v>
      </c>
      <c r="BC290">
        <f t="shared" si="254"/>
        <v>0.22186683643636007</v>
      </c>
      <c r="BD290">
        <f t="shared" si="238"/>
        <v>-167.28796664375159</v>
      </c>
      <c r="BF290">
        <f t="shared" si="239"/>
        <v>-19.710858399831778</v>
      </c>
      <c r="BG290">
        <f t="shared" si="240"/>
        <v>-163.77337730901948</v>
      </c>
      <c r="BH290">
        <f t="shared" si="255"/>
        <v>16.22662269098052</v>
      </c>
      <c r="BI290">
        <f t="shared" si="256"/>
        <v>16.22662269098052</v>
      </c>
      <c r="BJ290">
        <f t="shared" si="241"/>
        <v>0</v>
      </c>
      <c r="BK290">
        <f t="shared" si="257"/>
        <v>0</v>
      </c>
      <c r="BM290">
        <f t="shared" si="258"/>
        <v>-32.563758357286268</v>
      </c>
      <c r="BN290">
        <f t="shared" si="242"/>
        <v>-176.48541066526792</v>
      </c>
      <c r="BQ290" s="56">
        <f t="shared" si="259"/>
        <v>29.754860757739628</v>
      </c>
      <c r="BR290" s="59"/>
      <c r="BS290" s="59"/>
      <c r="BT290" s="59">
        <v>63095.733999999997</v>
      </c>
      <c r="BU290" s="59">
        <v>2.4499300000000002</v>
      </c>
      <c r="BV290" s="59">
        <v>-132.86600000000001</v>
      </c>
      <c r="BY290" s="59"/>
      <c r="BZ290" s="59"/>
      <c r="CA290" s="59"/>
      <c r="CC290" s="59"/>
    </row>
    <row r="291" spans="1:81" x14ac:dyDescent="0.2">
      <c r="A291">
        <f t="shared" si="211"/>
        <v>385000</v>
      </c>
      <c r="B291">
        <f t="shared" si="243"/>
        <v>385</v>
      </c>
      <c r="C291">
        <f t="shared" si="212"/>
        <v>1.0011696536423849</v>
      </c>
      <c r="D291">
        <f t="shared" si="213"/>
        <v>4.83428320320302E-2</v>
      </c>
      <c r="F291">
        <f t="shared" si="214"/>
        <v>1.5270574433340364E-3</v>
      </c>
      <c r="G291">
        <f t="shared" si="215"/>
        <v>1.344771874614051E-2</v>
      </c>
      <c r="H291">
        <f t="shared" si="216"/>
        <v>-3.1281449312538596</v>
      </c>
      <c r="J291">
        <f t="shared" si="217"/>
        <v>15</v>
      </c>
      <c r="M291">
        <f t="shared" si="218"/>
        <v>4.7140639031792555E-3</v>
      </c>
      <c r="N291">
        <f t="shared" si="219"/>
        <v>-1.5707963250000001</v>
      </c>
      <c r="O291">
        <f t="shared" si="220"/>
        <v>45.955448676044917</v>
      </c>
      <c r="P291">
        <f t="shared" si="221"/>
        <v>1.5490344038153956</v>
      </c>
      <c r="Q291">
        <f t="shared" si="222"/>
        <v>30.003983972428141</v>
      </c>
      <c r="R291">
        <f t="shared" si="223"/>
        <v>1.5374612460424903</v>
      </c>
      <c r="S291">
        <f t="shared" si="224"/>
        <v>0.99877983784334246</v>
      </c>
      <c r="T291">
        <f t="shared" si="225"/>
        <v>-4.9404663141057945E-2</v>
      </c>
      <c r="U291">
        <f t="shared" si="226"/>
        <v>0.78569111532050506</v>
      </c>
      <c r="V291">
        <f t="shared" si="227"/>
        <v>-0.66698380042532468</v>
      </c>
      <c r="X291">
        <f t="shared" si="244"/>
        <v>-18.638253594027027</v>
      </c>
      <c r="Y291">
        <f t="shared" si="228"/>
        <v>-130.66252329927582</v>
      </c>
      <c r="Z291">
        <f t="shared" si="245"/>
        <v>49.337476700724181</v>
      </c>
      <c r="AC291">
        <v>1</v>
      </c>
      <c r="AD291">
        <f t="shared" si="229"/>
        <v>45.944567285116499</v>
      </c>
      <c r="AE291">
        <f t="shared" si="230"/>
        <v>-7.5575960556588532E-3</v>
      </c>
      <c r="AF291">
        <f t="shared" si="231"/>
        <v>9.5986965191040014E-3</v>
      </c>
      <c r="AG291">
        <f t="shared" si="246"/>
        <v>2904.1465798185441</v>
      </c>
      <c r="AH291">
        <f t="shared" si="247"/>
        <v>-2390.7794866749168</v>
      </c>
      <c r="AJ291">
        <f t="shared" si="232"/>
        <v>22100</v>
      </c>
      <c r="AK291">
        <f t="shared" si="233"/>
        <v>1092.7322546360222</v>
      </c>
      <c r="AL291">
        <v>1</v>
      </c>
      <c r="AM291">
        <f t="shared" si="234"/>
        <v>29.987314888427818</v>
      </c>
      <c r="AN291">
        <f t="shared" si="248"/>
        <v>60.948373603043137</v>
      </c>
      <c r="AO291">
        <f t="shared" si="249"/>
        <v>-734.94581653597402</v>
      </c>
      <c r="AQ291">
        <f t="shared" si="235"/>
        <v>1.6866222185491338E-2</v>
      </c>
      <c r="AR291">
        <f t="shared" si="236"/>
        <v>-12.986991082828331</v>
      </c>
      <c r="AT291">
        <f t="shared" si="261"/>
        <v>-31000.049892981584</v>
      </c>
      <c r="AU291">
        <f t="shared" si="262"/>
        <v>-37756.4491533486</v>
      </c>
      <c r="AV291">
        <f t="shared" si="250"/>
        <v>-2.2582433496311607</v>
      </c>
      <c r="AW291">
        <f t="shared" si="251"/>
        <v>-8652.0335976070473</v>
      </c>
      <c r="AX291">
        <f t="shared" si="252"/>
        <v>-6921.6493785106513</v>
      </c>
      <c r="AY291">
        <f t="shared" si="260"/>
        <v>-2.4668501256403195</v>
      </c>
      <c r="BA291">
        <f t="shared" si="237"/>
        <v>4.4090480140068662</v>
      </c>
      <c r="BB291">
        <f t="shared" si="253"/>
        <v>12.886896565343402</v>
      </c>
      <c r="BC291">
        <f t="shared" si="254"/>
        <v>0.20860677600915878</v>
      </c>
      <c r="BD291">
        <f t="shared" si="238"/>
        <v>-168.0477121431868</v>
      </c>
      <c r="BF291">
        <f t="shared" si="239"/>
        <v>-19.904017223534073</v>
      </c>
      <c r="BG291">
        <f t="shared" si="240"/>
        <v>-164.50737436576338</v>
      </c>
      <c r="BH291">
        <f t="shared" si="255"/>
        <v>15.492625634236617</v>
      </c>
      <c r="BI291">
        <f t="shared" si="256"/>
        <v>15.492625634236617</v>
      </c>
      <c r="BJ291">
        <f t="shared" si="241"/>
        <v>0</v>
      </c>
      <c r="BK291">
        <f t="shared" si="257"/>
        <v>0</v>
      </c>
      <c r="BM291">
        <f t="shared" si="258"/>
        <v>-32.790913788877475</v>
      </c>
      <c r="BN291">
        <f t="shared" si="242"/>
        <v>-176.45966222257658</v>
      </c>
      <c r="BQ291" s="56">
        <f t="shared" si="259"/>
        <v>29.788857365628537</v>
      </c>
      <c r="BR291" s="59"/>
      <c r="BS291" s="59"/>
      <c r="BT291" s="59">
        <v>64565.423000000003</v>
      </c>
      <c r="BU291" s="59">
        <v>2.6258699999999999</v>
      </c>
      <c r="BV291" s="59">
        <v>-132.49799999999999</v>
      </c>
      <c r="BY291" s="59"/>
      <c r="BZ291" s="59"/>
      <c r="CA291" s="59"/>
      <c r="CC291" s="59"/>
    </row>
    <row r="292" spans="1:81" x14ac:dyDescent="0.2">
      <c r="A292">
        <f t="shared" si="211"/>
        <v>390000</v>
      </c>
      <c r="B292">
        <f t="shared" si="243"/>
        <v>390</v>
      </c>
      <c r="C292">
        <f t="shared" si="212"/>
        <v>1.0012002132049114</v>
      </c>
      <c r="D292">
        <f t="shared" si="213"/>
        <v>4.8969664214400549E-2</v>
      </c>
      <c r="F292">
        <f t="shared" si="214"/>
        <v>1.4880984422525865E-3</v>
      </c>
      <c r="G292">
        <f t="shared" si="215"/>
        <v>1.3274814111887159E-2</v>
      </c>
      <c r="H292">
        <f t="shared" si="216"/>
        <v>-3.128317835888113</v>
      </c>
      <c r="J292">
        <f t="shared" si="217"/>
        <v>15</v>
      </c>
      <c r="M292">
        <f t="shared" si="218"/>
        <v>4.6536271864718298E-3</v>
      </c>
      <c r="N292">
        <f t="shared" si="219"/>
        <v>-1.5707963250000001</v>
      </c>
      <c r="O292">
        <f t="shared" si="220"/>
        <v>46.551991895447365</v>
      </c>
      <c r="P292">
        <f t="shared" si="221"/>
        <v>1.5493133164364212</v>
      </c>
      <c r="Q292">
        <f t="shared" si="222"/>
        <v>30.393216030579985</v>
      </c>
      <c r="R292">
        <f t="shared" si="223"/>
        <v>1.5378883083932786</v>
      </c>
      <c r="S292">
        <f t="shared" si="224"/>
        <v>0.9987479994045747</v>
      </c>
      <c r="T292">
        <f t="shared" si="225"/>
        <v>-5.0045218225094924E-2</v>
      </c>
      <c r="U292">
        <f t="shared" si="226"/>
        <v>0.78179012590898411</v>
      </c>
      <c r="V292">
        <f t="shared" si="227"/>
        <v>-0.67326475378159389</v>
      </c>
      <c r="X292">
        <f t="shared" si="244"/>
        <v>-18.794070572384484</v>
      </c>
      <c r="Y292">
        <f t="shared" si="228"/>
        <v>-130.99263900210815</v>
      </c>
      <c r="Z292">
        <f t="shared" si="245"/>
        <v>49.007360997891851</v>
      </c>
      <c r="AC292">
        <v>1</v>
      </c>
      <c r="AD292">
        <f t="shared" si="229"/>
        <v>46.541249977131002</v>
      </c>
      <c r="AE292">
        <f t="shared" si="230"/>
        <v>-7.7551719350022726E-3</v>
      </c>
      <c r="AF292">
        <f t="shared" si="231"/>
        <v>9.723354915456001E-3</v>
      </c>
      <c r="AG292">
        <f t="shared" si="246"/>
        <v>2875.3797521312463</v>
      </c>
      <c r="AH292">
        <f t="shared" si="247"/>
        <v>-2396.1960206930662</v>
      </c>
      <c r="AJ292">
        <f t="shared" si="232"/>
        <v>22100</v>
      </c>
      <c r="AK292">
        <f t="shared" si="233"/>
        <v>1106.923582618308</v>
      </c>
      <c r="AL292">
        <v>1</v>
      </c>
      <c r="AM292">
        <f t="shared" si="234"/>
        <v>30.376760536329481</v>
      </c>
      <c r="AN292">
        <f t="shared" si="248"/>
        <v>60.324653364830212</v>
      </c>
      <c r="AO292">
        <f t="shared" si="249"/>
        <v>-725.5439670822218</v>
      </c>
      <c r="AQ292">
        <f t="shared" si="235"/>
        <v>1.6436527882104073E-2</v>
      </c>
      <c r="AR292">
        <f t="shared" si="236"/>
        <v>-12.820491748041176</v>
      </c>
      <c r="AT292">
        <f t="shared" si="261"/>
        <v>-30673.150050517019</v>
      </c>
      <c r="AU292">
        <f t="shared" si="262"/>
        <v>-36903.167527388432</v>
      </c>
      <c r="AV292">
        <f t="shared" si="250"/>
        <v>-2.2642620403553311</v>
      </c>
      <c r="AW292">
        <f t="shared" si="251"/>
        <v>-8418.8715736249487</v>
      </c>
      <c r="AX292">
        <f t="shared" si="252"/>
        <v>-6834.3041760047854</v>
      </c>
      <c r="AY292">
        <f t="shared" si="260"/>
        <v>-2.4597076108665386</v>
      </c>
      <c r="BA292">
        <f t="shared" si="237"/>
        <v>4.4252843586155199</v>
      </c>
      <c r="BB292">
        <f t="shared" si="253"/>
        <v>12.918823653941303</v>
      </c>
      <c r="BC292">
        <f t="shared" si="254"/>
        <v>0.19544557051120748</v>
      </c>
      <c r="BD292">
        <f t="shared" si="238"/>
        <v>-168.80179367238546</v>
      </c>
      <c r="BF292">
        <f t="shared" si="239"/>
        <v>-20.096299255260273</v>
      </c>
      <c r="BG292">
        <f t="shared" si="240"/>
        <v>-165.2354477622205</v>
      </c>
      <c r="BH292">
        <f t="shared" si="255"/>
        <v>14.764552237779498</v>
      </c>
      <c r="BI292">
        <f t="shared" si="256"/>
        <v>14.764552237779498</v>
      </c>
      <c r="BJ292">
        <f t="shared" si="241"/>
        <v>0</v>
      </c>
      <c r="BK292">
        <f t="shared" si="257"/>
        <v>0</v>
      </c>
      <c r="BM292">
        <f t="shared" si="258"/>
        <v>-33.015122909201573</v>
      </c>
      <c r="BN292">
        <f t="shared" si="242"/>
        <v>-176.43365408983504</v>
      </c>
      <c r="BQ292" s="56">
        <f t="shared" si="259"/>
        <v>29.820784454226438</v>
      </c>
      <c r="BR292" s="59"/>
      <c r="BS292" s="59"/>
      <c r="BT292" s="59">
        <v>66069.345000000001</v>
      </c>
      <c r="BU292" s="59">
        <v>2.7940900000000002</v>
      </c>
      <c r="BV292" s="59">
        <v>-132.279</v>
      </c>
      <c r="BY292" s="59"/>
      <c r="BZ292" s="59"/>
      <c r="CA292" s="59"/>
      <c r="CC292" s="59"/>
    </row>
    <row r="293" spans="1:81" x14ac:dyDescent="0.2">
      <c r="A293">
        <f t="shared" si="211"/>
        <v>395000</v>
      </c>
      <c r="B293">
        <f t="shared" si="243"/>
        <v>395</v>
      </c>
      <c r="C293">
        <f t="shared" si="212"/>
        <v>1.0012311661335045</v>
      </c>
      <c r="D293">
        <f t="shared" si="213"/>
        <v>4.9596457886169745E-2</v>
      </c>
      <c r="F293">
        <f t="shared" si="214"/>
        <v>1.4506122156506306E-3</v>
      </c>
      <c r="G293">
        <f t="shared" si="215"/>
        <v>1.3106305396499818E-2</v>
      </c>
      <c r="H293">
        <f t="shared" si="216"/>
        <v>-3.1284863446035005</v>
      </c>
      <c r="J293">
        <f t="shared" si="217"/>
        <v>15</v>
      </c>
      <c r="M293">
        <f t="shared" si="218"/>
        <v>4.5947205132253503E-3</v>
      </c>
      <c r="N293">
        <f t="shared" si="219"/>
        <v>-1.5707963250000001</v>
      </c>
      <c r="O293">
        <f t="shared" si="220"/>
        <v>47.148538644595291</v>
      </c>
      <c r="P293">
        <f t="shared" si="221"/>
        <v>1.5495851711958861</v>
      </c>
      <c r="Q293">
        <f t="shared" si="222"/>
        <v>30.782453491731662</v>
      </c>
      <c r="R293">
        <f t="shared" si="223"/>
        <v>1.5383045705964287</v>
      </c>
      <c r="S293">
        <f t="shared" si="224"/>
        <v>0.99871575325100037</v>
      </c>
      <c r="T293">
        <f t="shared" si="225"/>
        <v>-5.0685732209266365E-2</v>
      </c>
      <c r="U293">
        <f t="shared" si="226"/>
        <v>0.7778974479600641</v>
      </c>
      <c r="V293">
        <f t="shared" si="227"/>
        <v>-0.67948340237916793</v>
      </c>
      <c r="X293">
        <f t="shared" si="244"/>
        <v>-18.948564721070067</v>
      </c>
      <c r="Y293">
        <f t="shared" si="228"/>
        <v>-131.31995607782599</v>
      </c>
      <c r="Z293">
        <f t="shared" si="245"/>
        <v>48.680043922174008</v>
      </c>
      <c r="AC293">
        <v>1</v>
      </c>
      <c r="AD293">
        <f t="shared" si="229"/>
        <v>47.137932669145499</v>
      </c>
      <c r="AE293">
        <f t="shared" si="230"/>
        <v>-7.9552971805307657E-3</v>
      </c>
      <c r="AF293">
        <f t="shared" si="231"/>
        <v>9.8480133118080005E-3</v>
      </c>
      <c r="AG293">
        <f t="shared" si="246"/>
        <v>2846.8169418427387</v>
      </c>
      <c r="AH293">
        <f t="shared" si="247"/>
        <v>-2401.2228702590314</v>
      </c>
      <c r="AJ293">
        <f t="shared" si="232"/>
        <v>22100</v>
      </c>
      <c r="AK293">
        <f t="shared" si="233"/>
        <v>1121.1149106005942</v>
      </c>
      <c r="AL293">
        <v>1</v>
      </c>
      <c r="AM293">
        <f t="shared" si="234"/>
        <v>30.766206184231141</v>
      </c>
      <c r="AN293">
        <f t="shared" si="248"/>
        <v>59.724435142913038</v>
      </c>
      <c r="AO293">
        <f t="shared" si="249"/>
        <v>-716.37937524300844</v>
      </c>
      <c r="AQ293">
        <f t="shared" si="235"/>
        <v>1.6023047551598221E-2</v>
      </c>
      <c r="AR293">
        <f t="shared" si="236"/>
        <v>-12.658207565762593</v>
      </c>
      <c r="AT293">
        <f t="shared" si="261"/>
        <v>-30349.5628201652</v>
      </c>
      <c r="AU293">
        <f t="shared" si="262"/>
        <v>-36074.074659807025</v>
      </c>
      <c r="AV293">
        <f t="shared" si="250"/>
        <v>-2.2702250626643434</v>
      </c>
      <c r="AW293">
        <f t="shared" si="251"/>
        <v>-8194.7297215987073</v>
      </c>
      <c r="AX293">
        <f t="shared" si="252"/>
        <v>-6749.4093779432969</v>
      </c>
      <c r="AY293">
        <f t="shared" si="260"/>
        <v>-2.4526094835227186</v>
      </c>
      <c r="BA293">
        <f t="shared" si="237"/>
        <v>4.4405514868924829</v>
      </c>
      <c r="BB293">
        <f t="shared" si="253"/>
        <v>12.948738198873482</v>
      </c>
      <c r="BC293">
        <f t="shared" si="254"/>
        <v>0.18238442085837514</v>
      </c>
      <c r="BD293">
        <f t="shared" si="238"/>
        <v>-169.55014242393662</v>
      </c>
      <c r="BF293">
        <f t="shared" si="239"/>
        <v>-20.287722817389124</v>
      </c>
      <c r="BG293">
        <f t="shared" si="240"/>
        <v>-165.95753871992665</v>
      </c>
      <c r="BH293">
        <f t="shared" si="255"/>
        <v>14.042461280073354</v>
      </c>
      <c r="BI293">
        <f t="shared" si="256"/>
        <v>14.042461280073354</v>
      </c>
      <c r="BJ293">
        <f t="shared" si="241"/>
        <v>0</v>
      </c>
      <c r="BK293">
        <f t="shared" si="257"/>
        <v>0</v>
      </c>
      <c r="BM293">
        <f t="shared" si="258"/>
        <v>-33.236461016262602</v>
      </c>
      <c r="BN293">
        <f t="shared" si="242"/>
        <v>-176.40739629599005</v>
      </c>
      <c r="BQ293" s="56">
        <f t="shared" si="259"/>
        <v>29.85069899915862</v>
      </c>
      <c r="BR293" s="59"/>
      <c r="BS293" s="59"/>
      <c r="BT293" s="59">
        <v>67608.297999999995</v>
      </c>
      <c r="BU293" s="59">
        <v>2.9581400000000002</v>
      </c>
      <c r="BV293" s="59">
        <v>-132.03399999999999</v>
      </c>
      <c r="BY293" s="59"/>
      <c r="BZ293" s="59"/>
      <c r="CA293" s="59"/>
      <c r="CC293" s="59"/>
    </row>
    <row r="294" spans="1:81" x14ac:dyDescent="0.2">
      <c r="A294">
        <f t="shared" si="211"/>
        <v>400000</v>
      </c>
      <c r="B294">
        <f t="shared" si="243"/>
        <v>400</v>
      </c>
      <c r="C294">
        <f t="shared" si="212"/>
        <v>1.0012625123916827</v>
      </c>
      <c r="D294">
        <f t="shared" si="213"/>
        <v>5.0223212558435162E-2</v>
      </c>
      <c r="F294">
        <f t="shared" si="214"/>
        <v>1.4145254220445619E-3</v>
      </c>
      <c r="G294">
        <f t="shared" si="215"/>
        <v>1.2942026839067497E-2</v>
      </c>
      <c r="H294">
        <f t="shared" si="216"/>
        <v>-3.1286506231609326</v>
      </c>
      <c r="J294">
        <f t="shared" si="217"/>
        <v>15</v>
      </c>
      <c r="M294">
        <f t="shared" si="218"/>
        <v>4.5372865068100329E-3</v>
      </c>
      <c r="N294">
        <f t="shared" si="219"/>
        <v>-1.5707963250000001</v>
      </c>
      <c r="O294">
        <f t="shared" si="220"/>
        <v>47.745088791182418</v>
      </c>
      <c r="P294">
        <f t="shared" si="221"/>
        <v>1.5498502326058039</v>
      </c>
      <c r="Q294">
        <f t="shared" si="222"/>
        <v>31.171696153483211</v>
      </c>
      <c r="R294">
        <f t="shared" si="223"/>
        <v>1.538710437091001</v>
      </c>
      <c r="S294">
        <f t="shared" si="224"/>
        <v>0.99868309950148104</v>
      </c>
      <c r="T294">
        <f t="shared" si="225"/>
        <v>-5.1326204572026579E-2</v>
      </c>
      <c r="U294">
        <f t="shared" si="226"/>
        <v>0.77401385442215143</v>
      </c>
      <c r="V294">
        <f t="shared" si="227"/>
        <v>-0.6856401948439107</v>
      </c>
      <c r="X294">
        <f t="shared" si="244"/>
        <v>-19.101764988433374</v>
      </c>
      <c r="Y294">
        <f t="shared" si="228"/>
        <v>-131.64447139825504</v>
      </c>
      <c r="Z294">
        <f t="shared" si="245"/>
        <v>48.355528601744965</v>
      </c>
      <c r="AC294">
        <v>1</v>
      </c>
      <c r="AD294">
        <f t="shared" si="229"/>
        <v>47.734615361160003</v>
      </c>
      <c r="AE294">
        <f t="shared" si="230"/>
        <v>-8.1579717922443378E-3</v>
      </c>
      <c r="AF294">
        <f t="shared" si="231"/>
        <v>9.9726717081600018E-3</v>
      </c>
      <c r="AG294">
        <f t="shared" si="246"/>
        <v>2818.4628648616413</v>
      </c>
      <c r="AH294">
        <f t="shared" si="247"/>
        <v>-2405.8688836009251</v>
      </c>
      <c r="AJ294">
        <f t="shared" si="232"/>
        <v>22100</v>
      </c>
      <c r="AK294">
        <f t="shared" si="233"/>
        <v>1135.3062385828803</v>
      </c>
      <c r="AL294">
        <v>1</v>
      </c>
      <c r="AM294">
        <f t="shared" si="234"/>
        <v>31.155651832132801</v>
      </c>
      <c r="AN294">
        <f t="shared" si="248"/>
        <v>59.146553241276088</v>
      </c>
      <c r="AO294">
        <f t="shared" si="249"/>
        <v>-707.44318127302324</v>
      </c>
      <c r="AQ294">
        <f t="shared" si="235"/>
        <v>1.5624975585975647E-2</v>
      </c>
      <c r="AR294">
        <f t="shared" si="236"/>
        <v>-12.499980468780517</v>
      </c>
      <c r="AT294">
        <f t="shared" si="261"/>
        <v>-30029.275642004908</v>
      </c>
      <c r="AU294">
        <f t="shared" si="262"/>
        <v>-35268.322405323022</v>
      </c>
      <c r="AV294">
        <f t="shared" si="250"/>
        <v>-2.2761326164789408</v>
      </c>
      <c r="AW294">
        <f t="shared" si="251"/>
        <v>-7979.1567115890948</v>
      </c>
      <c r="AX294">
        <f t="shared" si="252"/>
        <v>-6666.8565368322061</v>
      </c>
      <c r="AY294">
        <f t="shared" si="260"/>
        <v>-2.4455570419414192</v>
      </c>
      <c r="BA294">
        <f t="shared" si="237"/>
        <v>4.4548674625610243</v>
      </c>
      <c r="BB294">
        <f t="shared" si="253"/>
        <v>12.976695756079078</v>
      </c>
      <c r="BC294">
        <f t="shared" si="254"/>
        <v>0.16942442546247838</v>
      </c>
      <c r="BD294">
        <f t="shared" si="238"/>
        <v>-170.29269546347896</v>
      </c>
      <c r="BF294">
        <f t="shared" si="239"/>
        <v>-20.478304794807528</v>
      </c>
      <c r="BG294">
        <f t="shared" si="240"/>
        <v>-166.67359382993317</v>
      </c>
      <c r="BH294">
        <f t="shared" si="255"/>
        <v>13.326406170066832</v>
      </c>
      <c r="BI294">
        <f t="shared" si="256"/>
        <v>13.326406170066832</v>
      </c>
      <c r="BJ294">
        <f t="shared" si="241"/>
        <v>0</v>
      </c>
      <c r="BK294">
        <f t="shared" si="257"/>
        <v>0</v>
      </c>
      <c r="BM294">
        <f t="shared" si="258"/>
        <v>-33.455000550886609</v>
      </c>
      <c r="BN294">
        <f t="shared" si="242"/>
        <v>-176.38089836645418</v>
      </c>
      <c r="BQ294" s="56">
        <f t="shared" si="259"/>
        <v>29.878656556364213</v>
      </c>
      <c r="BR294" s="59"/>
      <c r="BS294" s="59"/>
      <c r="BT294" s="59">
        <v>69183.096999999994</v>
      </c>
      <c r="BU294" s="59">
        <v>3.15646</v>
      </c>
      <c r="BV294" s="59">
        <v>-131.40799999999999</v>
      </c>
      <c r="BY294" s="59"/>
      <c r="BZ294" s="59"/>
      <c r="CA294" s="59"/>
      <c r="CC294" s="59"/>
    </row>
    <row r="295" spans="1:81" x14ac:dyDescent="0.2">
      <c r="A295">
        <f t="shared" si="211"/>
        <v>405000</v>
      </c>
      <c r="B295">
        <f t="shared" si="243"/>
        <v>405</v>
      </c>
      <c r="C295">
        <f t="shared" si="212"/>
        <v>1.0012942519425059</v>
      </c>
      <c r="D295">
        <f t="shared" si="213"/>
        <v>5.0849927742477569E-2</v>
      </c>
      <c r="F295">
        <f t="shared" si="214"/>
        <v>1.3797692310197473E-3</v>
      </c>
      <c r="G295">
        <f t="shared" si="215"/>
        <v>1.2781820919921315E-2</v>
      </c>
      <c r="H295">
        <f t="shared" si="216"/>
        <v>-3.1288108290800789</v>
      </c>
      <c r="J295">
        <f t="shared" si="217"/>
        <v>15</v>
      </c>
      <c r="M295">
        <f t="shared" si="218"/>
        <v>4.4812706240099096E-3</v>
      </c>
      <c r="N295">
        <f t="shared" si="219"/>
        <v>-1.5707963250000001</v>
      </c>
      <c r="O295">
        <f t="shared" si="220"/>
        <v>48.34164220943255</v>
      </c>
      <c r="P295">
        <f t="shared" si="221"/>
        <v>1.5501087521254229</v>
      </c>
      <c r="Q295">
        <f t="shared" si="222"/>
        <v>31.560943823416888</v>
      </c>
      <c r="R295">
        <f t="shared" si="223"/>
        <v>1.5391062923780356</v>
      </c>
      <c r="S295">
        <f t="shared" si="224"/>
        <v>0.99865003827635979</v>
      </c>
      <c r="T295">
        <f t="shared" si="225"/>
        <v>-5.1966634792034269E-2</v>
      </c>
      <c r="U295">
        <f t="shared" si="226"/>
        <v>0.77014008658634459</v>
      </c>
      <c r="V295">
        <f t="shared" si="227"/>
        <v>-0.6917355896801356</v>
      </c>
      <c r="X295">
        <f t="shared" si="244"/>
        <v>-19.253699117333181</v>
      </c>
      <c r="Y295">
        <f t="shared" si="228"/>
        <v>-131.96618381926004</v>
      </c>
      <c r="Z295">
        <f t="shared" si="245"/>
        <v>48.033816180739962</v>
      </c>
      <c r="AC295">
        <v>1</v>
      </c>
      <c r="AD295">
        <f t="shared" si="229"/>
        <v>48.3312980531745</v>
      </c>
      <c r="AE295">
        <f t="shared" si="230"/>
        <v>-8.3631957701429827E-3</v>
      </c>
      <c r="AF295">
        <f t="shared" si="231"/>
        <v>1.0097330104512001E-2</v>
      </c>
      <c r="AG295">
        <f t="shared" si="246"/>
        <v>2790.3218969253498</v>
      </c>
      <c r="AH295">
        <f t="shared" si="247"/>
        <v>-2410.1428827040982</v>
      </c>
      <c r="AJ295">
        <f t="shared" si="232"/>
        <v>22100</v>
      </c>
      <c r="AK295">
        <f t="shared" si="233"/>
        <v>1149.4975665651662</v>
      </c>
      <c r="AL295">
        <v>1</v>
      </c>
      <c r="AM295">
        <f t="shared" si="234"/>
        <v>31.54509748003446</v>
      </c>
      <c r="AN295">
        <f t="shared" si="248"/>
        <v>58.58991332703696</v>
      </c>
      <c r="AO295">
        <f t="shared" si="249"/>
        <v>-698.7269606829849</v>
      </c>
      <c r="AQ295">
        <f t="shared" si="235"/>
        <v>1.524155579704954E-2</v>
      </c>
      <c r="AR295">
        <f t="shared" si="236"/>
        <v>-12.345660195610128</v>
      </c>
      <c r="AT295">
        <f t="shared" si="261"/>
        <v>-29712.276205849317</v>
      </c>
      <c r="AU295">
        <f t="shared" si="262"/>
        <v>-34485.100303036234</v>
      </c>
      <c r="AV295">
        <f t="shared" si="250"/>
        <v>-2.2819849238704961</v>
      </c>
      <c r="AW295">
        <f t="shared" si="251"/>
        <v>-7771.7288552007349</v>
      </c>
      <c r="AX295">
        <f t="shared" si="252"/>
        <v>-6586.5435783207631</v>
      </c>
      <c r="AY295">
        <f t="shared" si="260"/>
        <v>-2.4385515072444734</v>
      </c>
      <c r="BA295">
        <f t="shared" si="237"/>
        <v>4.468250630932574</v>
      </c>
      <c r="BB295">
        <f t="shared" si="253"/>
        <v>13.00275050721628</v>
      </c>
      <c r="BC295">
        <f t="shared" si="254"/>
        <v>0.15656658337397733</v>
      </c>
      <c r="BD295">
        <f t="shared" si="238"/>
        <v>-171.02939554963757</v>
      </c>
      <c r="BF295">
        <f t="shared" si="239"/>
        <v>-20.668060732441344</v>
      </c>
      <c r="BG295">
        <f t="shared" si="240"/>
        <v>-167.38356490407892</v>
      </c>
      <c r="BH295">
        <f t="shared" si="255"/>
        <v>12.616435095921076</v>
      </c>
      <c r="BI295">
        <f t="shared" si="256"/>
        <v>12.616435095921076</v>
      </c>
      <c r="BJ295">
        <f t="shared" si="241"/>
        <v>0</v>
      </c>
      <c r="BK295">
        <f t="shared" si="257"/>
        <v>0</v>
      </c>
      <c r="BM295">
        <f t="shared" si="258"/>
        <v>-33.670811239657624</v>
      </c>
      <c r="BN295">
        <f t="shared" si="242"/>
        <v>-176.35416935444135</v>
      </c>
      <c r="BQ295" s="56">
        <f t="shared" si="259"/>
        <v>29.904711307501415</v>
      </c>
      <c r="BR295" s="59"/>
      <c r="BS295" s="59"/>
      <c r="BT295" s="59">
        <v>70794.577999999994</v>
      </c>
      <c r="BU295" s="59">
        <v>3.32565</v>
      </c>
      <c r="BV295" s="59">
        <v>-131.172</v>
      </c>
      <c r="BY295" s="59"/>
      <c r="BZ295" s="59"/>
      <c r="CA295" s="59"/>
      <c r="CC295" s="59"/>
    </row>
    <row r="296" spans="1:81" x14ac:dyDescent="0.2">
      <c r="A296">
        <f t="shared" si="211"/>
        <v>410000</v>
      </c>
      <c r="B296">
        <f t="shared" si="243"/>
        <v>410</v>
      </c>
      <c r="C296">
        <f t="shared" si="212"/>
        <v>1.0013263847485747</v>
      </c>
      <c r="D296">
        <f t="shared" si="213"/>
        <v>5.1476602949763382E-2</v>
      </c>
      <c r="F296">
        <f t="shared" si="214"/>
        <v>1.3462789941854104E-3</v>
      </c>
      <c r="G296">
        <f t="shared" si="215"/>
        <v>1.2625537854119781E-2</v>
      </c>
      <c r="H296">
        <f t="shared" si="216"/>
        <v>-3.1289671121458804</v>
      </c>
      <c r="J296">
        <f t="shared" si="217"/>
        <v>15</v>
      </c>
      <c r="M296">
        <f t="shared" si="218"/>
        <v>4.4266209822536907E-3</v>
      </c>
      <c r="N296">
        <f t="shared" si="219"/>
        <v>-1.5707963250000001</v>
      </c>
      <c r="O296">
        <f t="shared" si="220"/>
        <v>48.938198779701594</v>
      </c>
      <c r="P296">
        <f t="shared" si="221"/>
        <v>1.5503609689564386</v>
      </c>
      <c r="Q296">
        <f t="shared" si="222"/>
        <v>31.950196318489379</v>
      </c>
      <c r="R296">
        <f t="shared" si="223"/>
        <v>1.5394925022338275</v>
      </c>
      <c r="S296">
        <f t="shared" si="224"/>
        <v>0.99861656969745938</v>
      </c>
      <c r="T296">
        <f t="shared" si="225"/>
        <v>-5.2607022348155008E-2</v>
      </c>
      <c r="U296">
        <f t="shared" si="226"/>
        <v>0.76627685475054075</v>
      </c>
      <c r="V296">
        <f t="shared" si="227"/>
        <v>-0.69777005454344565</v>
      </c>
      <c r="X296">
        <f t="shared" si="244"/>
        <v>-19.404393713233912</v>
      </c>
      <c r="Y296">
        <f t="shared" si="228"/>
        <v>-132.28509405302475</v>
      </c>
      <c r="Z296">
        <f t="shared" si="245"/>
        <v>47.71490594697525</v>
      </c>
      <c r="AC296">
        <v>1</v>
      </c>
      <c r="AD296">
        <f t="shared" si="229"/>
        <v>48.927980745188997</v>
      </c>
      <c r="AE296">
        <f t="shared" si="230"/>
        <v>-8.5709691142267074E-3</v>
      </c>
      <c r="AF296">
        <f t="shared" si="231"/>
        <v>1.0221988500864003E-2</v>
      </c>
      <c r="AG296">
        <f t="shared" si="246"/>
        <v>2762.3980848304827</v>
      </c>
      <c r="AH296">
        <f t="shared" si="247"/>
        <v>-2414.0536515175422</v>
      </c>
      <c r="AJ296">
        <f t="shared" si="232"/>
        <v>22100</v>
      </c>
      <c r="AK296">
        <f t="shared" si="233"/>
        <v>1163.688894547452</v>
      </c>
      <c r="AL296">
        <v>1</v>
      </c>
      <c r="AM296">
        <f t="shared" si="234"/>
        <v>31.934543127936124</v>
      </c>
      <c r="AN296">
        <f t="shared" si="248"/>
        <v>58.053487253037538</v>
      </c>
      <c r="AO296">
        <f t="shared" si="249"/>
        <v>-690.22269786176514</v>
      </c>
      <c r="AQ296">
        <f t="shared" si="235"/>
        <v>1.4872077822608831E-2</v>
      </c>
      <c r="AR296">
        <f t="shared" si="236"/>
        <v>-12.195103814539241</v>
      </c>
      <c r="AT296">
        <f t="shared" si="261"/>
        <v>-29398.55229482934</v>
      </c>
      <c r="AU296">
        <f t="shared" si="262"/>
        <v>-33723.633415365439</v>
      </c>
      <c r="AV296">
        <f t="shared" si="250"/>
        <v>-2.2877822275862343</v>
      </c>
      <c r="AW296">
        <f t="shared" si="251"/>
        <v>-7572.0481039692631</v>
      </c>
      <c r="AX296">
        <f t="shared" si="252"/>
        <v>-6508.3743439455329</v>
      </c>
      <c r="AY296">
        <f t="shared" si="260"/>
        <v>-2.431594024968152</v>
      </c>
      <c r="BA296">
        <f t="shared" si="237"/>
        <v>4.4807195808220941</v>
      </c>
      <c r="BB296">
        <f t="shared" si="253"/>
        <v>13.026955301771885</v>
      </c>
      <c r="BC296">
        <f t="shared" si="254"/>
        <v>0.14381179738191774</v>
      </c>
      <c r="BD296">
        <f t="shared" si="238"/>
        <v>-171.76019095641021</v>
      </c>
      <c r="BF296">
        <f t="shared" si="239"/>
        <v>-20.857004927242848</v>
      </c>
      <c r="BG296">
        <f t="shared" si="240"/>
        <v>-168.08740882639759</v>
      </c>
      <c r="BH296">
        <f t="shared" si="255"/>
        <v>11.912591173602408</v>
      </c>
      <c r="BI296">
        <f t="shared" si="256"/>
        <v>11.912591173602408</v>
      </c>
      <c r="BJ296">
        <f t="shared" si="241"/>
        <v>0</v>
      </c>
      <c r="BK296">
        <f t="shared" si="257"/>
        <v>0</v>
      </c>
      <c r="BM296">
        <f t="shared" si="258"/>
        <v>-33.883960229014733</v>
      </c>
      <c r="BN296">
        <f t="shared" si="242"/>
        <v>-176.32721786998741</v>
      </c>
      <c r="BQ296" s="56">
        <f t="shared" si="259"/>
        <v>29.928916102057023</v>
      </c>
      <c r="BR296" s="59"/>
      <c r="BS296" s="59"/>
      <c r="BT296" s="59">
        <v>72443.596000000005</v>
      </c>
      <c r="BU296" s="59">
        <v>3.4992100000000002</v>
      </c>
      <c r="BV296" s="59">
        <v>-130.929</v>
      </c>
      <c r="BY296" s="59"/>
      <c r="BZ296" s="59"/>
      <c r="CA296" s="59"/>
      <c r="CC296" s="59"/>
    </row>
    <row r="297" spans="1:81" x14ac:dyDescent="0.2">
      <c r="A297">
        <f t="shared" si="211"/>
        <v>415000</v>
      </c>
      <c r="B297">
        <f t="shared" si="243"/>
        <v>415</v>
      </c>
      <c r="C297">
        <f t="shared" si="212"/>
        <v>1.0013589107720313</v>
      </c>
      <c r="D297">
        <f t="shared" si="213"/>
        <v>5.2103237691946969E-2</v>
      </c>
      <c r="F297">
        <f t="shared" si="214"/>
        <v>1.3139939438053302E-3</v>
      </c>
      <c r="G297">
        <f t="shared" si="215"/>
        <v>1.2473035121881968E-2</v>
      </c>
      <c r="H297">
        <f t="shared" si="216"/>
        <v>-3.1291196148781184</v>
      </c>
      <c r="J297">
        <f t="shared" si="217"/>
        <v>15</v>
      </c>
      <c r="M297">
        <f t="shared" si="218"/>
        <v>4.3732881993349716E-3</v>
      </c>
      <c r="N297">
        <f t="shared" si="219"/>
        <v>-1.5707963250000001</v>
      </c>
      <c r="O297">
        <f t="shared" si="220"/>
        <v>49.534758388108472</v>
      </c>
      <c r="P297">
        <f t="shared" si="221"/>
        <v>1.5506071107807811</v>
      </c>
      <c r="Q297">
        <f t="shared" si="222"/>
        <v>32.339453464467937</v>
      </c>
      <c r="R297">
        <f t="shared" si="223"/>
        <v>1.5398694148356955</v>
      </c>
      <c r="S297">
        <f t="shared" si="224"/>
        <v>0.99858269388808274</v>
      </c>
      <c r="T297">
        <f t="shared" si="225"/>
        <v>-5.3247366719463791E-2</v>
      </c>
      <c r="U297">
        <f t="shared" si="226"/>
        <v>0.76242483889514645</v>
      </c>
      <c r="V297">
        <f t="shared" si="227"/>
        <v>-0.70374406553792745</v>
      </c>
      <c r="X297">
        <f t="shared" si="244"/>
        <v>-19.553874307827584</v>
      </c>
      <c r="Y297">
        <f t="shared" si="228"/>
        <v>-132.6012045479147</v>
      </c>
      <c r="Z297">
        <f t="shared" si="245"/>
        <v>47.398795452085295</v>
      </c>
      <c r="AC297">
        <v>1</v>
      </c>
      <c r="AD297">
        <f t="shared" si="229"/>
        <v>49.5246634372035</v>
      </c>
      <c r="AE297">
        <f t="shared" si="230"/>
        <v>-8.7812918244955067E-3</v>
      </c>
      <c r="AF297">
        <f t="shared" si="231"/>
        <v>1.0346646897216002E-2</v>
      </c>
      <c r="AG297">
        <f t="shared" si="246"/>
        <v>2734.6951576078482</v>
      </c>
      <c r="AH297">
        <f t="shared" si="247"/>
        <v>-2417.6099250782272</v>
      </c>
      <c r="AJ297">
        <f t="shared" si="232"/>
        <v>22100</v>
      </c>
      <c r="AK297">
        <f t="shared" si="233"/>
        <v>1177.8802225297381</v>
      </c>
      <c r="AL297">
        <v>1</v>
      </c>
      <c r="AM297">
        <f t="shared" si="234"/>
        <v>32.323988775837783</v>
      </c>
      <c r="AN297">
        <f t="shared" si="248"/>
        <v>57.536308313282788</v>
      </c>
      <c r="AO297">
        <f t="shared" si="249"/>
        <v>-681.92276159195671</v>
      </c>
      <c r="AQ297">
        <f t="shared" si="235"/>
        <v>1.4515873833830985E-2</v>
      </c>
      <c r="AR297">
        <f t="shared" si="236"/>
        <v>-12.048175282079718</v>
      </c>
      <c r="AT297">
        <f t="shared" si="261"/>
        <v>-29088.091651156275</v>
      </c>
      <c r="AU297">
        <f t="shared" si="262"/>
        <v>-32983.18032256583</v>
      </c>
      <c r="AV297">
        <f t="shared" si="250"/>
        <v>-2.2935247896527984</v>
      </c>
      <c r="AW297">
        <f t="shared" si="251"/>
        <v>-7379.7402148353558</v>
      </c>
      <c r="AX297">
        <f t="shared" si="252"/>
        <v>-6432.2581723212224</v>
      </c>
      <c r="AY297">
        <f t="shared" si="260"/>
        <v>-2.4246856667284264</v>
      </c>
      <c r="BA297">
        <f t="shared" si="237"/>
        <v>4.4922931074553372</v>
      </c>
      <c r="BB297">
        <f t="shared" si="253"/>
        <v>13.049361696212166</v>
      </c>
      <c r="BC297">
        <f t="shared" si="254"/>
        <v>0.13116087707562807</v>
      </c>
      <c r="BD297">
        <f t="shared" si="238"/>
        <v>-172.48503529774521</v>
      </c>
      <c r="BF297">
        <f t="shared" si="239"/>
        <v>-21.045150514946563</v>
      </c>
      <c r="BG297">
        <f t="shared" si="240"/>
        <v>-168.78508740459964</v>
      </c>
      <c r="BH297">
        <f t="shared" si="255"/>
        <v>11.214912595400364</v>
      </c>
      <c r="BI297">
        <f t="shared" si="256"/>
        <v>11.214912595400364</v>
      </c>
      <c r="BJ297">
        <f t="shared" si="241"/>
        <v>0</v>
      </c>
      <c r="BK297">
        <f t="shared" si="257"/>
        <v>0</v>
      </c>
      <c r="BM297">
        <f t="shared" si="258"/>
        <v>-34.09451221115873</v>
      </c>
      <c r="BN297">
        <f t="shared" si="242"/>
        <v>-176.30005210685442</v>
      </c>
      <c r="BQ297" s="56">
        <f t="shared" si="259"/>
        <v>29.951322496497305</v>
      </c>
      <c r="BR297" s="59"/>
      <c r="BS297" s="59"/>
      <c r="BT297" s="59">
        <v>74131.024000000005</v>
      </c>
      <c r="BU297" s="59">
        <v>3.6540400000000002</v>
      </c>
      <c r="BV297" s="59">
        <v>-130.88900000000001</v>
      </c>
      <c r="BY297" s="59"/>
      <c r="BZ297" s="59"/>
      <c r="CA297" s="59"/>
      <c r="CC297" s="59"/>
    </row>
    <row r="298" spans="1:81" x14ac:dyDescent="0.2">
      <c r="A298">
        <f t="shared" si="211"/>
        <v>420000</v>
      </c>
      <c r="B298">
        <f t="shared" si="243"/>
        <v>420</v>
      </c>
      <c r="C298">
        <f t="shared" si="212"/>
        <v>1.0013918299745597</v>
      </c>
      <c r="D298">
        <f t="shared" si="213"/>
        <v>5.2729831480872846E-2</v>
      </c>
      <c r="F298">
        <f t="shared" si="214"/>
        <v>1.2828569164746E-3</v>
      </c>
      <c r="G298">
        <f t="shared" si="215"/>
        <v>1.2324177032858373E-2</v>
      </c>
      <c r="H298">
        <f t="shared" si="216"/>
        <v>-3.1292684729671421</v>
      </c>
      <c r="J298">
        <f t="shared" si="217"/>
        <v>15</v>
      </c>
      <c r="M298">
        <f t="shared" si="218"/>
        <v>4.3212252445809845E-3</v>
      </c>
      <c r="N298">
        <f t="shared" si="219"/>
        <v>-1.5707963250000001</v>
      </c>
      <c r="O298">
        <f t="shared" si="220"/>
        <v>50.13132092619221</v>
      </c>
      <c r="P298">
        <f t="shared" si="221"/>
        <v>1.5508473944457513</v>
      </c>
      <c r="Q298">
        <f t="shared" si="222"/>
        <v>32.728715095406677</v>
      </c>
      <c r="R298">
        <f t="shared" si="223"/>
        <v>1.540237361807524</v>
      </c>
      <c r="S298">
        <f t="shared" si="224"/>
        <v>0.9985484109730095</v>
      </c>
      <c r="T298">
        <f t="shared" si="225"/>
        <v>-5.3887667385247508E-2</v>
      </c>
      <c r="U298">
        <f t="shared" si="226"/>
        <v>0.75858468936819046</v>
      </c>
      <c r="V298">
        <f t="shared" si="227"/>
        <v>-0.70965810653755113</v>
      </c>
      <c r="X298">
        <f t="shared" si="244"/>
        <v>-19.702165418512301</v>
      </c>
      <c r="Y298">
        <f t="shared" si="228"/>
        <v>-132.91451937540108</v>
      </c>
      <c r="Z298">
        <f t="shared" si="245"/>
        <v>47.085480624598915</v>
      </c>
      <c r="AC298">
        <v>1</v>
      </c>
      <c r="AD298">
        <f t="shared" si="229"/>
        <v>50.121346129218004</v>
      </c>
      <c r="AE298">
        <f t="shared" si="230"/>
        <v>-8.9941639009493823E-3</v>
      </c>
      <c r="AF298">
        <f t="shared" si="231"/>
        <v>1.0471305293568002E-2</v>
      </c>
      <c r="AG298">
        <f t="shared" si="246"/>
        <v>2707.2165376174303</v>
      </c>
      <c r="AH298">
        <f t="shared" si="247"/>
        <v>-2420.8203795053682</v>
      </c>
      <c r="AJ298">
        <f t="shared" si="232"/>
        <v>22100</v>
      </c>
      <c r="AK298">
        <f t="shared" si="233"/>
        <v>1192.0715505120243</v>
      </c>
      <c r="AL298">
        <v>1</v>
      </c>
      <c r="AM298">
        <f t="shared" si="234"/>
        <v>32.713434423739443</v>
      </c>
      <c r="AN298">
        <f t="shared" si="248"/>
        <v>57.03746689037127</v>
      </c>
      <c r="AO298">
        <f t="shared" si="249"/>
        <v>-673.81988230234606</v>
      </c>
      <c r="AQ298">
        <f t="shared" si="235"/>
        <v>1.4172315515425856E-2</v>
      </c>
      <c r="AR298">
        <f t="shared" si="236"/>
        <v>-11.90474503295772</v>
      </c>
      <c r="AT298">
        <f t="shared" si="261"/>
        <v>-28780.881861659665</v>
      </c>
      <c r="AU298">
        <f t="shared" si="262"/>
        <v>-32263.031259566626</v>
      </c>
      <c r="AV298">
        <f t="shared" si="250"/>
        <v>-2.2992128900535107</v>
      </c>
      <c r="AW298">
        <f t="shared" si="251"/>
        <v>-7194.4530669444202</v>
      </c>
      <c r="AX298">
        <f t="shared" si="252"/>
        <v>-6358.1095150806832</v>
      </c>
      <c r="AY298">
        <f t="shared" si="260"/>
        <v>-2.4178274319249056</v>
      </c>
      <c r="BA298">
        <f t="shared" si="237"/>
        <v>4.5029901764521076</v>
      </c>
      <c r="BB298">
        <f t="shared" si="253"/>
        <v>13.07001999048097</v>
      </c>
      <c r="BC298">
        <f t="shared" si="254"/>
        <v>0.11861454187139486</v>
      </c>
      <c r="BD298">
        <f t="shared" si="238"/>
        <v>-173.20388735412558</v>
      </c>
      <c r="BF298">
        <f t="shared" si="239"/>
        <v>-21.232509551881446</v>
      </c>
      <c r="BG298">
        <f t="shared" si="240"/>
        <v>-169.47656722162159</v>
      </c>
      <c r="BH298">
        <f t="shared" si="255"/>
        <v>10.523432778378407</v>
      </c>
      <c r="BI298">
        <f t="shared" si="256"/>
        <v>10.523432778378407</v>
      </c>
      <c r="BJ298">
        <f t="shared" si="241"/>
        <v>0</v>
      </c>
      <c r="BK298">
        <f t="shared" si="257"/>
        <v>0</v>
      </c>
      <c r="BM298">
        <f t="shared" si="258"/>
        <v>-34.302529542362421</v>
      </c>
      <c r="BN298">
        <f t="shared" si="242"/>
        <v>-176.27267986749598</v>
      </c>
      <c r="BQ298" s="56">
        <f t="shared" si="259"/>
        <v>29.971980790766107</v>
      </c>
      <c r="BR298" s="59"/>
      <c r="BS298" s="59"/>
      <c r="BT298" s="59">
        <v>75857.758000000002</v>
      </c>
      <c r="BU298" s="59">
        <v>3.8307899999999999</v>
      </c>
      <c r="BV298" s="59">
        <v>-130.62200000000001</v>
      </c>
      <c r="BY298" s="59"/>
      <c r="BZ298" s="59"/>
      <c r="CA298" s="59"/>
      <c r="CC298" s="59"/>
    </row>
    <row r="299" spans="1:81" x14ac:dyDescent="0.2">
      <c r="A299">
        <f t="shared" si="211"/>
        <v>425000</v>
      </c>
      <c r="B299">
        <f t="shared" si="243"/>
        <v>425</v>
      </c>
      <c r="C299">
        <f t="shared" si="212"/>
        <v>1.0014251423173857</v>
      </c>
      <c r="D299">
        <f t="shared" si="213"/>
        <v>5.335638382857797E-2</v>
      </c>
      <c r="F299">
        <f t="shared" si="214"/>
        <v>1.2528140994906092E-3</v>
      </c>
      <c r="G299">
        <f t="shared" si="215"/>
        <v>1.217883432142524E-2</v>
      </c>
      <c r="H299">
        <f t="shared" si="216"/>
        <v>-3.1294138156785749</v>
      </c>
      <c r="J299">
        <f t="shared" si="217"/>
        <v>15</v>
      </c>
      <c r="M299">
        <f t="shared" si="218"/>
        <v>4.2703873005270898E-3</v>
      </c>
      <c r="N299">
        <f t="shared" si="219"/>
        <v>-1.5707963250000001</v>
      </c>
      <c r="O299">
        <f t="shared" si="220"/>
        <v>50.727886290593382</v>
      </c>
      <c r="P299">
        <f t="shared" si="221"/>
        <v>1.5510820266008427</v>
      </c>
      <c r="Q299">
        <f t="shared" si="222"/>
        <v>33.117981053159831</v>
      </c>
      <c r="R299">
        <f t="shared" si="223"/>
        <v>1.5405966591916629</v>
      </c>
      <c r="S299">
        <f t="shared" si="224"/>
        <v>0.99851372107849667</v>
      </c>
      <c r="T299">
        <f t="shared" si="225"/>
        <v>-5.4527923825007471E-2</v>
      </c>
      <c r="U299">
        <f t="shared" si="226"/>
        <v>0.75475702757777308</v>
      </c>
      <c r="V299">
        <f t="shared" si="227"/>
        <v>-0.71551266853157913</v>
      </c>
      <c r="X299">
        <f t="shared" si="244"/>
        <v>-19.849290604030553</v>
      </c>
      <c r="Y299">
        <f t="shared" si="228"/>
        <v>-133.22504412357029</v>
      </c>
      <c r="Z299">
        <f t="shared" si="245"/>
        <v>46.774955876429715</v>
      </c>
      <c r="AC299">
        <v>1</v>
      </c>
      <c r="AD299">
        <f t="shared" si="229"/>
        <v>50.718028821232501</v>
      </c>
      <c r="AE299">
        <f t="shared" si="230"/>
        <v>-9.2095853435883342E-3</v>
      </c>
      <c r="AF299">
        <f t="shared" si="231"/>
        <v>1.0595963689920003E-2</v>
      </c>
      <c r="AG299">
        <f t="shared" si="246"/>
        <v>2679.9653515410901</v>
      </c>
      <c r="AH299">
        <f t="shared" si="247"/>
        <v>-2423.6936228186787</v>
      </c>
      <c r="AJ299">
        <f t="shared" si="232"/>
        <v>22100</v>
      </c>
      <c r="AK299">
        <f t="shared" si="233"/>
        <v>1206.2628784943101</v>
      </c>
      <c r="AL299">
        <v>1</v>
      </c>
      <c r="AM299">
        <f t="shared" si="234"/>
        <v>33.102880071641103</v>
      </c>
      <c r="AN299">
        <f t="shared" si="248"/>
        <v>56.556106458348168</v>
      </c>
      <c r="AO299">
        <f t="shared" si="249"/>
        <v>-665.90713091535633</v>
      </c>
      <c r="AQ299">
        <f t="shared" si="235"/>
        <v>1.384081129299475E-2</v>
      </c>
      <c r="AR299">
        <f t="shared" si="236"/>
        <v>-11.764689599045537</v>
      </c>
      <c r="AT299">
        <f t="shared" si="261"/>
        <v>-28476.910260945464</v>
      </c>
      <c r="AU299">
        <f t="shared" si="262"/>
        <v>-31562.506383143347</v>
      </c>
      <c r="AV299">
        <f t="shared" si="250"/>
        <v>-2.3048468254750718</v>
      </c>
      <c r="AW299">
        <f t="shared" si="251"/>
        <v>-7015.8551156642097</v>
      </c>
      <c r="AX299">
        <f t="shared" si="252"/>
        <v>-6285.8475842658872</v>
      </c>
      <c r="AY299">
        <f t="shared" si="260"/>
        <v>-2.4110202494812953</v>
      </c>
      <c r="BA299">
        <f t="shared" si="237"/>
        <v>4.5128298889596481</v>
      </c>
      <c r="BB299">
        <f t="shared" si="253"/>
        <v>13.088979262122223</v>
      </c>
      <c r="BC299">
        <f t="shared" si="254"/>
        <v>0.10617342400622354</v>
      </c>
      <c r="BD299">
        <f t="shared" si="238"/>
        <v>-173.91671090103924</v>
      </c>
      <c r="BF299">
        <f t="shared" si="239"/>
        <v>-21.419093092106117</v>
      </c>
      <c r="BG299">
        <f t="shared" si="240"/>
        <v>-170.1618194872843</v>
      </c>
      <c r="BH299">
        <f t="shared" si="255"/>
        <v>9.8381805127156952</v>
      </c>
      <c r="BI299">
        <f t="shared" si="256"/>
        <v>9.8381805127156952</v>
      </c>
      <c r="BJ299">
        <f t="shared" si="241"/>
        <v>0</v>
      </c>
      <c r="BK299">
        <f t="shared" si="257"/>
        <v>0</v>
      </c>
      <c r="BM299">
        <f t="shared" si="258"/>
        <v>-34.508072354228347</v>
      </c>
      <c r="BN299">
        <f t="shared" si="242"/>
        <v>-176.2451085862451</v>
      </c>
      <c r="BQ299" s="56">
        <f t="shared" si="259"/>
        <v>29.990940062407358</v>
      </c>
      <c r="BR299" s="59"/>
      <c r="BS299" s="59"/>
      <c r="BT299" s="59">
        <v>77624.712</v>
      </c>
      <c r="BU299" s="59">
        <v>4.0309799999999996</v>
      </c>
      <c r="BV299" s="59">
        <v>-130.36099999999999</v>
      </c>
      <c r="BY299" s="59"/>
      <c r="BZ299" s="59"/>
      <c r="CA299" s="59"/>
      <c r="CC299" s="59"/>
    </row>
    <row r="300" spans="1:81" x14ac:dyDescent="0.2">
      <c r="A300">
        <f t="shared" ref="A300:A363" si="263">A299+5000</f>
        <v>430000</v>
      </c>
      <c r="B300">
        <f t="shared" si="243"/>
        <v>430</v>
      </c>
      <c r="C300">
        <f t="shared" si="212"/>
        <v>1.0014588477612774</v>
      </c>
      <c r="D300">
        <f t="shared" si="213"/>
        <v>5.3982894247294015E-2</v>
      </c>
      <c r="F300">
        <f t="shared" si="214"/>
        <v>1.2238147978120594E-3</v>
      </c>
      <c r="G300">
        <f t="shared" si="215"/>
        <v>1.2036883770452787E-2</v>
      </c>
      <c r="H300">
        <f t="shared" si="216"/>
        <v>-3.1295557662295472</v>
      </c>
      <c r="J300">
        <f t="shared" si="217"/>
        <v>15</v>
      </c>
      <c r="M300">
        <f t="shared" si="218"/>
        <v>4.2207316342418909E-3</v>
      </c>
      <c r="N300">
        <f t="shared" si="219"/>
        <v>-1.5707963250000001</v>
      </c>
      <c r="O300">
        <f t="shared" si="220"/>
        <v>51.324454382757601</v>
      </c>
      <c r="P300">
        <f t="shared" si="221"/>
        <v>1.551311204290172</v>
      </c>
      <c r="Q300">
        <f t="shared" si="222"/>
        <v>33.507251186928862</v>
      </c>
      <c r="R300">
        <f t="shared" si="223"/>
        <v>1.5409476083531679</v>
      </c>
      <c r="S300">
        <f t="shared" si="224"/>
        <v>0.99847862433227652</v>
      </c>
      <c r="T300">
        <f t="shared" si="225"/>
        <v>-5.5168135518461947E-2</v>
      </c>
      <c r="U300">
        <f t="shared" si="226"/>
        <v>0.7509424466899115</v>
      </c>
      <c r="V300">
        <f t="shared" si="227"/>
        <v>-0.72130824899373747</v>
      </c>
      <c r="X300">
        <f t="shared" si="244"/>
        <v>-19.995272516545629</v>
      </c>
      <c r="Y300">
        <f t="shared" si="228"/>
        <v>-133.53278579678377</v>
      </c>
      <c r="Z300">
        <f t="shared" si="245"/>
        <v>46.46721420321623</v>
      </c>
      <c r="AC300">
        <v>1</v>
      </c>
      <c r="AD300">
        <f t="shared" si="229"/>
        <v>51.314711513247005</v>
      </c>
      <c r="AE300">
        <f t="shared" si="230"/>
        <v>-9.4275561524123606E-3</v>
      </c>
      <c r="AF300">
        <f t="shared" si="231"/>
        <v>1.0720622086272001E-2</v>
      </c>
      <c r="AG300">
        <f t="shared" si="246"/>
        <v>2652.9444412527259</v>
      </c>
      <c r="AH300">
        <f t="shared" si="247"/>
        <v>-2426.2381865365542</v>
      </c>
      <c r="AJ300">
        <f t="shared" si="232"/>
        <v>22100</v>
      </c>
      <c r="AK300">
        <f t="shared" si="233"/>
        <v>1220.454206476596</v>
      </c>
      <c r="AL300">
        <v>1</v>
      </c>
      <c r="AM300">
        <f t="shared" si="234"/>
        <v>33.492325719542762</v>
      </c>
      <c r="AN300">
        <f t="shared" si="248"/>
        <v>56.091419908204017</v>
      </c>
      <c r="AO300">
        <f t="shared" si="249"/>
        <v>-658.17789916061827</v>
      </c>
      <c r="AQ300">
        <f t="shared" si="235"/>
        <v>1.3520803784743395E-2</v>
      </c>
      <c r="AR300">
        <f t="shared" si="236"/>
        <v>-11.627891254879319</v>
      </c>
      <c r="AT300">
        <f t="shared" si="261"/>
        <v>-28176.163850240653</v>
      </c>
      <c r="AU300">
        <f t="shared" si="262"/>
        <v>-30880.954158578486</v>
      </c>
      <c r="AV300">
        <f t="shared" si="250"/>
        <v>-2.3104269081197466</v>
      </c>
      <c r="AW300">
        <f t="shared" si="251"/>
        <v>-6843.6339711757037</v>
      </c>
      <c r="AX300">
        <f t="shared" si="252"/>
        <v>-6215.3960282232711</v>
      </c>
      <c r="AY300">
        <f t="shared" si="260"/>
        <v>-2.4042649796196378</v>
      </c>
      <c r="BA300">
        <f t="shared" si="237"/>
        <v>4.5218314480004329</v>
      </c>
      <c r="BB300">
        <f t="shared" si="253"/>
        <v>13.106287398277917</v>
      </c>
      <c r="BC300">
        <f t="shared" si="254"/>
        <v>9.3838071499891207E-2</v>
      </c>
      <c r="BD300">
        <f t="shared" si="238"/>
        <v>-174.6234745392658</v>
      </c>
      <c r="BF300">
        <f t="shared" si="239"/>
        <v>-21.604911260115244</v>
      </c>
      <c r="BG300">
        <f t="shared" si="240"/>
        <v>-170.840819890136</v>
      </c>
      <c r="BH300">
        <f t="shared" si="255"/>
        <v>9.1591801098639962</v>
      </c>
      <c r="BI300">
        <f t="shared" si="256"/>
        <v>9.1591801098639962</v>
      </c>
      <c r="BJ300">
        <f t="shared" si="241"/>
        <v>0</v>
      </c>
      <c r="BK300">
        <f t="shared" si="257"/>
        <v>0</v>
      </c>
      <c r="BM300">
        <f t="shared" si="258"/>
        <v>-34.711198658393165</v>
      </c>
      <c r="BN300">
        <f t="shared" si="242"/>
        <v>-176.21734535087023</v>
      </c>
      <c r="BQ300" s="56">
        <f t="shared" si="259"/>
        <v>30.008248198563056</v>
      </c>
      <c r="BR300" s="59"/>
      <c r="BS300" s="59"/>
      <c r="BT300" s="59">
        <v>79432.823000000004</v>
      </c>
      <c r="BU300" s="59">
        <v>4.23407</v>
      </c>
      <c r="BV300" s="59">
        <v>-130.17400000000001</v>
      </c>
      <c r="BY300" s="59"/>
      <c r="BZ300" s="59"/>
      <c r="CA300" s="59"/>
      <c r="CC300" s="59"/>
    </row>
    <row r="301" spans="1:81" x14ac:dyDescent="0.2">
      <c r="A301">
        <f t="shared" si="263"/>
        <v>435000</v>
      </c>
      <c r="B301">
        <f t="shared" si="243"/>
        <v>435</v>
      </c>
      <c r="C301">
        <f t="shared" si="212"/>
        <v>1.0014929462665452</v>
      </c>
      <c r="D301">
        <f t="shared" si="213"/>
        <v>5.4609362249449574E-2</v>
      </c>
      <c r="F301">
        <f t="shared" si="214"/>
        <v>1.1958112197172799E-3</v>
      </c>
      <c r="G301">
        <f t="shared" si="215"/>
        <v>1.1898207861234711E-2</v>
      </c>
      <c r="H301">
        <f t="shared" si="216"/>
        <v>-3.1296944421387654</v>
      </c>
      <c r="J301">
        <f t="shared" si="217"/>
        <v>15</v>
      </c>
      <c r="M301">
        <f t="shared" si="218"/>
        <v>4.1722174775264678E-3</v>
      </c>
      <c r="N301">
        <f t="shared" si="219"/>
        <v>-1.5707963250000001</v>
      </c>
      <c r="O301">
        <f t="shared" si="220"/>
        <v>51.921025108659578</v>
      </c>
      <c r="P301">
        <f t="shared" si="221"/>
        <v>1.5515351155040913</v>
      </c>
      <c r="Q301">
        <f t="shared" si="222"/>
        <v>33.896525352840762</v>
      </c>
      <c r="R301">
        <f t="shared" si="223"/>
        <v>1.5412904968218095</v>
      </c>
      <c r="S301">
        <f t="shared" si="224"/>
        <v>0.99844312086355447</v>
      </c>
      <c r="T301">
        <f t="shared" si="225"/>
        <v>-5.580830194554863E-2</v>
      </c>
      <c r="U301">
        <f t="shared" si="226"/>
        <v>0.74714151232997061</v>
      </c>
      <c r="V301">
        <f t="shared" si="227"/>
        <v>-0.72704535127486458</v>
      </c>
      <c r="X301">
        <f t="shared" si="244"/>
        <v>-20.140132950411854</v>
      </c>
      <c r="Y301">
        <f t="shared" si="228"/>
        <v>-133.83775272108849</v>
      </c>
      <c r="Z301">
        <f t="shared" si="245"/>
        <v>46.162247278911508</v>
      </c>
      <c r="AC301">
        <v>1</v>
      </c>
      <c r="AD301">
        <f t="shared" si="229"/>
        <v>51.911394205261509</v>
      </c>
      <c r="AE301">
        <f t="shared" si="230"/>
        <v>-9.6480763274214669E-3</v>
      </c>
      <c r="AF301">
        <f t="shared" si="231"/>
        <v>1.0845280482624E-2</v>
      </c>
      <c r="AG301">
        <f t="shared" si="246"/>
        <v>2626.1563745475864</v>
      </c>
      <c r="AH301">
        <f t="shared" si="247"/>
        <v>-2428.4625180120061</v>
      </c>
      <c r="AJ301">
        <f t="shared" si="232"/>
        <v>22100</v>
      </c>
      <c r="AK301">
        <f t="shared" si="233"/>
        <v>1234.6455344588821</v>
      </c>
      <c r="AL301">
        <v>1</v>
      </c>
      <c r="AM301">
        <f t="shared" si="234"/>
        <v>33.881771367444422</v>
      </c>
      <c r="AN301">
        <f t="shared" si="248"/>
        <v>55.642646166603043</v>
      </c>
      <c r="AO301">
        <f t="shared" si="249"/>
        <v>-650.62588123757007</v>
      </c>
      <c r="AQ301">
        <f t="shared" si="235"/>
        <v>1.3211767457038635E-2</v>
      </c>
      <c r="AR301">
        <f t="shared" si="236"/>
        <v>-11.494237687623613</v>
      </c>
      <c r="AT301">
        <f t="shared" si="261"/>
        <v>-27878.629230188595</v>
      </c>
      <c r="AU301">
        <f t="shared" si="262"/>
        <v>-30217.74985598397</v>
      </c>
      <c r="AV301">
        <f t="shared" si="250"/>
        <v>-2.3159534645794082</v>
      </c>
      <c r="AW301">
        <f t="shared" si="251"/>
        <v>-6677.4950902888286</v>
      </c>
      <c r="AX301">
        <f t="shared" si="252"/>
        <v>-6146.682633367006</v>
      </c>
      <c r="AY301">
        <f t="shared" si="260"/>
        <v>-2.3975624156651203</v>
      </c>
      <c r="BA301">
        <f t="shared" si="237"/>
        <v>4.5300141260890481</v>
      </c>
      <c r="BB301">
        <f t="shared" si="253"/>
        <v>13.121991125788465</v>
      </c>
      <c r="BC301">
        <f t="shared" si="254"/>
        <v>8.1608951085712089E-2</v>
      </c>
      <c r="BD301">
        <f t="shared" si="238"/>
        <v>-175.32415152695617</v>
      </c>
      <c r="BF301">
        <f t="shared" si="239"/>
        <v>-21.789973319348562</v>
      </c>
      <c r="BG301">
        <f t="shared" si="240"/>
        <v>-171.51354844958928</v>
      </c>
      <c r="BH301">
        <f t="shared" si="255"/>
        <v>8.4864515504107203</v>
      </c>
      <c r="BI301">
        <f t="shared" si="256"/>
        <v>8.4864515504107203</v>
      </c>
      <c r="BJ301">
        <f t="shared" si="241"/>
        <v>0</v>
      </c>
      <c r="BK301">
        <f t="shared" si="257"/>
        <v>0</v>
      </c>
      <c r="BM301">
        <f t="shared" si="258"/>
        <v>-34.911964445137031</v>
      </c>
      <c r="BN301">
        <f t="shared" si="242"/>
        <v>-176.18939692263311</v>
      </c>
      <c r="BQ301" s="56">
        <f t="shared" si="259"/>
        <v>30.0239519260736</v>
      </c>
      <c r="BR301" s="59"/>
      <c r="BS301" s="59"/>
      <c r="BT301" s="59">
        <v>81283.051999999996</v>
      </c>
      <c r="BU301" s="59">
        <v>4.4202000000000004</v>
      </c>
      <c r="BV301" s="59">
        <v>-130.05699999999999</v>
      </c>
      <c r="BY301" s="59"/>
      <c r="BZ301" s="59"/>
      <c r="CA301" s="59"/>
      <c r="CC301" s="59"/>
    </row>
    <row r="302" spans="1:81" x14ac:dyDescent="0.2">
      <c r="A302">
        <f t="shared" si="263"/>
        <v>440000</v>
      </c>
      <c r="B302">
        <f t="shared" si="243"/>
        <v>440</v>
      </c>
      <c r="C302">
        <f t="shared" si="212"/>
        <v>1.0015274377930414</v>
      </c>
      <c r="D302">
        <f t="shared" si="213"/>
        <v>5.523578734767242E-2</v>
      </c>
      <c r="F302">
        <f t="shared" si="214"/>
        <v>1.1687582794659055E-3</v>
      </c>
      <c r="G302">
        <f t="shared" si="215"/>
        <v>1.1762694447478706E-2</v>
      </c>
      <c r="H302">
        <f t="shared" si="216"/>
        <v>-3.1298299555525215</v>
      </c>
      <c r="J302">
        <f t="shared" si="217"/>
        <v>15</v>
      </c>
      <c r="M302">
        <f t="shared" si="218"/>
        <v>4.1248059152818482E-3</v>
      </c>
      <c r="N302">
        <f t="shared" si="219"/>
        <v>-1.5707963250000001</v>
      </c>
      <c r="O302">
        <f t="shared" si="220"/>
        <v>52.517598378545941</v>
      </c>
      <c r="P302">
        <f t="shared" si="221"/>
        <v>1.5517539396932218</v>
      </c>
      <c r="Q302">
        <f t="shared" si="222"/>
        <v>34.285803413555101</v>
      </c>
      <c r="R302">
        <f t="shared" si="223"/>
        <v>1.541625599076792</v>
      </c>
      <c r="S302">
        <f t="shared" si="224"/>
        <v>0.99840721080300932</v>
      </c>
      <c r="T302">
        <f t="shared" si="225"/>
        <v>-5.6448422586427169E-2</v>
      </c>
      <c r="U302">
        <f t="shared" si="226"/>
        <v>0.74335476328598682</v>
      </c>
      <c r="V302">
        <f t="shared" si="227"/>
        <v>-0.73272448401871182</v>
      </c>
      <c r="X302">
        <f t="shared" si="244"/>
        <v>-20.283892887873549</v>
      </c>
      <c r="Y302">
        <f t="shared" si="228"/>
        <v>-134.13995445501041</v>
      </c>
      <c r="Z302">
        <f t="shared" si="245"/>
        <v>45.860045544989589</v>
      </c>
      <c r="AC302">
        <v>1</v>
      </c>
      <c r="AD302">
        <f t="shared" si="229"/>
        <v>52.508076897275998</v>
      </c>
      <c r="AE302">
        <f t="shared" si="230"/>
        <v>-9.8711458686156477E-3</v>
      </c>
      <c r="AF302">
        <f t="shared" si="231"/>
        <v>1.0969938878976002E-2</v>
      </c>
      <c r="AG302">
        <f t="shared" si="246"/>
        <v>2599.603455714358</v>
      </c>
      <c r="AH302">
        <f t="shared" si="247"/>
        <v>-2430.3749734658909</v>
      </c>
      <c r="AJ302">
        <f t="shared" si="232"/>
        <v>22100</v>
      </c>
      <c r="AK302">
        <f t="shared" si="233"/>
        <v>1248.8368624411683</v>
      </c>
      <c r="AL302">
        <v>1</v>
      </c>
      <c r="AM302">
        <f t="shared" si="234"/>
        <v>34.271217015346082</v>
      </c>
      <c r="AN302">
        <f t="shared" si="248"/>
        <v>55.209067081407589</v>
      </c>
      <c r="AO302">
        <f t="shared" si="249"/>
        <v>-643.24505672055079</v>
      </c>
      <c r="AQ302">
        <f t="shared" si="235"/>
        <v>1.2913206465384214E-2</v>
      </c>
      <c r="AR302">
        <f t="shared" si="236"/>
        <v>-11.363621689538107</v>
      </c>
      <c r="AT302">
        <f t="shared" si="261"/>
        <v>-27584.292546035835</v>
      </c>
      <c r="AU302">
        <f t="shared" si="262"/>
        <v>-29572.29414737456</v>
      </c>
      <c r="AV302">
        <f t="shared" si="250"/>
        <v>-2.3214268347680562</v>
      </c>
      <c r="AW302">
        <f t="shared" si="251"/>
        <v>-6517.1605712850833</v>
      </c>
      <c r="AX302">
        <f t="shared" si="252"/>
        <v>-6079.6390494478501</v>
      </c>
      <c r="AY302">
        <f t="shared" si="260"/>
        <v>-2.3909132858778492</v>
      </c>
      <c r="BA302">
        <f t="shared" si="237"/>
        <v>4.537397234163473</v>
      </c>
      <c r="BB302">
        <f t="shared" si="253"/>
        <v>13.136136039600119</v>
      </c>
      <c r="BC302">
        <f t="shared" si="254"/>
        <v>6.9486451109793013E-2</v>
      </c>
      <c r="BD302">
        <f t="shared" si="238"/>
        <v>-176.01871961351745</v>
      </c>
      <c r="BF302">
        <f t="shared" si="239"/>
        <v>-21.974287736719056</v>
      </c>
      <c r="BG302">
        <f t="shared" si="240"/>
        <v>-172.1799893684848</v>
      </c>
      <c r="BH302">
        <f t="shared" si="255"/>
        <v>7.8200106315152027</v>
      </c>
      <c r="BI302">
        <f t="shared" si="256"/>
        <v>7.8200106315152027</v>
      </c>
      <c r="BJ302">
        <f t="shared" si="241"/>
        <v>0</v>
      </c>
      <c r="BK302">
        <f t="shared" si="257"/>
        <v>0</v>
      </c>
      <c r="BM302">
        <f t="shared" si="258"/>
        <v>-35.110423776319173</v>
      </c>
      <c r="BN302">
        <f t="shared" si="242"/>
        <v>-176.16126975496738</v>
      </c>
      <c r="BQ302" s="56">
        <f t="shared" si="259"/>
        <v>30.038096839885256</v>
      </c>
      <c r="BR302" s="59"/>
      <c r="BS302" s="59"/>
      <c r="BT302" s="59">
        <v>83176.376999999993</v>
      </c>
      <c r="BU302" s="59">
        <v>4.5639399999999997</v>
      </c>
      <c r="BV302" s="59">
        <v>-130.11600000000001</v>
      </c>
      <c r="BY302" s="59"/>
      <c r="BZ302" s="59"/>
      <c r="CA302" s="59"/>
      <c r="CC302" s="59"/>
    </row>
    <row r="303" spans="1:81" x14ac:dyDescent="0.2">
      <c r="A303">
        <f t="shared" si="263"/>
        <v>445000</v>
      </c>
      <c r="B303">
        <f t="shared" si="243"/>
        <v>445</v>
      </c>
      <c r="C303">
        <f t="shared" si="212"/>
        <v>1.0015623223001626</v>
      </c>
      <c r="D303">
        <f t="shared" si="213"/>
        <v>5.5862169054791806E-2</v>
      </c>
      <c r="F303">
        <f t="shared" si="214"/>
        <v>1.1426134154391247E-3</v>
      </c>
      <c r="G303">
        <f t="shared" si="215"/>
        <v>1.1630236451448514E-2</v>
      </c>
      <c r="H303">
        <f t="shared" si="216"/>
        <v>-3.1299624135485518</v>
      </c>
      <c r="J303">
        <f t="shared" si="217"/>
        <v>15</v>
      </c>
      <c r="M303">
        <f t="shared" si="218"/>
        <v>4.0784597814022775E-3</v>
      </c>
      <c r="N303">
        <f t="shared" si="219"/>
        <v>-1.5707963250000001</v>
      </c>
      <c r="O303">
        <f t="shared" si="220"/>
        <v>53.114174106695309</v>
      </c>
      <c r="P303">
        <f t="shared" si="221"/>
        <v>1.5519678482478645</v>
      </c>
      <c r="Q303">
        <f t="shared" si="222"/>
        <v>34.675085237897484</v>
      </c>
      <c r="R303">
        <f t="shared" si="223"/>
        <v>1.541953177278675</v>
      </c>
      <c r="S303">
        <f t="shared" si="224"/>
        <v>0.99837089428279102</v>
      </c>
      <c r="T303">
        <f t="shared" si="225"/>
        <v>-5.7088496921481664E-2</v>
      </c>
      <c r="U303">
        <f t="shared" si="226"/>
        <v>0.73958271221231242</v>
      </c>
      <c r="V303">
        <f t="shared" si="227"/>
        <v>-0.73834616060053881</v>
      </c>
      <c r="X303">
        <f t="shared" si="244"/>
        <v>-20.42657254190906</v>
      </c>
      <c r="Y303">
        <f t="shared" si="228"/>
        <v>-134.43940170539403</v>
      </c>
      <c r="Z303">
        <f t="shared" si="245"/>
        <v>45.560598294605967</v>
      </c>
      <c r="AC303">
        <v>1</v>
      </c>
      <c r="AD303">
        <f t="shared" si="229"/>
        <v>53.104759589290495</v>
      </c>
      <c r="AE303">
        <f t="shared" si="230"/>
        <v>-1.0096764775994905E-2</v>
      </c>
      <c r="AF303">
        <f t="shared" si="231"/>
        <v>1.1094597275328001E-2</v>
      </c>
      <c r="AG303">
        <f t="shared" si="246"/>
        <v>2573.2877359353711</v>
      </c>
      <c r="AH303">
        <f t="shared" si="247"/>
        <v>-2431.9838116786655</v>
      </c>
      <c r="AJ303">
        <f t="shared" si="232"/>
        <v>22100</v>
      </c>
      <c r="AK303">
        <f t="shared" si="233"/>
        <v>1263.0281904234541</v>
      </c>
      <c r="AL303">
        <v>1</v>
      </c>
      <c r="AM303">
        <f t="shared" si="234"/>
        <v>34.660662663247741</v>
      </c>
      <c r="AN303">
        <f t="shared" si="248"/>
        <v>54.790004550214704</v>
      </c>
      <c r="AO303">
        <f t="shared" si="249"/>
        <v>-636.02967460934644</v>
      </c>
      <c r="AQ303">
        <f t="shared" si="235"/>
        <v>1.2624652664243575E-2</v>
      </c>
      <c r="AR303">
        <f t="shared" si="236"/>
        <v>-11.235940871176782</v>
      </c>
      <c r="AT303">
        <f t="shared" si="261"/>
        <v>-27293.139443809272</v>
      </c>
      <c r="AU303">
        <f t="shared" si="262"/>
        <v>-28944.011796401708</v>
      </c>
      <c r="AV303">
        <f t="shared" si="250"/>
        <v>-2.3268473709096829</v>
      </c>
      <c r="AW303">
        <f t="shared" si="251"/>
        <v>-6362.3680426113242</v>
      </c>
      <c r="AX303">
        <f t="shared" si="252"/>
        <v>-6014.2005362076825</v>
      </c>
      <c r="AY303">
        <f t="shared" si="260"/>
        <v>-2.3843182553077251</v>
      </c>
      <c r="BA303">
        <f t="shared" si="237"/>
        <v>4.5440000918671153</v>
      </c>
      <c r="BB303">
        <f t="shared" si="253"/>
        <v>13.148766629663919</v>
      </c>
      <c r="BC303">
        <f t="shared" si="254"/>
        <v>5.7470884398042266E-2</v>
      </c>
      <c r="BD303">
        <f t="shared" si="238"/>
        <v>-176.70716087534532</v>
      </c>
      <c r="BF303">
        <f t="shared" si="239"/>
        <v>-22.157862243363574</v>
      </c>
      <c r="BG303">
        <f t="shared" si="240"/>
        <v>-172.84013088623348</v>
      </c>
      <c r="BH303">
        <f t="shared" si="255"/>
        <v>7.1598691137665185</v>
      </c>
      <c r="BI303">
        <f t="shared" si="256"/>
        <v>7.1598691137665185</v>
      </c>
      <c r="BJ303">
        <f t="shared" si="241"/>
        <v>0</v>
      </c>
      <c r="BK303">
        <f t="shared" si="257"/>
        <v>0</v>
      </c>
      <c r="BM303">
        <f t="shared" si="258"/>
        <v>-35.306628873027492</v>
      </c>
      <c r="BN303">
        <f t="shared" si="242"/>
        <v>-176.13297001088819</v>
      </c>
      <c r="BQ303" s="56">
        <f t="shared" si="259"/>
        <v>30.050727429949053</v>
      </c>
      <c r="BR303" s="59"/>
      <c r="BS303" s="59"/>
      <c r="BT303" s="59">
        <v>85113.804000000004</v>
      </c>
      <c r="BU303" s="59">
        <v>4.7605300000000002</v>
      </c>
      <c r="BV303" s="59">
        <v>-129.97300000000001</v>
      </c>
      <c r="BY303" s="59"/>
      <c r="BZ303" s="59"/>
      <c r="CA303" s="59"/>
      <c r="CC303" s="59"/>
    </row>
    <row r="304" spans="1:81" x14ac:dyDescent="0.2">
      <c r="A304">
        <f t="shared" si="263"/>
        <v>450000</v>
      </c>
      <c r="B304">
        <f t="shared" si="243"/>
        <v>450</v>
      </c>
      <c r="C304">
        <f t="shared" si="212"/>
        <v>1.0015975997468469</v>
      </c>
      <c r="D304">
        <f t="shared" si="213"/>
        <v>5.648850688384064E-2</v>
      </c>
      <c r="F304">
        <f t="shared" si="214"/>
        <v>1.1173364223858923E-3</v>
      </c>
      <c r="G304">
        <f t="shared" si="215"/>
        <v>1.150073158051943E-2</v>
      </c>
      <c r="H304">
        <f t="shared" si="216"/>
        <v>-3.1300919184194806</v>
      </c>
      <c r="J304">
        <f t="shared" si="217"/>
        <v>15</v>
      </c>
      <c r="M304">
        <f t="shared" si="218"/>
        <v>4.0331435616089185E-3</v>
      </c>
      <c r="N304">
        <f t="shared" si="219"/>
        <v>-1.5707963250000001</v>
      </c>
      <c r="O304">
        <f t="shared" si="220"/>
        <v>53.710752211194489</v>
      </c>
      <c r="P304">
        <f t="shared" si="221"/>
        <v>1.5521770049454755</v>
      </c>
      <c r="Q304">
        <f t="shared" si="222"/>
        <v>35.064370700517415</v>
      </c>
      <c r="R304">
        <f t="shared" si="223"/>
        <v>1.5422734819525967</v>
      </c>
      <c r="S304">
        <f t="shared" si="224"/>
        <v>0.99833417143651937</v>
      </c>
      <c r="T304">
        <f t="shared" si="225"/>
        <v>-5.7728524431323133E-2</v>
      </c>
      <c r="U304">
        <f t="shared" si="226"/>
        <v>0.73582584633212411</v>
      </c>
      <c r="V304">
        <f t="shared" si="227"/>
        <v>-0.7439108985881151</v>
      </c>
      <c r="X304">
        <f t="shared" si="244"/>
        <v>-20.568191396419174</v>
      </c>
      <c r="Y304">
        <f t="shared" si="228"/>
        <v>-134.73610624797618</v>
      </c>
      <c r="Z304">
        <f t="shared" si="245"/>
        <v>45.263893752023819</v>
      </c>
      <c r="AC304">
        <v>1</v>
      </c>
      <c r="AD304">
        <f t="shared" si="229"/>
        <v>53.701442281304999</v>
      </c>
      <c r="AE304">
        <f t="shared" si="230"/>
        <v>-1.032493304955924E-2</v>
      </c>
      <c r="AF304">
        <f t="shared" si="231"/>
        <v>1.1219255671680002E-2</v>
      </c>
      <c r="AG304">
        <f t="shared" si="246"/>
        <v>2547.2110235019823</v>
      </c>
      <c r="AH304">
        <f t="shared" si="247"/>
        <v>-2433.2971883035166</v>
      </c>
      <c r="AJ304">
        <f t="shared" si="232"/>
        <v>22100</v>
      </c>
      <c r="AK304">
        <f t="shared" si="233"/>
        <v>1277.21951840574</v>
      </c>
      <c r="AL304">
        <v>1</v>
      </c>
      <c r="AM304">
        <f t="shared" si="234"/>
        <v>35.050108311149401</v>
      </c>
      <c r="AN304">
        <f t="shared" si="248"/>
        <v>54.384817870479893</v>
      </c>
      <c r="AO304">
        <f t="shared" si="249"/>
        <v>-628.97423843671368</v>
      </c>
      <c r="AQ304">
        <f t="shared" si="235"/>
        <v>1.2345663770785468E-2</v>
      </c>
      <c r="AR304">
        <f t="shared" si="236"/>
        <v>-11.111097393706922</v>
      </c>
      <c r="AT304">
        <f t="shared" si="261"/>
        <v>-27005.155036224191</v>
      </c>
      <c r="AU304">
        <f t="shared" si="262"/>
        <v>-28332.350433395612</v>
      </c>
      <c r="AV304">
        <f t="shared" si="250"/>
        <v>-2.3322154365785686</v>
      </c>
      <c r="AW304">
        <f t="shared" si="251"/>
        <v>-6212.8696371586593</v>
      </c>
      <c r="AX304">
        <f t="shared" si="252"/>
        <v>-5950.3057295148119</v>
      </c>
      <c r="AY304">
        <f t="shared" si="260"/>
        <v>-2.3777779276683466</v>
      </c>
      <c r="BA304">
        <f t="shared" si="237"/>
        <v>4.5498419992093337</v>
      </c>
      <c r="BB304">
        <f t="shared" si="253"/>
        <v>13.159926306491872</v>
      </c>
      <c r="BC304">
        <f t="shared" si="254"/>
        <v>4.5562491089778057E-2</v>
      </c>
      <c r="BD304">
        <f t="shared" si="238"/>
        <v>-177.38946155347031</v>
      </c>
      <c r="BF304">
        <f t="shared" si="239"/>
        <v>-22.340703891807344</v>
      </c>
      <c r="BG304">
        <f t="shared" si="240"/>
        <v>-173.4939651327027</v>
      </c>
      <c r="BH304">
        <f t="shared" si="255"/>
        <v>6.5060348672973021</v>
      </c>
      <c r="BI304">
        <f t="shared" si="256"/>
        <v>6.5060348672973021</v>
      </c>
      <c r="BJ304">
        <f t="shared" si="241"/>
        <v>0</v>
      </c>
      <c r="BK304">
        <f t="shared" si="257"/>
        <v>0</v>
      </c>
      <c r="BM304">
        <f t="shared" si="258"/>
        <v>-35.500630198299213</v>
      </c>
      <c r="BN304">
        <f t="shared" si="242"/>
        <v>-176.10450357923241</v>
      </c>
      <c r="BQ304" s="56">
        <f t="shared" si="259"/>
        <v>30.061887106777007</v>
      </c>
      <c r="BR304" s="59"/>
      <c r="BS304" s="59"/>
      <c r="BT304" s="59">
        <v>87096.358999999997</v>
      </c>
      <c r="BU304" s="59">
        <v>4.9475499999999997</v>
      </c>
      <c r="BV304" s="59">
        <v>-129.96199999999999</v>
      </c>
      <c r="BY304" s="59"/>
      <c r="BZ304" s="59"/>
      <c r="CA304" s="59"/>
      <c r="CC304" s="59"/>
    </row>
    <row r="305" spans="1:81" x14ac:dyDescent="0.2">
      <c r="A305">
        <f t="shared" si="263"/>
        <v>455000</v>
      </c>
      <c r="B305">
        <f t="shared" si="243"/>
        <v>455</v>
      </c>
      <c r="C305">
        <f t="shared" si="212"/>
        <v>1.0016332700915769</v>
      </c>
      <c r="D305">
        <f t="shared" si="213"/>
        <v>5.7114800348057763E-2</v>
      </c>
      <c r="F305">
        <f t="shared" si="214"/>
        <v>1.0928892965379707E-3</v>
      </c>
      <c r="G305">
        <f t="shared" si="215"/>
        <v>1.1374082062563365E-2</v>
      </c>
      <c r="H305">
        <f t="shared" si="216"/>
        <v>-3.1302185679374368</v>
      </c>
      <c r="J305">
        <f t="shared" si="217"/>
        <v>15</v>
      </c>
      <c r="M305">
        <f t="shared" si="218"/>
        <v>3.9888233026901393E-3</v>
      </c>
      <c r="N305">
        <f t="shared" si="219"/>
        <v>-1.5707963250000001</v>
      </c>
      <c r="O305">
        <f t="shared" si="220"/>
        <v>54.30733261372928</v>
      </c>
      <c r="P305">
        <f t="shared" si="221"/>
        <v>1.5523815663686629</v>
      </c>
      <c r="Q305">
        <f t="shared" si="222"/>
        <v>35.453659681568723</v>
      </c>
      <c r="R305">
        <f t="shared" si="223"/>
        <v>1.5425867526265369</v>
      </c>
      <c r="S305">
        <f t="shared" si="224"/>
        <v>0.99829704239928296</v>
      </c>
      <c r="T305">
        <f t="shared" si="225"/>
        <v>-5.8368504596792069E-2</v>
      </c>
      <c r="U305">
        <f t="shared" si="226"/>
        <v>0.73208462813744402</v>
      </c>
      <c r="V305">
        <f t="shared" si="227"/>
        <v>-0.74941921922471433</v>
      </c>
      <c r="X305">
        <f t="shared" si="244"/>
        <v>-20.708768243943506</v>
      </c>
      <c r="Y305">
        <f t="shared" si="228"/>
        <v>-135.03008085240569</v>
      </c>
      <c r="Z305">
        <f t="shared" si="245"/>
        <v>44.969919147594311</v>
      </c>
      <c r="AC305">
        <v>1</v>
      </c>
      <c r="AD305">
        <f t="shared" si="229"/>
        <v>54.298124973319503</v>
      </c>
      <c r="AE305">
        <f t="shared" si="230"/>
        <v>-1.055565068930865E-2</v>
      </c>
      <c r="AF305">
        <f t="shared" si="231"/>
        <v>1.1343914068032002E-2</v>
      </c>
      <c r="AG305">
        <f t="shared" si="246"/>
        <v>2521.3748938338003</v>
      </c>
      <c r="AH305">
        <f t="shared" si="247"/>
        <v>-2434.3231507652827</v>
      </c>
      <c r="AJ305">
        <f t="shared" si="232"/>
        <v>22100</v>
      </c>
      <c r="AK305">
        <f t="shared" si="233"/>
        <v>1291.4108463880261</v>
      </c>
      <c r="AL305">
        <v>1</v>
      </c>
      <c r="AM305">
        <f t="shared" si="234"/>
        <v>35.439553959051061</v>
      </c>
      <c r="AN305">
        <f t="shared" si="248"/>
        <v>53.992901291903749</v>
      </c>
      <c r="AO305">
        <f t="shared" si="249"/>
        <v>-622.07349235211439</v>
      </c>
      <c r="AQ305">
        <f t="shared" si="235"/>
        <v>1.207582166909592E-2</v>
      </c>
      <c r="AR305">
        <f t="shared" si="236"/>
        <v>-10.988997718877286</v>
      </c>
      <c r="AT305">
        <f t="shared" si="261"/>
        <v>-26720.323877190986</v>
      </c>
      <c r="AU305">
        <f t="shared" si="262"/>
        <v>-27736.779409027684</v>
      </c>
      <c r="AV305">
        <f t="shared" si="250"/>
        <v>-2.3375314057892815</v>
      </c>
      <c r="AW305">
        <f t="shared" si="251"/>
        <v>-6068.4310446708778</v>
      </c>
      <c r="AX305">
        <f t="shared" si="252"/>
        <v>-5887.8964252659653</v>
      </c>
      <c r="AY305">
        <f t="shared" si="260"/>
        <v>-2.3712928472257406</v>
      </c>
      <c r="BA305">
        <f t="shared" si="237"/>
        <v>4.5549422096240297</v>
      </c>
      <c r="BB305">
        <f t="shared" si="253"/>
        <v>13.169657425519068</v>
      </c>
      <c r="BC305">
        <f t="shared" si="254"/>
        <v>3.3761441436459094E-2</v>
      </c>
      <c r="BD305">
        <f t="shared" si="238"/>
        <v>-178.06561189320243</v>
      </c>
      <c r="BF305">
        <f t="shared" si="239"/>
        <v>-22.522819109722768</v>
      </c>
      <c r="BG305">
        <f t="shared" si="240"/>
        <v>-174.14148798302207</v>
      </c>
      <c r="BH305">
        <f t="shared" si="255"/>
        <v>5.8585120169779259</v>
      </c>
      <c r="BI305">
        <f t="shared" si="256"/>
        <v>5.8585120169779259</v>
      </c>
      <c r="BJ305">
        <f t="shared" si="241"/>
        <v>0</v>
      </c>
      <c r="BK305">
        <f t="shared" si="257"/>
        <v>0</v>
      </c>
      <c r="BM305">
        <f t="shared" si="258"/>
        <v>-35.692476535241838</v>
      </c>
      <c r="BN305">
        <f t="shared" si="242"/>
        <v>-176.07587608981964</v>
      </c>
      <c r="BQ305" s="56">
        <f t="shared" si="259"/>
        <v>30.071618225804208</v>
      </c>
      <c r="BR305" s="59"/>
      <c r="BS305" s="59"/>
      <c r="BT305" s="59">
        <v>89125.093999999997</v>
      </c>
      <c r="BU305" s="59">
        <v>5.2143100000000002</v>
      </c>
      <c r="BV305" s="59">
        <v>-129.73099999999999</v>
      </c>
      <c r="BY305" s="59"/>
      <c r="BZ305" s="59"/>
      <c r="CA305" s="59"/>
      <c r="CC305" s="59"/>
    </row>
    <row r="306" spans="1:81" x14ac:dyDescent="0.2">
      <c r="A306">
        <f t="shared" si="263"/>
        <v>460000</v>
      </c>
      <c r="B306">
        <f t="shared" si="243"/>
        <v>460</v>
      </c>
      <c r="C306">
        <f t="shared" si="212"/>
        <v>1.0016693332923776</v>
      </c>
      <c r="D306">
        <f t="shared" si="213"/>
        <v>5.7741048960890197E-2</v>
      </c>
      <c r="F306">
        <f t="shared" si="214"/>
        <v>1.0692360924774462E-3</v>
      </c>
      <c r="G306">
        <f t="shared" si="215"/>
        <v>1.1250194398718782E-2</v>
      </c>
      <c r="H306">
        <f t="shared" si="216"/>
        <v>-3.1303424556012813</v>
      </c>
      <c r="J306">
        <f t="shared" si="217"/>
        <v>15</v>
      </c>
      <c r="M306">
        <f t="shared" si="218"/>
        <v>3.9454665276608993E-3</v>
      </c>
      <c r="N306">
        <f t="shared" si="219"/>
        <v>-1.5707963250000001</v>
      </c>
      <c r="O306">
        <f t="shared" si="220"/>
        <v>54.903915239389022</v>
      </c>
      <c r="P306">
        <f t="shared" si="221"/>
        <v>1.552581682295944</v>
      </c>
      <c r="Q306">
        <f t="shared" si="222"/>
        <v>35.842952066410746</v>
      </c>
      <c r="R306">
        <f t="shared" si="223"/>
        <v>1.5428932184280302</v>
      </c>
      <c r="S306">
        <f t="shared" si="224"/>
        <v>0.99825950730763724</v>
      </c>
      <c r="T306">
        <f t="shared" si="225"/>
        <v>-5.9008436898960868E-2</v>
      </c>
      <c r="U306">
        <f t="shared" si="226"/>
        <v>0.72835949608543626</v>
      </c>
      <c r="V306">
        <f t="shared" si="227"/>
        <v>-0.75487164693366249</v>
      </c>
      <c r="X306">
        <f t="shared" si="244"/>
        <v>-20.848321221074517</v>
      </c>
      <c r="Y306">
        <f t="shared" si="228"/>
        <v>-135.32133921144333</v>
      </c>
      <c r="Z306">
        <f t="shared" si="245"/>
        <v>44.67866078855667</v>
      </c>
      <c r="AC306">
        <v>1</v>
      </c>
      <c r="AD306">
        <f t="shared" si="229"/>
        <v>54.894807665334</v>
      </c>
      <c r="AE306">
        <f t="shared" si="230"/>
        <v>-1.0788917695243138E-2</v>
      </c>
      <c r="AF306">
        <f t="shared" si="231"/>
        <v>1.1468572464384002E-2</v>
      </c>
      <c r="AG306">
        <f t="shared" si="246"/>
        <v>2495.7806992918554</v>
      </c>
      <c r="AH306">
        <f t="shared" si="247"/>
        <v>-2435.0696337110503</v>
      </c>
      <c r="AJ306">
        <f t="shared" si="232"/>
        <v>22100</v>
      </c>
      <c r="AK306">
        <f t="shared" si="233"/>
        <v>1305.6021743703122</v>
      </c>
      <c r="AL306">
        <v>1</v>
      </c>
      <c r="AM306">
        <f t="shared" si="234"/>
        <v>35.828999606952721</v>
      </c>
      <c r="AN306">
        <f t="shared" si="248"/>
        <v>53.613681753632591</v>
      </c>
      <c r="AO306">
        <f t="shared" si="249"/>
        <v>-615.322408107878</v>
      </c>
      <c r="AQ306">
        <f t="shared" si="235"/>
        <v>1.1814730842709308E-2</v>
      </c>
      <c r="AR306">
        <f t="shared" si="236"/>
        <v>-10.869552375292562</v>
      </c>
      <c r="AT306">
        <f t="shared" si="261"/>
        <v>-26438.629943902175</v>
      </c>
      <c r="AU306">
        <f t="shared" si="262"/>
        <v>-27156.788720502671</v>
      </c>
      <c r="AV306">
        <f t="shared" si="250"/>
        <v>-2.3427956621338426</v>
      </c>
      <c r="AW306">
        <f t="shared" si="251"/>
        <v>-5928.8306355501263</v>
      </c>
      <c r="AX306">
        <f t="shared" si="252"/>
        <v>-5826.9173795104407</v>
      </c>
      <c r="AY306">
        <f t="shared" si="260"/>
        <v>-2.3648635006976786</v>
      </c>
      <c r="BA306">
        <f t="shared" si="237"/>
        <v>4.559319904438115</v>
      </c>
      <c r="BB306">
        <f t="shared" si="253"/>
        <v>13.178001310404641</v>
      </c>
      <c r="BC306">
        <f t="shared" si="254"/>
        <v>2.2067838563835984E-2</v>
      </c>
      <c r="BD306">
        <f t="shared" si="238"/>
        <v>-178.73560598587139</v>
      </c>
      <c r="BF306">
        <f t="shared" si="239"/>
        <v>-22.704213750453629</v>
      </c>
      <c r="BG306">
        <f t="shared" si="240"/>
        <v>-174.78269891348896</v>
      </c>
      <c r="BH306">
        <f t="shared" si="255"/>
        <v>5.2173010865110427</v>
      </c>
      <c r="BI306">
        <f t="shared" si="256"/>
        <v>5.2173010865110427</v>
      </c>
      <c r="BJ306">
        <f t="shared" si="241"/>
        <v>0</v>
      </c>
      <c r="BK306">
        <f t="shared" si="257"/>
        <v>0</v>
      </c>
      <c r="BM306">
        <f t="shared" si="258"/>
        <v>-35.882215060858272</v>
      </c>
      <c r="BN306">
        <f t="shared" si="242"/>
        <v>-176.0470929276176</v>
      </c>
      <c r="BQ306" s="56">
        <f t="shared" si="259"/>
        <v>30.079962110689777</v>
      </c>
      <c r="BR306" s="59"/>
      <c r="BS306" s="59"/>
      <c r="BT306" s="59">
        <v>91201.084000000003</v>
      </c>
      <c r="BU306" s="59">
        <v>5.4050900000000004</v>
      </c>
      <c r="BV306" s="59">
        <v>-129.68299999999999</v>
      </c>
      <c r="BY306" s="59"/>
      <c r="BZ306" s="59"/>
      <c r="CA306" s="59"/>
      <c r="CC306" s="59"/>
    </row>
    <row r="307" spans="1:81" x14ac:dyDescent="0.2">
      <c r="A307">
        <f t="shared" si="263"/>
        <v>465000</v>
      </c>
      <c r="B307">
        <f t="shared" si="243"/>
        <v>465</v>
      </c>
      <c r="C307">
        <f t="shared" si="212"/>
        <v>1.0017057893068191</v>
      </c>
      <c r="D307">
        <f t="shared" si="213"/>
        <v>5.8367252235995357E-2</v>
      </c>
      <c r="F307">
        <f t="shared" si="214"/>
        <v>1.0463427907481725E-3</v>
      </c>
      <c r="G307">
        <f t="shared" si="215"/>
        <v>1.1128979132226116E-2</v>
      </c>
      <c r="H307">
        <f t="shared" si="216"/>
        <v>-3.130463670867774</v>
      </c>
      <c r="J307">
        <f t="shared" si="217"/>
        <v>15</v>
      </c>
      <c r="M307">
        <f t="shared" si="218"/>
        <v>3.9030421563957273E-3</v>
      </c>
      <c r="N307">
        <f t="shared" si="219"/>
        <v>-1.5707963250000001</v>
      </c>
      <c r="O307">
        <f t="shared" si="220"/>
        <v>55.500500016483663</v>
      </c>
      <c r="P307">
        <f t="shared" si="221"/>
        <v>1.5527774960673126</v>
      </c>
      <c r="Q307">
        <f t="shared" si="222"/>
        <v>36.232247745328799</v>
      </c>
      <c r="R307">
        <f t="shared" si="223"/>
        <v>1.5431930986424545</v>
      </c>
      <c r="S307">
        <f t="shared" si="224"/>
        <v>0.9982215662996039</v>
      </c>
      <c r="T307">
        <f t="shared" si="225"/>
        <v>-5.9648320819136368E-2</v>
      </c>
      <c r="U307">
        <f t="shared" si="226"/>
        <v>0.72465086528983069</v>
      </c>
      <c r="V307">
        <f t="shared" si="227"/>
        <v>-0.76026870884398523</v>
      </c>
      <c r="X307">
        <f t="shared" si="244"/>
        <v>-20.986867841725815</v>
      </c>
      <c r="Y307">
        <f t="shared" si="228"/>
        <v>-135.6098958740956</v>
      </c>
      <c r="Z307">
        <f t="shared" si="245"/>
        <v>44.390104125904401</v>
      </c>
      <c r="AC307">
        <v>1</v>
      </c>
      <c r="AD307">
        <f t="shared" si="229"/>
        <v>55.491490357348503</v>
      </c>
      <c r="AE307">
        <f t="shared" si="230"/>
        <v>-1.10247340673627E-2</v>
      </c>
      <c r="AF307">
        <f t="shared" si="231"/>
        <v>1.1593230860736003E-2</v>
      </c>
      <c r="AG307">
        <f t="shared" si="246"/>
        <v>2470.4295787773017</v>
      </c>
      <c r="AH307">
        <f t="shared" si="247"/>
        <v>-2435.5444549798294</v>
      </c>
      <c r="AJ307">
        <f t="shared" si="232"/>
        <v>22100</v>
      </c>
      <c r="AK307">
        <f t="shared" si="233"/>
        <v>1319.7935023525984</v>
      </c>
      <c r="AL307">
        <v>1</v>
      </c>
      <c r="AM307">
        <f t="shared" si="234"/>
        <v>36.218445254854387</v>
      </c>
      <c r="AN307">
        <f t="shared" si="248"/>
        <v>53.246616790498905</v>
      </c>
      <c r="AO307">
        <f t="shared" si="249"/>
        <v>-608.71617288029665</v>
      </c>
      <c r="AQ307">
        <f t="shared" si="235"/>
        <v>1.1562016924480374E-2</v>
      </c>
      <c r="AR307">
        <f t="shared" si="236"/>
        <v>-10.752675739766747</v>
      </c>
      <c r="AT307">
        <f t="shared" si="261"/>
        <v>-26160.056625584479</v>
      </c>
      <c r="AU307">
        <f t="shared" si="262"/>
        <v>-26591.888004729677</v>
      </c>
      <c r="AV307">
        <f t="shared" si="250"/>
        <v>-2.3480085979636707</v>
      </c>
      <c r="AW307">
        <f t="shared" si="251"/>
        <v>-5793.8586499734665</v>
      </c>
      <c r="AX307">
        <f t="shared" si="252"/>
        <v>-5767.3161234030185</v>
      </c>
      <c r="AY307">
        <f t="shared" si="260"/>
        <v>-2.3584903191592965</v>
      </c>
      <c r="BA307">
        <f t="shared" si="237"/>
        <v>4.5629941687545443</v>
      </c>
      <c r="BB307">
        <f t="shared" si="253"/>
        <v>13.184998275390354</v>
      </c>
      <c r="BC307">
        <f t="shared" si="254"/>
        <v>1.0481721195625848E-2</v>
      </c>
      <c r="BD307">
        <f t="shared" si="238"/>
        <v>-179.39944161277157</v>
      </c>
      <c r="BF307">
        <f t="shared" si="239"/>
        <v>-22.884893140466403</v>
      </c>
      <c r="BG307">
        <f t="shared" si="240"/>
        <v>-175.41760085875788</v>
      </c>
      <c r="BH307">
        <f t="shared" si="255"/>
        <v>4.5823991412421208</v>
      </c>
      <c r="BI307">
        <f t="shared" si="256"/>
        <v>4.5823991412421208</v>
      </c>
      <c r="BJ307">
        <f t="shared" si="241"/>
        <v>0</v>
      </c>
      <c r="BK307">
        <f t="shared" si="257"/>
        <v>0</v>
      </c>
      <c r="BM307">
        <f t="shared" si="258"/>
        <v>-36.069891415856759</v>
      </c>
      <c r="BN307">
        <f t="shared" si="242"/>
        <v>-176.01815924598631</v>
      </c>
      <c r="BQ307" s="56">
        <f t="shared" si="259"/>
        <v>30.086959075675491</v>
      </c>
      <c r="BR307" s="59"/>
      <c r="BS307" s="59"/>
      <c r="BT307" s="59">
        <v>93325.43</v>
      </c>
      <c r="BU307" s="59">
        <v>5.6014999999999997</v>
      </c>
      <c r="BV307" s="59">
        <v>-129.64400000000001</v>
      </c>
      <c r="BY307" s="59"/>
      <c r="BZ307" s="59"/>
      <c r="CA307" s="59"/>
      <c r="CC307" s="59"/>
    </row>
    <row r="308" spans="1:81" x14ac:dyDescent="0.2">
      <c r="A308">
        <f t="shared" si="263"/>
        <v>470000</v>
      </c>
      <c r="B308">
        <f t="shared" si="243"/>
        <v>470</v>
      </c>
      <c r="C308">
        <f t="shared" si="212"/>
        <v>1.0017426380920147</v>
      </c>
      <c r="D308">
        <f t="shared" si="213"/>
        <v>5.8993409687243294E-2</v>
      </c>
      <c r="F308">
        <f t="shared" si="214"/>
        <v>1.0241771752989696E-3</v>
      </c>
      <c r="G308">
        <f t="shared" si="215"/>
        <v>1.1010350632122605E-2</v>
      </c>
      <c r="H308">
        <f t="shared" si="216"/>
        <v>-3.1305822993678776</v>
      </c>
      <c r="J308">
        <f t="shared" si="217"/>
        <v>15</v>
      </c>
      <c r="M308">
        <f t="shared" si="218"/>
        <v>3.8615204313276882E-3</v>
      </c>
      <c r="N308">
        <f t="shared" si="219"/>
        <v>-1.5707963250000001</v>
      </c>
      <c r="O308">
        <f t="shared" si="220"/>
        <v>56.097086876372572</v>
      </c>
      <c r="P308">
        <f t="shared" si="221"/>
        <v>1.5529691449264902</v>
      </c>
      <c r="Q308">
        <f t="shared" si="222"/>
        <v>36.621546613272479</v>
      </c>
      <c r="R308">
        <f t="shared" si="223"/>
        <v>1.5434866032357479</v>
      </c>
      <c r="S308">
        <f t="shared" si="224"/>
        <v>0.99818321951466915</v>
      </c>
      <c r="T308">
        <f t="shared" si="225"/>
        <v>-6.0288155838862302E-2</v>
      </c>
      <c r="U308">
        <f t="shared" si="226"/>
        <v>0.72095912820643748</v>
      </c>
      <c r="V308">
        <f t="shared" si="227"/>
        <v>-0.7656109343366766</v>
      </c>
      <c r="X308">
        <f t="shared" si="244"/>
        <v>-21.124425028399347</v>
      </c>
      <c r="Y308">
        <f t="shared" si="228"/>
        <v>-135.8957661824515</v>
      </c>
      <c r="Z308">
        <f t="shared" si="245"/>
        <v>44.104233817548504</v>
      </c>
      <c r="AC308">
        <v>1</v>
      </c>
      <c r="AD308">
        <f t="shared" si="229"/>
        <v>56.088173049363</v>
      </c>
      <c r="AE308">
        <f t="shared" si="230"/>
        <v>-1.1263099805667335E-2</v>
      </c>
      <c r="AF308">
        <f t="shared" si="231"/>
        <v>1.1717889257088002E-2</v>
      </c>
      <c r="AG308">
        <f t="shared" si="246"/>
        <v>2445.3224671084749</v>
      </c>
      <c r="AH308">
        <f t="shared" si="247"/>
        <v>-2435.7553120600451</v>
      </c>
      <c r="AJ308">
        <f t="shared" si="232"/>
        <v>22100</v>
      </c>
      <c r="AK308">
        <f t="shared" si="233"/>
        <v>1333.9848303348842</v>
      </c>
      <c r="AL308">
        <v>1</v>
      </c>
      <c r="AM308">
        <f t="shared" si="234"/>
        <v>36.607890902756047</v>
      </c>
      <c r="AN308">
        <f t="shared" si="248"/>
        <v>52.891192594025775</v>
      </c>
      <c r="AO308">
        <f t="shared" si="249"/>
        <v>-602.25017786386991</v>
      </c>
      <c r="AQ308">
        <f t="shared" si="235"/>
        <v>1.131732535386447E-2</v>
      </c>
      <c r="AR308">
        <f t="shared" si="236"/>
        <v>-10.638285832632603</v>
      </c>
      <c r="AT308">
        <f t="shared" si="261"/>
        <v>-25884.5867180926</v>
      </c>
      <c r="AU308">
        <f t="shared" si="262"/>
        <v>-26041.605593407279</v>
      </c>
      <c r="AV308">
        <f t="shared" si="250"/>
        <v>-2.3531706136140693</v>
      </c>
      <c r="AW308">
        <f t="shared" si="251"/>
        <v>-5663.3164468119667</v>
      </c>
      <c r="AX308">
        <f t="shared" si="252"/>
        <v>-5709.042791726778</v>
      </c>
      <c r="AY308">
        <f t="shared" si="260"/>
        <v>-2.3521736799508242</v>
      </c>
      <c r="BA308">
        <f t="shared" si="237"/>
        <v>4.5659839687477524</v>
      </c>
      <c r="BB308">
        <f t="shared" si="253"/>
        <v>13.190687646822344</v>
      </c>
      <c r="BC308">
        <f t="shared" si="254"/>
        <v>-9.9693366324515864E-4</v>
      </c>
      <c r="BD308">
        <f t="shared" si="238"/>
        <v>-180.05712009142374</v>
      </c>
      <c r="BF308">
        <f t="shared" si="239"/>
        <v>-23.064862123882747</v>
      </c>
      <c r="BG308">
        <f t="shared" si="240"/>
        <v>-176.04620007049553</v>
      </c>
      <c r="BH308">
        <f t="shared" si="255"/>
        <v>3.9537999295044699</v>
      </c>
      <c r="BI308">
        <f t="shared" si="256"/>
        <v>3.9537999295044699</v>
      </c>
      <c r="BJ308">
        <f t="shared" si="241"/>
        <v>0</v>
      </c>
      <c r="BK308">
        <f t="shared" si="257"/>
        <v>0</v>
      </c>
      <c r="BM308">
        <f t="shared" si="258"/>
        <v>-36.255549770705088</v>
      </c>
      <c r="BN308">
        <f t="shared" si="242"/>
        <v>-175.98907997907179</v>
      </c>
      <c r="BQ308" s="56">
        <f t="shared" si="259"/>
        <v>30.092648447107479</v>
      </c>
      <c r="BR308" s="59"/>
      <c r="BS308" s="59"/>
      <c r="BT308" s="59">
        <v>95499.259000000005</v>
      </c>
      <c r="BU308" s="59">
        <v>5.7946099999999996</v>
      </c>
      <c r="BV308" s="59">
        <v>-129.63</v>
      </c>
      <c r="BY308" s="59"/>
      <c r="BZ308" s="59"/>
      <c r="CA308" s="59"/>
      <c r="CC308" s="59"/>
    </row>
    <row r="309" spans="1:81" x14ac:dyDescent="0.2">
      <c r="A309">
        <f t="shared" si="263"/>
        <v>475000</v>
      </c>
      <c r="B309">
        <f t="shared" si="243"/>
        <v>475</v>
      </c>
      <c r="C309">
        <f t="shared" si="212"/>
        <v>1.001779879604622</v>
      </c>
      <c r="D309">
        <f t="shared" si="213"/>
        <v>5.9619520828718957E-2</v>
      </c>
      <c r="F309">
        <f t="shared" si="214"/>
        <v>1.0027087199326256E-3</v>
      </c>
      <c r="G309">
        <f t="shared" si="215"/>
        <v>1.0894226890693045E-2</v>
      </c>
      <c r="H309">
        <f t="shared" si="216"/>
        <v>-3.1306984231093073</v>
      </c>
      <c r="J309">
        <f t="shared" si="217"/>
        <v>15</v>
      </c>
      <c r="M309">
        <f t="shared" si="218"/>
        <v>3.8208728478400281E-3</v>
      </c>
      <c r="N309">
        <f t="shared" si="219"/>
        <v>-1.5707963250000001</v>
      </c>
      <c r="O309">
        <f t="shared" si="220"/>
        <v>56.693675753304078</v>
      </c>
      <c r="P309">
        <f t="shared" si="221"/>
        <v>1.5531567603415766</v>
      </c>
      <c r="Q309">
        <f t="shared" si="222"/>
        <v>37.01084856961041</v>
      </c>
      <c r="R309">
        <f t="shared" si="223"/>
        <v>1.5437739333441685</v>
      </c>
      <c r="S309">
        <f t="shared" si="224"/>
        <v>0.99814446709378191</v>
      </c>
      <c r="T309">
        <f t="shared" si="225"/>
        <v>-6.0927941439921807E-2</v>
      </c>
      <c r="U309">
        <f t="shared" si="226"/>
        <v>0.71728465531179442</v>
      </c>
      <c r="V309">
        <f t="shared" si="227"/>
        <v>-0.7708988546111043</v>
      </c>
      <c r="X309">
        <f t="shared" si="244"/>
        <v>-21.261009141585738</v>
      </c>
      <c r="Y309">
        <f t="shared" si="228"/>
        <v>-136.1789662120124</v>
      </c>
      <c r="Z309">
        <f t="shared" si="245"/>
        <v>43.821033787987602</v>
      </c>
      <c r="AC309">
        <v>1</v>
      </c>
      <c r="AD309">
        <f t="shared" si="229"/>
        <v>56.684855741377504</v>
      </c>
      <c r="AE309">
        <f t="shared" si="230"/>
        <v>-1.1504014910157052E-2</v>
      </c>
      <c r="AF309">
        <f t="shared" si="231"/>
        <v>1.1842547653440002E-2</v>
      </c>
      <c r="AG309">
        <f t="shared" si="246"/>
        <v>2420.4601041704123</v>
      </c>
      <c r="AH309">
        <f t="shared" si="247"/>
        <v>-2435.7097790050157</v>
      </c>
      <c r="AJ309">
        <f t="shared" si="232"/>
        <v>22100</v>
      </c>
      <c r="AK309">
        <f t="shared" si="233"/>
        <v>1348.1761583171701</v>
      </c>
      <c r="AL309">
        <v>1</v>
      </c>
      <c r="AM309">
        <f t="shared" si="234"/>
        <v>36.9973365506577</v>
      </c>
      <c r="AN309">
        <f t="shared" si="248"/>
        <v>52.546922215261219</v>
      </c>
      <c r="AO309">
        <f t="shared" si="249"/>
        <v>-595.92000758208098</v>
      </c>
      <c r="AQ309">
        <f t="shared" si="235"/>
        <v>1.1080320132609272E-2</v>
      </c>
      <c r="AR309">
        <f t="shared" si="236"/>
        <v>-10.526304125978807</v>
      </c>
      <c r="AT309">
        <f t="shared" si="261"/>
        <v>-25612.202423605009</v>
      </c>
      <c r="AU309">
        <f t="shared" si="262"/>
        <v>-25505.487625397607</v>
      </c>
      <c r="AV309">
        <f t="shared" si="250"/>
        <v>-2.358282116669157</v>
      </c>
      <c r="AW309">
        <f t="shared" si="251"/>
        <v>-5537.0158073614739</v>
      </c>
      <c r="AX309">
        <f t="shared" si="252"/>
        <v>-5652.0499638472866</v>
      </c>
      <c r="AY309">
        <f t="shared" si="260"/>
        <v>-2.3459139085832725</v>
      </c>
      <c r="BA309">
        <f t="shared" si="237"/>
        <v>4.568308130363179</v>
      </c>
      <c r="BB309">
        <f t="shared" si="253"/>
        <v>13.195107783929682</v>
      </c>
      <c r="BC309">
        <f t="shared" si="254"/>
        <v>-1.2368208085884458E-2</v>
      </c>
      <c r="BD309">
        <f t="shared" si="238"/>
        <v>-180.7086461242705</v>
      </c>
      <c r="BF309">
        <f t="shared" si="239"/>
        <v>-23.244125104239576</v>
      </c>
      <c r="BG309">
        <f t="shared" si="240"/>
        <v>-176.66850597768143</v>
      </c>
      <c r="BH309">
        <f t="shared" si="255"/>
        <v>3.3314940223185658</v>
      </c>
      <c r="BI309">
        <f t="shared" si="256"/>
        <v>3.3314940223185658</v>
      </c>
      <c r="BJ309">
        <f t="shared" si="241"/>
        <v>0</v>
      </c>
      <c r="BK309">
        <f t="shared" si="257"/>
        <v>0</v>
      </c>
      <c r="BM309">
        <f t="shared" si="258"/>
        <v>-36.439232888169258</v>
      </c>
      <c r="BN309">
        <f t="shared" si="242"/>
        <v>-175.95985985341093</v>
      </c>
      <c r="BQ309" s="56">
        <f t="shared" si="259"/>
        <v>30.097068584214817</v>
      </c>
      <c r="BR309" s="59"/>
      <c r="BS309" s="59"/>
      <c r="BT309" s="59">
        <v>97723.721999999994</v>
      </c>
      <c r="BU309" s="59">
        <v>5.9855799999999997</v>
      </c>
      <c r="BV309" s="59">
        <v>-129.62100000000001</v>
      </c>
      <c r="BY309" s="59"/>
      <c r="BZ309" s="59"/>
      <c r="CA309" s="59"/>
      <c r="CC309" s="59"/>
    </row>
    <row r="310" spans="1:81" x14ac:dyDescent="0.2">
      <c r="A310">
        <f t="shared" si="263"/>
        <v>480000</v>
      </c>
      <c r="B310">
        <f t="shared" si="243"/>
        <v>480</v>
      </c>
      <c r="C310">
        <f t="shared" si="212"/>
        <v>1.0018175138008432</v>
      </c>
      <c r="D310">
        <f t="shared" si="213"/>
        <v>6.0245585174724385E-2</v>
      </c>
      <c r="F310">
        <f t="shared" si="214"/>
        <v>9.8190848301203562E-4</v>
      </c>
      <c r="G310">
        <f t="shared" si="215"/>
        <v>1.0780529333665566E-2</v>
      </c>
      <c r="H310">
        <f t="shared" si="216"/>
        <v>-3.1308121206663349</v>
      </c>
      <c r="J310">
        <f t="shared" si="217"/>
        <v>15</v>
      </c>
      <c r="M310">
        <f t="shared" si="218"/>
        <v>3.7810720890083614E-3</v>
      </c>
      <c r="N310">
        <f t="shared" si="219"/>
        <v>-1.5707963250000001</v>
      </c>
      <c r="O310">
        <f t="shared" si="220"/>
        <v>57.29026658426514</v>
      </c>
      <c r="P310">
        <f t="shared" si="221"/>
        <v>1.5533404683056757</v>
      </c>
      <c r="Q310">
        <f t="shared" si="222"/>
        <v>37.400153517900371</v>
      </c>
      <c r="R310">
        <f t="shared" si="223"/>
        <v>1.5440552817334983</v>
      </c>
      <c r="S310">
        <f t="shared" si="224"/>
        <v>0.99810530917935247</v>
      </c>
      <c r="T310">
        <f t="shared" si="225"/>
        <v>-6.1567677104339885E-2</v>
      </c>
      <c r="U310">
        <f t="shared" si="226"/>
        <v>0.71362779577408764</v>
      </c>
      <c r="V310">
        <f t="shared" si="227"/>
        <v>-0.77613300227104942</v>
      </c>
      <c r="X310">
        <f t="shared" si="244"/>
        <v>-21.396636007421467</v>
      </c>
      <c r="Y310">
        <f t="shared" si="228"/>
        <v>-136.45951271531291</v>
      </c>
      <c r="Z310">
        <f t="shared" si="245"/>
        <v>43.540487284687089</v>
      </c>
      <c r="AC310">
        <v>1</v>
      </c>
      <c r="AD310">
        <f t="shared" si="229"/>
        <v>57.281538433392008</v>
      </c>
      <c r="AE310">
        <f t="shared" si="230"/>
        <v>-1.1747479380831843E-2</v>
      </c>
      <c r="AF310">
        <f t="shared" si="231"/>
        <v>1.1967206049792001E-2</v>
      </c>
      <c r="AG310">
        <f t="shared" si="246"/>
        <v>2395.8430438320629</v>
      </c>
      <c r="AH310">
        <f t="shared" si="247"/>
        <v>-2435.415303777871</v>
      </c>
      <c r="AJ310">
        <f t="shared" si="232"/>
        <v>22100</v>
      </c>
      <c r="AK310">
        <f t="shared" si="233"/>
        <v>1362.3674862994562</v>
      </c>
      <c r="AL310">
        <v>1</v>
      </c>
      <c r="AM310">
        <f t="shared" si="234"/>
        <v>37.386782198559359</v>
      </c>
      <c r="AN310">
        <f t="shared" si="248"/>
        <v>52.213343897711646</v>
      </c>
      <c r="AO310">
        <f t="shared" si="249"/>
        <v>-589.72142986276754</v>
      </c>
      <c r="AQ310">
        <f t="shared" si="235"/>
        <v>1.0850682670700227E-2</v>
      </c>
      <c r="AR310">
        <f t="shared" si="236"/>
        <v>-10.416655363872218</v>
      </c>
      <c r="AT310">
        <f t="shared" si="261"/>
        <v>-25342.885354756821</v>
      </c>
      <c r="AU310">
        <f t="shared" si="262"/>
        <v>-24983.097212161862</v>
      </c>
      <c r="AV310">
        <f t="shared" si="250"/>
        <v>-2.3633435212652598</v>
      </c>
      <c r="AW310">
        <f t="shared" si="251"/>
        <v>-5414.7782893582116</v>
      </c>
      <c r="AX310">
        <f t="shared" si="252"/>
        <v>-5596.2925160670466</v>
      </c>
      <c r="AY310">
        <f t="shared" si="260"/>
        <v>-2.3397112806380784</v>
      </c>
      <c r="BA310">
        <f t="shared" si="237"/>
        <v>4.5699853194068947</v>
      </c>
      <c r="BB310">
        <f t="shared" si="253"/>
        <v>13.198296098942661</v>
      </c>
      <c r="BC310">
        <f t="shared" si="254"/>
        <v>-2.3632240627181389E-2</v>
      </c>
      <c r="BD310">
        <f t="shared" si="238"/>
        <v>-181.3540276499223</v>
      </c>
      <c r="BF310">
        <f t="shared" si="239"/>
        <v>-23.422686083616178</v>
      </c>
      <c r="BG310">
        <f t="shared" si="240"/>
        <v>-177.28453104872858</v>
      </c>
      <c r="BH310">
        <f t="shared" si="255"/>
        <v>2.7154689512714185</v>
      </c>
      <c r="BI310">
        <f t="shared" si="256"/>
        <v>2.7154689512714185</v>
      </c>
      <c r="BJ310">
        <f t="shared" si="241"/>
        <v>0</v>
      </c>
      <c r="BK310">
        <f t="shared" si="257"/>
        <v>0</v>
      </c>
      <c r="BM310">
        <f t="shared" si="258"/>
        <v>-36.620982182558841</v>
      </c>
      <c r="BN310">
        <f t="shared" si="242"/>
        <v>-175.93050339880631</v>
      </c>
      <c r="BQ310" s="56">
        <f t="shared" si="259"/>
        <v>30.100256899227801</v>
      </c>
      <c r="BR310" s="59"/>
      <c r="BS310" s="59"/>
      <c r="BT310" s="59">
        <v>100000</v>
      </c>
      <c r="BU310" s="59">
        <v>6.1811499999999997</v>
      </c>
      <c r="BV310" s="59">
        <v>-129.59</v>
      </c>
      <c r="BY310" s="59"/>
      <c r="BZ310" s="59"/>
      <c r="CA310" s="59"/>
      <c r="CC310" s="59"/>
    </row>
    <row r="311" spans="1:81" x14ac:dyDescent="0.2">
      <c r="A311">
        <f t="shared" si="263"/>
        <v>485000</v>
      </c>
      <c r="B311">
        <f t="shared" si="243"/>
        <v>485</v>
      </c>
      <c r="C311">
        <f t="shared" si="212"/>
        <v>1.0018555406364258</v>
      </c>
      <c r="D311">
        <f t="shared" si="213"/>
        <v>6.0871602239780949E-2</v>
      </c>
      <c r="F311">
        <f t="shared" si="214"/>
        <v>9.6174900974412328E-4</v>
      </c>
      <c r="G311">
        <f t="shared" si="215"/>
        <v>1.0669182642225782E-2</v>
      </c>
      <c r="H311">
        <f t="shared" si="216"/>
        <v>-3.1309234673577744</v>
      </c>
      <c r="J311">
        <f t="shared" si="217"/>
        <v>15</v>
      </c>
      <c r="M311">
        <f t="shared" si="218"/>
        <v>3.7420919643794087E-3</v>
      </c>
      <c r="N311">
        <f t="shared" si="219"/>
        <v>-1.5707963250000001</v>
      </c>
      <c r="O311">
        <f t="shared" si="220"/>
        <v>57.886859308840144</v>
      </c>
      <c r="P311">
        <f t="shared" si="221"/>
        <v>1.5535203896189393</v>
      </c>
      <c r="Q311">
        <f t="shared" si="222"/>
        <v>37.789461365673596</v>
      </c>
      <c r="R311">
        <f t="shared" si="223"/>
        <v>1.5443308332298913</v>
      </c>
      <c r="S311">
        <f t="shared" si="224"/>
        <v>0.99806574591525188</v>
      </c>
      <c r="T311">
        <f t="shared" si="225"/>
        <v>-6.2207362314385901E-2</v>
      </c>
      <c r="U311">
        <f t="shared" si="226"/>
        <v>0.7099888781155631</v>
      </c>
      <c r="V311">
        <f t="shared" si="227"/>
        <v>-0.7813139109298719</v>
      </c>
      <c r="X311">
        <f t="shared" si="244"/>
        <v>-21.531320943718107</v>
      </c>
      <c r="Y311">
        <f t="shared" si="228"/>
        <v>-136.73742306865137</v>
      </c>
      <c r="Z311">
        <f t="shared" si="245"/>
        <v>43.262576931348633</v>
      </c>
      <c r="AC311">
        <v>1</v>
      </c>
      <c r="AD311">
        <f t="shared" si="229"/>
        <v>57.878221125406505</v>
      </c>
      <c r="AE311">
        <f t="shared" si="230"/>
        <v>-1.1993493217691713E-2</v>
      </c>
      <c r="AF311">
        <f t="shared" si="231"/>
        <v>1.2091864446144001E-2</v>
      </c>
      <c r="AG311">
        <f t="shared" si="246"/>
        <v>2371.4716626274608</v>
      </c>
      <c r="AH311">
        <f t="shared" si="247"/>
        <v>-2434.8792059986604</v>
      </c>
      <c r="AJ311">
        <f t="shared" si="232"/>
        <v>22100</v>
      </c>
      <c r="AK311">
        <f t="shared" si="233"/>
        <v>1376.5588142817421</v>
      </c>
      <c r="AL311">
        <v>1</v>
      </c>
      <c r="AM311">
        <f t="shared" si="234"/>
        <v>37.776227846461019</v>
      </c>
      <c r="AN311">
        <f t="shared" si="248"/>
        <v>51.890019529723702</v>
      </c>
      <c r="AO311">
        <f t="shared" si="249"/>
        <v>-583.65038643041237</v>
      </c>
      <c r="AQ311">
        <f t="shared" si="235"/>
        <v>1.0628110715154942E-2</v>
      </c>
      <c r="AR311">
        <f t="shared" si="236"/>
        <v>-10.309267393700294</v>
      </c>
      <c r="AT311">
        <f t="shared" si="261"/>
        <v>-25076.616542612595</v>
      </c>
      <c r="AU311">
        <f t="shared" si="262"/>
        <v>-24474.013652388887</v>
      </c>
      <c r="AV311">
        <f t="shared" si="250"/>
        <v>-2.3683552474309013</v>
      </c>
      <c r="AW311">
        <f t="shared" si="251"/>
        <v>-5296.434627169112</v>
      </c>
      <c r="AX311">
        <f t="shared" si="252"/>
        <v>-5541.727484445335</v>
      </c>
      <c r="AY311">
        <f t="shared" si="260"/>
        <v>-2.3335660236568416</v>
      </c>
      <c r="BA311">
        <f t="shared" si="237"/>
        <v>4.5710340230060433</v>
      </c>
      <c r="BB311">
        <f t="shared" si="253"/>
        <v>13.200289076623598</v>
      </c>
      <c r="BC311">
        <f t="shared" si="254"/>
        <v>-3.4789223774059685E-2</v>
      </c>
      <c r="BD311">
        <f t="shared" si="238"/>
        <v>-181.99327569706745</v>
      </c>
      <c r="BF311">
        <f t="shared" si="239"/>
        <v>-23.600548699261683</v>
      </c>
      <c r="BG311">
        <f t="shared" si="240"/>
        <v>-177.89429065559136</v>
      </c>
      <c r="BH311">
        <f t="shared" si="255"/>
        <v>2.1057093444086377</v>
      </c>
      <c r="BI311">
        <f t="shared" si="256"/>
        <v>2.1057093444086377</v>
      </c>
      <c r="BJ311">
        <f t="shared" si="241"/>
        <v>0</v>
      </c>
      <c r="BK311">
        <f t="shared" si="257"/>
        <v>0</v>
      </c>
      <c r="BM311">
        <f t="shared" si="258"/>
        <v>-36.800837775885277</v>
      </c>
      <c r="BN311">
        <f t="shared" si="242"/>
        <v>-175.90101495852392</v>
      </c>
      <c r="BQ311" s="56">
        <f t="shared" si="259"/>
        <v>30.102249876908729</v>
      </c>
      <c r="BR311" s="59"/>
      <c r="BS311" s="59"/>
      <c r="BT311" s="59">
        <v>102329.299</v>
      </c>
      <c r="BU311" s="59">
        <v>6.3762999999999996</v>
      </c>
      <c r="BV311" s="59">
        <v>-129.61099999999999</v>
      </c>
      <c r="BY311" s="59"/>
      <c r="BZ311" s="59"/>
      <c r="CA311" s="59"/>
      <c r="CC311" s="59"/>
    </row>
    <row r="312" spans="1:81" x14ac:dyDescent="0.2">
      <c r="A312">
        <f t="shared" si="263"/>
        <v>490000</v>
      </c>
      <c r="B312">
        <f t="shared" si="243"/>
        <v>490</v>
      </c>
      <c r="C312">
        <f t="shared" si="212"/>
        <v>1.0018939600666619</v>
      </c>
      <c r="D312">
        <f t="shared" si="213"/>
        <v>6.1497571538631592E-2</v>
      </c>
      <c r="F312">
        <f t="shared" si="214"/>
        <v>9.4220424142444237E-4</v>
      </c>
      <c r="G312">
        <f t="shared" si="215"/>
        <v>1.0560114585998816E-2</v>
      </c>
      <c r="H312">
        <f t="shared" si="216"/>
        <v>-3.1310325354140014</v>
      </c>
      <c r="J312">
        <f t="shared" si="217"/>
        <v>15</v>
      </c>
      <c r="M312">
        <f t="shared" si="218"/>
        <v>3.7039073524979863E-3</v>
      </c>
      <c r="N312">
        <f t="shared" si="219"/>
        <v>-1.5707963250000001</v>
      </c>
      <c r="O312">
        <f t="shared" si="220"/>
        <v>58.483453869078552</v>
      </c>
      <c r="P312">
        <f t="shared" si="221"/>
        <v>1.5536966401533536</v>
      </c>
      <c r="Q312">
        <f t="shared" si="222"/>
        <v>38.178772024232238</v>
      </c>
      <c r="R312">
        <f t="shared" si="223"/>
        <v>1.544600765124384</v>
      </c>
      <c r="S312">
        <f t="shared" si="224"/>
        <v>0.99802577744680954</v>
      </c>
      <c r="T312">
        <f t="shared" si="225"/>
        <v>-6.2846996552576029E-2</v>
      </c>
      <c r="U312">
        <f t="shared" si="226"/>
        <v>0.70636821086572932</v>
      </c>
      <c r="V312">
        <f t="shared" si="227"/>
        <v>-0.78644211483428617</v>
      </c>
      <c r="X312">
        <f t="shared" si="244"/>
        <v>-21.665078784470019</v>
      </c>
      <c r="Y312">
        <f t="shared" si="228"/>
        <v>-137.01271522175506</v>
      </c>
      <c r="Z312">
        <f t="shared" si="245"/>
        <v>42.987284778244941</v>
      </c>
      <c r="AC312">
        <v>1</v>
      </c>
      <c r="AD312">
        <f t="shared" si="229"/>
        <v>58.474903817420994</v>
      </c>
      <c r="AE312">
        <f t="shared" si="230"/>
        <v>-1.2242056420736658E-2</v>
      </c>
      <c r="AF312">
        <f t="shared" si="231"/>
        <v>1.2216522842496002E-2</v>
      </c>
      <c r="AG312">
        <f t="shared" si="246"/>
        <v>2347.3461681981489</v>
      </c>
      <c r="AH312">
        <f t="shared" si="247"/>
        <v>-2434.1086750676595</v>
      </c>
      <c r="AJ312">
        <f t="shared" si="232"/>
        <v>22100</v>
      </c>
      <c r="AK312">
        <f t="shared" si="233"/>
        <v>1390.7501422640282</v>
      </c>
      <c r="AL312">
        <v>1</v>
      </c>
      <c r="AM312">
        <f t="shared" si="234"/>
        <v>38.165673494362679</v>
      </c>
      <c r="AN312">
        <f t="shared" si="248"/>
        <v>51.576533206634515</v>
      </c>
      <c r="AO312">
        <f t="shared" si="249"/>
        <v>-577.70298407153916</v>
      </c>
      <c r="AQ312">
        <f t="shared" si="235"/>
        <v>1.0412317354938198E-2</v>
      </c>
      <c r="AR312">
        <f t="shared" si="236"/>
        <v>-10.204071007839433</v>
      </c>
      <c r="AT312">
        <f t="shared" si="261"/>
        <v>-24813.376447943181</v>
      </c>
      <c r="AU312">
        <f t="shared" si="262"/>
        <v>-23977.831692274929</v>
      </c>
      <c r="AV312">
        <f t="shared" si="250"/>
        <v>-2.3733177204616207</v>
      </c>
      <c r="AW312">
        <f t="shared" si="251"/>
        <v>-5181.8241744210081</v>
      </c>
      <c r="AX312">
        <f t="shared" si="252"/>
        <v>-5488.3139372348569</v>
      </c>
      <c r="AY312">
        <f t="shared" si="260"/>
        <v>-2.3274783190174615</v>
      </c>
      <c r="BA312">
        <f t="shared" si="237"/>
        <v>4.5714725324162835</v>
      </c>
      <c r="BB312">
        <f t="shared" si="253"/>
        <v>13.201122293274288</v>
      </c>
      <c r="BC312">
        <f t="shared" si="254"/>
        <v>-4.5839401444159211E-2</v>
      </c>
      <c r="BD312">
        <f t="shared" si="238"/>
        <v>-182.62640424115733</v>
      </c>
      <c r="BF312">
        <f t="shared" si="239"/>
        <v>-23.777716257849981</v>
      </c>
      <c r="BG312">
        <f t="shared" si="240"/>
        <v>-178.49780294001997</v>
      </c>
      <c r="BH312">
        <f t="shared" si="255"/>
        <v>1.5021970599800341</v>
      </c>
      <c r="BI312">
        <f t="shared" si="256"/>
        <v>1.5021970599800341</v>
      </c>
      <c r="BJ312">
        <f t="shared" si="241"/>
        <v>0</v>
      </c>
      <c r="BK312">
        <f t="shared" si="257"/>
        <v>0</v>
      </c>
      <c r="BM312">
        <f t="shared" si="258"/>
        <v>-36.978838551124269</v>
      </c>
      <c r="BN312">
        <f t="shared" si="242"/>
        <v>-175.87139869886263</v>
      </c>
      <c r="BQ312" s="56">
        <f t="shared" si="259"/>
        <v>30.103083093559423</v>
      </c>
      <c r="BR312" s="59"/>
      <c r="BS312" s="59"/>
      <c r="BT312" s="59">
        <v>104712.855</v>
      </c>
      <c r="BU312" s="59">
        <v>6.5692300000000001</v>
      </c>
      <c r="BV312" s="59">
        <v>-129.61699999999999</v>
      </c>
      <c r="BY312" s="59"/>
      <c r="BZ312" s="59"/>
      <c r="CA312" s="59"/>
      <c r="CC312" s="59"/>
    </row>
    <row r="313" spans="1:81" x14ac:dyDescent="0.2">
      <c r="A313">
        <f t="shared" si="263"/>
        <v>495000</v>
      </c>
      <c r="B313">
        <f t="shared" si="243"/>
        <v>495</v>
      </c>
      <c r="C313">
        <f t="shared" si="212"/>
        <v>1.0019327720463886</v>
      </c>
      <c r="D313">
        <f t="shared" si="213"/>
        <v>6.2123492586243015E-2</v>
      </c>
      <c r="F313">
        <f t="shared" si="214"/>
        <v>9.2324943108135161E-4</v>
      </c>
      <c r="G313">
        <f t="shared" si="215"/>
        <v>1.0453255866218088E-2</v>
      </c>
      <c r="H313">
        <f t="shared" si="216"/>
        <v>-3.1311393941337822</v>
      </c>
      <c r="J313">
        <f t="shared" si="217"/>
        <v>15</v>
      </c>
      <c r="M313">
        <f t="shared" si="218"/>
        <v>3.6664941469171991E-3</v>
      </c>
      <c r="N313">
        <f t="shared" si="219"/>
        <v>-1.5707963250000001</v>
      </c>
      <c r="O313">
        <f t="shared" si="220"/>
        <v>59.08005020937037</v>
      </c>
      <c r="P313">
        <f t="shared" si="221"/>
        <v>1.5538693311014906</v>
      </c>
      <c r="Q313">
        <f t="shared" si="222"/>
        <v>38.56808540845914</v>
      </c>
      <c r="R313">
        <f t="shared" si="223"/>
        <v>1.5448652475529341</v>
      </c>
      <c r="S313">
        <f t="shared" si="224"/>
        <v>0.99798540392081225</v>
      </c>
      <c r="T313">
        <f t="shared" si="225"/>
        <v>-6.3486579301675755E-2</v>
      </c>
      <c r="U313">
        <f t="shared" si="226"/>
        <v>0.70276608320472811</v>
      </c>
      <c r="V313">
        <f t="shared" si="227"/>
        <v>-0.79151814850622537</v>
      </c>
      <c r="X313">
        <f t="shared" si="244"/>
        <v>-21.79792390293947</v>
      </c>
      <c r="Y313">
        <f t="shared" si="228"/>
        <v>-137.28540765021927</v>
      </c>
      <c r="Z313">
        <f t="shared" si="245"/>
        <v>42.71459234978073</v>
      </c>
      <c r="AC313">
        <v>1</v>
      </c>
      <c r="AD313">
        <f t="shared" si="229"/>
        <v>59.071586509435498</v>
      </c>
      <c r="AE313">
        <f t="shared" si="230"/>
        <v>-1.249316898996668E-2</v>
      </c>
      <c r="AF313">
        <f t="shared" si="231"/>
        <v>1.2341181238848004E-2</v>
      </c>
      <c r="AG313">
        <f t="shared" si="246"/>
        <v>2323.466607495021</v>
      </c>
      <c r="AH313">
        <f t="shared" si="247"/>
        <v>-2433.1107686400705</v>
      </c>
      <c r="AJ313">
        <f t="shared" si="232"/>
        <v>22100</v>
      </c>
      <c r="AK313">
        <f t="shared" si="233"/>
        <v>1404.9414702463141</v>
      </c>
      <c r="AL313">
        <v>1</v>
      </c>
      <c r="AM313">
        <f t="shared" si="234"/>
        <v>38.555119142264346</v>
      </c>
      <c r="AN313">
        <f t="shared" si="248"/>
        <v>51.272489893883801</v>
      </c>
      <c r="AO313">
        <f t="shared" si="249"/>
        <v>-571.87548633292056</v>
      </c>
      <c r="AQ313">
        <f t="shared" si="235"/>
        <v>1.0203030095877873E-2</v>
      </c>
      <c r="AR313">
        <f t="shared" si="236"/>
        <v>-10.100999794919096</v>
      </c>
      <c r="AT313">
        <f t="shared" si="261"/>
        <v>-24553.144975325755</v>
      </c>
      <c r="AU313">
        <f t="shared" si="262"/>
        <v>-23494.160828207612</v>
      </c>
      <c r="AV313">
        <f t="shared" si="250"/>
        <v>-2.3782313703279634</v>
      </c>
      <c r="AW313">
        <f t="shared" si="251"/>
        <v>-5070.7943856698466</v>
      </c>
      <c r="AX313">
        <f t="shared" si="252"/>
        <v>-5436.0128561640304</v>
      </c>
      <c r="AY313">
        <f t="shared" si="260"/>
        <v>-2.3214483037931783</v>
      </c>
      <c r="BA313">
        <f t="shared" si="237"/>
        <v>4.5713189271481376</v>
      </c>
      <c r="BB313">
        <f t="shared" si="253"/>
        <v>13.200830435276004</v>
      </c>
      <c r="BC313">
        <f t="shared" si="254"/>
        <v>-5.6783066534785043E-2</v>
      </c>
      <c r="BD313">
        <f t="shared" si="238"/>
        <v>-183.25343006397131</v>
      </c>
      <c r="BF313">
        <f t="shared" si="239"/>
        <v>-23.95419176748376</v>
      </c>
      <c r="BG313">
        <f t="shared" si="240"/>
        <v>-179.09508868211105</v>
      </c>
      <c r="BH313">
        <f t="shared" si="255"/>
        <v>0.90491131788894563</v>
      </c>
      <c r="BI313">
        <f t="shared" si="256"/>
        <v>0.90491131788894563</v>
      </c>
      <c r="BJ313">
        <f t="shared" si="241"/>
        <v>0</v>
      </c>
      <c r="BK313">
        <f t="shared" si="257"/>
        <v>0</v>
      </c>
      <c r="BM313">
        <f t="shared" si="258"/>
        <v>-37.15502220275976</v>
      </c>
      <c r="BN313">
        <f t="shared" si="242"/>
        <v>-175.84165861813977</v>
      </c>
      <c r="BQ313" s="56">
        <f t="shared" si="259"/>
        <v>30.102791235561138</v>
      </c>
      <c r="BR313" s="59"/>
      <c r="BS313" s="59"/>
      <c r="BT313" s="59">
        <v>107151.931</v>
      </c>
      <c r="BU313" s="59">
        <v>6.77081</v>
      </c>
      <c r="BV313" s="59">
        <v>-129.57599999999999</v>
      </c>
      <c r="BY313" s="59"/>
      <c r="BZ313" s="59"/>
      <c r="CA313" s="59"/>
      <c r="CC313" s="59"/>
    </row>
    <row r="314" spans="1:81" x14ac:dyDescent="0.2">
      <c r="A314">
        <f t="shared" si="263"/>
        <v>500000</v>
      </c>
      <c r="B314">
        <f t="shared" si="243"/>
        <v>500</v>
      </c>
      <c r="C314">
        <f t="shared" si="212"/>
        <v>1.0019719765299895</v>
      </c>
      <c r="D314">
        <f t="shared" si="213"/>
        <v>6.2749364897807955E-2</v>
      </c>
      <c r="F314">
        <f t="shared" si="214"/>
        <v>9.0486106500903187E-4</v>
      </c>
      <c r="G314">
        <f t="shared" si="215"/>
        <v>1.0348539968362649E-2</v>
      </c>
      <c r="H314">
        <f t="shared" si="216"/>
        <v>-3.1312441100316377</v>
      </c>
      <c r="J314">
        <f t="shared" si="217"/>
        <v>15</v>
      </c>
      <c r="M314">
        <f t="shared" si="218"/>
        <v>3.6298292054480269E-3</v>
      </c>
      <c r="N314">
        <f t="shared" si="219"/>
        <v>-1.5707963250000001</v>
      </c>
      <c r="O314">
        <f t="shared" si="220"/>
        <v>59.676648276329232</v>
      </c>
      <c r="P314">
        <f t="shared" si="221"/>
        <v>1.554038569210344</v>
      </c>
      <c r="Q314">
        <f t="shared" si="222"/>
        <v>38.957401436638939</v>
      </c>
      <c r="R314">
        <f t="shared" si="223"/>
        <v>1.545124443853688</v>
      </c>
      <c r="S314">
        <f t="shared" si="224"/>
        <v>0.997944625485502</v>
      </c>
      <c r="T314">
        <f t="shared" si="225"/>
        <v>-6.4126110044702353E-2</v>
      </c>
      <c r="U314">
        <f t="shared" si="226"/>
        <v>0.69918276559631232</v>
      </c>
      <c r="V314">
        <f t="shared" si="227"/>
        <v>-0.79654254640226962</v>
      </c>
      <c r="X314">
        <f t="shared" si="244"/>
        <v>-21.929870233410988</v>
      </c>
      <c r="Y314">
        <f t="shared" si="228"/>
        <v>-137.55551931056957</v>
      </c>
      <c r="Z314">
        <f t="shared" si="245"/>
        <v>42.444480689430435</v>
      </c>
      <c r="AC314">
        <v>1</v>
      </c>
      <c r="AD314">
        <f t="shared" si="229"/>
        <v>59.668269201450002</v>
      </c>
      <c r="AE314">
        <f t="shared" si="230"/>
        <v>-1.2746830925381779E-2</v>
      </c>
      <c r="AF314">
        <f t="shared" si="231"/>
        <v>1.2465839635200001E-2</v>
      </c>
      <c r="AG314">
        <f t="shared" si="246"/>
        <v>2299.8328747385749</v>
      </c>
      <c r="AH314">
        <f t="shared" si="247"/>
        <v>-2431.8924114284873</v>
      </c>
      <c r="AJ314">
        <f t="shared" si="232"/>
        <v>22100</v>
      </c>
      <c r="AK314">
        <f t="shared" si="233"/>
        <v>1419.1327982286002</v>
      </c>
      <c r="AL314">
        <v>1</v>
      </c>
      <c r="AM314">
        <f t="shared" si="234"/>
        <v>38.944564790166005</v>
      </c>
      <c r="AN314">
        <f t="shared" si="248"/>
        <v>50.977514183068237</v>
      </c>
      <c r="AO314">
        <f t="shared" si="249"/>
        <v>-566.16430571550734</v>
      </c>
      <c r="AQ314">
        <f t="shared" si="235"/>
        <v>9.9999900000099992E-3</v>
      </c>
      <c r="AR314">
        <f t="shared" si="236"/>
        <v>-9.9999900000099995</v>
      </c>
      <c r="AT314">
        <f t="shared" si="261"/>
        <v>-24295.901489635999</v>
      </c>
      <c r="AU314">
        <f t="shared" si="262"/>
        <v>-23022.624648875382</v>
      </c>
      <c r="AV314">
        <f t="shared" si="250"/>
        <v>-2.3830966311150519</v>
      </c>
      <c r="AW314">
        <f t="shared" si="251"/>
        <v>-4963.2003340144711</v>
      </c>
      <c r="AX314">
        <f t="shared" si="252"/>
        <v>-5384.7870258633147</v>
      </c>
      <c r="AY314">
        <f t="shared" si="260"/>
        <v>-2.3154760725912316</v>
      </c>
      <c r="BA314">
        <f t="shared" si="237"/>
        <v>4.5705910603804485</v>
      </c>
      <c r="BB314">
        <f t="shared" si="253"/>
        <v>13.199447317210446</v>
      </c>
      <c r="BC314">
        <f t="shared" si="254"/>
        <v>-6.7620558523820318E-2</v>
      </c>
      <c r="BD314">
        <f t="shared" si="238"/>
        <v>-183.87437261615941</v>
      </c>
      <c r="BF314">
        <f t="shared" si="239"/>
        <v>-24.129977967564056</v>
      </c>
      <c r="BG314">
        <f t="shared" si="240"/>
        <v>-179.6861711712933</v>
      </c>
      <c r="BH314">
        <f t="shared" si="255"/>
        <v>0.31382882870670414</v>
      </c>
      <c r="BI314">
        <f t="shared" si="256"/>
        <v>0.31382882870670414</v>
      </c>
      <c r="BJ314">
        <f t="shared" si="241"/>
        <v>0</v>
      </c>
      <c r="BK314">
        <f t="shared" si="257"/>
        <v>0</v>
      </c>
      <c r="BM314">
        <f t="shared" si="258"/>
        <v>-37.329425284774501</v>
      </c>
      <c r="BN314">
        <f t="shared" si="242"/>
        <v>-175.81179855513392</v>
      </c>
      <c r="BQ314" s="56">
        <f t="shared" si="259"/>
        <v>30.101408117495584</v>
      </c>
      <c r="BR314" s="59"/>
      <c r="BS314" s="59"/>
      <c r="BT314" s="59">
        <v>109647.82</v>
      </c>
      <c r="BU314" s="59">
        <v>6.9849899999999998</v>
      </c>
      <c r="BV314" s="59">
        <v>-129.52799999999999</v>
      </c>
      <c r="BY314" s="59"/>
      <c r="BZ314" s="59"/>
      <c r="CA314" s="59"/>
      <c r="CC314" s="59"/>
    </row>
    <row r="315" spans="1:81" x14ac:dyDescent="0.2">
      <c r="A315">
        <f t="shared" si="263"/>
        <v>505000</v>
      </c>
      <c r="B315">
        <f t="shared" si="243"/>
        <v>505</v>
      </c>
      <c r="C315">
        <f t="shared" si="212"/>
        <v>1.002011573471393</v>
      </c>
      <c r="D315">
        <f t="shared" si="213"/>
        <v>6.3375187988747334E-2</v>
      </c>
      <c r="F315">
        <f t="shared" si="214"/>
        <v>8.8701678972404074E-4</v>
      </c>
      <c r="G315">
        <f t="shared" si="215"/>
        <v>1.0245903023602274E-2</v>
      </c>
      <c r="H315">
        <f t="shared" si="216"/>
        <v>-3.1313467469763978</v>
      </c>
      <c r="J315">
        <f t="shared" si="217"/>
        <v>15</v>
      </c>
      <c r="M315">
        <f t="shared" si="218"/>
        <v>3.5938903024237889E-3</v>
      </c>
      <c r="N315">
        <f t="shared" si="219"/>
        <v>-1.5707963250000001</v>
      </c>
      <c r="O315">
        <f t="shared" si="220"/>
        <v>60.273248018682317</v>
      </c>
      <c r="P315">
        <f t="shared" si="221"/>
        <v>1.5542044570012827</v>
      </c>
      <c r="Q315">
        <f t="shared" si="222"/>
        <v>39.346720030289895</v>
      </c>
      <c r="R315">
        <f t="shared" si="223"/>
        <v>1.5453785109030622</v>
      </c>
      <c r="S315">
        <f t="shared" si="224"/>
        <v>0.99790344229057582</v>
      </c>
      <c r="T315">
        <f t="shared" si="225"/>
        <v>-6.4765588264927273E-2</v>
      </c>
      <c r="U315">
        <f t="shared" si="226"/>
        <v>0.69561851040995049</v>
      </c>
      <c r="V315">
        <f t="shared" si="227"/>
        <v>-0.80151584259011399</v>
      </c>
      <c r="X315">
        <f t="shared" si="244"/>
        <v>-22.06093129170025</v>
      </c>
      <c r="Y315">
        <f t="shared" si="228"/>
        <v>-137.82306959780493</v>
      </c>
      <c r="Z315">
        <f t="shared" si="245"/>
        <v>42.176930402195069</v>
      </c>
      <c r="AC315">
        <v>1</v>
      </c>
      <c r="AD315">
        <f t="shared" si="229"/>
        <v>60.264951893464499</v>
      </c>
      <c r="AE315">
        <f t="shared" si="230"/>
        <v>-1.3003042226981952E-2</v>
      </c>
      <c r="AF315">
        <f t="shared" si="231"/>
        <v>1.2590498031552003E-2</v>
      </c>
      <c r="AG315">
        <f t="shared" si="246"/>
        <v>2276.4447191373683</v>
      </c>
      <c r="AH315">
        <f t="shared" si="247"/>
        <v>-2430.4603943106445</v>
      </c>
      <c r="AJ315">
        <f t="shared" si="232"/>
        <v>22100</v>
      </c>
      <c r="AK315">
        <f t="shared" si="233"/>
        <v>1433.3241262108861</v>
      </c>
      <c r="AL315">
        <v>1</v>
      </c>
      <c r="AM315">
        <f t="shared" si="234"/>
        <v>39.334010438067665</v>
      </c>
      <c r="AN315">
        <f t="shared" si="248"/>
        <v>50.691249133627522</v>
      </c>
      <c r="AO315">
        <f t="shared" si="249"/>
        <v>-560.56599632990731</v>
      </c>
      <c r="AQ315">
        <f t="shared" si="235"/>
        <v>9.8029508842751838E-3</v>
      </c>
      <c r="AR315">
        <f t="shared" si="236"/>
        <v>-9.900980393117937</v>
      </c>
      <c r="AT315">
        <f t="shared" si="261"/>
        <v>-24041.62483454691</v>
      </c>
      <c r="AU315">
        <f t="shared" si="262"/>
        <v>-22562.860214067558</v>
      </c>
      <c r="AV315">
        <f t="shared" si="250"/>
        <v>-2.3879139404922531</v>
      </c>
      <c r="AW315">
        <f t="shared" si="251"/>
        <v>-4858.9042618331459</v>
      </c>
      <c r="AX315">
        <f t="shared" si="252"/>
        <v>-5334.6009307966033</v>
      </c>
      <c r="AY315">
        <f t="shared" si="260"/>
        <v>-2.3095616793680578</v>
      </c>
      <c r="BA315">
        <f t="shared" si="237"/>
        <v>4.569306545626076</v>
      </c>
      <c r="BB315">
        <f t="shared" si="253"/>
        <v>13.197005899603958</v>
      </c>
      <c r="BC315">
        <f t="shared" si="254"/>
        <v>-7.8352261124195355E-2</v>
      </c>
      <c r="BD315">
        <f t="shared" si="238"/>
        <v>-184.48925388285306</v>
      </c>
      <c r="BF315">
        <f t="shared" si="239"/>
        <v>-24.305077356636598</v>
      </c>
      <c r="BG315">
        <f t="shared" si="240"/>
        <v>-180.27107607987693</v>
      </c>
      <c r="BH315">
        <f t="shared" si="255"/>
        <v>-0.27107607987693427</v>
      </c>
      <c r="BI315">
        <f t="shared" si="256"/>
        <v>-0.27107607987693427</v>
      </c>
      <c r="BJ315">
        <f t="shared" si="241"/>
        <v>0</v>
      </c>
      <c r="BK315">
        <f t="shared" si="257"/>
        <v>0</v>
      </c>
      <c r="BM315">
        <f t="shared" si="258"/>
        <v>-37.502083256240553</v>
      </c>
      <c r="BN315">
        <f t="shared" si="242"/>
        <v>-175.78182219702387</v>
      </c>
      <c r="BQ315" s="56">
        <f t="shared" si="259"/>
        <v>30.098966699889097</v>
      </c>
      <c r="BR315" s="59"/>
      <c r="BS315" s="59"/>
      <c r="BT315" s="59">
        <v>112201.845</v>
      </c>
      <c r="BU315" s="59">
        <v>7.2120699999999998</v>
      </c>
      <c r="BV315" s="59">
        <v>-129.44300000000001</v>
      </c>
      <c r="BY315" s="59"/>
      <c r="BZ315" s="59"/>
      <c r="CA315" s="59"/>
      <c r="CC315" s="59"/>
    </row>
    <row r="316" spans="1:81" x14ac:dyDescent="0.2">
      <c r="A316">
        <f t="shared" si="263"/>
        <v>510000</v>
      </c>
      <c r="B316">
        <f t="shared" si="243"/>
        <v>510</v>
      </c>
      <c r="C316">
        <f t="shared" si="212"/>
        <v>1.0020515628240749</v>
      </c>
      <c r="D316">
        <f t="shared" si="213"/>
        <v>6.4000961374712534E-2</v>
      </c>
      <c r="F316">
        <f t="shared" si="214"/>
        <v>8.696953439210573E-4</v>
      </c>
      <c r="G316">
        <f t="shared" si="215"/>
        <v>1.0145283678441726E-2</v>
      </c>
      <c r="H316">
        <f t="shared" si="216"/>
        <v>-3.1314473663215585</v>
      </c>
      <c r="J316">
        <f t="shared" si="217"/>
        <v>15</v>
      </c>
      <c r="M316">
        <f t="shared" si="218"/>
        <v>3.5586560837725751E-3</v>
      </c>
      <c r="N316">
        <f t="shared" si="219"/>
        <v>-1.5707963250000001</v>
      </c>
      <c r="O316">
        <f t="shared" si="220"/>
        <v>60.869849387166845</v>
      </c>
      <c r="P316">
        <f t="shared" si="221"/>
        <v>1.5543670929770752</v>
      </c>
      <c r="Q316">
        <f t="shared" si="222"/>
        <v>39.736041114005474</v>
      </c>
      <c r="R316">
        <f t="shared" si="223"/>
        <v>1.5456275994320823</v>
      </c>
      <c r="S316">
        <f t="shared" si="224"/>
        <v>0.99786185448718279</v>
      </c>
      <c r="T316">
        <f t="shared" si="225"/>
        <v>-6.5405013445878721E-2</v>
      </c>
      <c r="U316">
        <f t="shared" si="226"/>
        <v>0.69207355253162728</v>
      </c>
      <c r="V316">
        <f t="shared" si="227"/>
        <v>-0.8064385704415501</v>
      </c>
      <c r="X316">
        <f t="shared" si="244"/>
        <v>-22.191120194496833</v>
      </c>
      <c r="Y316">
        <f t="shared" si="228"/>
        <v>-138.08807830528923</v>
      </c>
      <c r="Z316">
        <f t="shared" si="245"/>
        <v>41.91192169471077</v>
      </c>
      <c r="AC316">
        <v>1</v>
      </c>
      <c r="AD316">
        <f t="shared" si="229"/>
        <v>60.861634585479003</v>
      </c>
      <c r="AE316">
        <f t="shared" si="230"/>
        <v>-1.3261802894767199E-2</v>
      </c>
      <c r="AF316">
        <f t="shared" si="231"/>
        <v>1.2715156427904004E-2</v>
      </c>
      <c r="AG316">
        <f t="shared" si="246"/>
        <v>2253.3017523651247</v>
      </c>
      <c r="AH316">
        <f t="shared" si="247"/>
        <v>-2428.8213737210476</v>
      </c>
      <c r="AJ316">
        <f t="shared" si="232"/>
        <v>22100</v>
      </c>
      <c r="AK316">
        <f t="shared" si="233"/>
        <v>1447.5154541931722</v>
      </c>
      <c r="AL316">
        <v>1</v>
      </c>
      <c r="AM316">
        <f t="shared" si="234"/>
        <v>39.723456085969325</v>
      </c>
      <c r="AN316">
        <f t="shared" si="248"/>
        <v>50.413355193492649</v>
      </c>
      <c r="AO316">
        <f t="shared" si="249"/>
        <v>-555.07724698190646</v>
      </c>
      <c r="AQ316">
        <f t="shared" si="235"/>
        <v>9.6116785739344731E-3</v>
      </c>
      <c r="AR316">
        <f t="shared" si="236"/>
        <v>-9.8039121454131628</v>
      </c>
      <c r="AT316">
        <f t="shared" si="261"/>
        <v>-23790.293352689045</v>
      </c>
      <c r="AU316">
        <f t="shared" si="262"/>
        <v>-22114.517467650916</v>
      </c>
      <c r="AV316">
        <f t="shared" si="250"/>
        <v>-2.3926837392115123</v>
      </c>
      <c r="AW316">
        <f t="shared" si="251"/>
        <v>-4757.775162068001</v>
      </c>
      <c r="AX316">
        <f t="shared" si="252"/>
        <v>-5285.4206591151351</v>
      </c>
      <c r="AY316">
        <f t="shared" si="260"/>
        <v>-2.3037051392181889</v>
      </c>
      <c r="BA316">
        <f t="shared" si="237"/>
        <v>4.5674827446119908</v>
      </c>
      <c r="BB316">
        <f t="shared" si="253"/>
        <v>13.193538306330803</v>
      </c>
      <c r="BC316">
        <f t="shared" si="254"/>
        <v>-8.8978599993323471E-2</v>
      </c>
      <c r="BD316">
        <f t="shared" si="238"/>
        <v>-185.09809825242564</v>
      </c>
      <c r="BF316">
        <f t="shared" si="239"/>
        <v>-24.479492218321639</v>
      </c>
      <c r="BG316">
        <f t="shared" si="240"/>
        <v>-180.84983133928279</v>
      </c>
      <c r="BH316">
        <f t="shared" si="255"/>
        <v>-0.84983133928278676</v>
      </c>
      <c r="BI316">
        <f t="shared" si="256"/>
        <v>-0.84983133928278676</v>
      </c>
      <c r="BJ316">
        <f t="shared" si="241"/>
        <v>0</v>
      </c>
      <c r="BK316">
        <f t="shared" si="257"/>
        <v>0</v>
      </c>
      <c r="BM316">
        <f t="shared" si="258"/>
        <v>-37.67303052465244</v>
      </c>
      <c r="BN316">
        <f t="shared" si="242"/>
        <v>-175.75173308685714</v>
      </c>
      <c r="BQ316" s="56">
        <f t="shared" si="259"/>
        <v>30.095499106615939</v>
      </c>
      <c r="BR316" s="59"/>
      <c r="BS316" s="59"/>
      <c r="BT316" s="59">
        <v>114815.36199999999</v>
      </c>
      <c r="BU316" s="59">
        <v>7.47248</v>
      </c>
      <c r="BV316" s="59">
        <v>-129.58500000000001</v>
      </c>
      <c r="BY316" s="59"/>
      <c r="BZ316" s="59"/>
      <c r="CA316" s="59"/>
      <c r="CC316" s="59"/>
    </row>
    <row r="317" spans="1:81" x14ac:dyDescent="0.2">
      <c r="A317">
        <f t="shared" si="263"/>
        <v>515000</v>
      </c>
      <c r="B317">
        <f t="shared" si="243"/>
        <v>515</v>
      </c>
      <c r="C317">
        <f t="shared" si="212"/>
        <v>1.0020919445410559</v>
      </c>
      <c r="D317">
        <f t="shared" si="213"/>
        <v>6.4626684571587559E-2</v>
      </c>
      <c r="F317">
        <f t="shared" si="214"/>
        <v>8.5287649504048205E-4</v>
      </c>
      <c r="G317">
        <f t="shared" si="215"/>
        <v>1.0046622972003146E-2</v>
      </c>
      <c r="H317">
        <f t="shared" si="216"/>
        <v>-3.1315460270279969</v>
      </c>
      <c r="J317">
        <f t="shared" si="217"/>
        <v>15</v>
      </c>
      <c r="M317">
        <f t="shared" si="218"/>
        <v>3.524106024706822E-3</v>
      </c>
      <c r="N317">
        <f t="shared" si="219"/>
        <v>-1.5707963250000001</v>
      </c>
      <c r="O317">
        <f t="shared" si="220"/>
        <v>61.466452334432461</v>
      </c>
      <c r="P317">
        <f t="shared" si="221"/>
        <v>1.5545265718168608</v>
      </c>
      <c r="Q317">
        <f t="shared" si="222"/>
        <v>40.125364615305244</v>
      </c>
      <c r="R317">
        <f t="shared" si="223"/>
        <v>1.5458718543243224</v>
      </c>
      <c r="S317">
        <f t="shared" si="224"/>
        <v>0.99781986222792329</v>
      </c>
      <c r="T317">
        <f t="shared" si="225"/>
        <v>-6.6044385071344025E-2</v>
      </c>
      <c r="U317">
        <f t="shared" si="226"/>
        <v>0.68854810996297588</v>
      </c>
      <c r="V317">
        <f t="shared" si="227"/>
        <v>-0.81131126234143769</v>
      </c>
      <c r="X317">
        <f t="shared" si="244"/>
        <v>-22.320449677614636</v>
      </c>
      <c r="Y317">
        <f t="shared" si="228"/>
        <v>-138.35056558686608</v>
      </c>
      <c r="Z317">
        <f t="shared" si="245"/>
        <v>41.649434413133918</v>
      </c>
      <c r="AC317">
        <v>1</v>
      </c>
      <c r="AD317">
        <f t="shared" si="229"/>
        <v>61.458317277493506</v>
      </c>
      <c r="AE317">
        <f t="shared" si="230"/>
        <v>-1.3523112928737525E-2</v>
      </c>
      <c r="AF317">
        <f t="shared" si="231"/>
        <v>1.2839814824256002E-2</v>
      </c>
      <c r="AG317">
        <f t="shared" si="246"/>
        <v>2230.4034557975915</v>
      </c>
      <c r="AH317">
        <f t="shared" si="247"/>
        <v>-2426.9818713061491</v>
      </c>
      <c r="AJ317">
        <f t="shared" si="232"/>
        <v>22100</v>
      </c>
      <c r="AK317">
        <f t="shared" si="233"/>
        <v>1461.7067821754581</v>
      </c>
      <c r="AL317">
        <v>1</v>
      </c>
      <c r="AM317">
        <f t="shared" si="234"/>
        <v>40.112901733870984</v>
      </c>
      <c r="AN317">
        <f t="shared" si="248"/>
        <v>50.143509192604931</v>
      </c>
      <c r="AO317">
        <f t="shared" si="249"/>
        <v>-549.69487465896009</v>
      </c>
      <c r="AQ317">
        <f t="shared" si="235"/>
        <v>9.4259502064754398E-3</v>
      </c>
      <c r="AR317">
        <f t="shared" si="236"/>
        <v>-9.7087287126697017</v>
      </c>
      <c r="AT317">
        <f t="shared" si="261"/>
        <v>-23541.884907164153</v>
      </c>
      <c r="AU317">
        <f t="shared" si="262"/>
        <v>-21677.258682410753</v>
      </c>
      <c r="AV317">
        <f t="shared" si="250"/>
        <v>-2.3974064706330092</v>
      </c>
      <c r="AW317">
        <f t="shared" si="251"/>
        <v>-4659.6883877058362</v>
      </c>
      <c r="AX317">
        <f t="shared" si="252"/>
        <v>-5237.2138129022223</v>
      </c>
      <c r="AY317">
        <f t="shared" si="260"/>
        <v>-2.297906430134228</v>
      </c>
      <c r="BA317">
        <f t="shared" si="237"/>
        <v>4.5651367563337795</v>
      </c>
      <c r="BB317">
        <f t="shared" si="253"/>
        <v>13.189075841706533</v>
      </c>
      <c r="BC317">
        <f t="shared" si="254"/>
        <v>-9.9500040498781139E-2</v>
      </c>
      <c r="BD317">
        <f t="shared" si="238"/>
        <v>-185.7009323884752</v>
      </c>
      <c r="BF317">
        <f t="shared" si="239"/>
        <v>-24.653224645429354</v>
      </c>
      <c r="BG317">
        <f t="shared" si="240"/>
        <v>-181.42246701905614</v>
      </c>
      <c r="BH317">
        <f t="shared" si="255"/>
        <v>-1.4224670190561426</v>
      </c>
      <c r="BI317">
        <f t="shared" si="256"/>
        <v>-1.4224670190561426</v>
      </c>
      <c r="BJ317">
        <f t="shared" si="241"/>
        <v>0</v>
      </c>
      <c r="BK317">
        <f t="shared" si="257"/>
        <v>0</v>
      </c>
      <c r="BM317">
        <f t="shared" si="258"/>
        <v>-37.84230048713588</v>
      </c>
      <c r="BN317">
        <f t="shared" si="242"/>
        <v>-175.72153463058098</v>
      </c>
      <c r="BQ317" s="56">
        <f t="shared" si="259"/>
        <v>30.091036641991668</v>
      </c>
      <c r="BR317" s="59"/>
      <c r="BS317" s="59"/>
      <c r="BT317" s="59">
        <v>117489.755</v>
      </c>
      <c r="BU317" s="59">
        <v>7.6753600000000004</v>
      </c>
      <c r="BV317" s="59">
        <v>-129.61699999999999</v>
      </c>
      <c r="BY317" s="59"/>
      <c r="BZ317" s="59"/>
      <c r="CA317" s="59"/>
      <c r="CC317" s="59"/>
    </row>
    <row r="318" spans="1:81" x14ac:dyDescent="0.2">
      <c r="A318">
        <f t="shared" si="263"/>
        <v>520000</v>
      </c>
      <c r="B318">
        <f t="shared" si="243"/>
        <v>520</v>
      </c>
      <c r="C318">
        <f t="shared" si="212"/>
        <v>1.0021327185749047</v>
      </c>
      <c r="D318">
        <f t="shared" si="213"/>
        <v>6.5252357095491292E-2</v>
      </c>
      <c r="F318">
        <f t="shared" si="214"/>
        <v>8.3654098009398772E-4</v>
      </c>
      <c r="G318">
        <f t="shared" si="215"/>
        <v>9.9498642204291516E-3</v>
      </c>
      <c r="H318">
        <f t="shared" si="216"/>
        <v>-3.131642785779571</v>
      </c>
      <c r="J318">
        <f t="shared" si="217"/>
        <v>15</v>
      </c>
      <c r="M318">
        <f t="shared" si="218"/>
        <v>3.4902203898538714E-3</v>
      </c>
      <c r="N318">
        <f t="shared" si="219"/>
        <v>-1.5707963250000001</v>
      </c>
      <c r="O318">
        <f t="shared" si="220"/>
        <v>62.06305681494942</v>
      </c>
      <c r="P318">
        <f t="shared" si="221"/>
        <v>1.5546829845598809</v>
      </c>
      <c r="Q318">
        <f t="shared" si="222"/>
        <v>40.514690464494301</v>
      </c>
      <c r="R318">
        <f t="shared" si="223"/>
        <v>1.5461114148966828</v>
      </c>
      <c r="S318">
        <f t="shared" si="224"/>
        <v>0.99777746566684722</v>
      </c>
      <c r="T318">
        <f t="shared" si="225"/>
        <v>-6.6683702625372154E-2</v>
      </c>
      <c r="U318">
        <f t="shared" si="226"/>
        <v>0.68504238440843157</v>
      </c>
      <c r="V318">
        <f t="shared" si="227"/>
        <v>-0.81613444941214675</v>
      </c>
      <c r="X318">
        <f t="shared" si="244"/>
        <v>-22.448932113218621</v>
      </c>
      <c r="Y318">
        <f t="shared" si="228"/>
        <v>-138.61055192107935</v>
      </c>
      <c r="Z318">
        <f t="shared" si="245"/>
        <v>41.389448078920651</v>
      </c>
      <c r="AC318">
        <v>1</v>
      </c>
      <c r="AD318">
        <f t="shared" si="229"/>
        <v>62.054999969508003</v>
      </c>
      <c r="AE318">
        <f t="shared" si="230"/>
        <v>-1.378697232889293E-2</v>
      </c>
      <c r="AF318">
        <f t="shared" si="231"/>
        <v>1.2964473220608001E-2</v>
      </c>
      <c r="AG318">
        <f t="shared" si="246"/>
        <v>2207.7491875108299</v>
      </c>
      <c r="AH318">
        <f t="shared" si="247"/>
        <v>-2424.9482738237543</v>
      </c>
      <c r="AJ318">
        <f t="shared" si="232"/>
        <v>22100</v>
      </c>
      <c r="AK318">
        <f t="shared" si="233"/>
        <v>1475.8981101577442</v>
      </c>
      <c r="AL318">
        <v>1</v>
      </c>
      <c r="AM318">
        <f t="shared" si="234"/>
        <v>40.502347381772637</v>
      </c>
      <c r="AN318">
        <f t="shared" si="248"/>
        <v>49.881403403738318</v>
      </c>
      <c r="AO318">
        <f t="shared" si="249"/>
        <v>-544.41581839080084</v>
      </c>
      <c r="AQ318">
        <f t="shared" si="235"/>
        <v>9.2455535821435071E-3</v>
      </c>
      <c r="AR318">
        <f t="shared" si="236"/>
        <v>-9.6153757254292476</v>
      </c>
      <c r="AT318">
        <f t="shared" si="261"/>
        <v>-23296.376904137418</v>
      </c>
      <c r="AU318">
        <f t="shared" si="262"/>
        <v>-21250.757934627341</v>
      </c>
      <c r="AV318">
        <f t="shared" si="250"/>
        <v>-2.4020825802768524</v>
      </c>
      <c r="AW318">
        <f t="shared" si="251"/>
        <v>-4564.5252873055006</v>
      </c>
      <c r="AX318">
        <f t="shared" si="252"/>
        <v>-5189.9494243230547</v>
      </c>
      <c r="AY318">
        <f t="shared" si="260"/>
        <v>-2.2921654947355252</v>
      </c>
      <c r="BA318">
        <f t="shared" si="237"/>
        <v>4.5622854072424914</v>
      </c>
      <c r="BB318">
        <f t="shared" si="253"/>
        <v>13.183649007297358</v>
      </c>
      <c r="BC318">
        <f t="shared" si="254"/>
        <v>-0.10991708554132718</v>
      </c>
      <c r="BD318">
        <f t="shared" si="238"/>
        <v>-186.29778510509277</v>
      </c>
      <c r="BF318">
        <f t="shared" si="239"/>
        <v>-24.826276562358611</v>
      </c>
      <c r="BG318">
        <f t="shared" si="240"/>
        <v>-181.98901520875825</v>
      </c>
      <c r="BH318">
        <f t="shared" si="255"/>
        <v>-1.9890152087582464</v>
      </c>
      <c r="BI318">
        <f t="shared" si="256"/>
        <v>-1.9890152087582464</v>
      </c>
      <c r="BJ318">
        <f t="shared" si="241"/>
        <v>0</v>
      </c>
      <c r="BK318">
        <f t="shared" si="257"/>
        <v>0</v>
      </c>
      <c r="BM318">
        <f t="shared" si="258"/>
        <v>-38.009925569655969</v>
      </c>
      <c r="BN318">
        <f t="shared" si="242"/>
        <v>-175.69123010366548</v>
      </c>
      <c r="BQ318" s="56">
        <f t="shared" si="259"/>
        <v>30.085609807582493</v>
      </c>
      <c r="BR318" s="59"/>
      <c r="BS318" s="59"/>
      <c r="BT318" s="59">
        <v>120226.443</v>
      </c>
      <c r="BU318" s="59">
        <v>7.9446199999999996</v>
      </c>
      <c r="BV318" s="59">
        <v>-129.863</v>
      </c>
      <c r="BY318" s="59"/>
      <c r="BZ318" s="59"/>
      <c r="CA318" s="59"/>
      <c r="CC318" s="59"/>
    </row>
    <row r="319" spans="1:81" x14ac:dyDescent="0.2">
      <c r="A319">
        <f t="shared" si="263"/>
        <v>525000</v>
      </c>
      <c r="B319">
        <f t="shared" si="243"/>
        <v>525</v>
      </c>
      <c r="C319">
        <f t="shared" si="212"/>
        <v>1.002173884877736</v>
      </c>
      <c r="D319">
        <f t="shared" si="213"/>
        <v>6.5877978462779666E-2</v>
      </c>
      <c r="F319">
        <f t="shared" si="214"/>
        <v>8.2067045042439918E-4</v>
      </c>
      <c r="G319">
        <f t="shared" si="215"/>
        <v>9.8549529079288278E-3</v>
      </c>
      <c r="H319">
        <f t="shared" si="216"/>
        <v>-3.1317376970920714</v>
      </c>
      <c r="J319">
        <f t="shared" si="217"/>
        <v>15</v>
      </c>
      <c r="M319">
        <f t="shared" si="218"/>
        <v>3.4569801956647874E-3</v>
      </c>
      <c r="N319">
        <f t="shared" si="219"/>
        <v>-1.5707963250000001</v>
      </c>
      <c r="O319">
        <f t="shared" si="220"/>
        <v>62.659662784921856</v>
      </c>
      <c r="P319">
        <f t="shared" si="221"/>
        <v>1.5548364187787156</v>
      </c>
      <c r="Q319">
        <f t="shared" si="222"/>
        <v>40.904018594530783</v>
      </c>
      <c r="R319">
        <f t="shared" si="223"/>
        <v>1.5463464151641437</v>
      </c>
      <c r="S319">
        <f t="shared" si="224"/>
        <v>0.99773466495945329</v>
      </c>
      <c r="T319">
        <f t="shared" si="225"/>
        <v>-6.7322965592276129E-2</v>
      </c>
      <c r="U319">
        <f t="shared" si="226"/>
        <v>0.68155656185014635</v>
      </c>
      <c r="V319">
        <f t="shared" si="227"/>
        <v>-0.8209086612529527</v>
      </c>
      <c r="X319">
        <f t="shared" si="244"/>
        <v>-22.576579526091841</v>
      </c>
      <c r="Y319">
        <f t="shared" si="228"/>
        <v>-138.86805807738918</v>
      </c>
      <c r="Z319">
        <f t="shared" si="245"/>
        <v>41.131941922610821</v>
      </c>
      <c r="AC319">
        <v>1</v>
      </c>
      <c r="AD319">
        <f t="shared" si="229"/>
        <v>62.651682661522507</v>
      </c>
      <c r="AE319">
        <f t="shared" si="230"/>
        <v>-1.405338109523341E-2</v>
      </c>
      <c r="AF319">
        <f t="shared" si="231"/>
        <v>1.3089131616960003E-2</v>
      </c>
      <c r="AG319">
        <f t="shared" si="246"/>
        <v>2185.3381890431169</v>
      </c>
      <c r="AH319">
        <f t="shared" si="247"/>
        <v>-2422.7268332683502</v>
      </c>
      <c r="AJ319">
        <f t="shared" si="232"/>
        <v>22100</v>
      </c>
      <c r="AK319">
        <f t="shared" si="233"/>
        <v>1490.0894381400301</v>
      </c>
      <c r="AL319">
        <v>1</v>
      </c>
      <c r="AM319">
        <f t="shared" si="234"/>
        <v>40.891793029674304</v>
      </c>
      <c r="AN319">
        <f t="shared" si="248"/>
        <v>49.626744665530751</v>
      </c>
      <c r="AO319">
        <f t="shared" si="249"/>
        <v>-539.23713345934686</v>
      </c>
      <c r="AQ319">
        <f t="shared" si="235"/>
        <v>9.0702865575632129E-3</v>
      </c>
      <c r="AR319">
        <f t="shared" si="236"/>
        <v>-9.5238008854413732</v>
      </c>
      <c r="AT319">
        <f t="shared" si="261"/>
        <v>-23053.746316263881</v>
      </c>
      <c r="AU319">
        <f t="shared" si="262"/>
        <v>-20834.700606426126</v>
      </c>
      <c r="AV319">
        <f t="shared" si="250"/>
        <v>-2.4067125153995947</v>
      </c>
      <c r="AW319">
        <f t="shared" si="251"/>
        <v>-4472.1728646049469</v>
      </c>
      <c r="AX319">
        <f t="shared" si="252"/>
        <v>-5143.5978772353574</v>
      </c>
      <c r="AY319">
        <f t="shared" si="260"/>
        <v>-2.2864822419633928</v>
      </c>
      <c r="BA319">
        <f t="shared" si="237"/>
        <v>4.5589452425203687</v>
      </c>
      <c r="BB319">
        <f t="shared" si="253"/>
        <v>13.177287518467576</v>
      </c>
      <c r="BC319">
        <f t="shared" si="254"/>
        <v>-0.12023027343620196</v>
      </c>
      <c r="BD319">
        <f t="shared" si="238"/>
        <v>-186.8886872454697</v>
      </c>
      <c r="BF319">
        <f t="shared" si="239"/>
        <v>-24.998649745872701</v>
      </c>
      <c r="BG319">
        <f t="shared" si="240"/>
        <v>-182.54950990281594</v>
      </c>
      <c r="BH319">
        <f t="shared" si="255"/>
        <v>-2.5495099028159416</v>
      </c>
      <c r="BI319">
        <f t="shared" si="256"/>
        <v>-2.5495099028159416</v>
      </c>
      <c r="BJ319">
        <f t="shared" si="241"/>
        <v>0</v>
      </c>
      <c r="BK319">
        <f t="shared" si="257"/>
        <v>0</v>
      </c>
      <c r="BM319">
        <f t="shared" si="258"/>
        <v>-38.175937264340277</v>
      </c>
      <c r="BN319">
        <f t="shared" si="242"/>
        <v>-175.66082265734624</v>
      </c>
      <c r="BQ319" s="56">
        <f t="shared" si="259"/>
        <v>30.079248318752715</v>
      </c>
      <c r="BR319" s="59"/>
      <c r="BS319" s="59"/>
      <c r="BT319" s="59">
        <v>123026.87699999999</v>
      </c>
      <c r="BU319" s="59">
        <v>8.1865900000000007</v>
      </c>
      <c r="BV319" s="59">
        <v>-130.31299999999999</v>
      </c>
      <c r="BY319" s="59"/>
      <c r="BZ319" s="59"/>
      <c r="CA319" s="59"/>
      <c r="CC319" s="59"/>
    </row>
    <row r="320" spans="1:81" x14ac:dyDescent="0.2">
      <c r="A320">
        <f t="shared" si="263"/>
        <v>530000</v>
      </c>
      <c r="B320">
        <f t="shared" si="243"/>
        <v>530</v>
      </c>
      <c r="C320">
        <f t="shared" si="212"/>
        <v>1.002215443401212</v>
      </c>
      <c r="D320">
        <f t="shared" si="213"/>
        <v>6.650354819004789E-2</v>
      </c>
      <c r="F320">
        <f t="shared" si="214"/>
        <v>8.0524742010369362E-4</v>
      </c>
      <c r="G320">
        <f t="shared" si="215"/>
        <v>9.7618365840251107E-3</v>
      </c>
      <c r="H320">
        <f t="shared" si="216"/>
        <v>-3.1318308134159749</v>
      </c>
      <c r="J320">
        <f t="shared" si="217"/>
        <v>15</v>
      </c>
      <c r="M320">
        <f t="shared" si="218"/>
        <v>3.4243671749509689E-3</v>
      </c>
      <c r="N320">
        <f t="shared" si="219"/>
        <v>-1.5707963250000001</v>
      </c>
      <c r="O320">
        <f t="shared" si="220"/>
        <v>63.256270202206053</v>
      </c>
      <c r="P320">
        <f t="shared" si="221"/>
        <v>1.5549869587427234</v>
      </c>
      <c r="Q320">
        <f t="shared" si="222"/>
        <v>41.293348940900806</v>
      </c>
      <c r="R320">
        <f t="shared" si="223"/>
        <v>1.5465769840895562</v>
      </c>
      <c r="S320">
        <f t="shared" si="224"/>
        <v>0.99769146026268574</v>
      </c>
      <c r="T320">
        <f t="shared" si="225"/>
        <v>-6.796217345663548E-2</v>
      </c>
      <c r="U320">
        <f t="shared" si="226"/>
        <v>0.67809081311045072</v>
      </c>
      <c r="V320">
        <f t="shared" si="227"/>
        <v>-0.82563442569387513</v>
      </c>
      <c r="X320">
        <f t="shared" si="244"/>
        <v>-22.703403609002422</v>
      </c>
      <c r="Y320">
        <f t="shared" si="228"/>
        <v>-139.12310508427896</v>
      </c>
      <c r="Z320">
        <f t="shared" si="245"/>
        <v>40.876894915721039</v>
      </c>
      <c r="AC320">
        <v>1</v>
      </c>
      <c r="AD320">
        <f t="shared" si="229"/>
        <v>63.248365353537004</v>
      </c>
      <c r="AE320">
        <f t="shared" si="230"/>
        <v>-1.4322339227758966E-2</v>
      </c>
      <c r="AF320">
        <f t="shared" si="231"/>
        <v>1.3213790013312E-2</v>
      </c>
      <c r="AG320">
        <f t="shared" si="246"/>
        <v>2163.1695919231115</v>
      </c>
      <c r="AH320">
        <f t="shared" si="247"/>
        <v>-2420.323667204972</v>
      </c>
      <c r="AJ320">
        <f t="shared" si="232"/>
        <v>22100</v>
      </c>
      <c r="AK320">
        <f t="shared" si="233"/>
        <v>1504.2807661223162</v>
      </c>
      <c r="AL320">
        <v>1</v>
      </c>
      <c r="AM320">
        <f t="shared" si="234"/>
        <v>41.281238677575963</v>
      </c>
      <c r="AN320">
        <f t="shared" si="248"/>
        <v>49.379253563061255</v>
      </c>
      <c r="AO320">
        <f t="shared" si="249"/>
        <v>-534.15598593495872</v>
      </c>
      <c r="AQ320">
        <f t="shared" si="235"/>
        <v>8.8999564792128158E-3</v>
      </c>
      <c r="AR320">
        <f t="shared" si="236"/>
        <v>-9.4339538679655863</v>
      </c>
      <c r="AT320">
        <f t="shared" si="261"/>
        <v>-22813.969706731725</v>
      </c>
      <c r="AU320">
        <f t="shared" si="262"/>
        <v>-20428.78291409231</v>
      </c>
      <c r="AV320">
        <f t="shared" si="250"/>
        <v>-2.4112967245944028</v>
      </c>
      <c r="AW320">
        <f t="shared" si="251"/>
        <v>-4382.5234604067609</v>
      </c>
      <c r="AX320">
        <f t="shared" si="252"/>
        <v>-5098.1308338542913</v>
      </c>
      <c r="AY320">
        <f t="shared" si="260"/>
        <v>-2.2808565487409442</v>
      </c>
      <c r="BA320">
        <f t="shared" si="237"/>
        <v>4.5551325184006624</v>
      </c>
      <c r="BB320">
        <f t="shared" si="253"/>
        <v>13.170020320683067</v>
      </c>
      <c r="BC320">
        <f t="shared" si="254"/>
        <v>-0.13044017585345857</v>
      </c>
      <c r="BD320">
        <f t="shared" si="238"/>
        <v>-187.47367156388736</v>
      </c>
      <c r="BF320">
        <f t="shared" si="239"/>
        <v>-25.170345844341682</v>
      </c>
      <c r="BG320">
        <f t="shared" si="240"/>
        <v>-183.10398688839857</v>
      </c>
      <c r="BH320">
        <f t="shared" si="255"/>
        <v>-3.1039868883985662</v>
      </c>
      <c r="BI320">
        <f t="shared" si="256"/>
        <v>-3.1039868883985662</v>
      </c>
      <c r="BJ320">
        <f t="shared" si="241"/>
        <v>0</v>
      </c>
      <c r="BK320">
        <f t="shared" si="257"/>
        <v>0</v>
      </c>
      <c r="BM320">
        <f t="shared" si="258"/>
        <v>-38.340366165024747</v>
      </c>
      <c r="BN320">
        <f t="shared" si="242"/>
        <v>-175.6303153245112</v>
      </c>
      <c r="BQ320" s="56">
        <f t="shared" si="259"/>
        <v>30.0719811209682</v>
      </c>
      <c r="BR320" s="59"/>
      <c r="BS320" s="59"/>
      <c r="BT320" s="59">
        <v>125892.541</v>
      </c>
      <c r="BU320" s="59">
        <v>8.4445800000000002</v>
      </c>
      <c r="BV320" s="59">
        <v>-130.77099999999999</v>
      </c>
      <c r="BY320" s="59"/>
      <c r="BZ320" s="59"/>
      <c r="CA320" s="59"/>
      <c r="CC320" s="59"/>
    </row>
    <row r="321" spans="1:81" x14ac:dyDescent="0.2">
      <c r="A321">
        <f t="shared" si="263"/>
        <v>535000</v>
      </c>
      <c r="B321">
        <f t="shared" si="243"/>
        <v>535</v>
      </c>
      <c r="C321">
        <f t="shared" si="212"/>
        <v>1.0022573940965431</v>
      </c>
      <c r="D321">
        <f t="shared" si="213"/>
        <v>6.7129065794132636E-2</v>
      </c>
      <c r="F321">
        <f t="shared" si="214"/>
        <v>7.9025521769776922E-4</v>
      </c>
      <c r="G321">
        <f t="shared" si="215"/>
        <v>9.6704647665953984E-3</v>
      </c>
      <c r="H321">
        <f t="shared" si="216"/>
        <v>-3.1319221852334049</v>
      </c>
      <c r="J321">
        <f t="shared" si="217"/>
        <v>15</v>
      </c>
      <c r="M321">
        <f t="shared" si="218"/>
        <v>3.3923637434093708E-3</v>
      </c>
      <c r="N321">
        <f t="shared" si="219"/>
        <v>-1.5707963250000001</v>
      </c>
      <c r="O321">
        <f t="shared" si="220"/>
        <v>63.852879026233275</v>
      </c>
      <c r="P321">
        <f t="shared" si="221"/>
        <v>1.5551346855723185</v>
      </c>
      <c r="Q321">
        <f t="shared" si="222"/>
        <v>41.682681441500456</v>
      </c>
      <c r="R321">
        <f t="shared" si="223"/>
        <v>1.5468032458194434</v>
      </c>
      <c r="S321">
        <f t="shared" si="224"/>
        <v>0.99764785173493387</v>
      </c>
      <c r="T321">
        <f t="shared" si="225"/>
        <v>-6.8601325703298716E-2</v>
      </c>
      <c r="U321">
        <f t="shared" si="226"/>
        <v>0.67464529440170229</v>
      </c>
      <c r="V321">
        <f t="shared" si="227"/>
        <v>-0.83031226856345342</v>
      </c>
      <c r="X321">
        <f t="shared" si="244"/>
        <v>-22.829415737225965</v>
      </c>
      <c r="Y321">
        <f t="shared" si="228"/>
        <v>-139.3757141991554</v>
      </c>
      <c r="Z321">
        <f t="shared" si="245"/>
        <v>40.624285800844604</v>
      </c>
      <c r="AC321">
        <v>1</v>
      </c>
      <c r="AD321">
        <f t="shared" si="229"/>
        <v>63.845048045551493</v>
      </c>
      <c r="AE321">
        <f t="shared" si="230"/>
        <v>-1.4593846726469599E-2</v>
      </c>
      <c r="AF321">
        <f t="shared" si="231"/>
        <v>1.3338448409664002E-2</v>
      </c>
      <c r="AG321">
        <f t="shared" si="246"/>
        <v>2141.2424239673737</v>
      </c>
      <c r="AH321">
        <f t="shared" si="247"/>
        <v>-2417.7447592951657</v>
      </c>
      <c r="AJ321">
        <f t="shared" si="232"/>
        <v>22100</v>
      </c>
      <c r="AK321">
        <f t="shared" si="233"/>
        <v>1518.4720941046023</v>
      </c>
      <c r="AL321">
        <v>1</v>
      </c>
      <c r="AM321">
        <f t="shared" si="234"/>
        <v>41.670684325477623</v>
      </c>
      <c r="AN321">
        <f t="shared" si="248"/>
        <v>49.13866366169708</v>
      </c>
      <c r="AO321">
        <f t="shared" si="249"/>
        <v>-529.16964751779517</v>
      </c>
      <c r="AQ321">
        <f t="shared" si="235"/>
        <v>8.7343796537866589E-3</v>
      </c>
      <c r="AR321">
        <f t="shared" si="236"/>
        <v>-9.3457862295517256</v>
      </c>
      <c r="AT321">
        <f t="shared" si="261"/>
        <v>-22577.023253729883</v>
      </c>
      <c r="AU321">
        <f t="shared" si="262"/>
        <v>-20032.711460679879</v>
      </c>
      <c r="AV321">
        <f t="shared" si="250"/>
        <v>-2.4158356574137745</v>
      </c>
      <c r="AW321">
        <f t="shared" si="251"/>
        <v>-4295.4744550911782</v>
      </c>
      <c r="AX321">
        <f t="shared" si="252"/>
        <v>-5053.5211660990071</v>
      </c>
      <c r="AY321">
        <f t="shared" si="260"/>
        <v>-2.2752882615958492</v>
      </c>
      <c r="BA321">
        <f t="shared" si="237"/>
        <v>4.5508631954860217</v>
      </c>
      <c r="BB321">
        <f t="shared" si="253"/>
        <v>13.161875605585859</v>
      </c>
      <c r="BC321">
        <f t="shared" si="254"/>
        <v>-0.1405473958179253</v>
      </c>
      <c r="BD321">
        <f t="shared" si="238"/>
        <v>-188.0527726111234</v>
      </c>
      <c r="BF321">
        <f t="shared" si="239"/>
        <v>-25.341366395537122</v>
      </c>
      <c r="BG321">
        <f t="shared" si="240"/>
        <v>-183.6524836363796</v>
      </c>
      <c r="BH321">
        <f t="shared" si="255"/>
        <v>-3.6524836363795998</v>
      </c>
      <c r="BI321">
        <f t="shared" si="256"/>
        <v>-3.6524836363795998</v>
      </c>
      <c r="BJ321">
        <f t="shared" si="241"/>
        <v>0</v>
      </c>
      <c r="BK321">
        <f t="shared" si="257"/>
        <v>0</v>
      </c>
      <c r="BM321">
        <f t="shared" si="258"/>
        <v>-38.503242001122985</v>
      </c>
      <c r="BN321">
        <f t="shared" si="242"/>
        <v>-175.59971102525623</v>
      </c>
      <c r="BQ321" s="56">
        <f t="shared" si="259"/>
        <v>30.063836405870997</v>
      </c>
      <c r="BR321" s="59"/>
      <c r="BS321" s="59"/>
      <c r="BT321" s="59">
        <v>128824.955</v>
      </c>
      <c r="BU321" s="59">
        <v>8.6780500000000007</v>
      </c>
      <c r="BV321" s="59">
        <v>-131.42599999999999</v>
      </c>
      <c r="BY321" s="59"/>
      <c r="BZ321" s="59"/>
      <c r="CA321" s="59"/>
      <c r="CC321" s="59"/>
    </row>
    <row r="322" spans="1:81" x14ac:dyDescent="0.2">
      <c r="A322">
        <f t="shared" si="263"/>
        <v>540000</v>
      </c>
      <c r="B322">
        <f t="shared" si="243"/>
        <v>540</v>
      </c>
      <c r="C322">
        <f t="shared" si="212"/>
        <v>1.0022997369144864</v>
      </c>
      <c r="D322">
        <f t="shared" si="213"/>
        <v>6.7754530792114243E-2</v>
      </c>
      <c r="F322">
        <f t="shared" si="214"/>
        <v>7.7567794114920133E-4</v>
      </c>
      <c r="G322">
        <f t="shared" si="215"/>
        <v>9.5807888503275599E-3</v>
      </c>
      <c r="H322">
        <f t="shared" si="216"/>
        <v>-3.1320118611496728</v>
      </c>
      <c r="J322">
        <f t="shared" si="217"/>
        <v>15</v>
      </c>
      <c r="M322">
        <f t="shared" si="218"/>
        <v>3.360952968007432E-3</v>
      </c>
      <c r="N322">
        <f t="shared" si="219"/>
        <v>-1.5707963250000001</v>
      </c>
      <c r="O322">
        <f t="shared" si="220"/>
        <v>64.449489217936872</v>
      </c>
      <c r="P322">
        <f t="shared" si="221"/>
        <v>1.555279677384684</v>
      </c>
      <c r="Q322">
        <f t="shared" si="222"/>
        <v>42.072016036524303</v>
      </c>
      <c r="R322">
        <f t="shared" si="223"/>
        <v>1.5470253199067221</v>
      </c>
      <c r="S322">
        <f t="shared" si="224"/>
        <v>0.9976038395360306</v>
      </c>
      <c r="T322">
        <f t="shared" si="225"/>
        <v>-6.9240421817385739E-2</v>
      </c>
      <c r="U322">
        <f t="shared" si="226"/>
        <v>0.6712201478633868</v>
      </c>
      <c r="V322">
        <f t="shared" si="227"/>
        <v>-0.83494271346996329</v>
      </c>
      <c r="X322">
        <f t="shared" si="244"/>
        <v>-22.954626982275308</v>
      </c>
      <c r="Y322">
        <f t="shared" si="228"/>
        <v>-139.62590687994836</v>
      </c>
      <c r="Z322">
        <f t="shared" si="245"/>
        <v>40.37409312005164</v>
      </c>
      <c r="AC322">
        <v>1</v>
      </c>
      <c r="AD322">
        <f t="shared" si="229"/>
        <v>64.441730737566004</v>
      </c>
      <c r="AE322">
        <f t="shared" si="230"/>
        <v>-1.4867903591365306E-2</v>
      </c>
      <c r="AF322">
        <f t="shared" si="231"/>
        <v>1.3463106806016003E-2</v>
      </c>
      <c r="AG322">
        <f t="shared" si="246"/>
        <v>2119.5556153506482</v>
      </c>
      <c r="AH322">
        <f t="shared" si="247"/>
        <v>-2414.9959599994991</v>
      </c>
      <c r="AJ322">
        <f t="shared" si="232"/>
        <v>22100</v>
      </c>
      <c r="AK322">
        <f t="shared" si="233"/>
        <v>1532.6634220868882</v>
      </c>
      <c r="AL322">
        <v>1</v>
      </c>
      <c r="AM322">
        <f t="shared" si="234"/>
        <v>42.060129973379283</v>
      </c>
      <c r="AN322">
        <f t="shared" si="248"/>
        <v>48.904720790291265</v>
      </c>
      <c r="AO322">
        <f t="shared" si="249"/>
        <v>-524.27549066458664</v>
      </c>
      <c r="AQ322">
        <f t="shared" si="235"/>
        <v>8.5733808527256056E-3</v>
      </c>
      <c r="AR322">
        <f t="shared" si="236"/>
        <v>-9.2592513209436547</v>
      </c>
      <c r="AT322">
        <f t="shared" si="261"/>
        <v>-22342.882775170019</v>
      </c>
      <c r="AU322">
        <f t="shared" si="262"/>
        <v>-19646.202811371899</v>
      </c>
      <c r="AV322">
        <f t="shared" si="250"/>
        <v>-2.4203297640137573</v>
      </c>
      <c r="AW322">
        <f t="shared" si="251"/>
        <v>-4210.9279902422022</v>
      </c>
      <c r="AX322">
        <f t="shared" si="252"/>
        <v>-5009.7428912791984</v>
      </c>
      <c r="AY322">
        <f t="shared" si="260"/>
        <v>-2.2697771982445261</v>
      </c>
      <c r="BA322">
        <f t="shared" si="237"/>
        <v>4.5461529330193207</v>
      </c>
      <c r="BB322">
        <f t="shared" si="253"/>
        <v>13.152880826851746</v>
      </c>
      <c r="BC322">
        <f t="shared" si="254"/>
        <v>-0.15055256576923126</v>
      </c>
      <c r="BD322">
        <f t="shared" si="238"/>
        <v>-188.62602662329937</v>
      </c>
      <c r="BF322">
        <f t="shared" si="239"/>
        <v>-25.511712843061296</v>
      </c>
      <c r="BG322">
        <f t="shared" si="240"/>
        <v>-184.19503919542913</v>
      </c>
      <c r="BH322">
        <f t="shared" si="255"/>
        <v>-4.195039195429132</v>
      </c>
      <c r="BI322">
        <f t="shared" si="256"/>
        <v>-4.195039195429132</v>
      </c>
      <c r="BJ322">
        <f t="shared" si="241"/>
        <v>0</v>
      </c>
      <c r="BK322">
        <f t="shared" si="257"/>
        <v>0</v>
      </c>
      <c r="BM322">
        <f t="shared" si="258"/>
        <v>-38.664593669913046</v>
      </c>
      <c r="BN322">
        <f t="shared" si="242"/>
        <v>-175.56901257212976</v>
      </c>
      <c r="BQ322" s="56">
        <f t="shared" si="259"/>
        <v>30.054841627136884</v>
      </c>
      <c r="BR322" s="59"/>
      <c r="BS322" s="59"/>
      <c r="BT322" s="59">
        <v>131825.674</v>
      </c>
      <c r="BU322" s="59">
        <v>8.8889499999999995</v>
      </c>
      <c r="BV322" s="59">
        <v>-132.06399999999999</v>
      </c>
      <c r="BY322" s="59"/>
      <c r="BZ322" s="59"/>
      <c r="CA322" s="59"/>
      <c r="CC322" s="59"/>
    </row>
    <row r="323" spans="1:81" x14ac:dyDescent="0.2">
      <c r="A323">
        <f t="shared" si="263"/>
        <v>545000</v>
      </c>
      <c r="B323">
        <f t="shared" si="243"/>
        <v>545</v>
      </c>
      <c r="C323">
        <f t="shared" si="212"/>
        <v>1.0023424718053477</v>
      </c>
      <c r="D323">
        <f t="shared" si="213"/>
        <v>6.8379942701318891E-2</v>
      </c>
      <c r="F323">
        <f t="shared" si="214"/>
        <v>7.6150041554969537E-4</v>
      </c>
      <c r="G323">
        <f t="shared" si="215"/>
        <v>9.4927620202414856E-3</v>
      </c>
      <c r="H323">
        <f t="shared" si="216"/>
        <v>-3.1320998879797588</v>
      </c>
      <c r="J323">
        <f t="shared" si="217"/>
        <v>15</v>
      </c>
      <c r="M323">
        <f t="shared" si="218"/>
        <v>3.3301185371082814E-3</v>
      </c>
      <c r="N323">
        <f t="shared" si="219"/>
        <v>-1.5707963250000001</v>
      </c>
      <c r="O323">
        <f t="shared" si="220"/>
        <v>65.046100739683382</v>
      </c>
      <c r="P323">
        <f t="shared" si="221"/>
        <v>1.5554220094314677</v>
      </c>
      <c r="Q323">
        <f t="shared" si="222"/>
        <v>42.461352668360078</v>
      </c>
      <c r="R323">
        <f t="shared" si="223"/>
        <v>1.547243321521178</v>
      </c>
      <c r="S323">
        <f t="shared" si="224"/>
        <v>0.99755942382725071</v>
      </c>
      <c r="T323">
        <f t="shared" si="225"/>
        <v>-6.9879461284290331E-2</v>
      </c>
      <c r="U323">
        <f t="shared" si="226"/>
        <v>0.66781550208639384</v>
      </c>
      <c r="V323">
        <f t="shared" si="227"/>
        <v>-0.83952628159558318</v>
      </c>
      <c r="X323">
        <f t="shared" si="244"/>
        <v>-23.079048124885876</v>
      </c>
      <c r="Y323">
        <f t="shared" si="228"/>
        <v>-139.87370475832384</v>
      </c>
      <c r="Z323">
        <f t="shared" si="245"/>
        <v>40.126295241676161</v>
      </c>
      <c r="AC323">
        <v>1</v>
      </c>
      <c r="AD323">
        <f t="shared" si="229"/>
        <v>65.038413429580501</v>
      </c>
      <c r="AE323">
        <f t="shared" si="230"/>
        <v>-1.5144509822446091E-2</v>
      </c>
      <c r="AF323">
        <f t="shared" si="231"/>
        <v>1.3587765202368001E-2</v>
      </c>
      <c r="AG323">
        <f t="shared" si="246"/>
        <v>2098.1080044526875</v>
      </c>
      <c r="AH323">
        <f t="shared" si="247"/>
        <v>-2412.08298744187</v>
      </c>
      <c r="AJ323">
        <f t="shared" si="232"/>
        <v>22100</v>
      </c>
      <c r="AK323">
        <f t="shared" si="233"/>
        <v>1546.8547500691741</v>
      </c>
      <c r="AL323">
        <v>1</v>
      </c>
      <c r="AM323">
        <f t="shared" si="234"/>
        <v>42.449575621280943</v>
      </c>
      <c r="AN323">
        <f t="shared" si="248"/>
        <v>48.677182370130936</v>
      </c>
      <c r="AO323">
        <f t="shared" si="249"/>
        <v>-519.47098398258277</v>
      </c>
      <c r="AQ323">
        <f t="shared" si="235"/>
        <v>8.4167928484194521E-3</v>
      </c>
      <c r="AR323">
        <f t="shared" si="236"/>
        <v>-9.1743042047772025</v>
      </c>
      <c r="AT323">
        <f t="shared" si="261"/>
        <v>-22111.523753512418</v>
      </c>
      <c r="AU323">
        <f t="shared" si="262"/>
        <v>-19268.983090165493</v>
      </c>
      <c r="AV323">
        <f t="shared" si="250"/>
        <v>-2.4247794948186425</v>
      </c>
      <c r="AW323">
        <f t="shared" si="251"/>
        <v>-4128.7907079963907</v>
      </c>
      <c r="AX323">
        <f t="shared" si="252"/>
        <v>-4966.7711118079505</v>
      </c>
      <c r="AY323">
        <f t="shared" si="260"/>
        <v>-2.2643231491364992</v>
      </c>
      <c r="BA323">
        <f t="shared" si="237"/>
        <v>4.5410170840605604</v>
      </c>
      <c r="BB323">
        <f t="shared" si="253"/>
        <v>13.143062715840399</v>
      </c>
      <c r="BC323">
        <f t="shared" si="254"/>
        <v>-0.16045634568214329</v>
      </c>
      <c r="BD323">
        <f t="shared" si="238"/>
        <v>-189.19347141418407</v>
      </c>
      <c r="BF323">
        <f t="shared" si="239"/>
        <v>-25.681386551489286</v>
      </c>
      <c r="BG323">
        <f t="shared" si="240"/>
        <v>-184.73169408927185</v>
      </c>
      <c r="BH323">
        <f t="shared" si="255"/>
        <v>-4.7316940892718549</v>
      </c>
      <c r="BI323">
        <f t="shared" si="256"/>
        <v>-4.7316940892718549</v>
      </c>
      <c r="BJ323">
        <f t="shared" si="241"/>
        <v>0</v>
      </c>
      <c r="BK323">
        <f t="shared" si="257"/>
        <v>0</v>
      </c>
      <c r="BM323">
        <f t="shared" si="258"/>
        <v>-38.824449267329683</v>
      </c>
      <c r="BN323">
        <f t="shared" si="242"/>
        <v>-175.53822267508778</v>
      </c>
      <c r="BQ323" s="56">
        <f t="shared" si="259"/>
        <v>30.045023516125539</v>
      </c>
      <c r="BR323" s="59"/>
      <c r="BS323" s="59"/>
      <c r="BT323" s="59">
        <v>134896.288</v>
      </c>
      <c r="BU323" s="59">
        <v>9.0986999999999991</v>
      </c>
      <c r="BV323" s="59">
        <v>-132.62899999999999</v>
      </c>
      <c r="BY323" s="59"/>
      <c r="BZ323" s="59"/>
      <c r="CA323" s="59"/>
      <c r="CC323" s="59"/>
    </row>
    <row r="324" spans="1:81" x14ac:dyDescent="0.2">
      <c r="A324">
        <f t="shared" si="263"/>
        <v>550000</v>
      </c>
      <c r="B324">
        <f t="shared" si="243"/>
        <v>550</v>
      </c>
      <c r="C324">
        <f t="shared" si="212"/>
        <v>1.0023855987189814</v>
      </c>
      <c r="D324">
        <f t="shared" si="213"/>
        <v>6.9005301039320871E-2</v>
      </c>
      <c r="F324">
        <f t="shared" si="214"/>
        <v>7.4770815359258801E-4</v>
      </c>
      <c r="G324">
        <f t="shared" si="215"/>
        <v>9.4063391699519584E-3</v>
      </c>
      <c r="H324">
        <f t="shared" si="216"/>
        <v>-3.1321863108300483</v>
      </c>
      <c r="J324">
        <f t="shared" si="217"/>
        <v>15</v>
      </c>
      <c r="M324">
        <f t="shared" si="218"/>
        <v>3.2998447322254787E-3</v>
      </c>
      <c r="N324">
        <f t="shared" si="219"/>
        <v>-1.5707963250000001</v>
      </c>
      <c r="O324">
        <f t="shared" si="220"/>
        <v>65.642713555207465</v>
      </c>
      <c r="P324">
        <f t="shared" si="221"/>
        <v>1.5555617542289726</v>
      </c>
      <c r="Q324">
        <f t="shared" si="222"/>
        <v>42.85069128148902</v>
      </c>
      <c r="R324">
        <f t="shared" si="223"/>
        <v>1.5474573616484777</v>
      </c>
      <c r="S324">
        <f t="shared" si="224"/>
        <v>0.99751460477130871</v>
      </c>
      <c r="T324">
        <f t="shared" si="225"/>
        <v>-7.0518443589682539E-2</v>
      </c>
      <c r="U324">
        <f t="shared" si="226"/>
        <v>0.66443147262440816</v>
      </c>
      <c r="V324">
        <f t="shared" si="227"/>
        <v>-0.84406349150303051</v>
      </c>
      <c r="X324">
        <f t="shared" si="244"/>
        <v>-23.202689667302018</v>
      </c>
      <c r="Y324">
        <f t="shared" si="228"/>
        <v>-140.11912961442604</v>
      </c>
      <c r="Z324">
        <f t="shared" si="245"/>
        <v>39.880870385573957</v>
      </c>
      <c r="AC324">
        <v>1</v>
      </c>
      <c r="AD324">
        <f t="shared" si="229"/>
        <v>65.635096121594998</v>
      </c>
      <c r="AE324">
        <f t="shared" si="230"/>
        <v>-1.5423665419711949E-2</v>
      </c>
      <c r="AF324">
        <f t="shared" si="231"/>
        <v>1.3712423598720002E-2</v>
      </c>
      <c r="AG324">
        <f t="shared" si="246"/>
        <v>2076.8983434856627</v>
      </c>
      <c r="AH324">
        <f t="shared" si="247"/>
        <v>-2409.0114284217684</v>
      </c>
      <c r="AJ324">
        <f t="shared" si="232"/>
        <v>22100</v>
      </c>
      <c r="AK324">
        <f t="shared" si="233"/>
        <v>1561.0460780514602</v>
      </c>
      <c r="AL324">
        <v>1</v>
      </c>
      <c r="AM324">
        <f t="shared" si="234"/>
        <v>42.839021269182602</v>
      </c>
      <c r="AN324">
        <f t="shared" si="248"/>
        <v>48.455816786330047</v>
      </c>
      <c r="AO324">
        <f t="shared" si="249"/>
        <v>-514.75368787374794</v>
      </c>
      <c r="AQ324">
        <f t="shared" si="235"/>
        <v>8.264455979788447E-3</v>
      </c>
      <c r="AR324">
        <f t="shared" si="236"/>
        <v>-9.0909015777672906</v>
      </c>
      <c r="AT324">
        <f t="shared" si="261"/>
        <v>-21882.921360564658</v>
      </c>
      <c r="AU324">
        <f t="shared" si="262"/>
        <v>-18900.787596561084</v>
      </c>
      <c r="AV324">
        <f t="shared" si="250"/>
        <v>-2.4291853002051984</v>
      </c>
      <c r="AW324">
        <f t="shared" si="251"/>
        <v>-4048.9735068368218</v>
      </c>
      <c r="AX324">
        <f t="shared" si="252"/>
        <v>-4924.5819586527941</v>
      </c>
      <c r="AY324">
        <f t="shared" si="260"/>
        <v>-2.258925878957855</v>
      </c>
      <c r="BA324">
        <f t="shared" si="237"/>
        <v>4.5354706915235035</v>
      </c>
      <c r="BB324">
        <f t="shared" si="253"/>
        <v>13.132447297045424</v>
      </c>
      <c r="BC324">
        <f t="shared" si="254"/>
        <v>-0.17025942124734339</v>
      </c>
      <c r="BD324">
        <f t="shared" si="238"/>
        <v>-189.75514627095967</v>
      </c>
      <c r="BF324">
        <f t="shared" si="239"/>
        <v>-25.850388820299006</v>
      </c>
      <c r="BG324">
        <f t="shared" si="240"/>
        <v>-185.26249021713642</v>
      </c>
      <c r="BH324">
        <f t="shared" si="255"/>
        <v>-5.262490217136417</v>
      </c>
      <c r="BI324">
        <f t="shared" si="256"/>
        <v>-5.262490217136417</v>
      </c>
      <c r="BJ324">
        <f t="shared" si="241"/>
        <v>0</v>
      </c>
      <c r="BK324">
        <f t="shared" si="257"/>
        <v>0</v>
      </c>
      <c r="BM324">
        <f t="shared" si="258"/>
        <v>-38.982836117344434</v>
      </c>
      <c r="BN324">
        <f t="shared" si="242"/>
        <v>-175.50734394617675</v>
      </c>
      <c r="BQ324" s="56">
        <f t="shared" si="259"/>
        <v>30.034408097330562</v>
      </c>
      <c r="BR324" s="59"/>
      <c r="BS324" s="59"/>
      <c r="BT324" s="59">
        <v>138038.42600000001</v>
      </c>
      <c r="BU324" s="59">
        <v>9.3196600000000007</v>
      </c>
      <c r="BV324" s="59">
        <v>-133.267</v>
      </c>
      <c r="BY324" s="59"/>
      <c r="BZ324" s="59"/>
      <c r="CA324" s="59"/>
      <c r="CC324" s="59"/>
    </row>
    <row r="325" spans="1:81" x14ac:dyDescent="0.2">
      <c r="A325">
        <f t="shared" si="263"/>
        <v>555000</v>
      </c>
      <c r="B325">
        <f t="shared" si="243"/>
        <v>555</v>
      </c>
      <c r="C325">
        <f t="shared" si="212"/>
        <v>1.0024291176047895</v>
      </c>
      <c r="D325">
        <f t="shared" si="213"/>
        <v>6.9630605323944675E-2</v>
      </c>
      <c r="F325">
        <f t="shared" si="214"/>
        <v>7.3428731851270452E-4</v>
      </c>
      <c r="G325">
        <f t="shared" si="215"/>
        <v>9.3214768243720433E-3</v>
      </c>
      <c r="H325">
        <f t="shared" si="216"/>
        <v>-3.1322711731756283</v>
      </c>
      <c r="J325">
        <f t="shared" si="217"/>
        <v>15</v>
      </c>
      <c r="M325">
        <f t="shared" si="218"/>
        <v>3.2701164013045287E-3</v>
      </c>
      <c r="N325">
        <f t="shared" si="219"/>
        <v>-1.5707963250000001</v>
      </c>
      <c r="O325">
        <f t="shared" si="220"/>
        <v>66.239327629550203</v>
      </c>
      <c r="P325">
        <f t="shared" si="221"/>
        <v>1.555698981681312</v>
      </c>
      <c r="Q325">
        <f t="shared" si="222"/>
        <v>43.240031822391721</v>
      </c>
      <c r="R325">
        <f t="shared" si="223"/>
        <v>1.5476675472784349</v>
      </c>
      <c r="S325">
        <f t="shared" si="224"/>
        <v>0.99746938253235684</v>
      </c>
      <c r="T325">
        <f t="shared" si="225"/>
        <v>-7.1157368219511102E-2</v>
      </c>
      <c r="U325">
        <f t="shared" si="226"/>
        <v>0.66106816249240352</v>
      </c>
      <c r="V325">
        <f t="shared" si="227"/>
        <v>-0.84855485895419402</v>
      </c>
      <c r="X325">
        <f t="shared" si="244"/>
        <v>-23.325561844906247</v>
      </c>
      <c r="Y325">
        <f t="shared" si="228"/>
        <v>-140.36220335307175</v>
      </c>
      <c r="Z325">
        <f t="shared" si="245"/>
        <v>39.637796646928251</v>
      </c>
      <c r="AC325">
        <v>1</v>
      </c>
      <c r="AD325">
        <f t="shared" si="229"/>
        <v>66.231778813609495</v>
      </c>
      <c r="AE325">
        <f t="shared" si="230"/>
        <v>-1.5705370383162887E-2</v>
      </c>
      <c r="AF325">
        <f t="shared" si="231"/>
        <v>1.3837081995072003E-2</v>
      </c>
      <c r="AG325">
        <f t="shared" si="246"/>
        <v>2055.925303906437</v>
      </c>
      <c r="AH325">
        <f t="shared" si="247"/>
        <v>-2405.7867395613484</v>
      </c>
      <c r="AJ325">
        <f t="shared" si="232"/>
        <v>22100</v>
      </c>
      <c r="AK325">
        <f t="shared" si="233"/>
        <v>1575.2374060337463</v>
      </c>
      <c r="AL325">
        <v>1</v>
      </c>
      <c r="AM325">
        <f t="shared" si="234"/>
        <v>43.228466917084262</v>
      </c>
      <c r="AN325">
        <f t="shared" si="248"/>
        <v>48.240402798626391</v>
      </c>
      <c r="AO325">
        <f t="shared" si="249"/>
        <v>-510.12125041349378</v>
      </c>
      <c r="AQ325">
        <f t="shared" si="235"/>
        <v>8.1162177451361544E-3</v>
      </c>
      <c r="AR325">
        <f t="shared" si="236"/>
        <v>-9.0090016971011302</v>
      </c>
      <c r="AT325">
        <f t="shared" si="261"/>
        <v>-21657.050482137343</v>
      </c>
      <c r="AU325">
        <f t="shared" si="262"/>
        <v>-18541.360441032888</v>
      </c>
      <c r="AV325">
        <f t="shared" si="250"/>
        <v>-2.4335476302055046</v>
      </c>
      <c r="AW325">
        <f t="shared" si="251"/>
        <v>-3971.3913126574462</v>
      </c>
      <c r="AX325">
        <f t="shared" si="252"/>
        <v>-4883.152538259943</v>
      </c>
      <c r="AY325">
        <f t="shared" si="260"/>
        <v>-2.2535851280929178</v>
      </c>
      <c r="BA325">
        <f t="shared" si="237"/>
        <v>4.5295284850258826</v>
      </c>
      <c r="BB325">
        <f t="shared" si="253"/>
        <v>13.121059903349657</v>
      </c>
      <c r="BC325">
        <f t="shared" si="254"/>
        <v>-0.1799625021125868</v>
      </c>
      <c r="BD325">
        <f t="shared" si="238"/>
        <v>-190.31109185344752</v>
      </c>
      <c r="BF325">
        <f t="shared" si="239"/>
        <v>-26.018720896660792</v>
      </c>
      <c r="BG325">
        <f t="shared" si="240"/>
        <v>-185.78747075740981</v>
      </c>
      <c r="BH325">
        <f t="shared" si="255"/>
        <v>-5.7874707574098068</v>
      </c>
      <c r="BI325">
        <f t="shared" si="256"/>
        <v>-5.7874707574098068</v>
      </c>
      <c r="BJ325">
        <f t="shared" si="241"/>
        <v>0</v>
      </c>
      <c r="BK325">
        <f t="shared" si="257"/>
        <v>0</v>
      </c>
      <c r="BM325">
        <f t="shared" si="258"/>
        <v>-39.139780800010449</v>
      </c>
      <c r="BN325">
        <f t="shared" si="242"/>
        <v>-175.47637890396228</v>
      </c>
      <c r="BQ325" s="56">
        <f t="shared" si="259"/>
        <v>30.023020703634792</v>
      </c>
      <c r="BR325" s="59"/>
      <c r="BS325" s="59"/>
      <c r="BT325" s="59">
        <v>141253.75399999999</v>
      </c>
      <c r="BU325" s="59">
        <v>9.5290400000000002</v>
      </c>
      <c r="BV325" s="59">
        <v>-133.959</v>
      </c>
      <c r="BY325" s="59"/>
      <c r="BZ325" s="59"/>
      <c r="CA325" s="59"/>
      <c r="CC325" s="59"/>
    </row>
    <row r="326" spans="1:81" x14ac:dyDescent="0.2">
      <c r="A326">
        <f t="shared" si="263"/>
        <v>560000</v>
      </c>
      <c r="B326">
        <f t="shared" si="243"/>
        <v>560</v>
      </c>
      <c r="C326">
        <f t="shared" si="212"/>
        <v>1.002473028411724</v>
      </c>
      <c r="D326">
        <f t="shared" si="213"/>
        <v>7.0255855073267204E-2</v>
      </c>
      <c r="F326">
        <f t="shared" si="214"/>
        <v>7.2122468933633825E-4</v>
      </c>
      <c r="G326">
        <f t="shared" si="215"/>
        <v>9.2381330665779714E-3</v>
      </c>
      <c r="H326">
        <f t="shared" si="216"/>
        <v>-3.1323545169334222</v>
      </c>
      <c r="J326">
        <f t="shared" si="217"/>
        <v>15</v>
      </c>
      <c r="M326">
        <f t="shared" si="218"/>
        <v>3.2409189334357382E-3</v>
      </c>
      <c r="N326">
        <f t="shared" si="219"/>
        <v>-1.5707963250000001</v>
      </c>
      <c r="O326">
        <f t="shared" si="220"/>
        <v>66.83594292900095</v>
      </c>
      <c r="P326">
        <f t="shared" si="221"/>
        <v>1.5558337591969731</v>
      </c>
      <c r="Q326">
        <f t="shared" si="222"/>
        <v>43.629374239458862</v>
      </c>
      <c r="R326">
        <f t="shared" si="223"/>
        <v>1.5478739815832072</v>
      </c>
      <c r="S326">
        <f t="shared" si="224"/>
        <v>0.99742375727598553</v>
      </c>
      <c r="T326">
        <f t="shared" si="225"/>
        <v>-7.1796234660005953E-2</v>
      </c>
      <c r="U326">
        <f t="shared" si="226"/>
        <v>0.65772566265224597</v>
      </c>
      <c r="V326">
        <f t="shared" si="227"/>
        <v>-0.85300089674030022</v>
      </c>
      <c r="X326">
        <f t="shared" si="244"/>
        <v>-23.44767463723101</v>
      </c>
      <c r="Y326">
        <f t="shared" si="228"/>
        <v>-140.60294798132105</v>
      </c>
      <c r="Z326">
        <f t="shared" si="245"/>
        <v>39.397052018678949</v>
      </c>
      <c r="AC326">
        <v>1</v>
      </c>
      <c r="AD326">
        <f t="shared" si="229"/>
        <v>66.828461505624006</v>
      </c>
      <c r="AE326">
        <f t="shared" si="230"/>
        <v>-1.5989624712798897E-2</v>
      </c>
      <c r="AF326">
        <f t="shared" si="231"/>
        <v>1.3961740391424003E-2</v>
      </c>
      <c r="AG326">
        <f t="shared" si="246"/>
        <v>2035.1874816182183</v>
      </c>
      <c r="AH326">
        <f t="shared" si="247"/>
        <v>-2402.4142485749635</v>
      </c>
      <c r="AJ326">
        <f t="shared" si="232"/>
        <v>22100</v>
      </c>
      <c r="AK326">
        <f t="shared" si="233"/>
        <v>1589.4287340160322</v>
      </c>
      <c r="AL326">
        <v>1</v>
      </c>
      <c r="AM326">
        <f t="shared" si="234"/>
        <v>43.617912564985922</v>
      </c>
      <c r="AN326">
        <f t="shared" si="248"/>
        <v>48.030728988785668</v>
      </c>
      <c r="AO326">
        <f t="shared" si="249"/>
        <v>-505.57140344935567</v>
      </c>
      <c r="AQ326">
        <f t="shared" si="235"/>
        <v>7.971932420334487E-3</v>
      </c>
      <c r="AR326">
        <f t="shared" si="236"/>
        <v>-8.9285643107746253</v>
      </c>
      <c r="AT326">
        <f t="shared" si="261"/>
        <v>-21433.885742456689</v>
      </c>
      <c r="AU326">
        <f t="shared" si="262"/>
        <v>-18190.454198146999</v>
      </c>
      <c r="AV326">
        <f t="shared" si="250"/>
        <v>-2.437866934227523</v>
      </c>
      <c r="AW326">
        <f t="shared" si="251"/>
        <v>-3895.9628640167307</v>
      </c>
      <c r="AX326">
        <f t="shared" si="252"/>
        <v>-4842.4608827078464</v>
      </c>
      <c r="AY326">
        <f t="shared" si="260"/>
        <v>-2.2483006140434649</v>
      </c>
      <c r="BA326">
        <f t="shared" si="237"/>
        <v>4.5232048785075323</v>
      </c>
      <c r="BB326">
        <f t="shared" si="253"/>
        <v>13.108925191089638</v>
      </c>
      <c r="BC326">
        <f t="shared" si="254"/>
        <v>-0.18956632018405806</v>
      </c>
      <c r="BD326">
        <f t="shared" si="238"/>
        <v>-190.86135009678307</v>
      </c>
      <c r="BF326">
        <f t="shared" si="239"/>
        <v>-26.186383987154848</v>
      </c>
      <c r="BG326">
        <f t="shared" si="240"/>
        <v>-186.30668007450242</v>
      </c>
      <c r="BH326">
        <f t="shared" si="255"/>
        <v>-6.3066800745024238</v>
      </c>
      <c r="BI326">
        <f t="shared" si="256"/>
        <v>-6.3066800745024238</v>
      </c>
      <c r="BJ326">
        <f t="shared" si="241"/>
        <v>0</v>
      </c>
      <c r="BK326">
        <f t="shared" si="257"/>
        <v>0</v>
      </c>
      <c r="BM326">
        <f t="shared" si="258"/>
        <v>-39.295309178244487</v>
      </c>
      <c r="BN326">
        <f t="shared" si="242"/>
        <v>-175.44532997771935</v>
      </c>
      <c r="BQ326" s="56">
        <f t="shared" si="259"/>
        <v>30.010885991374778</v>
      </c>
      <c r="BR326" s="59"/>
      <c r="BS326" s="59"/>
      <c r="BT326" s="59">
        <v>144543.97700000001</v>
      </c>
      <c r="BU326" s="59">
        <v>9.7312899999999996</v>
      </c>
      <c r="BV326" s="59">
        <v>-134.75200000000001</v>
      </c>
      <c r="BY326" s="59"/>
      <c r="BZ326" s="59"/>
      <c r="CA326" s="59"/>
      <c r="CC326" s="59"/>
    </row>
    <row r="327" spans="1:81" x14ac:dyDescent="0.2">
      <c r="A327">
        <f t="shared" si="263"/>
        <v>565000</v>
      </c>
      <c r="B327">
        <f t="shared" si="243"/>
        <v>565</v>
      </c>
      <c r="C327">
        <f t="shared" si="212"/>
        <v>1.002517331088286</v>
      </c>
      <c r="D327">
        <f t="shared" si="213"/>
        <v>7.0881049805620044E-2</v>
      </c>
      <c r="F327">
        <f t="shared" si="214"/>
        <v>7.0850762827819394E-4</v>
      </c>
      <c r="G327">
        <f t="shared" si="215"/>
        <v>9.1562674685762343E-3</v>
      </c>
      <c r="H327">
        <f t="shared" si="216"/>
        <v>-3.1324363825314241</v>
      </c>
      <c r="J327">
        <f t="shared" si="217"/>
        <v>15</v>
      </c>
      <c r="M327">
        <f t="shared" si="218"/>
        <v>3.2122382349097584E-3</v>
      </c>
      <c r="N327">
        <f t="shared" si="219"/>
        <v>-1.5707963250000001</v>
      </c>
      <c r="O327">
        <f t="shared" si="220"/>
        <v>67.432559421041901</v>
      </c>
      <c r="P327">
        <f t="shared" si="221"/>
        <v>1.5559661517991921</v>
      </c>
      <c r="Q327">
        <f t="shared" si="222"/>
        <v>44.018718482906841</v>
      </c>
      <c r="R327">
        <f t="shared" si="223"/>
        <v>1.5480767640860376</v>
      </c>
      <c r="S327">
        <f t="shared" si="224"/>
        <v>0.99737772916921896</v>
      </c>
      <c r="T327">
        <f t="shared" si="225"/>
        <v>-7.2435042397680602E-2</v>
      </c>
      <c r="U327">
        <f t="shared" si="226"/>
        <v>0.65440405248544908</v>
      </c>
      <c r="V327">
        <f t="shared" si="227"/>
        <v>-0.85740211452316117</v>
      </c>
      <c r="X327">
        <f t="shared" si="244"/>
        <v>-23.569037778389713</v>
      </c>
      <c r="Y327">
        <f t="shared" si="228"/>
        <v>-140.84138558735643</v>
      </c>
      <c r="Z327">
        <f t="shared" si="245"/>
        <v>39.158614412643573</v>
      </c>
      <c r="AC327">
        <v>1</v>
      </c>
      <c r="AD327">
        <f t="shared" si="229"/>
        <v>67.425144197638502</v>
      </c>
      <c r="AE327">
        <f t="shared" si="230"/>
        <v>-1.6276428408619991E-2</v>
      </c>
      <c r="AF327">
        <f t="shared" si="231"/>
        <v>1.4086398787776002E-2</v>
      </c>
      <c r="AG327">
        <f t="shared" si="246"/>
        <v>2014.6834019662472</v>
      </c>
      <c r="AH327">
        <f t="shared" si="247"/>
        <v>-2398.8991556495425</v>
      </c>
      <c r="AJ327">
        <f t="shared" si="232"/>
        <v>22100</v>
      </c>
      <c r="AK327">
        <f t="shared" si="233"/>
        <v>1603.6200619983181</v>
      </c>
      <c r="AL327">
        <v>1</v>
      </c>
      <c r="AM327">
        <f t="shared" si="234"/>
        <v>44.007358212887581</v>
      </c>
      <c r="AN327">
        <f t="shared" si="248"/>
        <v>47.826593242036353</v>
      </c>
      <c r="AO327">
        <f t="shared" si="249"/>
        <v>-501.10195890604427</v>
      </c>
      <c r="AQ327">
        <f t="shared" si="235"/>
        <v>7.8314607005554853E-3</v>
      </c>
      <c r="AR327">
        <f t="shared" si="236"/>
        <v>-8.8495505916276986</v>
      </c>
      <c r="AT327">
        <f t="shared" si="261"/>
        <v>-21213.401528247035</v>
      </c>
      <c r="AU327">
        <f t="shared" si="262"/>
        <v>-17847.829576274973</v>
      </c>
      <c r="AV327">
        <f t="shared" si="250"/>
        <v>-2.4421436607925662</v>
      </c>
      <c r="AW327">
        <f t="shared" si="251"/>
        <v>-3822.6105105848692</v>
      </c>
      <c r="AX327">
        <f t="shared" si="252"/>
        <v>-4802.4859028654691</v>
      </c>
      <c r="AY327">
        <f t="shared" si="260"/>
        <v>-2.2430720328049532</v>
      </c>
      <c r="BA327">
        <f t="shared" si="237"/>
        <v>4.5165139685713802</v>
      </c>
      <c r="BB327">
        <f t="shared" si="253"/>
        <v>13.096067154931701</v>
      </c>
      <c r="BC327">
        <f t="shared" si="254"/>
        <v>-0.19907162798761302</v>
      </c>
      <c r="BD327">
        <f t="shared" si="238"/>
        <v>-191.40596411752185</v>
      </c>
      <c r="BF327">
        <f t="shared" si="239"/>
        <v>-26.353379268481856</v>
      </c>
      <c r="BG327">
        <f t="shared" si="240"/>
        <v>-186.82016362892082</v>
      </c>
      <c r="BH327">
        <f t="shared" si="255"/>
        <v>-6.8201636289208238</v>
      </c>
      <c r="BI327">
        <f t="shared" si="256"/>
        <v>-6.8201636289208238</v>
      </c>
      <c r="BJ327">
        <f t="shared" si="241"/>
        <v>0</v>
      </c>
      <c r="BK327">
        <f t="shared" si="257"/>
        <v>0</v>
      </c>
      <c r="BM327">
        <f t="shared" si="258"/>
        <v>-39.449446423413555</v>
      </c>
      <c r="BN327">
        <f t="shared" si="242"/>
        <v>-175.414199511399</v>
      </c>
      <c r="BQ327" s="56">
        <f t="shared" si="259"/>
        <v>29.998027955216834</v>
      </c>
      <c r="BR327" s="59"/>
      <c r="BS327" s="59"/>
      <c r="BT327" s="59">
        <v>147910.83900000001</v>
      </c>
      <c r="BU327" s="59">
        <v>9.9010099999999994</v>
      </c>
      <c r="BV327" s="59">
        <v>-135.72399999999999</v>
      </c>
      <c r="BY327" s="59"/>
      <c r="BZ327" s="59"/>
      <c r="CA327" s="59"/>
      <c r="CC327" s="59"/>
    </row>
    <row r="328" spans="1:81" x14ac:dyDescent="0.2">
      <c r="A328">
        <f t="shared" si="263"/>
        <v>570000</v>
      </c>
      <c r="B328">
        <f t="shared" si="243"/>
        <v>570</v>
      </c>
      <c r="C328">
        <f t="shared" si="212"/>
        <v>1.0025620255825258</v>
      </c>
      <c r="D328">
        <f t="shared" si="213"/>
        <v>7.1506189039591536E-2</v>
      </c>
      <c r="F328">
        <f t="shared" si="214"/>
        <v>6.9612405013499772E-4</v>
      </c>
      <c r="G328">
        <f t="shared" si="215"/>
        <v>9.0758410257319438E-3</v>
      </c>
      <c r="H328">
        <f t="shared" si="216"/>
        <v>-3.1325168089742683</v>
      </c>
      <c r="J328">
        <f t="shared" si="217"/>
        <v>15</v>
      </c>
      <c r="M328">
        <f t="shared" si="218"/>
        <v>3.1840607065333568E-3</v>
      </c>
      <c r="N328">
        <f t="shared" si="219"/>
        <v>-1.5707963250000001</v>
      </c>
      <c r="O328">
        <f t="shared" si="220"/>
        <v>68.029177074296015</v>
      </c>
      <c r="P328">
        <f t="shared" si="221"/>
        <v>1.5560962222305241</v>
      </c>
      <c r="Q328">
        <f t="shared" si="222"/>
        <v>44.408064504697684</v>
      </c>
      <c r="R328">
        <f t="shared" si="223"/>
        <v>1.5482759908211312</v>
      </c>
      <c r="S328">
        <f t="shared" si="224"/>
        <v>0.9973312983805156</v>
      </c>
      <c r="T328">
        <f t="shared" si="225"/>
        <v>-7.3073790919334511E-2</v>
      </c>
      <c r="U328">
        <f t="shared" si="226"/>
        <v>0.65110340025314262</v>
      </c>
      <c r="V328">
        <f t="shared" si="227"/>
        <v>-0.86175901868706117</v>
      </c>
      <c r="X328">
        <f t="shared" si="244"/>
        <v>-23.689660766961627</v>
      </c>
      <c r="Y328">
        <f t="shared" si="228"/>
        <v>-141.07753832060152</v>
      </c>
      <c r="Z328">
        <f t="shared" si="245"/>
        <v>38.922461679398481</v>
      </c>
      <c r="AC328">
        <v>1</v>
      </c>
      <c r="AD328">
        <f t="shared" si="229"/>
        <v>68.021826889652999</v>
      </c>
      <c r="AE328">
        <f t="shared" si="230"/>
        <v>-1.6565781470626158E-2</v>
      </c>
      <c r="AF328">
        <f t="shared" si="231"/>
        <v>1.4211057184128002E-2</v>
      </c>
      <c r="AG328">
        <f t="shared" si="246"/>
        <v>1994.4115245323655</v>
      </c>
      <c r="AH328">
        <f t="shared" si="247"/>
        <v>-2395.2465349248528</v>
      </c>
      <c r="AJ328">
        <f t="shared" si="232"/>
        <v>22100</v>
      </c>
      <c r="AK328">
        <f t="shared" si="233"/>
        <v>1617.8113899806042</v>
      </c>
      <c r="AL328">
        <v>1</v>
      </c>
      <c r="AM328">
        <f t="shared" si="234"/>
        <v>44.396803860789241</v>
      </c>
      <c r="AN328">
        <f t="shared" si="248"/>
        <v>47.627802260161879</v>
      </c>
      <c r="AO328">
        <f t="shared" si="249"/>
        <v>-496.71080528425711</v>
      </c>
      <c r="AQ328">
        <f t="shared" si="235"/>
        <v>7.6946693639047678E-3</v>
      </c>
      <c r="AR328">
        <f t="shared" si="236"/>
        <v>-8.7719230748514345</v>
      </c>
      <c r="AT328">
        <f t="shared" si="261"/>
        <v>-20995.572012408422</v>
      </c>
      <c r="AU328">
        <f t="shared" si="262"/>
        <v>-17513.25510292637</v>
      </c>
      <c r="AV328">
        <f t="shared" si="250"/>
        <v>-2.4463782572888646</v>
      </c>
      <c r="AW328">
        <f t="shared" si="251"/>
        <v>-3751.2600238668851</v>
      </c>
      <c r="AX328">
        <f t="shared" si="252"/>
        <v>-4763.207344348205</v>
      </c>
      <c r="AY328">
        <f t="shared" si="260"/>
        <v>-2.2378990601994175</v>
      </c>
      <c r="BA328">
        <f t="shared" si="237"/>
        <v>4.5094695335030419</v>
      </c>
      <c r="BB328">
        <f t="shared" si="253"/>
        <v>13.082509142560969</v>
      </c>
      <c r="BC328">
        <f t="shared" si="254"/>
        <v>-0.20847919708944707</v>
      </c>
      <c r="BD328">
        <f t="shared" si="238"/>
        <v>-191.94497812315052</v>
      </c>
      <c r="BF328">
        <f t="shared" si="239"/>
        <v>-26.519707897228862</v>
      </c>
      <c r="BG328">
        <f t="shared" si="240"/>
        <v>-187.32796789053546</v>
      </c>
      <c r="BH328">
        <f t="shared" si="255"/>
        <v>-7.3279678905354615</v>
      </c>
      <c r="BI328">
        <f t="shared" si="256"/>
        <v>-7.3279678905354615</v>
      </c>
      <c r="BJ328">
        <f t="shared" si="241"/>
        <v>0</v>
      </c>
      <c r="BK328">
        <f t="shared" si="257"/>
        <v>0</v>
      </c>
      <c r="BM328">
        <f t="shared" si="258"/>
        <v>-39.602217039789835</v>
      </c>
      <c r="BN328">
        <f t="shared" si="242"/>
        <v>-175.38298976738494</v>
      </c>
      <c r="BQ328" s="56">
        <f t="shared" si="259"/>
        <v>29.984469942846104</v>
      </c>
      <c r="BR328" s="59"/>
      <c r="BS328" s="59"/>
      <c r="BT328" s="59">
        <v>151356.125</v>
      </c>
      <c r="BU328" s="59">
        <v>10.0764</v>
      </c>
      <c r="BV328" s="59">
        <v>-136.34200000000001</v>
      </c>
      <c r="BY328" s="59"/>
      <c r="BZ328" s="59"/>
      <c r="CA328" s="59"/>
      <c r="CC328" s="59"/>
    </row>
    <row r="329" spans="1:81" x14ac:dyDescent="0.2">
      <c r="A329">
        <f t="shared" si="263"/>
        <v>575000</v>
      </c>
      <c r="B329">
        <f t="shared" si="243"/>
        <v>575</v>
      </c>
      <c r="C329">
        <f t="shared" ref="C329:C392" si="264">SQRT((A329/Fesr)^2+1)</f>
        <v>1.0026071118420437</v>
      </c>
      <c r="D329">
        <f t="shared" ref="D329:D392" si="265">ATAN(A329/Fesr)</f>
        <v>7.2131272294028978E-2</v>
      </c>
      <c r="F329">
        <f t="shared" ref="F329:F392" si="266">(Ro/(Ro+Rdcr))/SQRT((A329/(Q*Fo))^2+(1-(A329^2/Fo^2))^2)</f>
        <v>6.8406239353720763E-4</v>
      </c>
      <c r="G329">
        <f t="shared" ref="G329:G392" si="267">-ATAN(A329*Fo/(Q*(Fo^2-A329^2)))</f>
        <v>8.9968160946344786E-3</v>
      </c>
      <c r="H329">
        <f t="shared" ref="H329:H392" si="268">IF(G329&gt;0,G329-Pi,G329)</f>
        <v>-3.1325958339053659</v>
      </c>
      <c r="J329">
        <f t="shared" ref="J329:J392" si="269">Vin/Vramp</f>
        <v>15</v>
      </c>
      <c r="M329">
        <f t="shared" ref="M329:M392" si="270">1/(2*Pi*_Rfb1*(Cc1ea_u+Cc2ea_u)*A329)</f>
        <v>3.1563732221287187E-3</v>
      </c>
      <c r="N329">
        <f t="shared" ref="N329:N392" si="271">-Pi/2</f>
        <v>-1.5707963250000001</v>
      </c>
      <c r="O329">
        <f t="shared" ref="O329:O392" si="272">SQRT(1+(A329/Fz1_u)^2)</f>
        <v>68.625795858477261</v>
      </c>
      <c r="P329">
        <f t="shared" ref="P329:P392" si="273">ATAN2(Fz1_u,A329)</f>
        <v>1.5562240310519613</v>
      </c>
      <c r="Q329">
        <f t="shared" ref="Q329:Q392" si="274">SQRT(1+(A329/Fz2_u)^2)</f>
        <v>44.797412258463282</v>
      </c>
      <c r="R329">
        <f t="shared" ref="R329:R392" si="275">ATAN2(Fz2_u,A329)</f>
        <v>1.5484717544851965</v>
      </c>
      <c r="S329">
        <f t="shared" ref="S329:S392" si="276">1/SQRT(1+(A329/Fp1_u)^2)</f>
        <v>0.99728446507976498</v>
      </c>
      <c r="T329">
        <f t="shared" ref="T329:T392" si="277">-ATAN2(Fp1_u,A329)</f>
        <v>-7.3712479712055634E-2</v>
      </c>
      <c r="U329">
        <f t="shared" ref="U329:U392" si="278">1/SQRT(1+(A329/Fp2_u)^2)</f>
        <v>0.64782376354334203</v>
      </c>
      <c r="V329">
        <f t="shared" ref="V329:V392" si="279">-ATAN2(Fp2_u,A329)</f>
        <v>-0.8660721122008509</v>
      </c>
      <c r="X329">
        <f t="shared" si="244"/>
        <v>-23.809552875362698</v>
      </c>
      <c r="Y329">
        <f t="shared" ref="Y329:Y392" si="280">(180/Pi)*(D329+H329+N329+P329+R329+T329+V329)</f>
        <v>-141.3114283730182</v>
      </c>
      <c r="Z329">
        <f t="shared" si="245"/>
        <v>38.688571626981798</v>
      </c>
      <c r="AC329">
        <v>1</v>
      </c>
      <c r="AD329">
        <f t="shared" ref="AD329:AD392" si="281">Rcea1_u*Cc1ea_u*A329*2*Pi</f>
        <v>68.61850958166751</v>
      </c>
      <c r="AE329">
        <f t="shared" ref="AE329:AE392" si="282">-Rcea1_u*Cc1ea_u*Cc2ea_u*(A329*2*Pi)^2</f>
        <v>-1.6857683898817401E-2</v>
      </c>
      <c r="AF329">
        <f t="shared" ref="AF329:AF392" si="283">(Cc2ea_u+Cc1ea_u)*A329*2*Pi</f>
        <v>1.4335715580480003E-2</v>
      </c>
      <c r="AG329">
        <f t="shared" si="246"/>
        <v>1974.3702477333854</v>
      </c>
      <c r="AH329">
        <f t="shared" si="247"/>
        <v>-2391.4613360633721</v>
      </c>
      <c r="AJ329">
        <f t="shared" ref="AJ329:AJ392" si="284">_Rfb1</f>
        <v>22100</v>
      </c>
      <c r="AK329">
        <f t="shared" ref="AK329:AK392" si="285">_Rfb1*Rcea2_u*Cc3ea_u*A329*2*Pi</f>
        <v>1632.0027179628903</v>
      </c>
      <c r="AL329">
        <v>1</v>
      </c>
      <c r="AM329">
        <f t="shared" ref="AM329:AM392" si="286">(_Rfb1+Rcea2_u)*Cc3ea_u*A329*2*Pi</f>
        <v>44.786249508690901</v>
      </c>
      <c r="AN329">
        <f t="shared" si="248"/>
        <v>47.434171104060525</v>
      </c>
      <c r="AO329">
        <f t="shared" si="249"/>
        <v>-492.39590434150051</v>
      </c>
      <c r="AQ329">
        <f t="shared" ref="AQ329:AQ392" si="287">Eadcg/(1+(Eadcg*A329/GBP)^2)</f>
        <v>7.5614309554397309E-3</v>
      </c>
      <c r="AR329">
        <f t="shared" ref="AR329:AR392" si="288">-(A329*Eadcg*Eadcg/GBP)/(1+(Eadcg*A329/GBP)^2)</f>
        <v>-8.6956455987556911</v>
      </c>
      <c r="AT329">
        <f t="shared" si="261"/>
        <v>-20780.371177225155</v>
      </c>
      <c r="AU329">
        <f t="shared" si="262"/>
        <v>-17186.506824792243</v>
      </c>
      <c r="AV329">
        <f t="shared" si="250"/>
        <v>-2.4505711697404631</v>
      </c>
      <c r="AW329">
        <f t="shared" si="251"/>
        <v>-3681.8404193551041</v>
      </c>
      <c r="AX329">
        <f t="shared" si="252"/>
        <v>-4724.6057460803931</v>
      </c>
      <c r="AY329">
        <f t="shared" si="260"/>
        <v>-2.2327813531648379</v>
      </c>
      <c r="BA329">
        <f t="shared" ref="BA329:BA392" si="289">SQRT(AT329^2+AU329^2)/SQRT(AW329^2+AX329^2)</f>
        <v>4.5020850329257396</v>
      </c>
      <c r="BB329">
        <f t="shared" si="253"/>
        <v>13.068273869183741</v>
      </c>
      <c r="BC329">
        <f t="shared" si="254"/>
        <v>-0.21778981657562513</v>
      </c>
      <c r="BD329">
        <f t="shared" ref="BD329:BD392" si="290">BC329*180/Pi-180</f>
        <v>-192.47843732497034</v>
      </c>
      <c r="BF329">
        <f t="shared" ref="BF329:BF392" si="291">20*LOG(BA329*J329*F329*C329)</f>
        <v>-26.685371018749635</v>
      </c>
      <c r="BG329">
        <f t="shared" ref="BG329:BG392" si="292">(180/Pi)*(D329+H329+BC329)</f>
        <v>-187.83014025502419</v>
      </c>
      <c r="BH329">
        <f t="shared" si="255"/>
        <v>-7.8301402550241903</v>
      </c>
      <c r="BI329">
        <f t="shared" si="256"/>
        <v>-7.8301402550241903</v>
      </c>
      <c r="BJ329">
        <f t="shared" ref="BJ329:BJ392" si="293">SUM((BF330&lt;0)*(BF329&gt;0))*A329</f>
        <v>0</v>
      </c>
      <c r="BK329">
        <f t="shared" si="257"/>
        <v>0</v>
      </c>
      <c r="BM329">
        <f t="shared" si="258"/>
        <v>-39.753644887933376</v>
      </c>
      <c r="BN329">
        <f t="shared" ref="BN329:BN392" si="294">(H329+D329)*180/Pi</f>
        <v>-175.35170293005388</v>
      </c>
      <c r="BQ329" s="56">
        <f t="shared" si="259"/>
        <v>29.97023466946888</v>
      </c>
      <c r="BR329" s="59"/>
      <c r="BS329" s="59"/>
      <c r="BT329" s="59">
        <v>154881.66200000001</v>
      </c>
      <c r="BU329" s="59">
        <v>10.266</v>
      </c>
      <c r="BV329" s="59">
        <v>-136.816</v>
      </c>
      <c r="BY329" s="59"/>
      <c r="BZ329" s="59"/>
      <c r="CA329" s="59"/>
      <c r="CC329" s="59"/>
    </row>
    <row r="330" spans="1:81" x14ac:dyDescent="0.2">
      <c r="A330">
        <f t="shared" si="263"/>
        <v>580000</v>
      </c>
      <c r="B330">
        <f t="shared" ref="B330:B393" si="295">A330/1000</f>
        <v>580</v>
      </c>
      <c r="C330">
        <f t="shared" si="264"/>
        <v>1.0026525898139904</v>
      </c>
      <c r="D330">
        <f t="shared" si="265"/>
        <v>7.2756299088040877E-2</v>
      </c>
      <c r="F330">
        <f t="shared" si="266"/>
        <v>6.7231159393098868E-4</v>
      </c>
      <c r="G330">
        <f t="shared" si="267"/>
        <v>8.9191563341918106E-3</v>
      </c>
      <c r="H330">
        <f t="shared" si="268"/>
        <v>-3.1326734936658083</v>
      </c>
      <c r="J330">
        <f t="shared" si="269"/>
        <v>15</v>
      </c>
      <c r="M330">
        <f t="shared" si="270"/>
        <v>3.1291631081448511E-3</v>
      </c>
      <c r="N330">
        <f t="shared" si="271"/>
        <v>-1.5707963250000001</v>
      </c>
      <c r="O330">
        <f t="shared" si="272"/>
        <v>69.222415744343763</v>
      </c>
      <c r="P330">
        <f t="shared" si="273"/>
        <v>1.5563496367369249</v>
      </c>
      <c r="Q330">
        <f t="shared" si="274"/>
        <v>45.186761699433397</v>
      </c>
      <c r="R330">
        <f t="shared" si="275"/>
        <v>1.5486641445811589</v>
      </c>
      <c r="S330">
        <f t="shared" si="276"/>
        <v>0.99723722943828685</v>
      </c>
      <c r="T330">
        <f t="shared" si="277"/>
        <v>-7.435110826322272E-2</v>
      </c>
      <c r="U330">
        <f t="shared" si="278"/>
        <v>0.64456518970562771</v>
      </c>
      <c r="V330">
        <f t="shared" si="279"/>
        <v>-0.87034189448982568</v>
      </c>
      <c r="X330">
        <f t="shared" ref="X330:X393" si="296">20*LOG(C330*J330*O330*Q330*F330*M330*S330*U330)</f>
        <v>-23.928723158732687</v>
      </c>
      <c r="Y330">
        <f t="shared" si="280"/>
        <v>-141.54307796152111</v>
      </c>
      <c r="Z330">
        <f t="shared" ref="Z330:Z393" si="297">Y330+180</f>
        <v>38.456922038478893</v>
      </c>
      <c r="AC330">
        <v>1</v>
      </c>
      <c r="AD330">
        <f t="shared" si="281"/>
        <v>69.215192273681993</v>
      </c>
      <c r="AE330">
        <f t="shared" si="282"/>
        <v>-1.715213569319372E-2</v>
      </c>
      <c r="AF330">
        <f t="shared" si="283"/>
        <v>1.4460373976832001E-2</v>
      </c>
      <c r="AG330">
        <f t="shared" ref="AG330:AG359" si="298">AC330*AE330/(AE330^2+AF330^2)+AD330*AF330/(AE330^2+AF330^2)</f>
        <v>1954.5579132282971</v>
      </c>
      <c r="AH330">
        <f t="shared" ref="AH330:AH359" si="299">AD330*AE330/(AE330^2+AF330^2)-AC330*AF330/(AE330^2+AF330^2)</f>
        <v>-2387.5483859001179</v>
      </c>
      <c r="AJ330">
        <f t="shared" si="284"/>
        <v>22100</v>
      </c>
      <c r="AK330">
        <f t="shared" si="285"/>
        <v>1646.1940459451764</v>
      </c>
      <c r="AL330">
        <v>1</v>
      </c>
      <c r="AM330">
        <f t="shared" si="286"/>
        <v>45.17569515659256</v>
      </c>
      <c r="AN330">
        <f t="shared" ref="AN330:AN359" si="300">AJ330*AL330/(AL330^2+AM330^2)+AK330*AM330/(AL330^2+AM330^2)</f>
        <v>47.245522763753094</v>
      </c>
      <c r="AO330">
        <f t="shared" ref="AO330:AO359" si="301">AK330*AL330/(AL330^2+AM330^2)-AJ330*AM330/(AL330^2+AM330^2)</f>
        <v>-488.15528794398762</v>
      </c>
      <c r="AQ330">
        <f t="shared" si="287"/>
        <v>7.431623490172793E-3</v>
      </c>
      <c r="AR330">
        <f t="shared" si="288"/>
        <v>-8.6206832486004394</v>
      </c>
      <c r="AT330">
        <f t="shared" si="261"/>
        <v>-20567.772837051314</v>
      </c>
      <c r="AU330">
        <f t="shared" si="262"/>
        <v>-16867.368021655195</v>
      </c>
      <c r="AV330">
        <f t="shared" ref="AV330:AV393" si="302">ATAN2(AT330,AU330)</f>
        <v>-2.454722842590729</v>
      </c>
      <c r="AW330">
        <f t="shared" ref="AW330:AW393" si="303">AG330-AH330*AO330/_Rfb2+AG330*AN330/_Rfb2+AN330-AO330*AR330+AQ330*AN330</f>
        <v>-3614.2837893297233</v>
      </c>
      <c r="AX330">
        <f t="shared" ref="AX330:AX393" si="304">AH330+AH330*AN330/_Rfb2+AG330*AO330/_Rfb2+AO330+AO330*AQ330+AN330*AR330</f>
        <v>-4686.6624012880775</v>
      </c>
      <c r="AY330">
        <f t="shared" si="260"/>
        <v>-2.2277185510009243</v>
      </c>
      <c r="BA330">
        <f t="shared" si="289"/>
        <v>4.4943736080482442</v>
      </c>
      <c r="BB330">
        <f t="shared" ref="BB330:BB393" si="305">20*LOG(BA330)</f>
        <v>13.053383431842709</v>
      </c>
      <c r="BC330">
        <f t="shared" ref="BC330:BC393" si="306">AV330-AY330</f>
        <v>-0.22700429158980473</v>
      </c>
      <c r="BD330">
        <f t="shared" si="290"/>
        <v>-193.00638785431485</v>
      </c>
      <c r="BF330">
        <f t="shared" si="291"/>
        <v>-26.850369775215871</v>
      </c>
      <c r="BG330">
        <f t="shared" si="292"/>
        <v>-188.32672896346472</v>
      </c>
      <c r="BH330">
        <f t="shared" ref="BH330:BH393" si="307">IF(BG330&gt;180,BG330-180,BG330+180)</f>
        <v>-8.326728963464717</v>
      </c>
      <c r="BI330">
        <f t="shared" ref="BI330:BI393" si="308">IF(BH330&gt;180,BH330-360,BH330)</f>
        <v>-8.326728963464717</v>
      </c>
      <c r="BJ330">
        <f t="shared" si="293"/>
        <v>0</v>
      </c>
      <c r="BK330">
        <f t="shared" ref="BK330:BK393" si="309">IF(BJ330&gt;0,BI330,0)</f>
        <v>0</v>
      </c>
      <c r="BM330">
        <f t="shared" ref="BM330:BM393" si="310">20*LOG(J330*F330*C330)</f>
        <v>-39.903753207058578</v>
      </c>
      <c r="BN330">
        <f t="shared" si="294"/>
        <v>-175.32034110914987</v>
      </c>
      <c r="BQ330" s="56">
        <f t="shared" ref="BQ330:BQ393" si="311">20*LOG(BA330*7)</f>
        <v>29.955344232127846</v>
      </c>
      <c r="BR330" s="59"/>
      <c r="BS330" s="59"/>
      <c r="BT330" s="59">
        <v>158489.31899999999</v>
      </c>
      <c r="BU330" s="59">
        <v>10.4788</v>
      </c>
      <c r="BV330" s="59">
        <v>-137.47</v>
      </c>
      <c r="BY330" s="59"/>
      <c r="BZ330" s="59"/>
      <c r="CA330" s="59"/>
      <c r="CC330" s="59"/>
    </row>
    <row r="331" spans="1:81" x14ac:dyDescent="0.2">
      <c r="A331">
        <f t="shared" si="263"/>
        <v>585000</v>
      </c>
      <c r="B331">
        <f t="shared" si="295"/>
        <v>585</v>
      </c>
      <c r="C331">
        <f t="shared" si="264"/>
        <v>1.0026984594450667</v>
      </c>
      <c r="D331">
        <f t="shared" si="265"/>
        <v>7.3381268940998987E-2</v>
      </c>
      <c r="F331">
        <f t="shared" si="266"/>
        <v>6.608610581724276E-4</v>
      </c>
      <c r="G331">
        <f t="shared" si="267"/>
        <v>8.8428266497593833E-3</v>
      </c>
      <c r="H331">
        <f t="shared" si="268"/>
        <v>-3.1327498233502409</v>
      </c>
      <c r="J331">
        <f t="shared" si="269"/>
        <v>15</v>
      </c>
      <c r="M331">
        <f t="shared" si="270"/>
        <v>3.102418124314553E-3</v>
      </c>
      <c r="N331">
        <f t="shared" si="271"/>
        <v>-1.5707963250000001</v>
      </c>
      <c r="O331">
        <f t="shared" si="272"/>
        <v>69.819036703652998</v>
      </c>
      <c r="P331">
        <f t="shared" si="273"/>
        <v>1.5564730957604402</v>
      </c>
      <c r="Q331">
        <f t="shared" si="274"/>
        <v>45.576112784367474</v>
      </c>
      <c r="R331">
        <f t="shared" si="275"/>
        <v>1.5488532475545136</v>
      </c>
      <c r="S331">
        <f t="shared" si="276"/>
        <v>0.99718959162882959</v>
      </c>
      <c r="T331">
        <f t="shared" si="277"/>
        <v>-7.4989676060507757E-2</v>
      </c>
      <c r="U331">
        <f t="shared" si="278"/>
        <v>0.64132771627335772</v>
      </c>
      <c r="V331">
        <f t="shared" si="279"/>
        <v>-0.87456886131698308</v>
      </c>
      <c r="X331">
        <f t="shared" si="296"/>
        <v>-24.047180463366793</v>
      </c>
      <c r="Y331">
        <f t="shared" si="280"/>
        <v>-141.77250931145394</v>
      </c>
      <c r="Z331">
        <f t="shared" si="297"/>
        <v>38.227490688546055</v>
      </c>
      <c r="AC331">
        <v>1</v>
      </c>
      <c r="AD331">
        <f t="shared" si="281"/>
        <v>69.811874965696504</v>
      </c>
      <c r="AE331">
        <f t="shared" si="282"/>
        <v>-1.7449136853755116E-2</v>
      </c>
      <c r="AF331">
        <f t="shared" si="283"/>
        <v>1.4585032373184002E-2</v>
      </c>
      <c r="AG331">
        <f t="shared" si="298"/>
        <v>1934.9728101394403</v>
      </c>
      <c r="AH331">
        <f t="shared" si="299"/>
        <v>-2383.5123901633892</v>
      </c>
      <c r="AJ331">
        <f t="shared" si="284"/>
        <v>22100</v>
      </c>
      <c r="AK331">
        <f t="shared" si="285"/>
        <v>1660.3853739274623</v>
      </c>
      <c r="AL331">
        <v>1</v>
      </c>
      <c r="AM331">
        <f t="shared" si="286"/>
        <v>45.56514080449422</v>
      </c>
      <c r="AN331">
        <f t="shared" si="300"/>
        <v>47.061687753972031</v>
      </c>
      <c r="AO331">
        <f t="shared" si="301"/>
        <v>-483.98705507941463</v>
      </c>
      <c r="AQ331">
        <f t="shared" si="287"/>
        <v>7.3051301737671317E-3</v>
      </c>
      <c r="AR331">
        <f t="shared" si="288"/>
        <v>-8.5470023033075435</v>
      </c>
      <c r="AT331">
        <f t="shared" si="261"/>
        <v>-20357.750660427788</v>
      </c>
      <c r="AU331">
        <f t="shared" si="262"/>
        <v>-16555.628933380198</v>
      </c>
      <c r="AV331">
        <f t="shared" si="302"/>
        <v>-2.4588337184997586</v>
      </c>
      <c r="AW331">
        <f t="shared" si="303"/>
        <v>-3548.5251455857206</v>
      </c>
      <c r="AX331">
        <f t="shared" si="304"/>
        <v>-4649.359320759012</v>
      </c>
      <c r="AY331">
        <f t="shared" ref="AY331:AY394" si="312">ATAN2(AW331,AX331)</f>
        <v>-2.2227102765713891</v>
      </c>
      <c r="BA331">
        <f t="shared" si="289"/>
        <v>4.4863480824648629</v>
      </c>
      <c r="BB331">
        <f t="shared" si="305"/>
        <v>13.037859323544229</v>
      </c>
      <c r="BC331">
        <f t="shared" si="306"/>
        <v>-0.23612344192836954</v>
      </c>
      <c r="BD331">
        <f t="shared" si="290"/>
        <v>-193.52887668205696</v>
      </c>
      <c r="BF331">
        <f t="shared" si="291"/>
        <v>-27.014705312892787</v>
      </c>
      <c r="BG331">
        <f t="shared" si="292"/>
        <v>-188.81778302504304</v>
      </c>
      <c r="BH331">
        <f t="shared" si="307"/>
        <v>-8.8177830250430418</v>
      </c>
      <c r="BI331">
        <f t="shared" si="308"/>
        <v>-8.8177830250430418</v>
      </c>
      <c r="BJ331">
        <f t="shared" si="293"/>
        <v>0</v>
      </c>
      <c r="BK331">
        <f t="shared" si="309"/>
        <v>0</v>
      </c>
      <c r="BM331">
        <f t="shared" si="310"/>
        <v>-40.052564636437026</v>
      </c>
      <c r="BN331">
        <f t="shared" si="294"/>
        <v>-175.28890634298608</v>
      </c>
      <c r="BQ331" s="56">
        <f t="shared" si="311"/>
        <v>29.939820123829364</v>
      </c>
      <c r="BR331" s="59"/>
      <c r="BS331" s="59"/>
      <c r="BT331" s="59">
        <v>162181.01</v>
      </c>
      <c r="BU331" s="59">
        <v>10.741899999999999</v>
      </c>
      <c r="BV331" s="59">
        <v>-137.46899999999999</v>
      </c>
      <c r="BY331" s="59"/>
      <c r="BZ331" s="59"/>
      <c r="CA331" s="59"/>
      <c r="CC331" s="59"/>
    </row>
    <row r="332" spans="1:81" x14ac:dyDescent="0.2">
      <c r="A332">
        <f t="shared" si="263"/>
        <v>590000</v>
      </c>
      <c r="B332">
        <f t="shared" si="295"/>
        <v>590</v>
      </c>
      <c r="C332">
        <f t="shared" si="264"/>
        <v>1.0027447206815243</v>
      </c>
      <c r="D332">
        <f t="shared" si="265"/>
        <v>7.4006181372540628E-2</v>
      </c>
      <c r="F332">
        <f t="shared" si="266"/>
        <v>6.4970064062494439E-4</v>
      </c>
      <c r="G332">
        <f t="shared" si="267"/>
        <v>8.7677931401226022E-3</v>
      </c>
      <c r="H332">
        <f t="shared" si="268"/>
        <v>-3.1328248568598775</v>
      </c>
      <c r="J332">
        <f t="shared" si="269"/>
        <v>15</v>
      </c>
      <c r="M332">
        <f t="shared" si="270"/>
        <v>3.0761264452949378E-3</v>
      </c>
      <c r="N332">
        <f t="shared" si="271"/>
        <v>-1.5707963250000001</v>
      </c>
      <c r="O332">
        <f t="shared" si="272"/>
        <v>70.41565870911964</v>
      </c>
      <c r="P332">
        <f t="shared" si="273"/>
        <v>1.5565944626837793</v>
      </c>
      <c r="Q332">
        <f t="shared" si="274"/>
        <v>45.965465471489871</v>
      </c>
      <c r="R332">
        <f t="shared" si="275"/>
        <v>1.5490391469227518</v>
      </c>
      <c r="S332">
        <f t="shared" si="276"/>
        <v>0.99714155182556707</v>
      </c>
      <c r="T332">
        <f t="shared" si="277"/>
        <v>-7.562818259187841E-2</v>
      </c>
      <c r="U332">
        <f t="shared" si="278"/>
        <v>0.63811137137355944</v>
      </c>
      <c r="V332">
        <f t="shared" si="279"/>
        <v>-0.87875350467325464</v>
      </c>
      <c r="X332">
        <f t="shared" si="296"/>
        <v>-24.164933434718211</v>
      </c>
      <c r="Y332">
        <f t="shared" si="280"/>
        <v>-141.99974464107206</v>
      </c>
      <c r="Z332">
        <f t="shared" si="297"/>
        <v>38.000255358927944</v>
      </c>
      <c r="AC332">
        <v>1</v>
      </c>
      <c r="AD332">
        <f t="shared" si="281"/>
        <v>70.408557657711</v>
      </c>
      <c r="AE332">
        <f t="shared" si="282"/>
        <v>-1.7748687380501584E-2</v>
      </c>
      <c r="AF332">
        <f t="shared" si="283"/>
        <v>1.4709690769536004E-2</v>
      </c>
      <c r="AG332">
        <f t="shared" si="298"/>
        <v>1915.613179092747</v>
      </c>
      <c r="AH332">
        <f t="shared" si="299"/>
        <v>-2379.3579352579395</v>
      </c>
      <c r="AJ332">
        <f t="shared" si="284"/>
        <v>22100</v>
      </c>
      <c r="AK332">
        <f t="shared" si="285"/>
        <v>1674.576701909748</v>
      </c>
      <c r="AL332">
        <v>1</v>
      </c>
      <c r="AM332">
        <f t="shared" si="286"/>
        <v>45.954586452395887</v>
      </c>
      <c r="AN332">
        <f t="shared" si="300"/>
        <v>46.882503733607955</v>
      </c>
      <c r="AO332">
        <f t="shared" si="301"/>
        <v>-479.88936902111175</v>
      </c>
      <c r="AQ332">
        <f t="shared" si="287"/>
        <v>7.1818391397305802E-3</v>
      </c>
      <c r="AR332">
        <f t="shared" si="288"/>
        <v>-8.4745701848820847</v>
      </c>
      <c r="AT332">
        <f t="shared" si="261"/>
        <v>-20150.278191593341</v>
      </c>
      <c r="AU332">
        <f t="shared" si="262"/>
        <v>-16251.086499253443</v>
      </c>
      <c r="AV332">
        <f t="shared" si="302"/>
        <v>-2.4629042381550263</v>
      </c>
      <c r="AW332">
        <f t="shared" si="303"/>
        <v>-3484.5022714190623</v>
      </c>
      <c r="AX332">
        <f t="shared" si="304"/>
        <v>-4612.6791982192262</v>
      </c>
      <c r="AY332">
        <f t="shared" si="312"/>
        <v>-2.2177561374629238</v>
      </c>
      <c r="BA332">
        <f t="shared" si="289"/>
        <v>4.478020963467551</v>
      </c>
      <c r="BB332">
        <f t="shared" si="305"/>
        <v>13.021722447195952</v>
      </c>
      <c r="BC332">
        <f t="shared" si="306"/>
        <v>-0.24514810069210258</v>
      </c>
      <c r="BD332">
        <f t="shared" si="290"/>
        <v>-194.04595154135546</v>
      </c>
      <c r="BF332">
        <f t="shared" si="291"/>
        <v>-27.178378788690086</v>
      </c>
      <c r="BG332">
        <f t="shared" si="292"/>
        <v>-189.30335214283718</v>
      </c>
      <c r="BH332">
        <f t="shared" si="307"/>
        <v>-9.3033521428371841</v>
      </c>
      <c r="BI332">
        <f t="shared" si="308"/>
        <v>-9.3033521428371841</v>
      </c>
      <c r="BJ332">
        <f t="shared" si="293"/>
        <v>0</v>
      </c>
      <c r="BK332">
        <f t="shared" si="309"/>
        <v>0</v>
      </c>
      <c r="BM332">
        <f t="shared" si="310"/>
        <v>-40.200101235886038</v>
      </c>
      <c r="BN332">
        <f t="shared" si="294"/>
        <v>-175.25740060148172</v>
      </c>
      <c r="BQ332" s="56">
        <f t="shared" si="311"/>
        <v>29.923683247481087</v>
      </c>
      <c r="BR332" s="59"/>
      <c r="BS332" s="59"/>
      <c r="BT332" s="59">
        <v>165958.69099999999</v>
      </c>
      <c r="BU332" s="59">
        <v>11.0235</v>
      </c>
      <c r="BV332" s="59">
        <v>-138.31200000000001</v>
      </c>
      <c r="BY332" s="59"/>
      <c r="BZ332" s="59"/>
      <c r="CA332" s="59"/>
      <c r="CC332" s="59"/>
    </row>
    <row r="333" spans="1:81" x14ac:dyDescent="0.2">
      <c r="A333">
        <f t="shared" si="263"/>
        <v>595000</v>
      </c>
      <c r="B333">
        <f t="shared" si="295"/>
        <v>595</v>
      </c>
      <c r="C333">
        <f t="shared" si="264"/>
        <v>1.0027913734691662</v>
      </c>
      <c r="D333">
        <f t="shared" si="265"/>
        <v>7.4631035902570739E-2</v>
      </c>
      <c r="F333">
        <f t="shared" si="266"/>
        <v>6.3882062065908826E-4</v>
      </c>
      <c r="G333">
        <f t="shared" si="267"/>
        <v>8.6940230471642017E-3</v>
      </c>
      <c r="H333">
        <f t="shared" si="268"/>
        <v>-3.1328986269528358</v>
      </c>
      <c r="J333">
        <f t="shared" si="269"/>
        <v>15</v>
      </c>
      <c r="M333">
        <f t="shared" si="270"/>
        <v>3.0502766432336358E-3</v>
      </c>
      <c r="N333">
        <f t="shared" si="271"/>
        <v>-1.5707963250000001</v>
      </c>
      <c r="O333">
        <f t="shared" si="272"/>
        <v>71.012281734375279</v>
      </c>
      <c r="P333">
        <f t="shared" si="273"/>
        <v>1.5567137902348394</v>
      </c>
      <c r="Q333">
        <f t="shared" si="274"/>
        <v>46.35481972042831</v>
      </c>
      <c r="R333">
        <f t="shared" si="275"/>
        <v>1.5492219233982691</v>
      </c>
      <c r="S333">
        <f t="shared" si="276"/>
        <v>0.99709311020409863</v>
      </c>
      <c r="T333">
        <f t="shared" si="277"/>
        <v>-7.6266627345600441E-2</v>
      </c>
      <c r="U333">
        <f t="shared" si="278"/>
        <v>0.63491617412465851</v>
      </c>
      <c r="V333">
        <f t="shared" si="279"/>
        <v>-0.88289631267632918</v>
      </c>
      <c r="X333">
        <f t="shared" si="296"/>
        <v>-24.281990524996495</v>
      </c>
      <c r="Y333">
        <f t="shared" si="280"/>
        <v>-142.22480614698264</v>
      </c>
      <c r="Z333">
        <f t="shared" si="297"/>
        <v>37.775193853017356</v>
      </c>
      <c r="AC333">
        <v>1</v>
      </c>
      <c r="AD333">
        <f t="shared" si="281"/>
        <v>71.005240349725497</v>
      </c>
      <c r="AE333">
        <f t="shared" si="282"/>
        <v>-1.8050787273433132E-2</v>
      </c>
      <c r="AF333">
        <f t="shared" si="283"/>
        <v>1.4834349165888001E-2</v>
      </c>
      <c r="AG333">
        <f t="shared" si="298"/>
        <v>1896.4772160822704</v>
      </c>
      <c r="AH333">
        <f t="shared" si="299"/>
        <v>-2375.0894901026591</v>
      </c>
      <c r="AJ333">
        <f t="shared" si="284"/>
        <v>22100</v>
      </c>
      <c r="AK333">
        <f t="shared" si="285"/>
        <v>1688.7680298920341</v>
      </c>
      <c r="AL333">
        <v>1</v>
      </c>
      <c r="AM333">
        <f t="shared" si="286"/>
        <v>46.344032100297547</v>
      </c>
      <c r="AN333">
        <f t="shared" si="300"/>
        <v>46.707815147418586</v>
      </c>
      <c r="AO333">
        <f t="shared" si="301"/>
        <v>-475.86045463469691</v>
      </c>
      <c r="AQ333">
        <f t="shared" si="287"/>
        <v>7.0616432020032469E-3</v>
      </c>
      <c r="AR333">
        <f t="shared" si="288"/>
        <v>-8.4033554103838632</v>
      </c>
      <c r="AT333">
        <f t="shared" si="261"/>
        <v>-19945.328871359332</v>
      </c>
      <c r="AU333">
        <f t="shared" si="262"/>
        <v>-15953.544108986605</v>
      </c>
      <c r="AV333">
        <f t="shared" si="302"/>
        <v>-2.466934840094634</v>
      </c>
      <c r="AW333">
        <f t="shared" si="303"/>
        <v>-3422.1555822550786</v>
      </c>
      <c r="AX333">
        <f t="shared" si="304"/>
        <v>-4576.6053776866966</v>
      </c>
      <c r="AY333">
        <f t="shared" si="312"/>
        <v>-2.2128557271011791</v>
      </c>
      <c r="BA333">
        <f t="shared" si="289"/>
        <v>4.4694044438317651</v>
      </c>
      <c r="BB333">
        <f t="shared" si="305"/>
        <v>13.004993129353116</v>
      </c>
      <c r="BC333">
        <f t="shared" si="306"/>
        <v>-0.25407911299345498</v>
      </c>
      <c r="BD333">
        <f t="shared" si="290"/>
        <v>-194.55766085358709</v>
      </c>
      <c r="BF333">
        <f t="shared" si="291"/>
        <v>-27.341391376036444</v>
      </c>
      <c r="BG333">
        <f t="shared" si="292"/>
        <v>-189.78348664263316</v>
      </c>
      <c r="BH333">
        <f t="shared" si="307"/>
        <v>-9.7834866426331644</v>
      </c>
      <c r="BI333">
        <f t="shared" si="308"/>
        <v>-9.7834866426331644</v>
      </c>
      <c r="BJ333">
        <f t="shared" si="293"/>
        <v>0</v>
      </c>
      <c r="BK333">
        <f t="shared" si="309"/>
        <v>0</v>
      </c>
      <c r="BM333">
        <f t="shared" si="310"/>
        <v>-40.346384505389558</v>
      </c>
      <c r="BN333">
        <f t="shared" si="294"/>
        <v>-175.2258257890461</v>
      </c>
      <c r="BQ333" s="56">
        <f t="shared" si="311"/>
        <v>29.906953929638252</v>
      </c>
      <c r="BR333" s="59"/>
      <c r="BS333" s="59"/>
      <c r="BT333" s="59">
        <v>169824.36499999999</v>
      </c>
      <c r="BU333" s="59">
        <v>11.234299999999999</v>
      </c>
      <c r="BV333" s="59">
        <v>-140.114</v>
      </c>
      <c r="BY333" s="59"/>
      <c r="BZ333" s="59"/>
      <c r="CA333" s="59"/>
      <c r="CC333" s="59"/>
    </row>
    <row r="334" spans="1:81" x14ac:dyDescent="0.2">
      <c r="A334">
        <f t="shared" si="263"/>
        <v>600000</v>
      </c>
      <c r="B334">
        <f t="shared" si="295"/>
        <v>600</v>
      </c>
      <c r="C334">
        <f t="shared" si="264"/>
        <v>1.0028384177533465</v>
      </c>
      <c r="D334">
        <f t="shared" si="265"/>
        <v>7.5255832051264057E-2</v>
      </c>
      <c r="F334">
        <f t="shared" si="266"/>
        <v>6.2821168146144765E-4</v>
      </c>
      <c r="G334">
        <f t="shared" si="267"/>
        <v>8.6214847080591604E-3</v>
      </c>
      <c r="H334">
        <f t="shared" si="268"/>
        <v>-3.132971165291941</v>
      </c>
      <c r="J334">
        <f t="shared" si="269"/>
        <v>15</v>
      </c>
      <c r="M334">
        <f t="shared" si="270"/>
        <v>3.0248576712066889E-3</v>
      </c>
      <c r="N334">
        <f t="shared" si="271"/>
        <v>-1.5707963250000001</v>
      </c>
      <c r="O334">
        <f t="shared" si="272"/>
        <v>71.608905753930216</v>
      </c>
      <c r="P334">
        <f t="shared" si="273"/>
        <v>1.556831129384501</v>
      </c>
      <c r="Q334">
        <f t="shared" si="274"/>
        <v>46.744175492155499</v>
      </c>
      <c r="R334">
        <f t="shared" si="275"/>
        <v>1.5494016550051355</v>
      </c>
      <c r="S334">
        <f t="shared" si="276"/>
        <v>0.99704426694144688</v>
      </c>
      <c r="T334">
        <f t="shared" si="277"/>
        <v>-7.6905009810240052E-2</v>
      </c>
      <c r="U334">
        <f t="shared" si="278"/>
        <v>0.63174213502221344</v>
      </c>
      <c r="V334">
        <f t="shared" si="279"/>
        <v>-0.88699776947768871</v>
      </c>
      <c r="X334">
        <f t="shared" si="296"/>
        <v>-24.398360000384969</v>
      </c>
      <c r="Y334">
        <f t="shared" si="280"/>
        <v>-142.4477159904911</v>
      </c>
      <c r="Z334">
        <f t="shared" si="297"/>
        <v>37.552284009508895</v>
      </c>
      <c r="AC334">
        <v>1</v>
      </c>
      <c r="AD334">
        <f t="shared" si="281"/>
        <v>71.601923041740008</v>
      </c>
      <c r="AE334">
        <f t="shared" si="282"/>
        <v>-1.8355436532549757E-2</v>
      </c>
      <c r="AF334">
        <f t="shared" si="283"/>
        <v>1.4959007562240003E-2</v>
      </c>
      <c r="AG334">
        <f t="shared" si="298"/>
        <v>1877.563076164173</v>
      </c>
      <c r="AH334">
        <f t="shared" si="299"/>
        <v>-2370.7114080153565</v>
      </c>
      <c r="AJ334">
        <f t="shared" si="284"/>
        <v>22100</v>
      </c>
      <c r="AK334">
        <f t="shared" si="285"/>
        <v>1702.9593578743202</v>
      </c>
      <c r="AL334">
        <v>1</v>
      </c>
      <c r="AM334">
        <f t="shared" si="286"/>
        <v>46.733477748199206</v>
      </c>
      <c r="AN334">
        <f t="shared" si="300"/>
        <v>46.53747288852427</v>
      </c>
      <c r="AO334">
        <f t="shared" si="301"/>
        <v>-471.89859581895263</v>
      </c>
      <c r="AQ334">
        <f t="shared" si="287"/>
        <v>6.9444396219169296E-3</v>
      </c>
      <c r="AR334">
        <f t="shared" si="288"/>
        <v>-8.3333275463003158</v>
      </c>
      <c r="AT334">
        <f t="shared" si="261"/>
        <v>-19742.876057324014</v>
      </c>
      <c r="AU334">
        <f t="shared" si="262"/>
        <v>-15662.811364749214</v>
      </c>
      <c r="AV334">
        <f t="shared" si="302"/>
        <v>-2.4709259605425484</v>
      </c>
      <c r="AW334">
        <f t="shared" si="303"/>
        <v>-3361.4279943479082</v>
      </c>
      <c r="AX334">
        <f t="shared" si="304"/>
        <v>-4541.1218226729916</v>
      </c>
      <c r="AY334">
        <f t="shared" si="312"/>
        <v>-2.2080086258241689</v>
      </c>
      <c r="BA334">
        <f t="shared" si="289"/>
        <v>4.4605104040389163</v>
      </c>
      <c r="BB334">
        <f t="shared" si="305"/>
        <v>12.98769113377136</v>
      </c>
      <c r="BC334">
        <f t="shared" si="306"/>
        <v>-0.26291733471837953</v>
      </c>
      <c r="BD334">
        <f t="shared" si="290"/>
        <v>-195.06405365740471</v>
      </c>
      <c r="BF334">
        <f t="shared" si="291"/>
        <v>-27.503744270123622</v>
      </c>
      <c r="BG334">
        <f t="shared" si="292"/>
        <v>-190.25823740472211</v>
      </c>
      <c r="BH334">
        <f t="shared" si="307"/>
        <v>-10.258237404722109</v>
      </c>
      <c r="BI334">
        <f t="shared" si="308"/>
        <v>-10.258237404722109</v>
      </c>
      <c r="BJ334">
        <f t="shared" si="293"/>
        <v>0</v>
      </c>
      <c r="BK334">
        <f t="shared" si="309"/>
        <v>0</v>
      </c>
      <c r="BM334">
        <f t="shared" si="310"/>
        <v>-40.491435403894982</v>
      </c>
      <c r="BN334">
        <f t="shared" si="294"/>
        <v>-175.1941837473174</v>
      </c>
      <c r="BQ334" s="56">
        <f t="shared" si="311"/>
        <v>29.889651934056495</v>
      </c>
      <c r="BR334" s="59"/>
      <c r="BS334" s="59"/>
      <c r="BT334" s="59">
        <v>173780.08300000001</v>
      </c>
      <c r="BU334" s="59">
        <v>11.3918</v>
      </c>
      <c r="BV334" s="59">
        <v>-141.173</v>
      </c>
      <c r="BY334" s="59"/>
      <c r="BZ334" s="59"/>
      <c r="CA334" s="59"/>
      <c r="CC334" s="59"/>
    </row>
    <row r="335" spans="1:81" x14ac:dyDescent="0.2">
      <c r="A335">
        <f t="shared" si="263"/>
        <v>605000</v>
      </c>
      <c r="B335">
        <f t="shared" si="295"/>
        <v>605</v>
      </c>
      <c r="C335">
        <f t="shared" si="264"/>
        <v>1.0028858534789713</v>
      </c>
      <c r="D335">
        <f t="shared" si="265"/>
        <v>7.5880569339067352E-2</v>
      </c>
      <c r="F335">
        <f t="shared" si="266"/>
        <v>6.1786489006632672E-4</v>
      </c>
      <c r="G335">
        <f t="shared" si="267"/>
        <v>8.5501475098501405E-3</v>
      </c>
      <c r="H335">
        <f t="shared" si="268"/>
        <v>-3.13304250249015</v>
      </c>
      <c r="J335">
        <f t="shared" si="269"/>
        <v>15</v>
      </c>
      <c r="M335">
        <f t="shared" si="270"/>
        <v>2.999858847477708E-3</v>
      </c>
      <c r="N335">
        <f t="shared" si="271"/>
        <v>-1.5707963250000001</v>
      </c>
      <c r="O335">
        <f t="shared" si="272"/>
        <v>72.205530743137189</v>
      </c>
      <c r="P335">
        <f t="shared" si="273"/>
        <v>1.5569465294192057</v>
      </c>
      <c r="Q335">
        <f t="shared" si="274"/>
        <v>47.13353274893354</v>
      </c>
      <c r="R335">
        <f t="shared" si="275"/>
        <v>1.5495784171900804</v>
      </c>
      <c r="S335">
        <f t="shared" si="276"/>
        <v>0.99699502221605474</v>
      </c>
      <c r="T335">
        <f t="shared" si="277"/>
        <v>-7.7543329474666273E-2</v>
      </c>
      <c r="U335">
        <f t="shared" si="278"/>
        <v>0.62858925631284435</v>
      </c>
      <c r="V335">
        <f t="shared" si="279"/>
        <v>-0.89105835517749321</v>
      </c>
      <c r="X335">
        <f t="shared" si="296"/>
        <v>-24.514049947899025</v>
      </c>
      <c r="Y335">
        <f t="shared" si="280"/>
        <v>-142.66849628481023</v>
      </c>
      <c r="Z335">
        <f t="shared" si="297"/>
        <v>37.331503715189768</v>
      </c>
      <c r="AC335">
        <v>1</v>
      </c>
      <c r="AD335">
        <f t="shared" si="281"/>
        <v>72.198605733754505</v>
      </c>
      <c r="AE335">
        <f t="shared" si="282"/>
        <v>-1.8662635157851458E-2</v>
      </c>
      <c r="AF335">
        <f t="shared" si="283"/>
        <v>1.5083665958592002E-2</v>
      </c>
      <c r="AG335">
        <f t="shared" si="298"/>
        <v>1858.8688769853459</v>
      </c>
      <c r="AH335">
        <f t="shared" si="299"/>
        <v>-2366.2279286377284</v>
      </c>
      <c r="AJ335">
        <f t="shared" si="284"/>
        <v>22100</v>
      </c>
      <c r="AK335">
        <f t="shared" si="285"/>
        <v>1717.1506858566063</v>
      </c>
      <c r="AL335">
        <v>1</v>
      </c>
      <c r="AM335">
        <f t="shared" si="286"/>
        <v>47.122923396100866</v>
      </c>
      <c r="AN335">
        <f t="shared" si="300"/>
        <v>46.371333980323527</v>
      </c>
      <c r="AO335">
        <f t="shared" si="301"/>
        <v>-468.0021330731887</v>
      </c>
      <c r="AQ335">
        <f t="shared" si="287"/>
        <v>6.8301298885800913E-3</v>
      </c>
      <c r="AR335">
        <f t="shared" si="288"/>
        <v>-8.264457165181911</v>
      </c>
      <c r="AT335">
        <f t="shared" si="261"/>
        <v>-19542.893043407978</v>
      </c>
      <c r="AU335">
        <f t="shared" si="262"/>
        <v>-15378.703853633775</v>
      </c>
      <c r="AV335">
        <f t="shared" si="302"/>
        <v>-2.4748780332552469</v>
      </c>
      <c r="AW335">
        <f t="shared" si="303"/>
        <v>-3302.2648010219455</v>
      </c>
      <c r="AX335">
        <f t="shared" si="304"/>
        <v>-4506.2130871132058</v>
      </c>
      <c r="AY335">
        <f t="shared" si="312"/>
        <v>-2.2032144019136064</v>
      </c>
      <c r="BA335">
        <f t="shared" si="289"/>
        <v>4.4513504148997978</v>
      </c>
      <c r="BB335">
        <f t="shared" si="305"/>
        <v>12.969835674763864</v>
      </c>
      <c r="BC335">
        <f t="shared" si="306"/>
        <v>-0.27166363134164051</v>
      </c>
      <c r="BD335">
        <f t="shared" si="290"/>
        <v>-195.56517954085973</v>
      </c>
      <c r="BF335">
        <f t="shared" si="291"/>
        <v>-27.665438692563399</v>
      </c>
      <c r="BG335">
        <f t="shared" si="292"/>
        <v>-190.72765579862499</v>
      </c>
      <c r="BH335">
        <f t="shared" si="307"/>
        <v>-10.727655798624994</v>
      </c>
      <c r="BI335">
        <f t="shared" si="308"/>
        <v>-10.727655798624994</v>
      </c>
      <c r="BJ335">
        <f t="shared" si="293"/>
        <v>0</v>
      </c>
      <c r="BK335">
        <f t="shared" si="309"/>
        <v>0</v>
      </c>
      <c r="BM335">
        <f t="shared" si="310"/>
        <v>-40.635274367327263</v>
      </c>
      <c r="BN335">
        <f t="shared" si="294"/>
        <v>-175.16247625776526</v>
      </c>
      <c r="BQ335" s="56">
        <f t="shared" si="311"/>
        <v>29.871796475049003</v>
      </c>
      <c r="BR335" s="59"/>
      <c r="BS335" s="59"/>
      <c r="BT335" s="59">
        <v>177827.94099999999</v>
      </c>
      <c r="BU335" s="59">
        <v>11.612500000000001</v>
      </c>
      <c r="BV335" s="59">
        <v>-141.86199999999999</v>
      </c>
      <c r="BY335" s="59"/>
      <c r="BZ335" s="59"/>
      <c r="CA335" s="59"/>
      <c r="CC335" s="59"/>
    </row>
    <row r="336" spans="1:81" x14ac:dyDescent="0.2">
      <c r="A336">
        <f t="shared" si="263"/>
        <v>610000</v>
      </c>
      <c r="B336">
        <f t="shared" si="295"/>
        <v>610</v>
      </c>
      <c r="C336">
        <f t="shared" si="264"/>
        <v>1.0029336805904985</v>
      </c>
      <c r="D336">
        <f t="shared" si="265"/>
        <v>7.6505247286701508E-2</v>
      </c>
      <c r="F336">
        <f t="shared" si="266"/>
        <v>6.0777167853020046E-4</v>
      </c>
      <c r="G336">
        <f t="shared" si="267"/>
        <v>8.4799818462662976E-3</v>
      </c>
      <c r="H336">
        <f t="shared" si="268"/>
        <v>-3.1331126681537338</v>
      </c>
      <c r="J336">
        <f t="shared" si="269"/>
        <v>15</v>
      </c>
      <c r="M336">
        <f t="shared" si="270"/>
        <v>2.9752698405311698E-3</v>
      </c>
      <c r="N336">
        <f t="shared" si="271"/>
        <v>-1.5707963250000001</v>
      </c>
      <c r="O336">
        <f t="shared" si="272"/>
        <v>72.802156678156862</v>
      </c>
      <c r="P336">
        <f t="shared" si="273"/>
        <v>1.5570600380099622</v>
      </c>
      <c r="Q336">
        <f t="shared" si="274"/>
        <v>47.52289145426117</v>
      </c>
      <c r="R336">
        <f t="shared" si="275"/>
        <v>1.549752282928027</v>
      </c>
      <c r="S336">
        <f t="shared" si="276"/>
        <v>0.99694537620778501</v>
      </c>
      <c r="T336">
        <f t="shared" si="277"/>
        <v>-7.8181585828053471E-2</v>
      </c>
      <c r="U336">
        <f t="shared" si="278"/>
        <v>0.62545753235654544</v>
      </c>
      <c r="V336">
        <f t="shared" si="279"/>
        <v>-0.89507854574695933</v>
      </c>
      <c r="X336">
        <f t="shared" si="296"/>
        <v>-24.629068281905674</v>
      </c>
      <c r="Y336">
        <f t="shared" si="280"/>
        <v>-142.88716908308595</v>
      </c>
      <c r="Z336">
        <f t="shared" si="297"/>
        <v>37.112830916914049</v>
      </c>
      <c r="AC336">
        <v>1</v>
      </c>
      <c r="AD336">
        <f t="shared" si="281"/>
        <v>72.795288425769002</v>
      </c>
      <c r="AE336">
        <f t="shared" si="282"/>
        <v>-1.8972383149338235E-2</v>
      </c>
      <c r="AF336">
        <f t="shared" si="283"/>
        <v>1.5208324354944002E-2</v>
      </c>
      <c r="AG336">
        <f t="shared" si="298"/>
        <v>1840.3927021518357</v>
      </c>
      <c r="AH336">
        <f t="shared" si="299"/>
        <v>-2361.6431798940812</v>
      </c>
      <c r="AJ336">
        <f t="shared" si="284"/>
        <v>22100</v>
      </c>
      <c r="AK336">
        <f t="shared" si="285"/>
        <v>1731.3420138388922</v>
      </c>
      <c r="AL336">
        <v>1</v>
      </c>
      <c r="AM336">
        <f t="shared" si="286"/>
        <v>47.512369044002519</v>
      </c>
      <c r="AN336">
        <f t="shared" si="300"/>
        <v>46.209261276562103</v>
      </c>
      <c r="AO336">
        <f t="shared" si="301"/>
        <v>-464.1694611838617</v>
      </c>
      <c r="AQ336">
        <f t="shared" si="287"/>
        <v>6.7186195118116689E-3</v>
      </c>
      <c r="AR336">
        <f t="shared" si="288"/>
        <v>-8.1967158044102355</v>
      </c>
      <c r="AT336">
        <f t="shared" si="261"/>
        <v>-19345.35307869739</v>
      </c>
      <c r="AU336">
        <f t="shared" si="262"/>
        <v>-15101.042929997584</v>
      </c>
      <c r="AV336">
        <f t="shared" si="302"/>
        <v>-2.478791489379212</v>
      </c>
      <c r="AW336">
        <f t="shared" si="303"/>
        <v>-3244.6135559650256</v>
      </c>
      <c r="AX336">
        <f t="shared" si="304"/>
        <v>-4471.8642879132503</v>
      </c>
      <c r="AY336">
        <f t="shared" si="312"/>
        <v>-2.1984726125847609</v>
      </c>
      <c r="BA336">
        <f t="shared" si="289"/>
        <v>4.4419357405447855</v>
      </c>
      <c r="BB336">
        <f t="shared" si="305"/>
        <v>12.951445430360442</v>
      </c>
      <c r="BC336">
        <f t="shared" si="306"/>
        <v>-0.28031887679445111</v>
      </c>
      <c r="BD336">
        <f t="shared" si="290"/>
        <v>-196.06108857652222</v>
      </c>
      <c r="BF336">
        <f t="shared" si="291"/>
        <v>-27.826475895498582</v>
      </c>
      <c r="BG336">
        <f t="shared" si="292"/>
        <v>-191.19179362068692</v>
      </c>
      <c r="BH336">
        <f t="shared" si="307"/>
        <v>-11.191793620686923</v>
      </c>
      <c r="BI336">
        <f t="shared" si="308"/>
        <v>-11.191793620686923</v>
      </c>
      <c r="BJ336">
        <f t="shared" si="293"/>
        <v>0</v>
      </c>
      <c r="BK336">
        <f t="shared" si="309"/>
        <v>0</v>
      </c>
      <c r="BM336">
        <f t="shared" si="310"/>
        <v>-40.777921325859026</v>
      </c>
      <c r="BN336">
        <f t="shared" si="294"/>
        <v>-175.1307050441647</v>
      </c>
      <c r="BQ336" s="56">
        <f t="shared" si="311"/>
        <v>29.853406230645582</v>
      </c>
      <c r="BR336" s="59"/>
      <c r="BS336" s="59"/>
      <c r="BT336" s="59">
        <v>181970.08600000001</v>
      </c>
      <c r="BU336" s="59">
        <v>11.8933</v>
      </c>
      <c r="BV336" s="59">
        <v>-143.41399999999999</v>
      </c>
      <c r="BY336" s="59"/>
      <c r="BZ336" s="59"/>
      <c r="CA336" s="59"/>
      <c r="CC336" s="59"/>
    </row>
    <row r="337" spans="1:81" x14ac:dyDescent="0.2">
      <c r="A337">
        <f t="shared" si="263"/>
        <v>615000</v>
      </c>
      <c r="B337">
        <f t="shared" si="295"/>
        <v>615</v>
      </c>
      <c r="C337">
        <f t="shared" si="264"/>
        <v>1.0029818990319386</v>
      </c>
      <c r="D337">
        <f t="shared" si="265"/>
        <v>7.7129865415163659E-2</v>
      </c>
      <c r="F337">
        <f t="shared" si="266"/>
        <v>5.9792382617479469E-4</v>
      </c>
      <c r="G337">
        <f t="shared" si="267"/>
        <v>8.410959076657145E-3</v>
      </c>
      <c r="H337">
        <f t="shared" si="268"/>
        <v>-3.133181690923343</v>
      </c>
      <c r="J337">
        <f t="shared" si="269"/>
        <v>15</v>
      </c>
      <c r="M337">
        <f t="shared" si="270"/>
        <v>2.9510806548357941E-3</v>
      </c>
      <c r="N337">
        <f t="shared" si="271"/>
        <v>-1.5707963250000001</v>
      </c>
      <c r="O337">
        <f t="shared" si="272"/>
        <v>73.398783535924963</v>
      </c>
      <c r="P337">
        <f t="shared" si="273"/>
        <v>1.5571717012779902</v>
      </c>
      <c r="Q337">
        <f t="shared" si="274"/>
        <v>47.912251572823493</v>
      </c>
      <c r="R337">
        <f t="shared" si="275"/>
        <v>1.5499233228224814</v>
      </c>
      <c r="S337">
        <f t="shared" si="276"/>
        <v>0.99689532909791823</v>
      </c>
      <c r="T337">
        <f t="shared" si="277"/>
        <v>-7.881977835988363E-2</v>
      </c>
      <c r="U337">
        <f t="shared" si="278"/>
        <v>0.62234694997758666</v>
      </c>
      <c r="V337">
        <f t="shared" si="279"/>
        <v>-0.89905881295789158</v>
      </c>
      <c r="X337">
        <f t="shared" si="296"/>
        <v>-24.743422750323649</v>
      </c>
      <c r="Y337">
        <f t="shared" si="280"/>
        <v>-143.10375636720019</v>
      </c>
      <c r="Z337">
        <f t="shared" si="297"/>
        <v>36.896243632799809</v>
      </c>
      <c r="AC337">
        <v>1</v>
      </c>
      <c r="AD337">
        <f t="shared" si="281"/>
        <v>73.391971117783498</v>
      </c>
      <c r="AE337">
        <f t="shared" si="282"/>
        <v>-1.9284680507010089E-2</v>
      </c>
      <c r="AF337">
        <f t="shared" si="283"/>
        <v>1.5332982751296001E-2</v>
      </c>
      <c r="AG337">
        <f t="shared" si="298"/>
        <v>1822.1326044421908</v>
      </c>
      <c r="AH337">
        <f t="shared" si="299"/>
        <v>-2356.9611799777977</v>
      </c>
      <c r="AJ337">
        <f t="shared" si="284"/>
        <v>22100</v>
      </c>
      <c r="AK337">
        <f t="shared" si="285"/>
        <v>1745.5333418211783</v>
      </c>
      <c r="AL337">
        <v>1</v>
      </c>
      <c r="AM337">
        <f t="shared" si="286"/>
        <v>47.901814691904178</v>
      </c>
      <c r="AN337">
        <f t="shared" si="300"/>
        <v>46.051123178381104</v>
      </c>
      <c r="AO337">
        <f t="shared" si="301"/>
        <v>-460.39902702368659</v>
      </c>
      <c r="AQ337">
        <f t="shared" si="287"/>
        <v>6.6098178268108754E-3</v>
      </c>
      <c r="AR337">
        <f t="shared" si="288"/>
        <v>-8.1300759269773764</v>
      </c>
      <c r="AT337">
        <f t="shared" si="261"/>
        <v>-19150.22938558603</v>
      </c>
      <c r="AU337">
        <f t="shared" si="262"/>
        <v>-14829.655507160564</v>
      </c>
      <c r="AV337">
        <f t="shared" si="302"/>
        <v>-2.4826667573187411</v>
      </c>
      <c r="AW337">
        <f t="shared" si="303"/>
        <v>-3188.4239631185633</v>
      </c>
      <c r="AX337">
        <f t="shared" si="304"/>
        <v>-4438.0610790114861</v>
      </c>
      <c r="AY337">
        <f t="shared" si="312"/>
        <v>-2.1937828049355059</v>
      </c>
      <c r="BA337">
        <f t="shared" si="289"/>
        <v>4.4322773417481134</v>
      </c>
      <c r="BB337">
        <f t="shared" si="305"/>
        <v>12.932538555266316</v>
      </c>
      <c r="BC337">
        <f t="shared" si="306"/>
        <v>-0.28888395238323517</v>
      </c>
      <c r="BD337">
        <f t="shared" si="290"/>
        <v>-196.55183125953084</v>
      </c>
      <c r="BF337">
        <f t="shared" si="291"/>
        <v>-27.986857165206985</v>
      </c>
      <c r="BG337">
        <f t="shared" si="292"/>
        <v>-191.65070303447982</v>
      </c>
      <c r="BH337">
        <f t="shared" si="307"/>
        <v>-11.650703034479818</v>
      </c>
      <c r="BI337">
        <f t="shared" si="308"/>
        <v>-11.650703034479818</v>
      </c>
      <c r="BJ337">
        <f t="shared" si="293"/>
        <v>0</v>
      </c>
      <c r="BK337">
        <f t="shared" si="309"/>
        <v>0</v>
      </c>
      <c r="BM337">
        <f t="shared" si="310"/>
        <v>-40.919395720473304</v>
      </c>
      <c r="BN337">
        <f t="shared" si="294"/>
        <v>-175.098871774949</v>
      </c>
      <c r="BQ337" s="56">
        <f t="shared" si="311"/>
        <v>29.834499355551451</v>
      </c>
      <c r="BR337" s="59"/>
      <c r="BS337" s="59"/>
      <c r="BT337" s="59">
        <v>186208.71400000001</v>
      </c>
      <c r="BU337" s="59">
        <v>12.027799999999999</v>
      </c>
      <c r="BV337" s="59">
        <v>-144.279</v>
      </c>
      <c r="BY337" s="59"/>
      <c r="BZ337" s="59"/>
      <c r="CA337" s="59"/>
      <c r="CC337" s="59"/>
    </row>
    <row r="338" spans="1:81" x14ac:dyDescent="0.2">
      <c r="A338">
        <f t="shared" si="263"/>
        <v>620000</v>
      </c>
      <c r="B338">
        <f t="shared" si="295"/>
        <v>620</v>
      </c>
      <c r="C338">
        <f t="shared" si="264"/>
        <v>1.0030305087468545</v>
      </c>
      <c r="D338">
        <f t="shared" si="265"/>
        <v>7.7754423245729468E-2</v>
      </c>
      <c r="F338">
        <f t="shared" si="266"/>
        <v>5.8831344283001173E-4</v>
      </c>
      <c r="G338">
        <f t="shared" si="267"/>
        <v>8.3430514869215072E-3</v>
      </c>
      <c r="H338">
        <f t="shared" si="268"/>
        <v>-3.1332495985130788</v>
      </c>
      <c r="J338">
        <f t="shared" si="269"/>
        <v>15</v>
      </c>
      <c r="M338">
        <f t="shared" si="270"/>
        <v>2.9272816172967956E-3</v>
      </c>
      <c r="N338">
        <f t="shared" si="271"/>
        <v>-1.5707963250000001</v>
      </c>
      <c r="O338">
        <f t="shared" si="272"/>
        <v>73.99541129412107</v>
      </c>
      <c r="P338">
        <f t="shared" si="273"/>
        <v>1.5572815638571889</v>
      </c>
      <c r="Q338">
        <f t="shared" si="274"/>
        <v>48.301613070444191</v>
      </c>
      <c r="R338">
        <f t="shared" si="275"/>
        <v>1.5500916052010716</v>
      </c>
      <c r="S338">
        <f t="shared" si="276"/>
        <v>0.99684488106915037</v>
      </c>
      <c r="T338">
        <f t="shared" si="277"/>
        <v>-7.945790655994879E-2</v>
      </c>
      <c r="U338">
        <f t="shared" si="278"/>
        <v>0.61925748880421483</v>
      </c>
      <c r="V338">
        <f t="shared" si="279"/>
        <v>-0.90299962431903347</v>
      </c>
      <c r="X338">
        <f t="shared" si="296"/>
        <v>-24.857120940521984</v>
      </c>
      <c r="Y338">
        <f t="shared" si="280"/>
        <v>-143.31828003730934</v>
      </c>
      <c r="Z338">
        <f t="shared" si="297"/>
        <v>36.681719962690664</v>
      </c>
      <c r="AC338">
        <v>1</v>
      </c>
      <c r="AD338">
        <f t="shared" si="281"/>
        <v>73.988653809798009</v>
      </c>
      <c r="AE338">
        <f t="shared" si="282"/>
        <v>-1.9599527230867022E-2</v>
      </c>
      <c r="AF338">
        <f t="shared" si="283"/>
        <v>1.5457641147648003E-2</v>
      </c>
      <c r="AG338">
        <f t="shared" si="298"/>
        <v>1804.0866088708062</v>
      </c>
      <c r="AH338">
        <f t="shared" si="299"/>
        <v>-2352.1858393599882</v>
      </c>
      <c r="AJ338">
        <f t="shared" si="284"/>
        <v>22100</v>
      </c>
      <c r="AK338">
        <f t="shared" si="285"/>
        <v>1759.7246698034644</v>
      </c>
      <c r="AL338">
        <v>1</v>
      </c>
      <c r="AM338">
        <f t="shared" si="286"/>
        <v>48.291260339805845</v>
      </c>
      <c r="AN338">
        <f t="shared" si="300"/>
        <v>45.896793367254894</v>
      </c>
      <c r="AO338">
        <f t="shared" si="301"/>
        <v>-456.68932745691546</v>
      </c>
      <c r="AQ338">
        <f t="shared" si="287"/>
        <v>6.5036378098089166E-3</v>
      </c>
      <c r="AR338">
        <f t="shared" si="288"/>
        <v>-8.0645108841630559</v>
      </c>
      <c r="AT338">
        <f t="shared" si="261"/>
        <v>-18957.495177211214</v>
      </c>
      <c r="AU338">
        <f t="shared" si="262"/>
        <v>-14564.373857971994</v>
      </c>
      <c r="AV338">
        <f t="shared" si="302"/>
        <v>-2.4865042626135638</v>
      </c>
      <c r="AW338">
        <f t="shared" si="303"/>
        <v>-3133.6477727426982</v>
      </c>
      <c r="AX338">
        <f t="shared" si="304"/>
        <v>-4404.7896268591239</v>
      </c>
      <c r="AY338">
        <f t="shared" si="312"/>
        <v>-2.189144516855285</v>
      </c>
      <c r="BA338">
        <f t="shared" si="289"/>
        <v>4.4223858795550104</v>
      </c>
      <c r="BB338">
        <f t="shared" si="305"/>
        <v>12.913132693618245</v>
      </c>
      <c r="BC338">
        <f t="shared" si="306"/>
        <v>-0.29735974575827884</v>
      </c>
      <c r="BD338">
        <f t="shared" si="290"/>
        <v>-197.0374584485007</v>
      </c>
      <c r="BF338">
        <f t="shared" si="291"/>
        <v>-28.146583825235179</v>
      </c>
      <c r="BG338">
        <f t="shared" si="292"/>
        <v>-192.10443651394874</v>
      </c>
      <c r="BH338">
        <f t="shared" si="307"/>
        <v>-12.104436513948741</v>
      </c>
      <c r="BI338">
        <f t="shared" si="308"/>
        <v>-12.104436513948741</v>
      </c>
      <c r="BJ338">
        <f t="shared" si="293"/>
        <v>0</v>
      </c>
      <c r="BK338">
        <f t="shared" si="309"/>
        <v>0</v>
      </c>
      <c r="BM338">
        <f t="shared" si="310"/>
        <v>-41.059716518853421</v>
      </c>
      <c r="BN338">
        <f t="shared" si="294"/>
        <v>-175.06697806544804</v>
      </c>
      <c r="BQ338" s="56">
        <f t="shared" si="311"/>
        <v>29.815093493903383</v>
      </c>
      <c r="BR338" s="59"/>
      <c r="BS338" s="59"/>
      <c r="BT338" s="59">
        <v>190546.07199999999</v>
      </c>
      <c r="BU338" s="59">
        <v>12.182600000000001</v>
      </c>
      <c r="BV338" s="59">
        <v>-145.40799999999999</v>
      </c>
      <c r="BY338" s="59"/>
      <c r="BZ338" s="59"/>
      <c r="CA338" s="59"/>
      <c r="CC338" s="59"/>
    </row>
    <row r="339" spans="1:81" x14ac:dyDescent="0.2">
      <c r="A339">
        <f t="shared" si="263"/>
        <v>625000</v>
      </c>
      <c r="B339">
        <f t="shared" si="295"/>
        <v>625</v>
      </c>
      <c r="C339">
        <f t="shared" si="264"/>
        <v>1.0030795096783625</v>
      </c>
      <c r="D339">
        <f t="shared" si="265"/>
        <v>7.8378920299955107E-2</v>
      </c>
      <c r="F339">
        <f t="shared" si="266"/>
        <v>5.7893295301286219E-4</v>
      </c>
      <c r="G339">
        <f t="shared" si="267"/>
        <v>8.2762322523193769E-3</v>
      </c>
      <c r="H339">
        <f t="shared" si="268"/>
        <v>-3.1333164177476807</v>
      </c>
      <c r="J339">
        <f t="shared" si="269"/>
        <v>15</v>
      </c>
      <c r="M339">
        <f t="shared" si="270"/>
        <v>2.9038633643584215E-3</v>
      </c>
      <c r="N339">
        <f t="shared" si="271"/>
        <v>-1.5707963250000001</v>
      </c>
      <c r="O339">
        <f t="shared" si="272"/>
        <v>74.592039931138814</v>
      </c>
      <c r="P339">
        <f t="shared" si="273"/>
        <v>1.5573896689536069</v>
      </c>
      <c r="Q339">
        <f t="shared" si="274"/>
        <v>48.690975914039974</v>
      </c>
      <c r="R339">
        <f t="shared" si="275"/>
        <v>1.5502571962065039</v>
      </c>
      <c r="S339">
        <f t="shared" si="276"/>
        <v>0.99679403230559172</v>
      </c>
      <c r="T339">
        <f t="shared" si="277"/>
        <v>-8.0095969918353382E-2</v>
      </c>
      <c r="U339">
        <f t="shared" si="278"/>
        <v>0.61618912159737016</v>
      </c>
      <c r="V339">
        <f t="shared" si="279"/>
        <v>-0.90690144301891895</v>
      </c>
      <c r="X339">
        <f t="shared" si="296"/>
        <v>-24.970170284934099</v>
      </c>
      <c r="Y339">
        <f t="shared" si="280"/>
        <v>-143.53076190208159</v>
      </c>
      <c r="Z339">
        <f t="shared" si="297"/>
        <v>36.469238097918407</v>
      </c>
      <c r="AC339">
        <v>1</v>
      </c>
      <c r="AD339">
        <f t="shared" si="281"/>
        <v>74.585336501812492</v>
      </c>
      <c r="AE339">
        <f t="shared" si="282"/>
        <v>-1.9916923320909028E-2</v>
      </c>
      <c r="AF339">
        <f t="shared" si="283"/>
        <v>1.5582299544000004E-2</v>
      </c>
      <c r="AG339">
        <f t="shared" si="298"/>
        <v>1786.2527156062986</v>
      </c>
      <c r="AH339">
        <f t="shared" si="299"/>
        <v>-2347.3209628151503</v>
      </c>
      <c r="AJ339">
        <f t="shared" si="284"/>
        <v>22100</v>
      </c>
      <c r="AK339">
        <f t="shared" si="285"/>
        <v>1773.9159977857503</v>
      </c>
      <c r="AL339">
        <v>1</v>
      </c>
      <c r="AM339">
        <f t="shared" si="286"/>
        <v>48.680705987707505</v>
      </c>
      <c r="AN339">
        <f t="shared" si="300"/>
        <v>45.746150552807116</v>
      </c>
      <c r="AO339">
        <f t="shared" si="301"/>
        <v>-453.03890734485594</v>
      </c>
      <c r="AQ339">
        <f t="shared" si="287"/>
        <v>6.3999959040026214E-3</v>
      </c>
      <c r="AR339">
        <f t="shared" si="288"/>
        <v>-7.9999948800032765</v>
      </c>
      <c r="AT339">
        <f t="shared" si="261"/>
        <v>-18767.12367418217</v>
      </c>
      <c r="AU339">
        <f t="shared" si="262"/>
        <v>-14305.035423789734</v>
      </c>
      <c r="AV339">
        <f t="shared" si="302"/>
        <v>-2.4903044278257718</v>
      </c>
      <c r="AW339">
        <f t="shared" si="303"/>
        <v>-3080.2386832645452</v>
      </c>
      <c r="AX339">
        <f t="shared" si="304"/>
        <v>-4372.0365872305192</v>
      </c>
      <c r="AY339">
        <f t="shared" si="312"/>
        <v>-2.1845572778947853</v>
      </c>
      <c r="BA339">
        <f t="shared" si="289"/>
        <v>4.4122717191820202</v>
      </c>
      <c r="BB339">
        <f t="shared" si="305"/>
        <v>12.893244991535957</v>
      </c>
      <c r="BC339">
        <f t="shared" si="306"/>
        <v>-0.30574714993098651</v>
      </c>
      <c r="BD339">
        <f t="shared" si="290"/>
        <v>-197.51802130921638</v>
      </c>
      <c r="BF339">
        <f t="shared" si="291"/>
        <v>-28.305657239096625</v>
      </c>
      <c r="BG339">
        <f t="shared" si="292"/>
        <v>-192.55304678923542</v>
      </c>
      <c r="BH339">
        <f t="shared" si="307"/>
        <v>-12.553046789235424</v>
      </c>
      <c r="BI339">
        <f t="shared" si="308"/>
        <v>-12.553046789235424</v>
      </c>
      <c r="BJ339">
        <f t="shared" si="293"/>
        <v>0</v>
      </c>
      <c r="BK339">
        <f t="shared" si="309"/>
        <v>0</v>
      </c>
      <c r="BM339">
        <f t="shared" si="310"/>
        <v>-41.198902230632584</v>
      </c>
      <c r="BN339">
        <f t="shared" si="294"/>
        <v>-175.03502548001902</v>
      </c>
      <c r="BQ339" s="56">
        <f t="shared" si="311"/>
        <v>29.795205791821093</v>
      </c>
      <c r="BR339" s="59"/>
      <c r="BS339" s="59"/>
      <c r="BT339" s="59">
        <v>194984.46</v>
      </c>
      <c r="BU339" s="59">
        <v>12.458399999999999</v>
      </c>
      <c r="BV339" s="59">
        <v>-146.886</v>
      </c>
      <c r="BY339" s="59"/>
      <c r="BZ339" s="59"/>
      <c r="CA339" s="59"/>
      <c r="CC339" s="59"/>
    </row>
    <row r="340" spans="1:81" x14ac:dyDescent="0.2">
      <c r="A340">
        <f t="shared" si="263"/>
        <v>630000</v>
      </c>
      <c r="B340">
        <f t="shared" si="295"/>
        <v>630</v>
      </c>
      <c r="C340">
        <f t="shared" si="264"/>
        <v>1.0031289017691316</v>
      </c>
      <c r="D340">
        <f t="shared" si="265"/>
        <v>7.9003356099679498E-2</v>
      </c>
      <c r="F340">
        <f t="shared" si="266"/>
        <v>5.6977508098311541E-4</v>
      </c>
      <c r="G340">
        <f t="shared" si="267"/>
        <v>8.2104754020615438E-3</v>
      </c>
      <c r="H340">
        <f t="shared" si="268"/>
        <v>-3.1333821745979389</v>
      </c>
      <c r="J340">
        <f t="shared" si="269"/>
        <v>15</v>
      </c>
      <c r="M340">
        <f t="shared" si="270"/>
        <v>2.8808168297206559E-3</v>
      </c>
      <c r="N340">
        <f t="shared" si="271"/>
        <v>-1.5707963250000001</v>
      </c>
      <c r="O340">
        <f t="shared" si="272"/>
        <v>75.188669426057629</v>
      </c>
      <c r="P340">
        <f t="shared" si="273"/>
        <v>1.557496058402084</v>
      </c>
      <c r="Q340">
        <f t="shared" si="274"/>
        <v>49.080340071577304</v>
      </c>
      <c r="R340">
        <f t="shared" si="275"/>
        <v>1.5504201598831922</v>
      </c>
      <c r="S340">
        <f t="shared" si="276"/>
        <v>0.99674278299276375</v>
      </c>
      <c r="T340">
        <f t="shared" si="277"/>
        <v>-8.0733967925516709E-2</v>
      </c>
      <c r="U340">
        <f t="shared" si="278"/>
        <v>0.61314181456864403</v>
      </c>
      <c r="V340">
        <f t="shared" si="279"/>
        <v>-0.91076472787491347</v>
      </c>
      <c r="X340">
        <f t="shared" si="296"/>
        <v>-25.082578066403109</v>
      </c>
      <c r="Y340">
        <f t="shared" si="280"/>
        <v>-143.74122366959776</v>
      </c>
      <c r="Z340">
        <f t="shared" si="297"/>
        <v>36.258776330402242</v>
      </c>
      <c r="AC340">
        <v>1</v>
      </c>
      <c r="AD340">
        <f t="shared" si="281"/>
        <v>75.182019193827003</v>
      </c>
      <c r="AE340">
        <f t="shared" si="282"/>
        <v>-2.0236868777136107E-2</v>
      </c>
      <c r="AF340">
        <f t="shared" si="283"/>
        <v>1.5706957940352002E-2</v>
      </c>
      <c r="AG340">
        <f t="shared" si="298"/>
        <v>1768.6289027498558</v>
      </c>
      <c r="AH340">
        <f t="shared" si="299"/>
        <v>-2342.3702514590505</v>
      </c>
      <c r="AJ340">
        <f t="shared" si="284"/>
        <v>22100</v>
      </c>
      <c r="AK340">
        <f t="shared" si="285"/>
        <v>1788.1073257680362</v>
      </c>
      <c r="AL340">
        <v>1</v>
      </c>
      <c r="AM340">
        <f t="shared" si="286"/>
        <v>49.070151635609164</v>
      </c>
      <c r="AN340">
        <f t="shared" si="300"/>
        <v>45.599078234565148</v>
      </c>
      <c r="AO340">
        <f t="shared" si="301"/>
        <v>-449.4463576460812</v>
      </c>
      <c r="AQ340">
        <f t="shared" si="287"/>
        <v>6.2988118551197689E-3</v>
      </c>
      <c r="AR340">
        <f t="shared" si="288"/>
        <v>-7.9365029374509088</v>
      </c>
      <c r="AT340">
        <f t="shared" si="261"/>
        <v>-18579.088120602431</v>
      </c>
      <c r="AU340">
        <f t="shared" si="262"/>
        <v>-14051.482631443778</v>
      </c>
      <c r="AV340">
        <f t="shared" si="302"/>
        <v>-2.494067672435607</v>
      </c>
      <c r="AW340">
        <f t="shared" si="303"/>
        <v>-3028.1522485454598</v>
      </c>
      <c r="AX340">
        <f t="shared" si="304"/>
        <v>-4339.7890832807971</v>
      </c>
      <c r="AY340">
        <f t="shared" si="312"/>
        <v>-2.1800206100971624</v>
      </c>
      <c r="BA340">
        <f t="shared" si="289"/>
        <v>4.4019449341622279</v>
      </c>
      <c r="BB340">
        <f t="shared" si="305"/>
        <v>12.872892109466685</v>
      </c>
      <c r="BC340">
        <f t="shared" si="306"/>
        <v>-0.31404706233844459</v>
      </c>
      <c r="BD340">
        <f t="shared" si="290"/>
        <v>-197.99357126103538</v>
      </c>
      <c r="BF340">
        <f t="shared" si="291"/>
        <v>-28.464078812567102</v>
      </c>
      <c r="BG340">
        <f t="shared" si="292"/>
        <v>-192.99658679511063</v>
      </c>
      <c r="BH340">
        <f t="shared" si="307"/>
        <v>-12.99658679511063</v>
      </c>
      <c r="BI340">
        <f t="shared" si="308"/>
        <v>-12.99658679511063</v>
      </c>
      <c r="BJ340">
        <f t="shared" si="293"/>
        <v>0</v>
      </c>
      <c r="BK340">
        <f t="shared" si="309"/>
        <v>0</v>
      </c>
      <c r="BM340">
        <f t="shared" si="310"/>
        <v>-41.336970922033785</v>
      </c>
      <c r="BN340">
        <f t="shared" si="294"/>
        <v>-175.00301553407527</v>
      </c>
      <c r="BQ340" s="56">
        <f t="shared" si="311"/>
        <v>29.774852909751822</v>
      </c>
      <c r="BR340" s="59"/>
      <c r="BS340" s="59"/>
      <c r="BT340" s="59">
        <v>199526.231</v>
      </c>
      <c r="BU340" s="59">
        <v>12.6511</v>
      </c>
      <c r="BV340" s="59">
        <v>-147.23699999999999</v>
      </c>
      <c r="BY340" s="59"/>
      <c r="BZ340" s="59"/>
      <c r="CA340" s="59"/>
      <c r="CC340" s="59"/>
    </row>
    <row r="341" spans="1:81" x14ac:dyDescent="0.2">
      <c r="A341">
        <f t="shared" si="263"/>
        <v>635000</v>
      </c>
      <c r="B341">
        <f t="shared" si="295"/>
        <v>635</v>
      </c>
      <c r="C341">
        <f t="shared" si="264"/>
        <v>1.0031786849613857</v>
      </c>
      <c r="D341">
        <f t="shared" si="265"/>
        <v>7.9627730167026456E-2</v>
      </c>
      <c r="F341">
        <f t="shared" si="266"/>
        <v>5.6083283662056974E-4</v>
      </c>
      <c r="G341">
        <f t="shared" si="267"/>
        <v>8.1457557855786414E-3</v>
      </c>
      <c r="H341">
        <f t="shared" si="268"/>
        <v>-3.1334468942144214</v>
      </c>
      <c r="J341">
        <f t="shared" si="269"/>
        <v>15</v>
      </c>
      <c r="M341">
        <f t="shared" si="270"/>
        <v>2.858133232636242E-3</v>
      </c>
      <c r="N341">
        <f t="shared" si="271"/>
        <v>-1.5707963250000001</v>
      </c>
      <c r="O341">
        <f t="shared" si="272"/>
        <v>75.785299758615722</v>
      </c>
      <c r="P341">
        <f t="shared" si="273"/>
        <v>1.557600772720215</v>
      </c>
      <c r="Q341">
        <f t="shared" si="274"/>
        <v>49.469705512031013</v>
      </c>
      <c r="R341">
        <f t="shared" si="275"/>
        <v>1.5505805582598002</v>
      </c>
      <c r="S341">
        <f t="shared" si="276"/>
        <v>0.99669113331759929</v>
      </c>
      <c r="T341">
        <f t="shared" si="277"/>
        <v>-8.1371900072175193E-2</v>
      </c>
      <c r="U341">
        <f t="shared" si="278"/>
        <v>0.61011552768770261</v>
      </c>
      <c r="V341">
        <f t="shared" si="279"/>
        <v>-0.91458993328814586</v>
      </c>
      <c r="X341">
        <f t="shared" si="296"/>
        <v>-25.19435142327346</v>
      </c>
      <c r="Y341">
        <f t="shared" si="280"/>
        <v>-143.94968693887992</v>
      </c>
      <c r="Z341">
        <f t="shared" si="297"/>
        <v>36.050313061120079</v>
      </c>
      <c r="AC341">
        <v>1</v>
      </c>
      <c r="AD341">
        <f t="shared" si="281"/>
        <v>75.7787018858415</v>
      </c>
      <c r="AE341">
        <f t="shared" si="282"/>
        <v>-2.0559363599548266E-2</v>
      </c>
      <c r="AF341">
        <f t="shared" si="283"/>
        <v>1.5831616336704001E-2</v>
      </c>
      <c r="AG341">
        <f t="shared" si="298"/>
        <v>1751.2131289784429</v>
      </c>
      <c r="AH341">
        <f t="shared" si="299"/>
        <v>-2337.337304794381</v>
      </c>
      <c r="AJ341">
        <f t="shared" si="284"/>
        <v>22100</v>
      </c>
      <c r="AK341">
        <f t="shared" si="285"/>
        <v>1802.298653750322</v>
      </c>
      <c r="AL341">
        <v>1</v>
      </c>
      <c r="AM341">
        <f t="shared" si="286"/>
        <v>49.459597283510824</v>
      </c>
      <c r="AN341">
        <f t="shared" si="300"/>
        <v>45.455464476779625</v>
      </c>
      <c r="AO341">
        <f t="shared" si="301"/>
        <v>-445.91031360613022</v>
      </c>
      <c r="AQ341">
        <f t="shared" si="287"/>
        <v>6.2000085560118077E-3</v>
      </c>
      <c r="AR341">
        <f t="shared" si="288"/>
        <v>-7.874010866134995</v>
      </c>
      <c r="AT341">
        <f t="shared" si="261"/>
        <v>-18393.361799390572</v>
      </c>
      <c r="AU341">
        <f t="shared" si="262"/>
        <v>-13803.562717782534</v>
      </c>
      <c r="AV341">
        <f t="shared" si="302"/>
        <v>-2.4977944127456508</v>
      </c>
      <c r="AW341">
        <f t="shared" si="303"/>
        <v>-2977.3457902288155</v>
      </c>
      <c r="AX341">
        <f t="shared" si="304"/>
        <v>-4308.0346847739302</v>
      </c>
      <c r="AY341">
        <f t="shared" si="312"/>
        <v>-2.1755340287916956</v>
      </c>
      <c r="BA341">
        <f t="shared" si="289"/>
        <v>4.3914153107086751</v>
      </c>
      <c r="BB341">
        <f t="shared" si="305"/>
        <v>12.852090234321071</v>
      </c>
      <c r="BC341">
        <f t="shared" si="306"/>
        <v>-0.32226038395395529</v>
      </c>
      <c r="BD341">
        <f t="shared" si="290"/>
        <v>-198.46415992592546</v>
      </c>
      <c r="BF341">
        <f t="shared" si="291"/>
        <v>-28.621849995608244</v>
      </c>
      <c r="BG341">
        <f t="shared" si="292"/>
        <v>-193.43510962194381</v>
      </c>
      <c r="BH341">
        <f t="shared" si="307"/>
        <v>-13.435109621943809</v>
      </c>
      <c r="BI341">
        <f t="shared" si="308"/>
        <v>-13.435109621943809</v>
      </c>
      <c r="BJ341">
        <f t="shared" si="293"/>
        <v>0</v>
      </c>
      <c r="BK341">
        <f t="shared" si="309"/>
        <v>0</v>
      </c>
      <c r="BM341">
        <f t="shared" si="310"/>
        <v>-41.473940229929312</v>
      </c>
      <c r="BN341">
        <f t="shared" si="294"/>
        <v>-174.97094969601838</v>
      </c>
      <c r="BQ341" s="56">
        <f t="shared" si="311"/>
        <v>29.754051034606206</v>
      </c>
      <c r="BR341" s="59"/>
      <c r="BS341" s="59"/>
      <c r="BT341" s="59">
        <v>204173.79399999999</v>
      </c>
      <c r="BU341" s="59">
        <v>12.903600000000001</v>
      </c>
      <c r="BV341" s="59">
        <v>-148.923</v>
      </c>
      <c r="BY341" s="59"/>
      <c r="BZ341" s="59"/>
      <c r="CA341" s="59"/>
      <c r="CC341" s="59"/>
    </row>
    <row r="342" spans="1:81" x14ac:dyDescent="0.2">
      <c r="A342">
        <f t="shared" si="263"/>
        <v>640000</v>
      </c>
      <c r="B342">
        <f t="shared" si="295"/>
        <v>640</v>
      </c>
      <c r="C342">
        <f t="shared" si="264"/>
        <v>1.0032288591969014</v>
      </c>
      <c r="D342">
        <f t="shared" si="265"/>
        <v>8.0252042024406792E-2</v>
      </c>
      <c r="F342">
        <f t="shared" si="266"/>
        <v>5.5209950207271317E-4</v>
      </c>
      <c r="G342">
        <f t="shared" si="267"/>
        <v>8.0820490403772857E-3</v>
      </c>
      <c r="H342">
        <f t="shared" si="268"/>
        <v>-3.1335106009596227</v>
      </c>
      <c r="J342">
        <f t="shared" si="269"/>
        <v>15</v>
      </c>
      <c r="M342">
        <f t="shared" si="270"/>
        <v>2.835804066756271E-3</v>
      </c>
      <c r="N342">
        <f t="shared" si="271"/>
        <v>-1.5707963250000001</v>
      </c>
      <c r="O342">
        <f t="shared" si="272"/>
        <v>76.381930909184319</v>
      </c>
      <c r="P342">
        <f t="shared" si="273"/>
        <v>1.557703851159788</v>
      </c>
      <c r="Q342">
        <f t="shared" si="274"/>
        <v>49.859072205344987</v>
      </c>
      <c r="R342">
        <f t="shared" si="275"/>
        <v>1.5507384514279157</v>
      </c>
      <c r="S342">
        <f t="shared" si="276"/>
        <v>0.99663908346843844</v>
      </c>
      <c r="T342">
        <f t="shared" si="277"/>
        <v>-8.2009765849384839E-2</v>
      </c>
      <c r="U342">
        <f t="shared" si="278"/>
        <v>0.60711021497940887</v>
      </c>
      <c r="V342">
        <f t="shared" si="279"/>
        <v>-0.91837750920404437</v>
      </c>
      <c r="X342">
        <f t="shared" si="296"/>
        <v>-25.305497354242775</v>
      </c>
      <c r="Y342">
        <f t="shared" si="280"/>
        <v>-144.15617319201755</v>
      </c>
      <c r="Z342">
        <f t="shared" si="297"/>
        <v>35.843826807982452</v>
      </c>
      <c r="AC342">
        <v>1</v>
      </c>
      <c r="AD342">
        <f t="shared" si="281"/>
        <v>76.375384577855996</v>
      </c>
      <c r="AE342">
        <f t="shared" si="282"/>
        <v>-2.0884407788145501E-2</v>
      </c>
      <c r="AF342">
        <f t="shared" si="283"/>
        <v>1.5956274733056004E-2</v>
      </c>
      <c r="AG342">
        <f t="shared" si="298"/>
        <v>1734.0033360576763</v>
      </c>
      <c r="AH342">
        <f t="shared" si="299"/>
        <v>-2332.2256227601265</v>
      </c>
      <c r="AJ342">
        <f t="shared" si="284"/>
        <v>22100</v>
      </c>
      <c r="AK342">
        <f t="shared" si="285"/>
        <v>1816.4899817326082</v>
      </c>
      <c r="AL342">
        <v>1</v>
      </c>
      <c r="AM342">
        <f t="shared" si="286"/>
        <v>49.849042931412484</v>
      </c>
      <c r="AN342">
        <f t="shared" si="300"/>
        <v>45.315201695496633</v>
      </c>
      <c r="AO342">
        <f t="shared" si="301"/>
        <v>-442.42945303181932</v>
      </c>
      <c r="AQ342">
        <f t="shared" si="287"/>
        <v>6.1035118997119749E-3</v>
      </c>
      <c r="AR342">
        <f t="shared" si="288"/>
        <v>-7.8124952316313285</v>
      </c>
      <c r="AT342">
        <f t="shared" ref="AT342:AT405" si="313">-AR342*AH342+AG342*AQ342</f>
        <v>-18209.918046906125</v>
      </c>
      <c r="AU342">
        <f t="shared" ref="AU342:AU405" si="314">AQ342*AH342+AG342*AR342</f>
        <v>-13561.127561424741</v>
      </c>
      <c r="AV342">
        <f t="shared" si="302"/>
        <v>-2.5014850617929949</v>
      </c>
      <c r="AW342">
        <f t="shared" si="303"/>
        <v>-2927.7783148533517</v>
      </c>
      <c r="AX342">
        <f t="shared" si="304"/>
        <v>-4276.7613884097746</v>
      </c>
      <c r="AY342">
        <f t="shared" si="312"/>
        <v>-2.1710970433507923</v>
      </c>
      <c r="BA342">
        <f t="shared" si="289"/>
        <v>4.38069235227068</v>
      </c>
      <c r="BB342">
        <f t="shared" si="305"/>
        <v>12.830855091398785</v>
      </c>
      <c r="BC342">
        <f t="shared" si="306"/>
        <v>-0.33038801844220256</v>
      </c>
      <c r="BD342">
        <f t="shared" si="290"/>
        <v>-198.92983908005911</v>
      </c>
      <c r="BF342">
        <f t="shared" si="291"/>
        <v>-28.778972283948185</v>
      </c>
      <c r="BG342">
        <f t="shared" si="292"/>
        <v>-193.86866846913946</v>
      </c>
      <c r="BH342">
        <f t="shared" si="307"/>
        <v>-13.868668469139465</v>
      </c>
      <c r="BI342">
        <f t="shared" si="308"/>
        <v>-13.868668469139465</v>
      </c>
      <c r="BJ342">
        <f t="shared" si="293"/>
        <v>0</v>
      </c>
      <c r="BK342">
        <f t="shared" si="309"/>
        <v>0</v>
      </c>
      <c r="BM342">
        <f t="shared" si="310"/>
        <v>-41.609827375346967</v>
      </c>
      <c r="BN342">
        <f t="shared" si="294"/>
        <v>-174.93882938908035</v>
      </c>
      <c r="BQ342" s="56">
        <f t="shared" si="311"/>
        <v>29.732815891683924</v>
      </c>
      <c r="BR342" s="59"/>
      <c r="BS342" s="59"/>
      <c r="BT342" s="59">
        <v>208929.61300000001</v>
      </c>
      <c r="BU342" s="59">
        <v>13.1541</v>
      </c>
      <c r="BV342" s="59">
        <v>-149.92099999999999</v>
      </c>
      <c r="BY342" s="59"/>
      <c r="BZ342" s="59"/>
      <c r="CA342" s="59"/>
      <c r="CC342" s="59"/>
    </row>
    <row r="343" spans="1:81" x14ac:dyDescent="0.2">
      <c r="A343">
        <f t="shared" si="263"/>
        <v>645000</v>
      </c>
      <c r="B343">
        <f t="shared" si="295"/>
        <v>645</v>
      </c>
      <c r="C343">
        <f t="shared" si="264"/>
        <v>1.0032794244170102</v>
      </c>
      <c r="D343">
        <f t="shared" si="265"/>
        <v>8.0876291194520444E-2</v>
      </c>
      <c r="F343">
        <f t="shared" si="266"/>
        <v>5.435686191251096E-4</v>
      </c>
      <c r="G343">
        <f t="shared" si="267"/>
        <v>8.019331561396904E-3</v>
      </c>
      <c r="H343">
        <f t="shared" si="268"/>
        <v>-3.1335733184386032</v>
      </c>
      <c r="J343">
        <f t="shared" si="269"/>
        <v>15</v>
      </c>
      <c r="M343">
        <f t="shared" si="270"/>
        <v>2.8138210894945942E-3</v>
      </c>
      <c r="N343">
        <f t="shared" si="271"/>
        <v>-1.5707963250000001</v>
      </c>
      <c r="O343">
        <f t="shared" si="272"/>
        <v>76.97856285874316</v>
      </c>
      <c r="P343">
        <f t="shared" si="273"/>
        <v>1.5578053317558287</v>
      </c>
      <c r="Q343">
        <f t="shared" si="274"/>
        <v>50.248440122394619</v>
      </c>
      <c r="R343">
        <f t="shared" si="275"/>
        <v>1.550893897617071</v>
      </c>
      <c r="S343">
        <f t="shared" si="276"/>
        <v>0.99658663363502864</v>
      </c>
      <c r="T343">
        <f t="shared" si="277"/>
        <v>-8.2647564748523611E-2</v>
      </c>
      <c r="U343">
        <f t="shared" si="278"/>
        <v>0.60412582481087573</v>
      </c>
      <c r="V343">
        <f t="shared" si="279"/>
        <v>-0.92212790107819498</v>
      </c>
      <c r="X343">
        <f t="shared" si="296"/>
        <v>-25.416022722987176</v>
      </c>
      <c r="Y343">
        <f t="shared" si="280"/>
        <v>-144.36070378685864</v>
      </c>
      <c r="Z343">
        <f t="shared" si="297"/>
        <v>35.639296213141364</v>
      </c>
      <c r="AC343">
        <v>1</v>
      </c>
      <c r="AD343">
        <f t="shared" si="281"/>
        <v>76.972067269870507</v>
      </c>
      <c r="AE343">
        <f t="shared" si="282"/>
        <v>-2.1212001342927812E-2</v>
      </c>
      <c r="AF343">
        <f t="shared" si="283"/>
        <v>1.6080933129408E-2</v>
      </c>
      <c r="AG343">
        <f t="shared" si="298"/>
        <v>1716.9974512290576</v>
      </c>
      <c r="AH343">
        <f t="shared" si="299"/>
        <v>-2327.0386077808407</v>
      </c>
      <c r="AJ343">
        <f t="shared" si="284"/>
        <v>22100</v>
      </c>
      <c r="AK343">
        <f t="shared" si="285"/>
        <v>1830.6813097148943</v>
      </c>
      <c r="AL343">
        <v>1</v>
      </c>
      <c r="AM343">
        <f t="shared" si="286"/>
        <v>50.238488579314144</v>
      </c>
      <c r="AN343">
        <f t="shared" si="300"/>
        <v>45.178186457126685</v>
      </c>
      <c r="AO343">
        <f t="shared" si="301"/>
        <v>-439.00249464558965</v>
      </c>
      <c r="AQ343">
        <f t="shared" si="287"/>
        <v>6.0092506404358873E-3</v>
      </c>
      <c r="AR343">
        <f t="shared" si="288"/>
        <v>-7.7519333261622938</v>
      </c>
      <c r="AT343">
        <f t="shared" si="313"/>
        <v>-18028.730266889183</v>
      </c>
      <c r="AU343">
        <f t="shared" si="314"/>
        <v>-13324.033521362377</v>
      </c>
      <c r="AV343">
        <f t="shared" si="302"/>
        <v>-2.5051400292689876</v>
      </c>
      <c r="AW343">
        <f t="shared" si="303"/>
        <v>-2879.410435439001</v>
      </c>
      <c r="AX343">
        <f t="shared" si="304"/>
        <v>-4245.9575991834145</v>
      </c>
      <c r="AY343">
        <f t="shared" si="312"/>
        <v>-2.1667091579112956</v>
      </c>
      <c r="BA343">
        <f t="shared" si="289"/>
        <v>4.3697852842591329</v>
      </c>
      <c r="BB343">
        <f t="shared" si="305"/>
        <v>12.809201956102338</v>
      </c>
      <c r="BC343">
        <f t="shared" si="306"/>
        <v>-0.33843087135769201</v>
      </c>
      <c r="BD343">
        <f t="shared" si="290"/>
        <v>-199.3906606078877</v>
      </c>
      <c r="BF343">
        <f t="shared" si="291"/>
        <v>-28.935447220346859</v>
      </c>
      <c r="BG343">
        <f t="shared" si="292"/>
        <v>-194.29731660096652</v>
      </c>
      <c r="BH343">
        <f t="shared" si="307"/>
        <v>-14.297316600966525</v>
      </c>
      <c r="BI343">
        <f t="shared" si="308"/>
        <v>-14.297316600966525</v>
      </c>
      <c r="BJ343">
        <f t="shared" si="293"/>
        <v>0</v>
      </c>
      <c r="BK343">
        <f t="shared" si="309"/>
        <v>0</v>
      </c>
      <c r="BM343">
        <f t="shared" si="310"/>
        <v>-41.744649176449194</v>
      </c>
      <c r="BN343">
        <f t="shared" si="294"/>
        <v>-174.90665599307883</v>
      </c>
      <c r="BQ343" s="56">
        <f t="shared" si="311"/>
        <v>29.711162756387477</v>
      </c>
      <c r="BR343" s="59"/>
      <c r="BS343" s="59"/>
      <c r="BT343" s="59">
        <v>213796.209</v>
      </c>
      <c r="BU343" s="59">
        <v>13.368399999999999</v>
      </c>
      <c r="BV343" s="59">
        <v>-151.101</v>
      </c>
      <c r="BY343" s="59"/>
      <c r="BZ343" s="59"/>
      <c r="CA343" s="59"/>
      <c r="CC343" s="59"/>
    </row>
    <row r="344" spans="1:81" x14ac:dyDescent="0.2">
      <c r="A344">
        <f t="shared" si="263"/>
        <v>650000</v>
      </c>
      <c r="B344">
        <f t="shared" si="295"/>
        <v>650</v>
      </c>
      <c r="C344">
        <f t="shared" si="264"/>
        <v>1.0033303805625986</v>
      </c>
      <c r="D344">
        <f t="shared" si="265"/>
        <v>8.1500477200358676E-2</v>
      </c>
      <c r="F344">
        <f t="shared" si="266"/>
        <v>5.3523397725013929E-4</v>
      </c>
      <c r="G344">
        <f t="shared" si="267"/>
        <v>7.9575804717860518E-3</v>
      </c>
      <c r="H344">
        <f t="shared" si="268"/>
        <v>-3.1336350695282142</v>
      </c>
      <c r="J344">
        <f t="shared" si="269"/>
        <v>15</v>
      </c>
      <c r="M344">
        <f t="shared" si="270"/>
        <v>2.7921763118830974E-3</v>
      </c>
      <c r="N344">
        <f t="shared" si="271"/>
        <v>-1.5707963250000001</v>
      </c>
      <c r="O344">
        <f t="shared" si="272"/>
        <v>77.575195588857127</v>
      </c>
      <c r="P344">
        <f t="shared" si="273"/>
        <v>1.5579052513733838</v>
      </c>
      <c r="Q344">
        <f t="shared" si="274"/>
        <v>50.637809234951007</v>
      </c>
      <c r="R344">
        <f t="shared" si="275"/>
        <v>1.5510469532663043</v>
      </c>
      <c r="S344">
        <f t="shared" si="276"/>
        <v>0.99653378400852144</v>
      </c>
      <c r="T344">
        <f t="shared" si="277"/>
        <v>-8.328529626129369E-2</v>
      </c>
      <c r="U344">
        <f t="shared" si="278"/>
        <v>0.60116230016868821</v>
      </c>
      <c r="V344">
        <f t="shared" si="279"/>
        <v>-0.92584154984725786</v>
      </c>
      <c r="X344">
        <f t="shared" si="296"/>
        <v>-25.525934262572388</v>
      </c>
      <c r="Y344">
        <f t="shared" si="280"/>
        <v>-144.56329995023682</v>
      </c>
      <c r="Z344">
        <f t="shared" si="297"/>
        <v>35.436700049763175</v>
      </c>
      <c r="AC344">
        <v>1</v>
      </c>
      <c r="AD344">
        <f t="shared" si="281"/>
        <v>77.568749961885004</v>
      </c>
      <c r="AE344">
        <f t="shared" si="282"/>
        <v>-2.1542144263895203E-2</v>
      </c>
      <c r="AF344">
        <f t="shared" si="283"/>
        <v>1.6205591525760003E-2</v>
      </c>
      <c r="AG344">
        <f t="shared" si="298"/>
        <v>1700.1933894762033</v>
      </c>
      <c r="AH344">
        <f t="shared" si="299"/>
        <v>-2321.7795668123736</v>
      </c>
      <c r="AJ344">
        <f t="shared" si="284"/>
        <v>22100</v>
      </c>
      <c r="AK344">
        <f t="shared" si="285"/>
        <v>1844.8726376971804</v>
      </c>
      <c r="AL344">
        <v>1</v>
      </c>
      <c r="AM344">
        <f t="shared" si="286"/>
        <v>50.627934227215803</v>
      </c>
      <c r="AN344">
        <f t="shared" si="300"/>
        <v>45.044319287806502</v>
      </c>
      <c r="AO344">
        <f t="shared" si="301"/>
        <v>-435.62819651559522</v>
      </c>
      <c r="AQ344">
        <f t="shared" si="287"/>
        <v>5.9171562620377151E-3</v>
      </c>
      <c r="AR344">
        <f t="shared" si="288"/>
        <v>-7.6923031406490292</v>
      </c>
      <c r="AT344">
        <f t="shared" si="313"/>
        <v>-17849.77194372435</v>
      </c>
      <c r="AU344">
        <f t="shared" si="314"/>
        <v>-13092.141282081351</v>
      </c>
      <c r="AV344">
        <f t="shared" si="302"/>
        <v>-2.5087597214461583</v>
      </c>
      <c r="AW344">
        <f t="shared" si="303"/>
        <v>-2832.2042972721806</v>
      </c>
      <c r="AX344">
        <f t="shared" si="304"/>
        <v>-4215.6121127147135</v>
      </c>
      <c r="AY344">
        <f t="shared" si="312"/>
        <v>-2.1623698720610638</v>
      </c>
      <c r="BA344">
        <f t="shared" si="289"/>
        <v>4.3587030589183389</v>
      </c>
      <c r="BB344">
        <f t="shared" si="305"/>
        <v>12.787145665437977</v>
      </c>
      <c r="BC344">
        <f t="shared" si="306"/>
        <v>-0.34638984938509454</v>
      </c>
      <c r="BD344">
        <f t="shared" si="290"/>
        <v>-199.84667645861632</v>
      </c>
      <c r="BF344">
        <f t="shared" si="291"/>
        <v>-29.091276395571434</v>
      </c>
      <c r="BG344">
        <f t="shared" si="292"/>
        <v>-194.72110730470769</v>
      </c>
      <c r="BH344">
        <f t="shared" si="307"/>
        <v>-14.721107304707687</v>
      </c>
      <c r="BI344">
        <f t="shared" si="308"/>
        <v>-14.721107304707687</v>
      </c>
      <c r="BJ344">
        <f t="shared" si="293"/>
        <v>0</v>
      </c>
      <c r="BK344">
        <f t="shared" si="309"/>
        <v>0</v>
      </c>
      <c r="BM344">
        <f t="shared" si="310"/>
        <v>-41.878422061009417</v>
      </c>
      <c r="BN344">
        <f t="shared" si="294"/>
        <v>-174.8744308460914</v>
      </c>
      <c r="BQ344" s="56">
        <f t="shared" si="311"/>
        <v>29.689106465723114</v>
      </c>
      <c r="BR344" s="59"/>
      <c r="BS344" s="59"/>
      <c r="BT344" s="59">
        <v>218776.16200000001</v>
      </c>
      <c r="BU344" s="59">
        <v>13.6015</v>
      </c>
      <c r="BV344" s="59">
        <v>-153.08699999999999</v>
      </c>
      <c r="BY344" s="59"/>
      <c r="BZ344" s="59"/>
      <c r="CA344" s="59"/>
      <c r="CC344" s="59"/>
    </row>
    <row r="345" spans="1:81" x14ac:dyDescent="0.2">
      <c r="A345">
        <f t="shared" si="263"/>
        <v>655000</v>
      </c>
      <c r="B345">
        <f t="shared" si="295"/>
        <v>655</v>
      </c>
      <c r="C345">
        <f t="shared" si="264"/>
        <v>1.0033817275741077</v>
      </c>
      <c r="D345">
        <f t="shared" si="265"/>
        <v>8.2124599565206097E-2</v>
      </c>
      <c r="F345">
        <f t="shared" si="266"/>
        <v>5.2708960229276222E-4</v>
      </c>
      <c r="G345">
        <f t="shared" si="267"/>
        <v>7.8967735950220379E-3</v>
      </c>
      <c r="H345">
        <f t="shared" si="268"/>
        <v>-3.1336958764049783</v>
      </c>
      <c r="J345">
        <f t="shared" si="269"/>
        <v>15</v>
      </c>
      <c r="M345">
        <f t="shared" si="270"/>
        <v>2.7708619888916234E-3</v>
      </c>
      <c r="N345">
        <f t="shared" si="271"/>
        <v>-1.5707963250000001</v>
      </c>
      <c r="O345">
        <f t="shared" si="272"/>
        <v>78.17182908165384</v>
      </c>
      <c r="P345">
        <f t="shared" si="273"/>
        <v>1.5580036457521613</v>
      </c>
      <c r="Q345">
        <f t="shared" si="274"/>
        <v>51.027179515646758</v>
      </c>
      <c r="R345">
        <f t="shared" si="275"/>
        <v>1.5511976730924435</v>
      </c>
      <c r="S345">
        <f t="shared" si="276"/>
        <v>0.99648053478147092</v>
      </c>
      <c r="T345">
        <f t="shared" si="277"/>
        <v>-8.3922959879723952E-2</v>
      </c>
      <c r="U345">
        <f t="shared" si="278"/>
        <v>0.59821957892652877</v>
      </c>
      <c r="V345">
        <f t="shared" si="279"/>
        <v>-0.92951889190468084</v>
      </c>
      <c r="X345">
        <f t="shared" si="296"/>
        <v>-25.635238579662424</v>
      </c>
      <c r="Y345">
        <f t="shared" si="280"/>
        <v>-144.76398277170753</v>
      </c>
      <c r="Z345">
        <f t="shared" si="297"/>
        <v>35.236017228292468</v>
      </c>
      <c r="AC345">
        <v>1</v>
      </c>
      <c r="AD345">
        <f t="shared" si="281"/>
        <v>78.165432653899501</v>
      </c>
      <c r="AE345">
        <f t="shared" si="282"/>
        <v>-2.1874836551047667E-2</v>
      </c>
      <c r="AF345">
        <f t="shared" si="283"/>
        <v>1.6330249922112003E-2</v>
      </c>
      <c r="AG345">
        <f t="shared" si="298"/>
        <v>1683.5890556745858</v>
      </c>
      <c r="AH345">
        <f t="shared" si="299"/>
        <v>-2316.4517133808754</v>
      </c>
      <c r="AJ345">
        <f t="shared" si="284"/>
        <v>22100</v>
      </c>
      <c r="AK345">
        <f t="shared" si="285"/>
        <v>1859.0639656794663</v>
      </c>
      <c r="AL345">
        <v>1</v>
      </c>
      <c r="AM345">
        <f t="shared" si="286"/>
        <v>51.017379875117463</v>
      </c>
      <c r="AN345">
        <f t="shared" si="300"/>
        <v>44.9135044928978</v>
      </c>
      <c r="AO345">
        <f t="shared" si="301"/>
        <v>-432.30535455749572</v>
      </c>
      <c r="AQ345">
        <f t="shared" si="287"/>
        <v>5.8271628534684143E-3</v>
      </c>
      <c r="AR345">
        <f t="shared" si="288"/>
        <v>-7.6335833380436231</v>
      </c>
      <c r="AT345">
        <f t="shared" si="313"/>
        <v>-17673.01665504112</v>
      </c>
      <c r="AU345">
        <f t="shared" si="314"/>
        <v>-12865.315704886181</v>
      </c>
      <c r="AV345">
        <f t="shared" si="302"/>
        <v>-2.5123445411119607</v>
      </c>
      <c r="AW345">
        <f t="shared" si="303"/>
        <v>-2786.1235076361459</v>
      </c>
      <c r="AX345">
        <f t="shared" si="304"/>
        <v>-4185.7140984902162</v>
      </c>
      <c r="AY345">
        <f t="shared" si="312"/>
        <v>-2.1580786814918129</v>
      </c>
      <c r="BA345">
        <f t="shared" si="289"/>
        <v>4.3474543603232583</v>
      </c>
      <c r="BB345">
        <f t="shared" si="305"/>
        <v>12.764700629302684</v>
      </c>
      <c r="BC345">
        <f t="shared" si="306"/>
        <v>-0.35426585962014778</v>
      </c>
      <c r="BD345">
        <f t="shared" si="290"/>
        <v>-200.29793860500234</v>
      </c>
      <c r="BF345">
        <f t="shared" si="291"/>
        <v>-29.24646144910627</v>
      </c>
      <c r="BG345">
        <f t="shared" si="292"/>
        <v>-195.1400938510553</v>
      </c>
      <c r="BH345">
        <f t="shared" si="307"/>
        <v>-15.140093851055298</v>
      </c>
      <c r="BI345">
        <f t="shared" si="308"/>
        <v>-15.140093851055298</v>
      </c>
      <c r="BJ345">
        <f t="shared" si="293"/>
        <v>0</v>
      </c>
      <c r="BK345">
        <f t="shared" si="309"/>
        <v>0</v>
      </c>
      <c r="BM345">
        <f t="shared" si="310"/>
        <v>-42.011162078408958</v>
      </c>
      <c r="BN345">
        <f t="shared" si="294"/>
        <v>-174.84215524605298</v>
      </c>
      <c r="BQ345" s="56">
        <f t="shared" si="311"/>
        <v>29.666661429587819</v>
      </c>
      <c r="BR345" s="59"/>
      <c r="BS345" s="59"/>
      <c r="BT345" s="59">
        <v>223872.114</v>
      </c>
      <c r="BU345" s="59">
        <v>13.8704</v>
      </c>
      <c r="BV345" s="59">
        <v>-154.70699999999999</v>
      </c>
      <c r="BY345" s="59"/>
      <c r="BZ345" s="59"/>
      <c r="CA345" s="59"/>
      <c r="CC345" s="59"/>
    </row>
    <row r="346" spans="1:81" x14ac:dyDescent="0.2">
      <c r="A346">
        <f t="shared" si="263"/>
        <v>660000</v>
      </c>
      <c r="B346">
        <f t="shared" si="295"/>
        <v>660</v>
      </c>
      <c r="C346">
        <f t="shared" si="264"/>
        <v>1.0034334653915342</v>
      </c>
      <c r="D346">
        <f t="shared" si="265"/>
        <v>8.2748657812642845E-2</v>
      </c>
      <c r="F346">
        <f t="shared" si="266"/>
        <v>5.1912974575478888E-4</v>
      </c>
      <c r="G346">
        <f t="shared" si="267"/>
        <v>7.8368894283024244E-3</v>
      </c>
      <c r="H346">
        <f t="shared" si="268"/>
        <v>-3.1337557605716979</v>
      </c>
      <c r="J346">
        <f t="shared" si="269"/>
        <v>15</v>
      </c>
      <c r="M346">
        <f t="shared" si="270"/>
        <v>2.7498706101878991E-3</v>
      </c>
      <c r="N346">
        <f t="shared" si="271"/>
        <v>-1.5707963250000001</v>
      </c>
      <c r="O346">
        <f t="shared" si="272"/>
        <v>78.76846331980245</v>
      </c>
      <c r="P346">
        <f t="shared" si="273"/>
        <v>1.5581005495491436</v>
      </c>
      <c r="Q346">
        <f t="shared" si="274"/>
        <v>51.41655093794342</v>
      </c>
      <c r="R346">
        <f t="shared" si="275"/>
        <v>1.5513461101552932</v>
      </c>
      <c r="S346">
        <f t="shared" si="276"/>
        <v>0.99642688614783204</v>
      </c>
      <c r="T346">
        <f t="shared" si="277"/>
        <v>-8.4560555096172274E-2</v>
      </c>
      <c r="U346">
        <f t="shared" si="278"/>
        <v>0.59529759410344496</v>
      </c>
      <c r="V346">
        <f t="shared" si="279"/>
        <v>-0.93316035908096406</v>
      </c>
      <c r="X346">
        <f t="shared" si="296"/>
        <v>-25.74394215853664</v>
      </c>
      <c r="Y346">
        <f t="shared" si="280"/>
        <v>-144.96277319776505</v>
      </c>
      <c r="Z346">
        <f t="shared" si="297"/>
        <v>35.037226802234954</v>
      </c>
      <c r="AC346">
        <v>1</v>
      </c>
      <c r="AD346">
        <f t="shared" si="281"/>
        <v>78.762115345914012</v>
      </c>
      <c r="AE346">
        <f t="shared" si="282"/>
        <v>-2.2210078204385208E-2</v>
      </c>
      <c r="AF346">
        <f t="shared" si="283"/>
        <v>1.6454908318464002E-2</v>
      </c>
      <c r="AG346">
        <f t="shared" si="298"/>
        <v>1667.182346629198</v>
      </c>
      <c r="AH346">
        <f t="shared" si="299"/>
        <v>-2311.0581696121362</v>
      </c>
      <c r="AJ346">
        <f t="shared" si="284"/>
        <v>22100</v>
      </c>
      <c r="AK346">
        <f t="shared" si="285"/>
        <v>1873.2552936617524</v>
      </c>
      <c r="AL346">
        <v>1</v>
      </c>
      <c r="AM346">
        <f t="shared" si="286"/>
        <v>51.40682552301913</v>
      </c>
      <c r="AN346">
        <f t="shared" si="300"/>
        <v>44.78564998601189</v>
      </c>
      <c r="AO346">
        <f t="shared" si="301"/>
        <v>-429.03280110416512</v>
      </c>
      <c r="AQ346">
        <f t="shared" si="287"/>
        <v>5.7392069908132511E-3</v>
      </c>
      <c r="AR346">
        <f t="shared" si="288"/>
        <v>-7.5757532278734914</v>
      </c>
      <c r="AT346">
        <f t="shared" si="313"/>
        <v>-17498.438083663808</v>
      </c>
      <c r="AU346">
        <f t="shared" si="314"/>
        <v>-12643.425685133063</v>
      </c>
      <c r="AV346">
        <f t="shared" si="302"/>
        <v>-2.5158948875089671</v>
      </c>
      <c r="AW346">
        <f t="shared" si="303"/>
        <v>-2741.1330692492179</v>
      </c>
      <c r="AX346">
        <f t="shared" si="304"/>
        <v>-4156.2530839632927</v>
      </c>
      <c r="AY346">
        <f t="shared" si="312"/>
        <v>-2.1538350786192355</v>
      </c>
      <c r="BA346">
        <f t="shared" si="289"/>
        <v>4.3360476094823479</v>
      </c>
      <c r="BB346">
        <f t="shared" si="305"/>
        <v>12.741880841556592</v>
      </c>
      <c r="BC346">
        <f t="shared" si="306"/>
        <v>-0.36205980888973155</v>
      </c>
      <c r="BD346">
        <f t="shared" si="290"/>
        <v>-200.74449900439882</v>
      </c>
      <c r="BF346">
        <f t="shared" si="291"/>
        <v>-29.401004069619766</v>
      </c>
      <c r="BG346">
        <f t="shared" si="292"/>
        <v>-195.55432945667908</v>
      </c>
      <c r="BH346">
        <f t="shared" si="307"/>
        <v>-15.554329456679085</v>
      </c>
      <c r="BI346">
        <f t="shared" si="308"/>
        <v>-15.554329456679085</v>
      </c>
      <c r="BJ346">
        <f t="shared" si="293"/>
        <v>0</v>
      </c>
      <c r="BK346">
        <f t="shared" si="309"/>
        <v>0</v>
      </c>
      <c r="BM346">
        <f t="shared" si="310"/>
        <v>-42.14288491117636</v>
      </c>
      <c r="BN346">
        <f t="shared" si="294"/>
        <v>-174.80983045228024</v>
      </c>
      <c r="BQ346" s="56">
        <f t="shared" si="311"/>
        <v>29.643841641841728</v>
      </c>
      <c r="BR346" s="59"/>
      <c r="BS346" s="59"/>
      <c r="BT346" s="59">
        <v>229086.76500000001</v>
      </c>
      <c r="BU346" s="59">
        <v>14.1297</v>
      </c>
      <c r="BV346" s="59">
        <v>-156.46</v>
      </c>
      <c r="BY346" s="59"/>
      <c r="BZ346" s="59"/>
      <c r="CA346" s="59"/>
      <c r="CC346" s="59"/>
    </row>
    <row r="347" spans="1:81" x14ac:dyDescent="0.2">
      <c r="A347">
        <f t="shared" si="263"/>
        <v>665000</v>
      </c>
      <c r="B347">
        <f t="shared" si="295"/>
        <v>665</v>
      </c>
      <c r="C347">
        <f t="shared" si="264"/>
        <v>1.0034855939544303</v>
      </c>
      <c r="D347">
        <f t="shared" si="265"/>
        <v>8.3372651466546738E-2</v>
      </c>
      <c r="F347">
        <f t="shared" si="266"/>
        <v>5.1134887464173882E-4</v>
      </c>
      <c r="G347">
        <f t="shared" si="267"/>
        <v>7.7779071171410578E-3</v>
      </c>
      <c r="H347">
        <f t="shared" si="268"/>
        <v>-3.1338147428828593</v>
      </c>
      <c r="J347">
        <f t="shared" si="269"/>
        <v>15</v>
      </c>
      <c r="M347">
        <f t="shared" si="270"/>
        <v>2.7291948913143061E-3</v>
      </c>
      <c r="N347">
        <f t="shared" si="271"/>
        <v>-1.5707963250000001</v>
      </c>
      <c r="O347">
        <f t="shared" si="272"/>
        <v>79.365098286493208</v>
      </c>
      <c r="P347">
        <f t="shared" si="273"/>
        <v>1.5581959963792773</v>
      </c>
      <c r="Q347">
        <f t="shared" si="274"/>
        <v>51.80592347610029</v>
      </c>
      <c r="R347">
        <f t="shared" si="275"/>
        <v>1.5514923159198806</v>
      </c>
      <c r="S347">
        <f t="shared" si="276"/>
        <v>0.99637283830295842</v>
      </c>
      <c r="T347">
        <f t="shared" si="277"/>
        <v>-8.5198081403327922E-2</v>
      </c>
      <c r="U347">
        <f t="shared" si="278"/>
        <v>0.59239627411299689</v>
      </c>
      <c r="V347">
        <f t="shared" si="279"/>
        <v>-0.93676637862823431</v>
      </c>
      <c r="X347">
        <f t="shared" si="296"/>
        <v>-25.8520513649256</v>
      </c>
      <c r="Y347">
        <f t="shared" si="280"/>
        <v>-145.15969202651689</v>
      </c>
      <c r="Z347">
        <f t="shared" si="297"/>
        <v>34.840307973483107</v>
      </c>
      <c r="AC347">
        <v>1</v>
      </c>
      <c r="AD347">
        <f t="shared" si="281"/>
        <v>79.358798037928509</v>
      </c>
      <c r="AE347">
        <f t="shared" si="282"/>
        <v>-2.2547869223907824E-2</v>
      </c>
      <c r="AF347">
        <f t="shared" si="283"/>
        <v>1.6579566714816002E-2</v>
      </c>
      <c r="AG347">
        <f t="shared" si="298"/>
        <v>1650.9711530044658</v>
      </c>
      <c r="AH347">
        <f t="shared" si="299"/>
        <v>-2305.6019682486158</v>
      </c>
      <c r="AJ347">
        <f t="shared" si="284"/>
        <v>22100</v>
      </c>
      <c r="AK347">
        <f t="shared" si="285"/>
        <v>1887.446621644038</v>
      </c>
      <c r="AL347">
        <v>1</v>
      </c>
      <c r="AM347">
        <f t="shared" si="286"/>
        <v>51.796271170920782</v>
      </c>
      <c r="AN347">
        <f t="shared" si="300"/>
        <v>44.660667126989772</v>
      </c>
      <c r="AO347">
        <f t="shared" si="301"/>
        <v>-425.80940353975171</v>
      </c>
      <c r="AQ347">
        <f t="shared" si="287"/>
        <v>5.6532276255143732E-3</v>
      </c>
      <c r="AR347">
        <f t="shared" si="288"/>
        <v>-7.5187927419341163</v>
      </c>
      <c r="AT347">
        <f t="shared" si="313"/>
        <v>-17326.010028925615</v>
      </c>
      <c r="AU347">
        <f t="shared" si="314"/>
        <v>-12426.34401509292</v>
      </c>
      <c r="AV347">
        <f t="shared" si="302"/>
        <v>-2.5194111562811869</v>
      </c>
      <c r="AW347">
        <f t="shared" si="303"/>
        <v>-2697.1993171896079</v>
      </c>
      <c r="AX347">
        <f t="shared" si="304"/>
        <v>-4127.2189394621664</v>
      </c>
      <c r="AY347">
        <f t="shared" si="312"/>
        <v>-2.1496385531714033</v>
      </c>
      <c r="BA347">
        <f t="shared" si="289"/>
        <v>4.3244909695274618</v>
      </c>
      <c r="BB347">
        <f t="shared" si="305"/>
        <v>12.718699890880384</v>
      </c>
      <c r="BC347">
        <f t="shared" si="306"/>
        <v>-0.36977260310978366</v>
      </c>
      <c r="BD347">
        <f t="shared" si="290"/>
        <v>-201.18640956196566</v>
      </c>
      <c r="BF347">
        <f t="shared" si="291"/>
        <v>-29.554905995209619</v>
      </c>
      <c r="BG347">
        <f t="shared" si="292"/>
        <v>-195.96386724889277</v>
      </c>
      <c r="BH347">
        <f t="shared" si="307"/>
        <v>-15.963867248892768</v>
      </c>
      <c r="BI347">
        <f t="shared" si="308"/>
        <v>-15.963867248892768</v>
      </c>
      <c r="BJ347">
        <f t="shared" si="293"/>
        <v>0</v>
      </c>
      <c r="BK347">
        <f t="shared" si="309"/>
        <v>0</v>
      </c>
      <c r="BM347">
        <f t="shared" si="310"/>
        <v>-42.273605886089996</v>
      </c>
      <c r="BN347">
        <f t="shared" si="294"/>
        <v>-174.77745768692711</v>
      </c>
      <c r="BQ347" s="56">
        <f t="shared" si="311"/>
        <v>29.620660691165522</v>
      </c>
      <c r="BR347" s="59"/>
      <c r="BS347" s="59"/>
      <c r="BT347" s="59">
        <v>234422.88200000001</v>
      </c>
      <c r="BU347" s="59">
        <v>14.451599999999999</v>
      </c>
      <c r="BV347" s="59">
        <v>-158.77500000000001</v>
      </c>
      <c r="BY347" s="59"/>
      <c r="BZ347" s="59"/>
      <c r="CA347" s="59"/>
      <c r="CC347" s="59"/>
    </row>
    <row r="348" spans="1:81" x14ac:dyDescent="0.2">
      <c r="A348">
        <f t="shared" si="263"/>
        <v>670000</v>
      </c>
      <c r="B348">
        <f t="shared" si="295"/>
        <v>670</v>
      </c>
      <c r="C348">
        <f t="shared" si="264"/>
        <v>1.0035381132019043</v>
      </c>
      <c r="D348">
        <f t="shared" si="265"/>
        <v>8.3996580051095351E-2</v>
      </c>
      <c r="F348">
        <f t="shared" si="266"/>
        <v>5.0374166183877913E-4</v>
      </c>
      <c r="G348">
        <f t="shared" si="267"/>
        <v>7.7198064311055714E-3</v>
      </c>
      <c r="H348">
        <f t="shared" si="268"/>
        <v>-3.1338728435688945</v>
      </c>
      <c r="J348">
        <f t="shared" si="269"/>
        <v>15</v>
      </c>
      <c r="M348">
        <f t="shared" si="270"/>
        <v>2.7088277652597215E-3</v>
      </c>
      <c r="N348">
        <f t="shared" si="271"/>
        <v>-1.5707963250000001</v>
      </c>
      <c r="O348">
        <f t="shared" si="272"/>
        <v>79.961733965418048</v>
      </c>
      <c r="P348">
        <f t="shared" si="273"/>
        <v>1.558290018854344</v>
      </c>
      <c r="Q348">
        <f t="shared" si="274"/>
        <v>52.195297105144711</v>
      </c>
      <c r="R348">
        <f t="shared" si="275"/>
        <v>1.5516363403159177</v>
      </c>
      <c r="S348">
        <f t="shared" si="276"/>
        <v>0.99631839144360024</v>
      </c>
      <c r="T348">
        <f t="shared" si="277"/>
        <v>-8.5835538294213823E-2</v>
      </c>
      <c r="U348">
        <f t="shared" si="278"/>
        <v>0.5895155430035206</v>
      </c>
      <c r="V348">
        <f t="shared" si="279"/>
        <v>-0.94033737320890221</v>
      </c>
      <c r="X348">
        <f t="shared" si="296"/>
        <v>-25.959572449675431</v>
      </c>
      <c r="Y348">
        <f t="shared" si="280"/>
        <v>-145.35475990278928</v>
      </c>
      <c r="Z348">
        <f t="shared" si="297"/>
        <v>34.645240097210717</v>
      </c>
      <c r="AC348">
        <v>1</v>
      </c>
      <c r="AD348">
        <f t="shared" si="281"/>
        <v>79.955480729943005</v>
      </c>
      <c r="AE348">
        <f t="shared" si="282"/>
        <v>-2.2888209609615521E-2</v>
      </c>
      <c r="AF348">
        <f t="shared" si="283"/>
        <v>1.6704225111168005E-2</v>
      </c>
      <c r="AG348">
        <f t="shared" si="298"/>
        <v>1634.9533611506167</v>
      </c>
      <c r="AH348">
        <f t="shared" si="299"/>
        <v>-2300.0860546517283</v>
      </c>
      <c r="AJ348">
        <f t="shared" si="284"/>
        <v>22100</v>
      </c>
      <c r="AK348">
        <f t="shared" si="285"/>
        <v>1901.6379496263241</v>
      </c>
      <c r="AL348">
        <v>1</v>
      </c>
      <c r="AM348">
        <f t="shared" si="286"/>
        <v>52.185716818822449</v>
      </c>
      <c r="AN348">
        <f t="shared" si="300"/>
        <v>44.538470568305726</v>
      </c>
      <c r="AO348">
        <f t="shared" si="301"/>
        <v>-422.63406299473667</v>
      </c>
      <c r="AQ348">
        <f t="shared" si="287"/>
        <v>5.5691659784105714E-3</v>
      </c>
      <c r="AR348">
        <f t="shared" si="288"/>
        <v>-7.4626824110701655</v>
      </c>
      <c r="AT348">
        <f t="shared" si="313"/>
        <v>-17155.706417362017</v>
      </c>
      <c r="AU348">
        <f t="shared" si="314"/>
        <v>-12213.947252181739</v>
      </c>
      <c r="AV348">
        <f t="shared" si="302"/>
        <v>-2.5228937394261717</v>
      </c>
      <c r="AW348">
        <f t="shared" si="303"/>
        <v>-2654.2898591002622</v>
      </c>
      <c r="AX348">
        <f t="shared" si="304"/>
        <v>-4098.6018638586602</v>
      </c>
      <c r="AY348">
        <f t="shared" si="312"/>
        <v>-2.1454885927464726</v>
      </c>
      <c r="BA348">
        <f t="shared" si="289"/>
        <v>4.3127923509735364</v>
      </c>
      <c r="BB348">
        <f t="shared" si="305"/>
        <v>12.695170971417483</v>
      </c>
      <c r="BC348">
        <f t="shared" si="306"/>
        <v>-0.37740514667969904</v>
      </c>
      <c r="BD348">
        <f t="shared" si="290"/>
        <v>-201.62372209597123</v>
      </c>
      <c r="BF348">
        <f t="shared" si="291"/>
        <v>-29.70816901344612</v>
      </c>
      <c r="BG348">
        <f t="shared" si="292"/>
        <v>-196.36876023234569</v>
      </c>
      <c r="BH348">
        <f t="shared" si="307"/>
        <v>-16.368760232345693</v>
      </c>
      <c r="BI348">
        <f t="shared" si="308"/>
        <v>-16.368760232345693</v>
      </c>
      <c r="BJ348">
        <f t="shared" si="293"/>
        <v>0</v>
      </c>
      <c r="BK348">
        <f t="shared" si="309"/>
        <v>0</v>
      </c>
      <c r="BM348">
        <f t="shared" si="310"/>
        <v>-42.403339984863599</v>
      </c>
      <c r="BN348">
        <f t="shared" si="294"/>
        <v>-174.74503813637446</v>
      </c>
      <c r="BQ348" s="56">
        <f t="shared" si="311"/>
        <v>29.597131771702617</v>
      </c>
      <c r="BR348" s="59"/>
      <c r="BS348" s="59"/>
      <c r="BT348" s="59">
        <v>239883.29199999999</v>
      </c>
      <c r="BU348" s="59">
        <v>14.4628</v>
      </c>
      <c r="BV348" s="59">
        <v>-161.529</v>
      </c>
      <c r="BY348" s="59"/>
      <c r="BZ348" s="59"/>
      <c r="CA348" s="59"/>
      <c r="CC348" s="59"/>
    </row>
    <row r="349" spans="1:81" x14ac:dyDescent="0.2">
      <c r="A349">
        <f t="shared" si="263"/>
        <v>675000</v>
      </c>
      <c r="B349">
        <f t="shared" si="295"/>
        <v>675</v>
      </c>
      <c r="C349">
        <f t="shared" si="264"/>
        <v>1.0035910230726215</v>
      </c>
      <c r="D349">
        <f t="shared" si="265"/>
        <v>8.4620443090768091E-2</v>
      </c>
      <c r="F349">
        <f t="shared" si="266"/>
        <v>4.9630297698446089E-4</v>
      </c>
      <c r="G349">
        <f t="shared" si="267"/>
        <v>7.6625677406368881E-3</v>
      </c>
      <c r="H349">
        <f t="shared" si="268"/>
        <v>-3.1339300822593632</v>
      </c>
      <c r="J349">
        <f t="shared" si="269"/>
        <v>15</v>
      </c>
      <c r="M349">
        <f t="shared" si="270"/>
        <v>2.6887623744059458E-3</v>
      </c>
      <c r="N349">
        <f t="shared" si="271"/>
        <v>-1.5707963250000001</v>
      </c>
      <c r="O349">
        <f t="shared" si="272"/>
        <v>80.558370340751992</v>
      </c>
      <c r="P349">
        <f t="shared" si="273"/>
        <v>1.5583826486201016</v>
      </c>
      <c r="Q349">
        <f t="shared" si="274"/>
        <v>52.584671800843587</v>
      </c>
      <c r="R349">
        <f t="shared" si="275"/>
        <v>1.5517782317946223</v>
      </c>
      <c r="S349">
        <f t="shared" si="276"/>
        <v>0.99626354576790288</v>
      </c>
      <c r="T349">
        <f t="shared" si="277"/>
        <v>-8.6472925262188985E-2</v>
      </c>
      <c r="U349">
        <f t="shared" si="278"/>
        <v>0.58665532068974457</v>
      </c>
      <c r="V349">
        <f t="shared" si="279"/>
        <v>-0.94387376088817909</v>
      </c>
      <c r="X349">
        <f t="shared" si="296"/>
        <v>-26.066511552249743</v>
      </c>
      <c r="Y349">
        <f t="shared" si="280"/>
        <v>-145.5479973136438</v>
      </c>
      <c r="Z349">
        <f t="shared" si="297"/>
        <v>34.452002686356195</v>
      </c>
      <c r="AC349">
        <v>1</v>
      </c>
      <c r="AD349">
        <f t="shared" si="281"/>
        <v>80.552163421957502</v>
      </c>
      <c r="AE349">
        <f t="shared" si="282"/>
        <v>-2.3231099361508294E-2</v>
      </c>
      <c r="AF349">
        <f t="shared" si="283"/>
        <v>1.6828883507520001E-2</v>
      </c>
      <c r="AG349">
        <f t="shared" si="298"/>
        <v>1619.1268548305979</v>
      </c>
      <c r="AH349">
        <f t="shared" si="299"/>
        <v>-2294.5132887871787</v>
      </c>
      <c r="AJ349">
        <f t="shared" si="284"/>
        <v>22100</v>
      </c>
      <c r="AK349">
        <f t="shared" si="285"/>
        <v>1915.8292776086103</v>
      </c>
      <c r="AL349">
        <v>1</v>
      </c>
      <c r="AM349">
        <f t="shared" si="286"/>
        <v>52.575162466724102</v>
      </c>
      <c r="AN349">
        <f t="shared" si="300"/>
        <v>44.418978109397841</v>
      </c>
      <c r="AO349">
        <f t="shared" si="301"/>
        <v>-419.5057130988427</v>
      </c>
      <c r="AQ349">
        <f t="shared" si="287"/>
        <v>5.4869654392507876E-3</v>
      </c>
      <c r="AR349">
        <f t="shared" si="288"/>
        <v>-7.4074033429885633</v>
      </c>
      <c r="AT349">
        <f t="shared" si="313"/>
        <v>-16987.501312799614</v>
      </c>
      <c r="AU349">
        <f t="shared" si="314"/>
        <v>-12006.115592310207</v>
      </c>
      <c r="AV349">
        <f t="shared" si="302"/>
        <v>-2.5263430252526105</v>
      </c>
      <c r="AW349">
        <f t="shared" si="303"/>
        <v>-2612.3735184809034</v>
      </c>
      <c r="AX349">
        <f t="shared" si="304"/>
        <v>-4070.3923709536557</v>
      </c>
      <c r="AY349">
        <f t="shared" si="312"/>
        <v>-2.1413846833407235</v>
      </c>
      <c r="BA349">
        <f t="shared" si="289"/>
        <v>4.3009594170319447</v>
      </c>
      <c r="BB349">
        <f t="shared" si="305"/>
        <v>12.671306893201166</v>
      </c>
      <c r="BC349">
        <f t="shared" si="306"/>
        <v>-0.38495834191188694</v>
      </c>
      <c r="BD349">
        <f t="shared" si="290"/>
        <v>-202.05648830510845</v>
      </c>
      <c r="BF349">
        <f t="shared" si="291"/>
        <v>-29.860794961232209</v>
      </c>
      <c r="BG349">
        <f t="shared" si="292"/>
        <v>-196.76906125766709</v>
      </c>
      <c r="BH349">
        <f t="shared" si="307"/>
        <v>-16.76906125766709</v>
      </c>
      <c r="BI349">
        <f t="shared" si="308"/>
        <v>-16.76906125766709</v>
      </c>
      <c r="BJ349">
        <f t="shared" si="293"/>
        <v>0</v>
      </c>
      <c r="BK349">
        <f t="shared" si="309"/>
        <v>0</v>
      </c>
      <c r="BM349">
        <f t="shared" si="310"/>
        <v>-42.532101854433371</v>
      </c>
      <c r="BN349">
        <f t="shared" si="294"/>
        <v>-174.71257295255865</v>
      </c>
      <c r="BQ349" s="56">
        <f t="shared" si="311"/>
        <v>29.573267693486301</v>
      </c>
      <c r="BR349" s="59"/>
      <c r="BS349" s="59"/>
      <c r="BT349" s="59">
        <v>245470.89199999999</v>
      </c>
      <c r="BU349" s="59">
        <v>14.575900000000001</v>
      </c>
      <c r="BV349" s="59">
        <v>-163.59700000000001</v>
      </c>
      <c r="BY349" s="59"/>
      <c r="BZ349" s="59"/>
      <c r="CA349" s="59"/>
      <c r="CC349" s="59"/>
    </row>
    <row r="350" spans="1:81" x14ac:dyDescent="0.2">
      <c r="A350">
        <f t="shared" si="263"/>
        <v>680000</v>
      </c>
      <c r="B350">
        <f t="shared" si="295"/>
        <v>680</v>
      </c>
      <c r="C350">
        <f t="shared" si="264"/>
        <v>1.0036443235048034</v>
      </c>
      <c r="D350">
        <f t="shared" si="265"/>
        <v>8.524424011034841E-2</v>
      </c>
      <c r="F350">
        <f t="shared" si="266"/>
        <v>4.8902787781303814E-4</v>
      </c>
      <c r="G350">
        <f t="shared" si="267"/>
        <v>7.6061719948948133E-3</v>
      </c>
      <c r="H350">
        <f t="shared" si="268"/>
        <v>-3.1339864780051054</v>
      </c>
      <c r="J350">
        <f t="shared" si="269"/>
        <v>15</v>
      </c>
      <c r="M350">
        <f t="shared" si="270"/>
        <v>2.6689920628294316E-3</v>
      </c>
      <c r="N350">
        <f t="shared" si="271"/>
        <v>-1.5707963250000001</v>
      </c>
      <c r="O350">
        <f t="shared" si="272"/>
        <v>81.155007397135464</v>
      </c>
      <c r="P350">
        <f t="shared" si="273"/>
        <v>1.5584739163917898</v>
      </c>
      <c r="Q350">
        <f t="shared" si="274"/>
        <v>52.974047539676278</v>
      </c>
      <c r="R350">
        <f t="shared" si="275"/>
        <v>1.5519180373830364</v>
      </c>
      <c r="S350">
        <f t="shared" si="276"/>
        <v>0.9962083014754044</v>
      </c>
      <c r="T350">
        <f t="shared" si="277"/>
        <v>-8.7110241800950838E-2</v>
      </c>
      <c r="U350">
        <f t="shared" si="278"/>
        <v>0.58381552317599139</v>
      </c>
      <c r="V350">
        <f t="shared" si="279"/>
        <v>-0.94737595513024364</v>
      </c>
      <c r="X350">
        <f t="shared" si="296"/>
        <v>-26.172874704077888</v>
      </c>
      <c r="Y350">
        <f t="shared" si="280"/>
        <v>-145.7394245842797</v>
      </c>
      <c r="Z350">
        <f t="shared" si="297"/>
        <v>34.260575415720297</v>
      </c>
      <c r="AC350">
        <v>1</v>
      </c>
      <c r="AD350">
        <f t="shared" si="281"/>
        <v>81.148846113971999</v>
      </c>
      <c r="AE350">
        <f t="shared" si="282"/>
        <v>-2.3576538479586139E-2</v>
      </c>
      <c r="AF350">
        <f t="shared" si="283"/>
        <v>1.6953541903872001E-2</v>
      </c>
      <c r="AG350">
        <f t="shared" si="298"/>
        <v>1603.4895168515357</v>
      </c>
      <c r="AH350">
        <f t="shared" si="299"/>
        <v>-2288.886447191348</v>
      </c>
      <c r="AJ350">
        <f t="shared" si="284"/>
        <v>22100</v>
      </c>
      <c r="AK350">
        <f t="shared" si="285"/>
        <v>1930.0206055908961</v>
      </c>
      <c r="AL350">
        <v>1</v>
      </c>
      <c r="AM350">
        <f t="shared" si="286"/>
        <v>52.964608114625761</v>
      </c>
      <c r="AN350">
        <f t="shared" si="300"/>
        <v>44.302110558461031</v>
      </c>
      <c r="AO350">
        <f t="shared" si="301"/>
        <v>-416.42331878881646</v>
      </c>
      <c r="AQ350">
        <f t="shared" si="287"/>
        <v>5.4065714713605797E-3</v>
      </c>
      <c r="AR350">
        <f t="shared" si="288"/>
        <v>-7.3529372010503886</v>
      </c>
      <c r="AT350">
        <f t="shared" si="313"/>
        <v>-16821.368925856885</v>
      </c>
      <c r="AU350">
        <f t="shared" si="314"/>
        <v>-11802.73274811854</v>
      </c>
      <c r="AV350">
        <f t="shared" si="302"/>
        <v>-2.5297593983431144</v>
      </c>
      <c r="AW350">
        <f t="shared" si="303"/>
        <v>-2571.4202808869659</v>
      </c>
      <c r="AX350">
        <f t="shared" si="304"/>
        <v>-4042.5812765380724</v>
      </c>
      <c r="AY350">
        <f t="shared" si="312"/>
        <v>-2.1373263098479409</v>
      </c>
      <c r="BA350">
        <f t="shared" si="289"/>
        <v>4.2889995889625494</v>
      </c>
      <c r="BB350">
        <f t="shared" si="305"/>
        <v>12.64712009236689</v>
      </c>
      <c r="BC350">
        <f t="shared" si="306"/>
        <v>-0.39243308849517344</v>
      </c>
      <c r="BD350">
        <f t="shared" si="290"/>
        <v>-202.48475973774995</v>
      </c>
      <c r="BF350">
        <f t="shared" si="291"/>
        <v>-30.01278572449764</v>
      </c>
      <c r="BG350">
        <f t="shared" si="292"/>
        <v>-197.16482299199021</v>
      </c>
      <c r="BH350">
        <f t="shared" si="307"/>
        <v>-17.164822991990206</v>
      </c>
      <c r="BI350">
        <f t="shared" si="308"/>
        <v>-17.164822991990206</v>
      </c>
      <c r="BJ350">
        <f t="shared" si="293"/>
        <v>0</v>
      </c>
      <c r="BK350">
        <f t="shared" si="309"/>
        <v>0</v>
      </c>
      <c r="BM350">
        <f t="shared" si="310"/>
        <v>-42.65990581686453</v>
      </c>
      <c r="BN350">
        <f t="shared" si="294"/>
        <v>-174.68006325424025</v>
      </c>
      <c r="BQ350" s="56">
        <f t="shared" si="311"/>
        <v>29.549080892652029</v>
      </c>
      <c r="BR350" s="59"/>
      <c r="BS350" s="59"/>
      <c r="BT350" s="59">
        <v>251188.64300000001</v>
      </c>
      <c r="BU350" s="59">
        <v>14.7446</v>
      </c>
      <c r="BV350" s="59">
        <v>-165.89599999999999</v>
      </c>
      <c r="BY350" s="59"/>
      <c r="BZ350" s="59"/>
      <c r="CA350" s="59"/>
      <c r="CC350" s="59"/>
    </row>
    <row r="351" spans="1:81" x14ac:dyDescent="0.2">
      <c r="A351">
        <f t="shared" si="263"/>
        <v>685000</v>
      </c>
      <c r="B351">
        <f t="shared" si="295"/>
        <v>685</v>
      </c>
      <c r="C351">
        <f t="shared" si="264"/>
        <v>1.0036980144362289</v>
      </c>
      <c r="D351">
        <f t="shared" si="265"/>
        <v>8.5867970634925808E-2</v>
      </c>
      <c r="F351">
        <f t="shared" si="266"/>
        <v>4.8191160193807183E-4</v>
      </c>
      <c r="G351">
        <f t="shared" si="267"/>
        <v>7.5506007005771234E-3</v>
      </c>
      <c r="H351">
        <f t="shared" si="268"/>
        <v>-3.1340420492994232</v>
      </c>
      <c r="J351">
        <f t="shared" si="269"/>
        <v>15</v>
      </c>
      <c r="M351">
        <f t="shared" si="270"/>
        <v>2.6495103689401652E-3</v>
      </c>
      <c r="N351">
        <f t="shared" si="271"/>
        <v>-1.5707963250000001</v>
      </c>
      <c r="O351">
        <f t="shared" si="272"/>
        <v>81.751645119657212</v>
      </c>
      <c r="P351">
        <f t="shared" si="273"/>
        <v>1.55856385198808</v>
      </c>
      <c r="Q351">
        <f t="shared" si="274"/>
        <v>53.363424298808518</v>
      </c>
      <c r="R351">
        <f t="shared" si="275"/>
        <v>1.5520558027359643</v>
      </c>
      <c r="S351">
        <f t="shared" si="276"/>
        <v>0.99615265876703363</v>
      </c>
      <c r="T351">
        <f t="shared" si="277"/>
        <v>-8.7747487404537486E-2</v>
      </c>
      <c r="U351">
        <f t="shared" si="278"/>
        <v>0.58099606277119908</v>
      </c>
      <c r="V351">
        <f t="shared" si="279"/>
        <v>-0.95084436479785417</v>
      </c>
      <c r="X351">
        <f t="shared" si="296"/>
        <v>-26.278667831757424</v>
      </c>
      <c r="Y351">
        <f t="shared" si="280"/>
        <v>-145.92906187430503</v>
      </c>
      <c r="Z351">
        <f t="shared" si="297"/>
        <v>34.070938125694965</v>
      </c>
      <c r="AC351">
        <v>1</v>
      </c>
      <c r="AD351">
        <f t="shared" si="281"/>
        <v>81.745528805986496</v>
      </c>
      <c r="AE351">
        <f t="shared" si="282"/>
        <v>-2.3924526963849061E-2</v>
      </c>
      <c r="AF351">
        <f t="shared" si="283"/>
        <v>1.7078200300224004E-2</v>
      </c>
      <c r="AG351">
        <f t="shared" si="298"/>
        <v>1588.0392306046192</v>
      </c>
      <c r="AH351">
        <f t="shared" si="299"/>
        <v>-2283.2082249169362</v>
      </c>
      <c r="AJ351">
        <f t="shared" si="284"/>
        <v>22100</v>
      </c>
      <c r="AK351">
        <f t="shared" si="285"/>
        <v>1944.2119335731823</v>
      </c>
      <c r="AL351">
        <v>1</v>
      </c>
      <c r="AM351">
        <f t="shared" si="286"/>
        <v>53.354053762527421</v>
      </c>
      <c r="AN351">
        <f t="shared" si="300"/>
        <v>44.187791601269282</v>
      </c>
      <c r="AO351">
        <f t="shared" si="301"/>
        <v>-413.38587516829631</v>
      </c>
      <c r="AQ351">
        <f t="shared" si="287"/>
        <v>5.327931521161745E-3</v>
      </c>
      <c r="AR351">
        <f t="shared" si="288"/>
        <v>-7.2992661839915902</v>
      </c>
      <c r="AT351">
        <f t="shared" si="313"/>
        <v>-16657.283622874074</v>
      </c>
      <c r="AU351">
        <f t="shared" si="314"/>
        <v>-11603.685831875231</v>
      </c>
      <c r="AV351">
        <f t="shared" si="302"/>
        <v>-2.5331432395219013</v>
      </c>
      <c r="AW351">
        <f t="shared" si="303"/>
        <v>-2531.4012428669967</v>
      </c>
      <c r="AX351">
        <f t="shared" si="304"/>
        <v>-4015.1596860908708</v>
      </c>
      <c r="AY351">
        <f t="shared" si="312"/>
        <v>-2.1333129565311548</v>
      </c>
      <c r="BA351">
        <f t="shared" si="289"/>
        <v>4.2769200514506007</v>
      </c>
      <c r="BB351">
        <f t="shared" si="305"/>
        <v>12.622622641150434</v>
      </c>
      <c r="BC351">
        <f t="shared" si="306"/>
        <v>-0.39983028299074652</v>
      </c>
      <c r="BD351">
        <f t="shared" si="290"/>
        <v>-202.908587763068</v>
      </c>
      <c r="BF351">
        <f t="shared" si="291"/>
        <v>-30.16414323774336</v>
      </c>
      <c r="BG351">
        <f t="shared" si="292"/>
        <v>-197.55609789128576</v>
      </c>
      <c r="BH351">
        <f t="shared" si="307"/>
        <v>-17.556097891285759</v>
      </c>
      <c r="BI351">
        <f t="shared" si="308"/>
        <v>-17.556097891285759</v>
      </c>
      <c r="BJ351">
        <f t="shared" si="293"/>
        <v>0</v>
      </c>
      <c r="BK351">
        <f t="shared" si="309"/>
        <v>0</v>
      </c>
      <c r="BM351">
        <f t="shared" si="310"/>
        <v>-42.786765878893796</v>
      </c>
      <c r="BN351">
        <f t="shared" si="294"/>
        <v>-174.64751012821776</v>
      </c>
      <c r="BQ351" s="56">
        <f t="shared" si="311"/>
        <v>29.524583441435574</v>
      </c>
      <c r="BR351" s="59"/>
      <c r="BS351" s="59"/>
      <c r="BT351" s="59">
        <v>257039.57800000001</v>
      </c>
      <c r="BU351" s="59">
        <v>14.891</v>
      </c>
      <c r="BV351" s="59">
        <v>-168.07</v>
      </c>
      <c r="BY351" s="59"/>
      <c r="BZ351" s="59"/>
      <c r="CA351" s="59"/>
      <c r="CC351" s="59"/>
    </row>
    <row r="352" spans="1:81" x14ac:dyDescent="0.2">
      <c r="A352">
        <f t="shared" si="263"/>
        <v>690000</v>
      </c>
      <c r="B352">
        <f t="shared" si="295"/>
        <v>690</v>
      </c>
      <c r="C352">
        <f t="shared" si="264"/>
        <v>1.0037520958042339</v>
      </c>
      <c r="D352">
        <f t="shared" si="265"/>
        <v>8.6491634189898012E-2</v>
      </c>
      <c r="F352">
        <f t="shared" si="266"/>
        <v>4.7494955905179179E-4</v>
      </c>
      <c r="G352">
        <f t="shared" si="267"/>
        <v>7.4958359016625521E-3</v>
      </c>
      <c r="H352">
        <f t="shared" si="268"/>
        <v>-3.1340968140983376</v>
      </c>
      <c r="J352">
        <f t="shared" si="269"/>
        <v>15</v>
      </c>
      <c r="M352">
        <f t="shared" si="270"/>
        <v>2.6303110184405991E-3</v>
      </c>
      <c r="N352">
        <f t="shared" si="271"/>
        <v>-1.5707963250000001</v>
      </c>
      <c r="O352">
        <f t="shared" si="272"/>
        <v>82.34828349383811</v>
      </c>
      <c r="P352">
        <f t="shared" si="273"/>
        <v>1.5586524843635496</v>
      </c>
      <c r="Q352">
        <f t="shared" si="274"/>
        <v>53.752802056067658</v>
      </c>
      <c r="R352">
        <f t="shared" si="275"/>
        <v>1.5521915721856585</v>
      </c>
      <c r="S352">
        <f t="shared" si="276"/>
        <v>0.99609661784510806</v>
      </c>
      <c r="T352">
        <f t="shared" si="277"/>
        <v>-8.8384661567330158E-2</v>
      </c>
      <c r="U352">
        <f t="shared" si="278"/>
        <v>0.57819684829599116</v>
      </c>
      <c r="V352">
        <f t="shared" si="279"/>
        <v>-0.95427939415521135</v>
      </c>
      <c r="X352">
        <f t="shared" si="296"/>
        <v>-26.383896760118702</v>
      </c>
      <c r="Y352">
        <f t="shared" si="280"/>
        <v>-146.11692917435337</v>
      </c>
      <c r="Z352">
        <f t="shared" si="297"/>
        <v>33.883070825646627</v>
      </c>
      <c r="AC352">
        <v>1</v>
      </c>
      <c r="AD352">
        <f t="shared" si="281"/>
        <v>82.342211498001006</v>
      </c>
      <c r="AE352">
        <f t="shared" si="282"/>
        <v>-2.4275064814297052E-2</v>
      </c>
      <c r="AF352">
        <f t="shared" si="283"/>
        <v>1.7202858696576003E-2</v>
      </c>
      <c r="AG352">
        <f t="shared" si="298"/>
        <v>1572.7738815171688</v>
      </c>
      <c r="AH352">
        <f t="shared" si="299"/>
        <v>-2277.4812374562443</v>
      </c>
      <c r="AJ352">
        <f t="shared" si="284"/>
        <v>22100</v>
      </c>
      <c r="AK352">
        <f t="shared" si="285"/>
        <v>1958.4032615554684</v>
      </c>
      <c r="AL352">
        <v>1</v>
      </c>
      <c r="AM352">
        <f t="shared" si="286"/>
        <v>53.743499410429081</v>
      </c>
      <c r="AN352">
        <f t="shared" si="300"/>
        <v>44.075947676621198</v>
      </c>
      <c r="AO352">
        <f t="shared" si="301"/>
        <v>-410.39240641712598</v>
      </c>
      <c r="AQ352">
        <f t="shared" si="287"/>
        <v>5.2509949322647907E-3</v>
      </c>
      <c r="AR352">
        <f t="shared" si="288"/>
        <v>-7.2463730065254115</v>
      </c>
      <c r="AT352">
        <f t="shared" si="313"/>
        <v>-16495.219934289576</v>
      </c>
      <c r="AU352">
        <f t="shared" si="314"/>
        <v>-11408.865242830418</v>
      </c>
      <c r="AV352">
        <f t="shared" si="302"/>
        <v>-2.5364949258271308</v>
      </c>
      <c r="AW352">
        <f t="shared" si="303"/>
        <v>-2492.2885634808927</v>
      </c>
      <c r="AX352">
        <f t="shared" si="304"/>
        <v>-3988.1189830780136</v>
      </c>
      <c r="AY352">
        <f t="shared" si="312"/>
        <v>-2.1293441074677402</v>
      </c>
      <c r="BA352">
        <f t="shared" si="289"/>
        <v>4.2647277579956482</v>
      </c>
      <c r="BB352">
        <f t="shared" si="305"/>
        <v>12.597826257672697</v>
      </c>
      <c r="BC352">
        <f t="shared" si="306"/>
        <v>-0.4071508183593906</v>
      </c>
      <c r="BD352">
        <f t="shared" si="290"/>
        <v>-203.32802354394681</v>
      </c>
      <c r="BF352">
        <f t="shared" si="291"/>
        <v>-30.314869483451336</v>
      </c>
      <c r="BG352">
        <f t="shared" si="292"/>
        <v>-197.94293817443497</v>
      </c>
      <c r="BH352">
        <f t="shared" si="307"/>
        <v>-17.942938174434971</v>
      </c>
      <c r="BI352">
        <f t="shared" si="308"/>
        <v>-17.942938174434971</v>
      </c>
      <c r="BJ352">
        <f t="shared" si="293"/>
        <v>0</v>
      </c>
      <c r="BK352">
        <f t="shared" si="309"/>
        <v>0</v>
      </c>
      <c r="BM352">
        <f t="shared" si="310"/>
        <v>-42.91269574112404</v>
      </c>
      <c r="BN352">
        <f t="shared" si="294"/>
        <v>-174.61491463048819</v>
      </c>
      <c r="BQ352" s="56">
        <f t="shared" si="311"/>
        <v>29.499787057957832</v>
      </c>
      <c r="BR352" s="59"/>
      <c r="BS352" s="59"/>
      <c r="BT352" s="59">
        <v>263026.799</v>
      </c>
      <c r="BU352" s="59">
        <v>14.9779</v>
      </c>
      <c r="BV352" s="59">
        <v>-170.82400000000001</v>
      </c>
      <c r="BY352" s="59"/>
      <c r="BZ352" s="59"/>
      <c r="CA352" s="59"/>
      <c r="CC352" s="59"/>
    </row>
    <row r="353" spans="1:81" x14ac:dyDescent="0.2">
      <c r="A353">
        <f t="shared" si="263"/>
        <v>695000</v>
      </c>
      <c r="B353">
        <f t="shared" si="295"/>
        <v>695</v>
      </c>
      <c r="C353">
        <f t="shared" si="264"/>
        <v>1.0038065675457131</v>
      </c>
      <c r="D353">
        <f t="shared" si="265"/>
        <v>8.7115230300973026E-2</v>
      </c>
      <c r="F353">
        <f t="shared" si="266"/>
        <v>4.6813732351634591E-4</v>
      </c>
      <c r="G353">
        <f t="shared" si="267"/>
        <v>7.4418601600310073E-3</v>
      </c>
      <c r="H353">
        <f t="shared" si="268"/>
        <v>-3.1341507898399694</v>
      </c>
      <c r="J353">
        <f t="shared" si="269"/>
        <v>15</v>
      </c>
      <c r="M353">
        <f t="shared" si="270"/>
        <v>2.6113879175885084E-3</v>
      </c>
      <c r="N353">
        <f t="shared" si="271"/>
        <v>-1.5707963250000001</v>
      </c>
      <c r="O353">
        <f t="shared" si="272"/>
        <v>82.944922505615679</v>
      </c>
      <c r="P353">
        <f t="shared" si="273"/>
        <v>1.5587398416397562</v>
      </c>
      <c r="Q353">
        <f t="shared" si="274"/>
        <v>54.142180789918832</v>
      </c>
      <c r="R353">
        <f t="shared" si="275"/>
        <v>1.5523253887893584</v>
      </c>
      <c r="S353">
        <f t="shared" si="276"/>
        <v>0.99604017891333252</v>
      </c>
      <c r="T353">
        <f t="shared" si="277"/>
        <v>-8.9021763784055449E-2</v>
      </c>
      <c r="U353">
        <f t="shared" si="278"/>
        <v>0.57541778528202248</v>
      </c>
      <c r="V353">
        <f t="shared" si="279"/>
        <v>-0.95768144287388579</v>
      </c>
      <c r="X353">
        <f t="shared" si="296"/>
        <v>-26.488567215158479</v>
      </c>
      <c r="Y353">
        <f t="shared" si="280"/>
        <v>-146.30304630302979</v>
      </c>
      <c r="Z353">
        <f t="shared" si="297"/>
        <v>33.696953696970212</v>
      </c>
      <c r="AC353">
        <v>1</v>
      </c>
      <c r="AD353">
        <f t="shared" si="281"/>
        <v>82.938894190015503</v>
      </c>
      <c r="AE353">
        <f t="shared" si="282"/>
        <v>-2.4628152030930127E-2</v>
      </c>
      <c r="AF353">
        <f t="shared" si="283"/>
        <v>1.7327517092928003E-2</v>
      </c>
      <c r="AG353">
        <f t="shared" si="298"/>
        <v>1557.6913584205467</v>
      </c>
      <c r="AH353">
        <f t="shared" si="299"/>
        <v>-2271.7080226406356</v>
      </c>
      <c r="AJ353">
        <f t="shared" si="284"/>
        <v>22100</v>
      </c>
      <c r="AK353">
        <f t="shared" si="285"/>
        <v>1972.5945895377542</v>
      </c>
      <c r="AL353">
        <v>1</v>
      </c>
      <c r="AM353">
        <f t="shared" si="286"/>
        <v>54.132945058330748</v>
      </c>
      <c r="AN353">
        <f t="shared" si="300"/>
        <v>43.966507858029672</v>
      </c>
      <c r="AO353">
        <f t="shared" si="301"/>
        <v>-407.44196474763339</v>
      </c>
      <c r="AQ353">
        <f t="shared" si="287"/>
        <v>5.1757128638720232E-3</v>
      </c>
      <c r="AR353">
        <f t="shared" si="288"/>
        <v>-7.1942408807821119</v>
      </c>
      <c r="AT353">
        <f t="shared" si="313"/>
        <v>-16335.152562480236</v>
      </c>
      <c r="AU353">
        <f t="shared" si="314"/>
        <v>-11218.16455882586</v>
      </c>
      <c r="AV353">
        <f t="shared" si="302"/>
        <v>-2.5398148304876087</v>
      </c>
      <c r="AW353">
        <f t="shared" si="303"/>
        <v>-2454.0554182515239</v>
      </c>
      <c r="AX353">
        <f t="shared" si="304"/>
        <v>-3961.4508178186124</v>
      </c>
      <c r="AY353">
        <f t="shared" si="312"/>
        <v>-2.1254192469688782</v>
      </c>
      <c r="BA353">
        <f t="shared" si="289"/>
        <v>4.2524294363006252</v>
      </c>
      <c r="BB353">
        <f t="shared" si="305"/>
        <v>12.572742315512141</v>
      </c>
      <c r="BC353">
        <f t="shared" si="306"/>
        <v>-0.41439558351873051</v>
      </c>
      <c r="BD353">
        <f t="shared" si="290"/>
        <v>-203.74311801161474</v>
      </c>
      <c r="BF353">
        <f t="shared" si="291"/>
        <v>-30.464966491373854</v>
      </c>
      <c r="BG353">
        <f t="shared" si="292"/>
        <v>-198.32539579897181</v>
      </c>
      <c r="BH353">
        <f t="shared" si="307"/>
        <v>-18.325395798971812</v>
      </c>
      <c r="BI353">
        <f t="shared" si="308"/>
        <v>-18.325395798971812</v>
      </c>
      <c r="BJ353">
        <f t="shared" si="293"/>
        <v>0</v>
      </c>
      <c r="BK353">
        <f t="shared" si="309"/>
        <v>0</v>
      </c>
      <c r="BM353">
        <f t="shared" si="310"/>
        <v>-43.037708806885995</v>
      </c>
      <c r="BN353">
        <f t="shared" si="294"/>
        <v>-174.58227778735707</v>
      </c>
      <c r="BQ353" s="56">
        <f t="shared" si="311"/>
        <v>29.474703115797279</v>
      </c>
      <c r="BR353" s="59"/>
      <c r="BS353" s="59"/>
      <c r="BT353" s="59">
        <v>269153.48</v>
      </c>
      <c r="BU353" s="59">
        <v>15.0854</v>
      </c>
      <c r="BV353" s="59">
        <v>-173.35300000000001</v>
      </c>
      <c r="BY353" s="59"/>
      <c r="BZ353" s="59"/>
      <c r="CA353" s="59"/>
      <c r="CC353" s="59"/>
    </row>
    <row r="354" spans="1:81" x14ac:dyDescent="0.2">
      <c r="A354">
        <f t="shared" si="263"/>
        <v>700000</v>
      </c>
      <c r="B354">
        <f t="shared" si="295"/>
        <v>700</v>
      </c>
      <c r="C354">
        <f t="shared" si="264"/>
        <v>1.0038614295971187</v>
      </c>
      <c r="D354">
        <f t="shared" si="265"/>
        <v>8.7738758494171246E-2</v>
      </c>
      <c r="F354">
        <f t="shared" si="266"/>
        <v>4.614706273245924E-4</v>
      </c>
      <c r="G354">
        <f t="shared" si="267"/>
        <v>7.3886565369169566E-3</v>
      </c>
      <c r="H354">
        <f t="shared" si="268"/>
        <v>-3.1342039934630832</v>
      </c>
      <c r="J354">
        <f t="shared" si="269"/>
        <v>15</v>
      </c>
      <c r="M354">
        <f t="shared" si="270"/>
        <v>2.5927351467485908E-3</v>
      </c>
      <c r="N354">
        <f t="shared" si="271"/>
        <v>-1.5707963250000001</v>
      </c>
      <c r="O354">
        <f t="shared" si="272"/>
        <v>83.541562141329067</v>
      </c>
      <c r="P354">
        <f t="shared" si="273"/>
        <v>1.558825951134978</v>
      </c>
      <c r="Q354">
        <f t="shared" si="274"/>
        <v>54.531560479442163</v>
      </c>
      <c r="R354">
        <f t="shared" si="275"/>
        <v>1.5524572943747963</v>
      </c>
      <c r="S354">
        <f t="shared" si="276"/>
        <v>0.99598334217679607</v>
      </c>
      <c r="T354">
        <f t="shared" si="277"/>
        <v>-8.9658793549787688E-2</v>
      </c>
      <c r="U354">
        <f t="shared" si="278"/>
        <v>0.57265877616382588</v>
      </c>
      <c r="V354">
        <f t="shared" si="279"/>
        <v>-0.96105090604163002</v>
      </c>
      <c r="X354">
        <f t="shared" si="296"/>
        <v>-26.592684826849641</v>
      </c>
      <c r="Y354">
        <f t="shared" si="280"/>
        <v>-146.48743290416724</v>
      </c>
      <c r="Z354">
        <f t="shared" si="297"/>
        <v>33.512567095832765</v>
      </c>
      <c r="AC354">
        <v>1</v>
      </c>
      <c r="AD354">
        <f t="shared" si="281"/>
        <v>83.53557688203</v>
      </c>
      <c r="AE354">
        <f t="shared" si="282"/>
        <v>-2.4983788613748278E-2</v>
      </c>
      <c r="AF354">
        <f t="shared" si="283"/>
        <v>1.7452175489280002E-2</v>
      </c>
      <c r="AG354">
        <f t="shared" si="298"/>
        <v>1542.7895548374624</v>
      </c>
      <c r="AH354">
        <f t="shared" si="299"/>
        <v>-2265.8910425149184</v>
      </c>
      <c r="AJ354">
        <f t="shared" si="284"/>
        <v>22100</v>
      </c>
      <c r="AK354">
        <f t="shared" si="285"/>
        <v>1986.7859175200404</v>
      </c>
      <c r="AL354">
        <v>1</v>
      </c>
      <c r="AM354">
        <f t="shared" si="286"/>
        <v>54.5223907062324</v>
      </c>
      <c r="AN354">
        <f t="shared" si="300"/>
        <v>43.85940374130044</v>
      </c>
      <c r="AO354">
        <f t="shared" si="301"/>
        <v>-404.53362940553308</v>
      </c>
      <c r="AQ354">
        <f t="shared" si="287"/>
        <v>5.1020382132458096E-3</v>
      </c>
      <c r="AR354">
        <f t="shared" si="288"/>
        <v>-7.1428534985441337</v>
      </c>
      <c r="AT354">
        <f t="shared" si="313"/>
        <v>-16177.056389083722</v>
      </c>
      <c r="AU354">
        <f t="shared" si="314"/>
        <v>-11031.480431974078</v>
      </c>
      <c r="AV354">
        <f t="shared" si="302"/>
        <v>-2.5431033229036366</v>
      </c>
      <c r="AW354">
        <f t="shared" si="303"/>
        <v>-2416.6759554116747</v>
      </c>
      <c r="AX354">
        <f t="shared" si="304"/>
        <v>-3935.1470968866483</v>
      </c>
      <c r="AY354">
        <f t="shared" si="312"/>
        <v>-2.1215378599743473</v>
      </c>
      <c r="BA354">
        <f t="shared" si="289"/>
        <v>4.240031593650281</v>
      </c>
      <c r="BB354">
        <f t="shared" si="305"/>
        <v>12.547381853066259</v>
      </c>
      <c r="BC354">
        <f t="shared" si="306"/>
        <v>-0.42156546292928931</v>
      </c>
      <c r="BD354">
        <f t="shared" si="290"/>
        <v>-204.15392184192692</v>
      </c>
      <c r="BF354">
        <f t="shared" si="291"/>
        <v>-30.614436337715333</v>
      </c>
      <c r="BG354">
        <f t="shared" si="292"/>
        <v>-198.70352243842819</v>
      </c>
      <c r="BH354">
        <f t="shared" si="307"/>
        <v>-18.703522438428195</v>
      </c>
      <c r="BI354">
        <f t="shared" si="308"/>
        <v>-18.703522438428195</v>
      </c>
      <c r="BJ354">
        <f t="shared" si="293"/>
        <v>0</v>
      </c>
      <c r="BK354">
        <f t="shared" si="309"/>
        <v>0</v>
      </c>
      <c r="BM354">
        <f t="shared" si="310"/>
        <v>-43.161818190781595</v>
      </c>
      <c r="BN354">
        <f t="shared" si="294"/>
        <v>-174.54960059650131</v>
      </c>
      <c r="BQ354" s="56">
        <f t="shared" si="311"/>
        <v>29.449342653351394</v>
      </c>
      <c r="BR354" s="59"/>
      <c r="BS354" s="59"/>
      <c r="BT354" s="59">
        <v>275422.87</v>
      </c>
      <c r="BU354" s="59">
        <v>15.1145</v>
      </c>
      <c r="BV354" s="59">
        <v>-175.80699999999999</v>
      </c>
      <c r="BY354" s="59"/>
      <c r="BZ354" s="59"/>
      <c r="CA354" s="59"/>
      <c r="CC354" s="59"/>
    </row>
    <row r="355" spans="1:81" x14ac:dyDescent="0.2">
      <c r="A355">
        <f t="shared" si="263"/>
        <v>705000</v>
      </c>
      <c r="B355">
        <f t="shared" si="295"/>
        <v>705</v>
      </c>
      <c r="C355">
        <f t="shared" si="264"/>
        <v>1.0039166818944616</v>
      </c>
      <c r="D355">
        <f t="shared" si="265"/>
        <v>8.8362218295827563E-2</v>
      </c>
      <c r="F355">
        <f t="shared" si="266"/>
        <v>4.5494535340951411E-4</v>
      </c>
      <c r="G355">
        <f t="shared" si="267"/>
        <v>7.336208575154525E-3</v>
      </c>
      <c r="H355">
        <f t="shared" si="268"/>
        <v>-3.1342564414248457</v>
      </c>
      <c r="J355">
        <f t="shared" si="269"/>
        <v>15</v>
      </c>
      <c r="M355">
        <f t="shared" si="270"/>
        <v>2.5743469542184585E-3</v>
      </c>
      <c r="N355">
        <f t="shared" si="271"/>
        <v>-1.5707963250000001</v>
      </c>
      <c r="O355">
        <f t="shared" si="272"/>
        <v>84.138202387704993</v>
      </c>
      <c r="P355">
        <f t="shared" si="273"/>
        <v>1.5589108393926925</v>
      </c>
      <c r="Q355">
        <f t="shared" si="274"/>
        <v>54.920941104311019</v>
      </c>
      <c r="R355">
        <f t="shared" si="275"/>
        <v>1.5525873295837676</v>
      </c>
      <c r="S355">
        <f t="shared" si="276"/>
        <v>0.99592610784197089</v>
      </c>
      <c r="T355">
        <f t="shared" si="277"/>
        <v>-9.0295750359951216E-2</v>
      </c>
      <c r="U355">
        <f t="shared" si="278"/>
        <v>0.56991972046338046</v>
      </c>
      <c r="V355">
        <f t="shared" si="279"/>
        <v>-0.96438817417390377</v>
      </c>
      <c r="X355">
        <f t="shared" si="296"/>
        <v>-26.696255131833183</v>
      </c>
      <c r="Y355">
        <f t="shared" si="280"/>
        <v>-146.6701084443759</v>
      </c>
      <c r="Z355">
        <f t="shared" si="297"/>
        <v>33.329891555624101</v>
      </c>
      <c r="AC355">
        <v>1</v>
      </c>
      <c r="AD355">
        <f t="shared" si="281"/>
        <v>84.132259574044511</v>
      </c>
      <c r="AE355">
        <f t="shared" si="282"/>
        <v>-2.5341974562751508E-2</v>
      </c>
      <c r="AF355">
        <f t="shared" si="283"/>
        <v>1.7576833885632005E-2</v>
      </c>
      <c r="AG355">
        <f t="shared" si="298"/>
        <v>1528.0663701920928</v>
      </c>
      <c r="AH355">
        <f t="shared" si="299"/>
        <v>-2260.0326851854807</v>
      </c>
      <c r="AJ355">
        <f t="shared" si="284"/>
        <v>22100</v>
      </c>
      <c r="AK355">
        <f t="shared" si="285"/>
        <v>2000.977245502326</v>
      </c>
      <c r="AL355">
        <v>1</v>
      </c>
      <c r="AM355">
        <f t="shared" si="286"/>
        <v>54.911836354134067</v>
      </c>
      <c r="AN355">
        <f t="shared" si="300"/>
        <v>43.754569337666716</v>
      </c>
      <c r="AO355">
        <f t="shared" si="301"/>
        <v>-401.66650571324078</v>
      </c>
      <c r="AQ355">
        <f t="shared" si="287"/>
        <v>5.0299255420122018E-3</v>
      </c>
      <c r="AR355">
        <f t="shared" si="288"/>
        <v>-7.0921950142372046</v>
      </c>
      <c r="AT355">
        <f t="shared" si="313"/>
        <v>-16020.906481820268</v>
      </c>
      <c r="AU355">
        <f t="shared" si="314"/>
        <v>-10848.712488228901</v>
      </c>
      <c r="AV355">
        <f t="shared" si="302"/>
        <v>-2.5463607686317591</v>
      </c>
      <c r="AW355">
        <f t="shared" si="303"/>
        <v>-2380.1252543169385</v>
      </c>
      <c r="AX355">
        <f t="shared" si="304"/>
        <v>-3909.199973018578</v>
      </c>
      <c r="AY355">
        <f t="shared" si="312"/>
        <v>-2.1176994324236178</v>
      </c>
      <c r="BA355">
        <f t="shared" si="289"/>
        <v>4.2275405222689439</v>
      </c>
      <c r="BB355">
        <f t="shared" si="305"/>
        <v>12.521755582703465</v>
      </c>
      <c r="BC355">
        <f t="shared" si="306"/>
        <v>-0.42866133620814129</v>
      </c>
      <c r="BD355">
        <f t="shared" si="290"/>
        <v>-204.56048543322936</v>
      </c>
      <c r="BF355">
        <f t="shared" si="291"/>
        <v>-30.763281144218855</v>
      </c>
      <c r="BG355">
        <f t="shared" si="292"/>
        <v>-199.07736946121534</v>
      </c>
      <c r="BH355">
        <f t="shared" si="307"/>
        <v>-19.077369461215341</v>
      </c>
      <c r="BI355">
        <f t="shared" si="308"/>
        <v>-19.077369461215341</v>
      </c>
      <c r="BJ355">
        <f t="shared" si="293"/>
        <v>0</v>
      </c>
      <c r="BK355">
        <f t="shared" si="309"/>
        <v>0</v>
      </c>
      <c r="BM355">
        <f t="shared" si="310"/>
        <v>-43.285036726922321</v>
      </c>
      <c r="BN355">
        <f t="shared" si="294"/>
        <v>-174.51688402798598</v>
      </c>
      <c r="BQ355" s="56">
        <f t="shared" si="311"/>
        <v>29.423716382988601</v>
      </c>
      <c r="BR355" s="59"/>
      <c r="BS355" s="59"/>
      <c r="BT355" s="59">
        <v>281838.29300000001</v>
      </c>
      <c r="BU355" s="59">
        <v>15.1486</v>
      </c>
      <c r="BV355" s="59">
        <v>-177.72399999999999</v>
      </c>
      <c r="BY355" s="59"/>
      <c r="BZ355" s="59"/>
      <c r="CA355" s="59"/>
      <c r="CC355" s="59"/>
    </row>
    <row r="356" spans="1:81" x14ac:dyDescent="0.2">
      <c r="A356">
        <f t="shared" si="263"/>
        <v>710000</v>
      </c>
      <c r="B356">
        <f t="shared" si="295"/>
        <v>710</v>
      </c>
      <c r="C356">
        <f t="shared" si="264"/>
        <v>1.0039723243733119</v>
      </c>
      <c r="D356">
        <f t="shared" si="265"/>
        <v>8.8985609232593438E-2</v>
      </c>
      <c r="F356">
        <f t="shared" si="266"/>
        <v>4.485575292826619E-4</v>
      </c>
      <c r="G356">
        <f t="shared" si="267"/>
        <v>7.284500282175096E-3</v>
      </c>
      <c r="H356">
        <f t="shared" si="268"/>
        <v>-3.1343081497178251</v>
      </c>
      <c r="J356">
        <f t="shared" si="269"/>
        <v>15</v>
      </c>
      <c r="M356">
        <f t="shared" si="270"/>
        <v>2.5562177503155119E-3</v>
      </c>
      <c r="N356">
        <f t="shared" si="271"/>
        <v>-1.5707963250000001</v>
      </c>
      <c r="O356">
        <f t="shared" si="272"/>
        <v>84.734843231843911</v>
      </c>
      <c r="P356">
        <f t="shared" si="273"/>
        <v>1.5589945322088494</v>
      </c>
      <c r="Q356">
        <f t="shared" si="274"/>
        <v>55.310322644771119</v>
      </c>
      <c r="R356">
        <f t="shared" si="275"/>
        <v>1.552715533913861</v>
      </c>
      <c r="S356">
        <f t="shared" si="276"/>
        <v>0.99586847611670926</v>
      </c>
      <c r="T356">
        <f t="shared" si="277"/>
        <v>-9.0932633710322786E-2</v>
      </c>
      <c r="U356">
        <f t="shared" si="278"/>
        <v>0.56720051496762014</v>
      </c>
      <c r="V356">
        <f t="shared" si="279"/>
        <v>-0.96769363322794921</v>
      </c>
      <c r="X356">
        <f t="shared" si="296"/>
        <v>-26.799283575998651</v>
      </c>
      <c r="Y356">
        <f t="shared" si="280"/>
        <v>-146.85109221087043</v>
      </c>
      <c r="Z356">
        <f t="shared" si="297"/>
        <v>33.148907789129566</v>
      </c>
      <c r="AC356">
        <v>1</v>
      </c>
      <c r="AD356">
        <f t="shared" si="281"/>
        <v>84.728942266059008</v>
      </c>
      <c r="AE356">
        <f t="shared" si="282"/>
        <v>-2.5702709877939812E-2</v>
      </c>
      <c r="AF356">
        <f t="shared" si="283"/>
        <v>1.7701492281984001E-2</v>
      </c>
      <c r="AG356">
        <f t="shared" si="298"/>
        <v>1513.5197109463493</v>
      </c>
      <c r="AH356">
        <f t="shared" si="299"/>
        <v>-2254.1352666412108</v>
      </c>
      <c r="AJ356">
        <f t="shared" si="284"/>
        <v>22100</v>
      </c>
      <c r="AK356">
        <f t="shared" si="285"/>
        <v>2015.1685734846121</v>
      </c>
      <c r="AL356">
        <v>1</v>
      </c>
      <c r="AM356">
        <f t="shared" si="286"/>
        <v>55.30128200203572</v>
      </c>
      <c r="AN356">
        <f t="shared" si="300"/>
        <v>43.651940972168909</v>
      </c>
      <c r="AO356">
        <f t="shared" si="301"/>
        <v>-398.83972415351792</v>
      </c>
      <c r="AQ356">
        <f t="shared" si="287"/>
        <v>4.9593310060846033E-3</v>
      </c>
      <c r="AR356">
        <f t="shared" si="288"/>
        <v>-7.0422500286401366</v>
      </c>
      <c r="AT356">
        <f t="shared" si="313"/>
        <v>-15866.678100831992</v>
      </c>
      <c r="AU356">
        <f t="shared" si="314"/>
        <v>-10669.763230679102</v>
      </c>
      <c r="AV356">
        <f t="shared" si="302"/>
        <v>-2.5495875293731967</v>
      </c>
      <c r="AW356">
        <f t="shared" si="303"/>
        <v>-2344.3792859034334</v>
      </c>
      <c r="AX356">
        <f t="shared" si="304"/>
        <v>-3883.6018354990501</v>
      </c>
      <c r="AY356">
        <f t="shared" si="312"/>
        <v>-2.1139034516041955</v>
      </c>
      <c r="BA356">
        <f t="shared" si="289"/>
        <v>4.2149623046485196</v>
      </c>
      <c r="BB356">
        <f t="shared" si="305"/>
        <v>12.49587389970706</v>
      </c>
      <c r="BC356">
        <f t="shared" si="306"/>
        <v>-0.4356840777690012</v>
      </c>
      <c r="BD356">
        <f t="shared" si="290"/>
        <v>-204.96285888573752</v>
      </c>
      <c r="BF356">
        <f t="shared" si="291"/>
        <v>-30.91150307716876</v>
      </c>
      <c r="BG356">
        <f t="shared" si="292"/>
        <v>-199.44698791097625</v>
      </c>
      <c r="BH356">
        <f t="shared" si="307"/>
        <v>-19.446987910976247</v>
      </c>
      <c r="BI356">
        <f t="shared" si="308"/>
        <v>-19.446987910976247</v>
      </c>
      <c r="BJ356">
        <f t="shared" si="293"/>
        <v>0</v>
      </c>
      <c r="BK356">
        <f t="shared" si="309"/>
        <v>0</v>
      </c>
      <c r="BM356">
        <f t="shared" si="310"/>
        <v>-43.407376976875824</v>
      </c>
      <c r="BN356">
        <f t="shared" si="294"/>
        <v>-174.48412902523876</v>
      </c>
      <c r="BQ356" s="56">
        <f t="shared" si="311"/>
        <v>29.397834699992199</v>
      </c>
      <c r="BR356" s="59"/>
      <c r="BS356" s="59"/>
      <c r="BT356" s="59">
        <v>288403.15000000002</v>
      </c>
      <c r="BU356" s="59">
        <v>14.961</v>
      </c>
      <c r="BV356" s="59">
        <v>-178.92099999999999</v>
      </c>
      <c r="BY356" s="59"/>
      <c r="BZ356" s="59"/>
      <c r="CA356" s="59"/>
      <c r="CC356" s="59"/>
    </row>
    <row r="357" spans="1:81" x14ac:dyDescent="0.2">
      <c r="A357">
        <f t="shared" si="263"/>
        <v>715000</v>
      </c>
      <c r="B357">
        <f t="shared" si="295"/>
        <v>715</v>
      </c>
      <c r="C357">
        <f t="shared" si="264"/>
        <v>1.0040283569687989</v>
      </c>
      <c r="D357">
        <f t="shared" si="265"/>
        <v>8.9608930831438977E-2</v>
      </c>
      <c r="F357">
        <f t="shared" si="266"/>
        <v>4.4230332098325675E-4</v>
      </c>
      <c r="G357">
        <f t="shared" si="267"/>
        <v>7.2335161137204477E-3</v>
      </c>
      <c r="H357">
        <f t="shared" si="268"/>
        <v>-3.1343591338862797</v>
      </c>
      <c r="J357">
        <f t="shared" si="269"/>
        <v>15</v>
      </c>
      <c r="M357">
        <f t="shared" si="270"/>
        <v>2.5383421017119065E-3</v>
      </c>
      <c r="N357">
        <f t="shared" si="271"/>
        <v>-1.5707963250000001</v>
      </c>
      <c r="O357">
        <f t="shared" si="272"/>
        <v>85.331484661207085</v>
      </c>
      <c r="P357">
        <f t="shared" si="273"/>
        <v>1.5590770546580011</v>
      </c>
      <c r="Q357">
        <f t="shared" si="274"/>
        <v>55.6997050816205</v>
      </c>
      <c r="R357">
        <f t="shared" si="275"/>
        <v>1.552841945758439</v>
      </c>
      <c r="S357">
        <f t="shared" si="276"/>
        <v>0.99581044721024281</v>
      </c>
      <c r="T357">
        <f t="shared" si="277"/>
        <v>-9.156944309703377E-2</v>
      </c>
      <c r="U357">
        <f t="shared" si="278"/>
        <v>0.56450105389909466</v>
      </c>
      <c r="V357">
        <f t="shared" si="279"/>
        <v>-0.97096766461925832</v>
      </c>
      <c r="X357">
        <f t="shared" si="296"/>
        <v>-26.901775516958658</v>
      </c>
      <c r="Y357">
        <f t="shared" si="280"/>
        <v>-147.03040330955849</v>
      </c>
      <c r="Z357">
        <f t="shared" si="297"/>
        <v>32.969596690441506</v>
      </c>
      <c r="AC357">
        <v>1</v>
      </c>
      <c r="AD357">
        <f t="shared" si="281"/>
        <v>85.325624958073504</v>
      </c>
      <c r="AE357">
        <f t="shared" si="282"/>
        <v>-2.6065994559313192E-2</v>
      </c>
      <c r="AF357">
        <f t="shared" si="283"/>
        <v>1.7826150678336004E-2</v>
      </c>
      <c r="AG357">
        <f t="shared" si="298"/>
        <v>1499.1474916655118</v>
      </c>
      <c r="AH357">
        <f t="shared" si="299"/>
        <v>-2248.2010325463179</v>
      </c>
      <c r="AJ357">
        <f t="shared" si="284"/>
        <v>22100</v>
      </c>
      <c r="AK357">
        <f t="shared" si="285"/>
        <v>2029.3599014668982</v>
      </c>
      <c r="AL357">
        <v>1</v>
      </c>
      <c r="AM357">
        <f t="shared" si="286"/>
        <v>55.690727649937386</v>
      </c>
      <c r="AN357">
        <f t="shared" si="300"/>
        <v>43.551457186986497</v>
      </c>
      <c r="AO357">
        <f t="shared" si="301"/>
        <v>-396.05243949147456</v>
      </c>
      <c r="AQ357">
        <f t="shared" si="287"/>
        <v>4.8902122890056784E-3</v>
      </c>
      <c r="AR357">
        <f t="shared" si="288"/>
        <v>-6.9930035732781199</v>
      </c>
      <c r="AT357">
        <f t="shared" si="313"/>
        <v>-15714.346704557187</v>
      </c>
      <c r="AU357">
        <f t="shared" si="314"/>
        <v>-10494.537946405368</v>
      </c>
      <c r="AV357">
        <f t="shared" si="302"/>
        <v>-2.5527839629657407</v>
      </c>
      <c r="AW357">
        <f t="shared" si="303"/>
        <v>-2309.4148750766285</v>
      </c>
      <c r="AX357">
        <f t="shared" si="304"/>
        <v>-3858.3453009986038</v>
      </c>
      <c r="AY357">
        <f t="shared" si="312"/>
        <v>-2.1101494064781345</v>
      </c>
      <c r="BA357">
        <f t="shared" si="289"/>
        <v>4.2023028188384624</v>
      </c>
      <c r="BB357">
        <f t="shared" si="305"/>
        <v>12.469746891013314</v>
      </c>
      <c r="BC357">
        <f t="shared" si="306"/>
        <v>-0.44263455648760619</v>
      </c>
      <c r="BD357">
        <f t="shared" si="290"/>
        <v>-205.36109198236414</v>
      </c>
      <c r="BF357">
        <f t="shared" si="291"/>
        <v>-31.059104346319579</v>
      </c>
      <c r="BG357">
        <f t="shared" si="292"/>
        <v>-199.81242848834663</v>
      </c>
      <c r="BH357">
        <f t="shared" si="307"/>
        <v>-19.812428488346626</v>
      </c>
      <c r="BI357">
        <f t="shared" si="308"/>
        <v>-19.812428488346626</v>
      </c>
      <c r="BJ357">
        <f t="shared" si="293"/>
        <v>0</v>
      </c>
      <c r="BK357">
        <f t="shared" si="309"/>
        <v>0</v>
      </c>
      <c r="BM357">
        <f t="shared" si="310"/>
        <v>-43.528851237332887</v>
      </c>
      <c r="BN357">
        <f t="shared" si="294"/>
        <v>-174.45133650598248</v>
      </c>
      <c r="BQ357" s="56">
        <f t="shared" si="311"/>
        <v>29.371707691298454</v>
      </c>
      <c r="BR357" s="59"/>
      <c r="BS357" s="59"/>
      <c r="BT357" s="59">
        <v>295120.92300000001</v>
      </c>
      <c r="BU357" s="59">
        <v>14.946199999999999</v>
      </c>
      <c r="BV357" s="59">
        <v>-181.99</v>
      </c>
      <c r="BW357" s="61"/>
      <c r="BY357" s="59"/>
      <c r="BZ357" s="59"/>
      <c r="CA357" s="59"/>
      <c r="CC357" s="59"/>
    </row>
    <row r="358" spans="1:81" x14ac:dyDescent="0.2">
      <c r="A358">
        <f t="shared" si="263"/>
        <v>720000</v>
      </c>
      <c r="B358">
        <f t="shared" si="295"/>
        <v>720</v>
      </c>
      <c r="C358">
        <f t="shared" si="264"/>
        <v>1.0040847796156116</v>
      </c>
      <c r="D358">
        <f t="shared" si="265"/>
        <v>9.0232182619655071E-2</v>
      </c>
      <c r="F358">
        <f t="shared" si="266"/>
        <v>4.3617902732073625E-4</v>
      </c>
      <c r="G358">
        <f t="shared" si="267"/>
        <v>7.1832409582365791E-3</v>
      </c>
      <c r="H358">
        <f t="shared" si="268"/>
        <v>-3.1344094090417638</v>
      </c>
      <c r="J358">
        <f t="shared" si="269"/>
        <v>15</v>
      </c>
      <c r="M358">
        <f t="shared" si="270"/>
        <v>2.5207147260055745E-3</v>
      </c>
      <c r="N358">
        <f t="shared" si="271"/>
        <v>-1.5707963250000001</v>
      </c>
      <c r="O358">
        <f t="shared" si="272"/>
        <v>85.928126663604004</v>
      </c>
      <c r="P358">
        <f t="shared" si="273"/>
        <v>1.5591584311183435</v>
      </c>
      <c r="Q358">
        <f t="shared" si="274"/>
        <v>56.089088396190391</v>
      </c>
      <c r="R358">
        <f t="shared" si="275"/>
        <v>1.5529666024449562</v>
      </c>
      <c r="S358">
        <f t="shared" si="276"/>
        <v>0.99575202133317908</v>
      </c>
      <c r="T358">
        <f t="shared" si="277"/>
        <v>-9.2206178016572549E-2</v>
      </c>
      <c r="U358">
        <f t="shared" si="278"/>
        <v>0.5618212290799961</v>
      </c>
      <c r="V358">
        <f t="shared" si="279"/>
        <v>-0.97421064524028222</v>
      </c>
      <c r="X358">
        <f t="shared" si="296"/>
        <v>-27.003736226422799</v>
      </c>
      <c r="Y358">
        <f t="shared" si="280"/>
        <v>-147.20806066337704</v>
      </c>
      <c r="Z358">
        <f t="shared" si="297"/>
        <v>32.79193933662296</v>
      </c>
      <c r="AC358">
        <v>1</v>
      </c>
      <c r="AD358">
        <f t="shared" si="281"/>
        <v>85.922307650088001</v>
      </c>
      <c r="AE358">
        <f t="shared" si="282"/>
        <v>-2.6431828606871651E-2</v>
      </c>
      <c r="AF358">
        <f t="shared" si="283"/>
        <v>1.7950809074688004E-2</v>
      </c>
      <c r="AG358">
        <f t="shared" si="298"/>
        <v>1484.9476360163251</v>
      </c>
      <c r="AH358">
        <f t="shared" si="299"/>
        <v>-2242.2321600043147</v>
      </c>
      <c r="AJ358">
        <f t="shared" si="284"/>
        <v>22100</v>
      </c>
      <c r="AK358">
        <f t="shared" si="285"/>
        <v>2043.5512294491843</v>
      </c>
      <c r="AL358">
        <v>1</v>
      </c>
      <c r="AM358">
        <f t="shared" si="286"/>
        <v>56.080173297839046</v>
      </c>
      <c r="AN358">
        <f t="shared" si="300"/>
        <v>43.453058649448884</v>
      </c>
      <c r="AO358">
        <f t="shared" si="301"/>
        <v>-393.30382993307302</v>
      </c>
      <c r="AQ358">
        <f t="shared" si="287"/>
        <v>4.822528538518259E-3</v>
      </c>
      <c r="AR358">
        <f t="shared" si="288"/>
        <v>-6.944441095466293</v>
      </c>
      <c r="AT358">
        <f t="shared" si="313"/>
        <v>-15563.887955157221</v>
      </c>
      <c r="AU358">
        <f t="shared" si="314"/>
        <v>-10322.944616748895</v>
      </c>
      <c r="AV358">
        <f t="shared" si="302"/>
        <v>-2.5559504233789201</v>
      </c>
      <c r="AW358">
        <f t="shared" si="303"/>
        <v>-2275.2096649247624</v>
      </c>
      <c r="AX358">
        <f t="shared" si="304"/>
        <v>-3833.4232048388735</v>
      </c>
      <c r="AY358">
        <f t="shared" si="312"/>
        <v>-2.1064367879876471</v>
      </c>
      <c r="BA358">
        <f t="shared" si="289"/>
        <v>4.1895677436901089</v>
      </c>
      <c r="BB358">
        <f t="shared" si="305"/>
        <v>12.443384343745427</v>
      </c>
      <c r="BC358">
        <f t="shared" si="306"/>
        <v>-0.44951363539127298</v>
      </c>
      <c r="BD358">
        <f t="shared" si="290"/>
        <v>-205.75523417093211</v>
      </c>
      <c r="BF358">
        <f t="shared" si="291"/>
        <v>-31.206087203761236</v>
      </c>
      <c r="BG358">
        <f t="shared" si="292"/>
        <v>-200.17374153406189</v>
      </c>
      <c r="BH358">
        <f t="shared" si="307"/>
        <v>-20.17374153406189</v>
      </c>
      <c r="BI358">
        <f t="shared" si="308"/>
        <v>-20.17374153406189</v>
      </c>
      <c r="BJ358">
        <f t="shared" si="293"/>
        <v>0</v>
      </c>
      <c r="BK358">
        <f t="shared" si="309"/>
        <v>0</v>
      </c>
      <c r="BM358">
        <f t="shared" si="310"/>
        <v>-43.649471547506664</v>
      </c>
      <c r="BN358">
        <f t="shared" si="294"/>
        <v>-174.41850736312981</v>
      </c>
      <c r="BQ358" s="56">
        <f t="shared" si="311"/>
        <v>29.345345144030563</v>
      </c>
      <c r="BR358" s="59"/>
      <c r="BS358" s="59"/>
      <c r="BT358" s="59">
        <v>301995.17200000002</v>
      </c>
      <c r="BU358" s="59">
        <v>15.1762</v>
      </c>
      <c r="BV358" s="59">
        <v>-183.36099999999999</v>
      </c>
      <c r="BW358" s="61"/>
      <c r="BY358" s="59"/>
      <c r="BZ358" s="59"/>
      <c r="CA358" s="59"/>
      <c r="CC358" s="59"/>
    </row>
    <row r="359" spans="1:81" x14ac:dyDescent="0.2">
      <c r="A359">
        <f t="shared" si="263"/>
        <v>725000</v>
      </c>
      <c r="B359">
        <f t="shared" si="295"/>
        <v>725</v>
      </c>
      <c r="C359">
        <f t="shared" si="264"/>
        <v>1.0041415922479993</v>
      </c>
      <c r="D359">
        <f t="shared" si="265"/>
        <v>9.0855364124855356E-2</v>
      </c>
      <c r="F359">
        <f t="shared" si="266"/>
        <v>4.301810743945847E-4</v>
      </c>
      <c r="G359">
        <f t="shared" si="267"/>
        <v>7.1336601219151871E-3</v>
      </c>
      <c r="H359">
        <f t="shared" si="268"/>
        <v>-3.1344589898780848</v>
      </c>
      <c r="J359">
        <f t="shared" si="269"/>
        <v>15</v>
      </c>
      <c r="M359">
        <f t="shared" si="270"/>
        <v>2.5033304865158808E-3</v>
      </c>
      <c r="N359">
        <f t="shared" si="271"/>
        <v>-1.5707963250000001</v>
      </c>
      <c r="O359">
        <f t="shared" si="272"/>
        <v>86.524769227180428</v>
      </c>
      <c r="P359">
        <f t="shared" si="273"/>
        <v>1.5592386852957232</v>
      </c>
      <c r="Q359">
        <f t="shared" si="274"/>
        <v>56.478472570326808</v>
      </c>
      <c r="R359">
        <f t="shared" si="275"/>
        <v>1.5530895402716884</v>
      </c>
      <c r="S359">
        <f t="shared" si="276"/>
        <v>0.99569319869750006</v>
      </c>
      <c r="T359">
        <f t="shared" si="277"/>
        <v>-9.2842837965786795E-2</v>
      </c>
      <c r="U359">
        <f t="shared" si="278"/>
        <v>0.55916093008975598</v>
      </c>
      <c r="V359">
        <f t="shared" si="279"/>
        <v>-0.97742294748123959</v>
      </c>
      <c r="X359">
        <f t="shared" si="296"/>
        <v>-27.105170892476234</v>
      </c>
      <c r="Y359">
        <f t="shared" si="280"/>
        <v>-147.38408301086136</v>
      </c>
      <c r="Z359">
        <f t="shared" si="297"/>
        <v>32.61591698913864</v>
      </c>
      <c r="AC359">
        <v>1</v>
      </c>
      <c r="AD359">
        <f t="shared" si="281"/>
        <v>86.518990342102498</v>
      </c>
      <c r="AE359">
        <f t="shared" si="282"/>
        <v>-2.6800212020615187E-2</v>
      </c>
      <c r="AF359">
        <f t="shared" si="283"/>
        <v>1.8075467471040003E-2</v>
      </c>
      <c r="AG359">
        <f t="shared" si="298"/>
        <v>1470.9180777005768</v>
      </c>
      <c r="AH359">
        <f t="shared" si="299"/>
        <v>-2236.2307592925281</v>
      </c>
      <c r="AJ359">
        <f t="shared" si="284"/>
        <v>22100</v>
      </c>
      <c r="AK359">
        <f t="shared" si="285"/>
        <v>2057.7425574314702</v>
      </c>
      <c r="AL359">
        <v>1</v>
      </c>
      <c r="AM359">
        <f t="shared" si="286"/>
        <v>56.469618945740699</v>
      </c>
      <c r="AN359">
        <f t="shared" si="300"/>
        <v>43.356688064467846</v>
      </c>
      <c r="AO359">
        <f t="shared" si="301"/>
        <v>-390.59309631837323</v>
      </c>
      <c r="AQ359">
        <f t="shared" si="287"/>
        <v>4.7562403061877263E-3</v>
      </c>
      <c r="AR359">
        <f t="shared" si="288"/>
        <v>-6.8965484439722022</v>
      </c>
      <c r="AT359">
        <f t="shared" si="313"/>
        <v>-15415.277723513402</v>
      </c>
      <c r="AU359">
        <f t="shared" si="314"/>
        <v>-10154.893830847779</v>
      </c>
      <c r="AV359">
        <f t="shared" si="302"/>
        <v>-2.5590872607122348</v>
      </c>
      <c r="AW359">
        <f t="shared" si="303"/>
        <v>-2241.7420826567704</v>
      </c>
      <c r="AX359">
        <f t="shared" si="304"/>
        <v>-3808.8285926622848</v>
      </c>
      <c r="AY359">
        <f t="shared" si="312"/>
        <v>-2.1027650893406804</v>
      </c>
      <c r="BA359">
        <f t="shared" si="289"/>
        <v>4.1767625640486683</v>
      </c>
      <c r="BB359">
        <f t="shared" si="305"/>
        <v>12.416795753545864</v>
      </c>
      <c r="BC359">
        <f t="shared" si="306"/>
        <v>-0.4563221713715544</v>
      </c>
      <c r="BD359">
        <f t="shared" si="290"/>
        <v>-206.14533454771095</v>
      </c>
      <c r="BF359">
        <f t="shared" si="291"/>
        <v>-31.352453942729241</v>
      </c>
      <c r="BG359">
        <f t="shared" si="292"/>
        <v>-200.53097701335054</v>
      </c>
      <c r="BH359">
        <f t="shared" si="307"/>
        <v>-20.530977013350537</v>
      </c>
      <c r="BI359">
        <f t="shared" si="308"/>
        <v>-20.530977013350537</v>
      </c>
      <c r="BJ359">
        <f t="shared" si="293"/>
        <v>0</v>
      </c>
      <c r="BK359">
        <f t="shared" si="309"/>
        <v>0</v>
      </c>
      <c r="BM359">
        <f t="shared" si="310"/>
        <v>-43.769249696275104</v>
      </c>
      <c r="BN359">
        <f t="shared" si="294"/>
        <v>-174.38564246563959</v>
      </c>
      <c r="BQ359" s="56">
        <f t="shared" si="311"/>
        <v>29.318756553831001</v>
      </c>
      <c r="BR359" s="59"/>
      <c r="BS359" s="59"/>
      <c r="BT359" s="59">
        <v>309029.54300000001</v>
      </c>
      <c r="BU359" s="59">
        <v>15.284700000000001</v>
      </c>
      <c r="BV359" s="59">
        <v>-186.209</v>
      </c>
      <c r="BW359" s="61"/>
      <c r="BY359" s="59"/>
      <c r="BZ359" s="59"/>
      <c r="CA359" s="59"/>
      <c r="CC359" s="59"/>
    </row>
    <row r="360" spans="1:81" x14ac:dyDescent="0.2">
      <c r="A360">
        <f t="shared" si="263"/>
        <v>730000</v>
      </c>
      <c r="B360">
        <f t="shared" si="295"/>
        <v>730</v>
      </c>
      <c r="C360">
        <f t="shared" si="264"/>
        <v>1.0041987947997713</v>
      </c>
      <c r="D360">
        <f t="shared" si="265"/>
        <v>9.1478474874978413E-2</v>
      </c>
      <c r="F360">
        <f t="shared" si="266"/>
        <v>4.2430601037629319E-4</v>
      </c>
      <c r="G360">
        <f t="shared" si="267"/>
        <v>7.084759314351664E-3</v>
      </c>
      <c r="H360">
        <f t="shared" si="268"/>
        <v>-3.1345078906856485</v>
      </c>
      <c r="J360">
        <f t="shared" si="269"/>
        <v>15</v>
      </c>
      <c r="M360">
        <f t="shared" si="270"/>
        <v>2.4861843872931691E-3</v>
      </c>
      <c r="N360">
        <f t="shared" si="271"/>
        <v>-1.5707963250000001</v>
      </c>
      <c r="O360">
        <f t="shared" si="272"/>
        <v>87.121412340406792</v>
      </c>
      <c r="P360">
        <f t="shared" si="273"/>
        <v>1.5593178402466554</v>
      </c>
      <c r="Q360">
        <f t="shared" si="274"/>
        <v>56.867857586372942</v>
      </c>
      <c r="R360">
        <f t="shared" si="275"/>
        <v>1.5532107945429592</v>
      </c>
      <c r="S360">
        <f t="shared" si="276"/>
        <v>0.9956339795165603</v>
      </c>
      <c r="T360">
        <f t="shared" si="277"/>
        <v>-9.3479422441885715E-2</v>
      </c>
      <c r="U360">
        <f t="shared" si="278"/>
        <v>0.55652004441641467</v>
      </c>
      <c r="V360">
        <f t="shared" si="279"/>
        <v>-0.98060493925288683</v>
      </c>
      <c r="X360">
        <f t="shared" si="296"/>
        <v>-27.206084621767424</v>
      </c>
      <c r="Y360">
        <f t="shared" si="280"/>
        <v>-147.55848890493456</v>
      </c>
      <c r="Z360">
        <f t="shared" si="297"/>
        <v>32.441511095065437</v>
      </c>
      <c r="AC360">
        <v>1</v>
      </c>
      <c r="AD360">
        <f t="shared" si="281"/>
        <v>87.115673034116995</v>
      </c>
      <c r="AE360">
        <f t="shared" si="282"/>
        <v>-2.7171144800543796E-2</v>
      </c>
      <c r="AF360">
        <f t="shared" si="283"/>
        <v>1.8200125867392003E-2</v>
      </c>
      <c r="AG360">
        <f t="shared" ref="AG360:AG423" si="315">AC360*AE360/(AE360^2+AF360^2)+AD360*AF360/(AE360^2+AF360^2)</f>
        <v>1457.0567613270407</v>
      </c>
      <c r="AH360">
        <f t="shared" ref="AH360:AH423" si="316">AD360*AE360/(AE360^2+AF360^2)-AC360*AF360/(AE360^2+AF360^2)</f>
        <v>-2230.1988755666093</v>
      </c>
      <c r="AJ360">
        <f t="shared" si="284"/>
        <v>22100</v>
      </c>
      <c r="AK360">
        <f t="shared" si="285"/>
        <v>2071.9338854137563</v>
      </c>
      <c r="AL360">
        <v>1</v>
      </c>
      <c r="AM360">
        <f t="shared" si="286"/>
        <v>56.859064593642366</v>
      </c>
      <c r="AN360">
        <f t="shared" ref="AN360:AN423" si="317">AJ360*AL360/(AL360^2+AM360^2)+AK360*AM360/(AL360^2+AM360^2)</f>
        <v>43.262290091150405</v>
      </c>
      <c r="AO360">
        <f t="shared" ref="AO360:AO423" si="318">AK360*AL360/(AL360^2+AM360^2)-AJ360*AM360/(AL360^2+AM360^2)</f>
        <v>-387.91946134785866</v>
      </c>
      <c r="AQ360">
        <f t="shared" si="287"/>
        <v>4.691309489909228E-3</v>
      </c>
      <c r="AR360">
        <f t="shared" si="288"/>
        <v>-6.849311855267473</v>
      </c>
      <c r="AT360">
        <f t="shared" si="313"/>
        <v>-15268.492093810815</v>
      </c>
      <c r="AU360">
        <f t="shared" si="314"/>
        <v>-9990.2987023042606</v>
      </c>
      <c r="AV360">
        <f t="shared" si="302"/>
        <v>-2.5621948211962824</v>
      </c>
      <c r="AW360">
        <f t="shared" si="303"/>
        <v>-2208.9913071708406</v>
      </c>
      <c r="AX360">
        <f t="shared" si="304"/>
        <v>-3784.5547124846294</v>
      </c>
      <c r="AY360">
        <f t="shared" si="312"/>
        <v>-2.099133806277333</v>
      </c>
      <c r="BA360">
        <f t="shared" si="289"/>
        <v>4.1638925758866625</v>
      </c>
      <c r="BB360">
        <f t="shared" si="305"/>
        <v>12.389990332709216</v>
      </c>
      <c r="BC360">
        <f t="shared" si="306"/>
        <v>-0.46306101491894935</v>
      </c>
      <c r="BD360">
        <f t="shared" si="290"/>
        <v>-206.53144184221685</v>
      </c>
      <c r="BF360">
        <f t="shared" si="291"/>
        <v>-31.498206896368288</v>
      </c>
      <c r="BG360">
        <f t="shared" si="292"/>
        <v>-200.88418450155575</v>
      </c>
      <c r="BH360">
        <f t="shared" si="307"/>
        <v>-20.884184501555751</v>
      </c>
      <c r="BI360">
        <f t="shared" si="308"/>
        <v>-20.884184501555751</v>
      </c>
      <c r="BJ360">
        <f t="shared" si="293"/>
        <v>0</v>
      </c>
      <c r="BK360">
        <f t="shared" si="309"/>
        <v>0</v>
      </c>
      <c r="BM360">
        <f t="shared" si="310"/>
        <v>-43.888197229077505</v>
      </c>
      <c r="BN360">
        <f t="shared" si="294"/>
        <v>-174.3527426593389</v>
      </c>
      <c r="BQ360" s="56">
        <f t="shared" si="311"/>
        <v>29.291951132994352</v>
      </c>
      <c r="BR360" s="59"/>
      <c r="BS360" s="59"/>
      <c r="BT360" s="59">
        <v>316227.766</v>
      </c>
      <c r="BU360" s="59">
        <v>15.331799999999999</v>
      </c>
      <c r="BV360" s="59">
        <v>-189.75</v>
      </c>
      <c r="BW360" s="61"/>
      <c r="BY360" s="59"/>
      <c r="BZ360" s="59"/>
      <c r="CA360" s="59"/>
      <c r="CC360" s="59"/>
    </row>
    <row r="361" spans="1:81" x14ac:dyDescent="0.2">
      <c r="A361">
        <f t="shared" si="263"/>
        <v>735000</v>
      </c>
      <c r="B361">
        <f t="shared" si="295"/>
        <v>735</v>
      </c>
      <c r="C361">
        <f t="shared" si="264"/>
        <v>1.0042563872042984</v>
      </c>
      <c r="D361">
        <f t="shared" si="265"/>
        <v>9.2101514398289772E-2</v>
      </c>
      <c r="F361">
        <f t="shared" si="266"/>
        <v>4.1855050053921176E-4</v>
      </c>
      <c r="G361">
        <f t="shared" si="267"/>
        <v>7.0365246347901889E-3</v>
      </c>
      <c r="H361">
        <f t="shared" si="268"/>
        <v>-3.1345561253652101</v>
      </c>
      <c r="J361">
        <f t="shared" si="269"/>
        <v>15</v>
      </c>
      <c r="M361">
        <f t="shared" si="270"/>
        <v>2.4692715683319912E-3</v>
      </c>
      <c r="N361">
        <f t="shared" si="271"/>
        <v>-1.5707963250000001</v>
      </c>
      <c r="O361">
        <f t="shared" si="272"/>
        <v>87.718055992067207</v>
      </c>
      <c r="P361">
        <f t="shared" si="273"/>
        <v>1.5593959184004058</v>
      </c>
      <c r="Q361">
        <f t="shared" si="274"/>
        <v>57.257243427152268</v>
      </c>
      <c r="R361">
        <f t="shared" si="275"/>
        <v>1.5533303996029242</v>
      </c>
      <c r="S361">
        <f t="shared" si="276"/>
        <v>0.99557436400508437</v>
      </c>
      <c r="T361">
        <f t="shared" si="277"/>
        <v>-9.4115930942442458E-2</v>
      </c>
      <c r="U361">
        <f t="shared" si="278"/>
        <v>0.55389845760196332</v>
      </c>
      <c r="V361">
        <f t="shared" si="279"/>
        <v>-0.98375698401111855</v>
      </c>
      <c r="X361">
        <f t="shared" si="296"/>
        <v>-27.30648244160982</v>
      </c>
      <c r="Y361">
        <f t="shared" si="280"/>
        <v>-147.73129671190415</v>
      </c>
      <c r="Z361">
        <f t="shared" si="297"/>
        <v>32.26870328809585</v>
      </c>
      <c r="AC361">
        <v>1</v>
      </c>
      <c r="AD361">
        <f t="shared" si="281"/>
        <v>87.712355726131506</v>
      </c>
      <c r="AE361">
        <f t="shared" si="282"/>
        <v>-2.7544626946657481E-2</v>
      </c>
      <c r="AF361">
        <f t="shared" si="283"/>
        <v>1.8324784263744003E-2</v>
      </c>
      <c r="AG361">
        <f t="shared" si="315"/>
        <v>1443.3616432245949</v>
      </c>
      <c r="AH361">
        <f t="shared" si="316"/>
        <v>-2224.1384905346122</v>
      </c>
      <c r="AJ361">
        <f t="shared" si="284"/>
        <v>22100</v>
      </c>
      <c r="AK361">
        <f t="shared" si="285"/>
        <v>2086.1252133960425</v>
      </c>
      <c r="AL361">
        <v>1</v>
      </c>
      <c r="AM361">
        <f t="shared" si="286"/>
        <v>57.248510241544018</v>
      </c>
      <c r="AN361">
        <f t="shared" si="317"/>
        <v>43.169811263365723</v>
      </c>
      <c r="AO361">
        <f t="shared" si="318"/>
        <v>-385.28216884027256</v>
      </c>
      <c r="AQ361">
        <f t="shared" si="287"/>
        <v>4.627699279143283E-3</v>
      </c>
      <c r="AR361">
        <f t="shared" si="288"/>
        <v>-6.8027179403406262</v>
      </c>
      <c r="AT361">
        <f t="shared" si="313"/>
        <v>-15123.507367726032</v>
      </c>
      <c r="AU361">
        <f t="shared" si="314"/>
        <v>-9829.0747888528404</v>
      </c>
      <c r="AV361">
        <f t="shared" si="302"/>
        <v>-2.5652734471965988</v>
      </c>
      <c r="AW361">
        <f t="shared" si="303"/>
        <v>-2176.9372381653957</v>
      </c>
      <c r="AX361">
        <f t="shared" si="304"/>
        <v>-3760.5950071102079</v>
      </c>
      <c r="AY361">
        <f t="shared" si="312"/>
        <v>-2.0955424373179614</v>
      </c>
      <c r="BA361">
        <f t="shared" si="289"/>
        <v>4.1509628913733589</v>
      </c>
      <c r="BB361">
        <f t="shared" si="305"/>
        <v>12.362977018118123</v>
      </c>
      <c r="BC361">
        <f t="shared" si="306"/>
        <v>-0.46973100987863736</v>
      </c>
      <c r="BD361">
        <f t="shared" si="290"/>
        <v>-206.91360440321716</v>
      </c>
      <c r="BF361">
        <f t="shared" si="291"/>
        <v>-31.643348436456812</v>
      </c>
      <c r="BG361">
        <f t="shared" si="292"/>
        <v>-201.23341317092792</v>
      </c>
      <c r="BH361">
        <f t="shared" si="307"/>
        <v>-21.233413170927918</v>
      </c>
      <c r="BI361">
        <f t="shared" si="308"/>
        <v>-21.233413170927918</v>
      </c>
      <c r="BJ361">
        <f t="shared" si="293"/>
        <v>0</v>
      </c>
      <c r="BK361">
        <f t="shared" si="309"/>
        <v>0</v>
      </c>
      <c r="BM361">
        <f t="shared" si="310"/>
        <v>-44.006325454574934</v>
      </c>
      <c r="BN361">
        <f t="shared" si="294"/>
        <v>-174.31980876771075</v>
      </c>
      <c r="BQ361" s="56">
        <f t="shared" si="311"/>
        <v>29.264937818403254</v>
      </c>
      <c r="BR361" s="59"/>
      <c r="BS361" s="59"/>
      <c r="BT361" s="59">
        <v>323593.65700000001</v>
      </c>
      <c r="BU361" s="59">
        <v>15.3347</v>
      </c>
      <c r="BV361" s="59">
        <v>-192.398</v>
      </c>
      <c r="BW361" s="61"/>
      <c r="BY361" s="59"/>
      <c r="BZ361" s="59"/>
      <c r="CA361" s="59"/>
      <c r="CC361" s="59"/>
    </row>
    <row r="362" spans="1:81" x14ac:dyDescent="0.2">
      <c r="A362">
        <f t="shared" si="263"/>
        <v>740000</v>
      </c>
      <c r="B362">
        <f t="shared" si="295"/>
        <v>740</v>
      </c>
      <c r="C362">
        <f t="shared" si="264"/>
        <v>1.004314369394512</v>
      </c>
      <c r="D362">
        <f t="shared" si="265"/>
        <v>9.2724482223384017E-2</v>
      </c>
      <c r="F362">
        <f t="shared" si="266"/>
        <v>4.129113225229257E-4</v>
      </c>
      <c r="G362">
        <f t="shared" si="267"/>
        <v>6.9889425589280112E-3</v>
      </c>
      <c r="H362">
        <f t="shared" si="268"/>
        <v>-3.1346037074410722</v>
      </c>
      <c r="J362">
        <f t="shared" si="269"/>
        <v>15</v>
      </c>
      <c r="M362">
        <f t="shared" si="270"/>
        <v>2.4525873009783963E-3</v>
      </c>
      <c r="N362">
        <f t="shared" si="271"/>
        <v>-1.5707963250000001</v>
      </c>
      <c r="O362">
        <f t="shared" si="272"/>
        <v>88.314700171248887</v>
      </c>
      <c r="P362">
        <f t="shared" si="273"/>
        <v>1.5594729415801738</v>
      </c>
      <c r="Q362">
        <f t="shared" si="274"/>
        <v>57.646630075952288</v>
      </c>
      <c r="R362">
        <f t="shared" si="275"/>
        <v>1.5534483888679913</v>
      </c>
      <c r="S362">
        <f t="shared" si="276"/>
        <v>0.99551435237916486</v>
      </c>
      <c r="T362">
        <f t="shared" si="277"/>
        <v>-9.4752362965396297E-2</v>
      </c>
      <c r="U362">
        <f t="shared" si="278"/>
        <v>0.5512960533818505</v>
      </c>
      <c r="V362">
        <f t="shared" si="279"/>
        <v>-0.98687944078327428</v>
      </c>
      <c r="X362">
        <f t="shared" si="296"/>
        <v>-27.4063693020016</v>
      </c>
      <c r="Y362">
        <f t="shared" si="280"/>
        <v>-147.90252461065407</v>
      </c>
      <c r="Z362">
        <f t="shared" si="297"/>
        <v>32.097475389345931</v>
      </c>
      <c r="AC362">
        <v>1</v>
      </c>
      <c r="AD362">
        <f t="shared" si="281"/>
        <v>88.309038418146002</v>
      </c>
      <c r="AE362">
        <f t="shared" si="282"/>
        <v>-2.7920658458956242E-2</v>
      </c>
      <c r="AF362">
        <f t="shared" si="283"/>
        <v>1.8449442660096002E-2</v>
      </c>
      <c r="AG362">
        <f t="shared" si="315"/>
        <v>1429.8306921991987</v>
      </c>
      <c r="AH362">
        <f t="shared" si="316"/>
        <v>-2218.0515241002886</v>
      </c>
      <c r="AJ362">
        <f t="shared" si="284"/>
        <v>22100</v>
      </c>
      <c r="AK362">
        <f t="shared" si="285"/>
        <v>2100.3165413783286</v>
      </c>
      <c r="AL362">
        <v>1</v>
      </c>
      <c r="AM362">
        <f t="shared" si="286"/>
        <v>57.637955889445685</v>
      </c>
      <c r="AN362">
        <f t="shared" si="317"/>
        <v>43.079199914053092</v>
      </c>
      <c r="AO362">
        <f t="shared" si="318"/>
        <v>-382.68048302047572</v>
      </c>
      <c r="AQ362">
        <f t="shared" si="287"/>
        <v>4.5653741027327872E-3</v>
      </c>
      <c r="AR362">
        <f t="shared" si="288"/>
        <v>-6.7567536720445256</v>
      </c>
      <c r="AT362">
        <f t="shared" si="313"/>
        <v>-14980.300068235123</v>
      </c>
      <c r="AU362">
        <f t="shared" si="314"/>
        <v>-9671.1400149055553</v>
      </c>
      <c r="AV362">
        <f t="shared" si="302"/>
        <v>-2.5683234772200416</v>
      </c>
      <c r="AW362">
        <f t="shared" si="303"/>
        <v>-2145.5604667095918</v>
      </c>
      <c r="AX362">
        <f t="shared" si="304"/>
        <v>-3736.94310689041</v>
      </c>
      <c r="AY362">
        <f t="shared" si="312"/>
        <v>-2.0919904839937891</v>
      </c>
      <c r="BA362">
        <f t="shared" si="289"/>
        <v>4.1379784438753369</v>
      </c>
      <c r="BB362">
        <f t="shared" si="305"/>
        <v>12.335764478984956</v>
      </c>
      <c r="BC362">
        <f t="shared" si="306"/>
        <v>-0.47633299322625255</v>
      </c>
      <c r="BD362">
        <f t="shared" si="290"/>
        <v>-207.2918701858834</v>
      </c>
      <c r="BF362">
        <f t="shared" si="291"/>
        <v>-31.787880972099515</v>
      </c>
      <c r="BG362">
        <f t="shared" si="292"/>
        <v>-201.57871177853349</v>
      </c>
      <c r="BH362">
        <f t="shared" si="307"/>
        <v>-21.578711778533489</v>
      </c>
      <c r="BI362">
        <f t="shared" si="308"/>
        <v>-21.578711778533489</v>
      </c>
      <c r="BJ362">
        <f t="shared" si="293"/>
        <v>0</v>
      </c>
      <c r="BK362">
        <f t="shared" si="309"/>
        <v>0</v>
      </c>
      <c r="BM362">
        <f t="shared" si="310"/>
        <v>-44.123645451084471</v>
      </c>
      <c r="BN362">
        <f t="shared" si="294"/>
        <v>-174.28684159265009</v>
      </c>
      <c r="BQ362" s="56">
        <f t="shared" si="311"/>
        <v>29.237725279270094</v>
      </c>
      <c r="BR362" s="59"/>
      <c r="BS362" s="59"/>
      <c r="BT362" s="59">
        <v>331131.12099999998</v>
      </c>
      <c r="BU362" s="59">
        <v>15.331</v>
      </c>
      <c r="BV362" s="59">
        <v>-194.60300000000001</v>
      </c>
      <c r="BW362" s="61"/>
      <c r="BY362" s="59"/>
      <c r="BZ362" s="59"/>
      <c r="CA362" s="59"/>
      <c r="CC362" s="59"/>
    </row>
    <row r="363" spans="1:81" x14ac:dyDescent="0.2">
      <c r="A363">
        <f t="shared" si="263"/>
        <v>745000</v>
      </c>
      <c r="B363">
        <f t="shared" si="295"/>
        <v>745</v>
      </c>
      <c r="C363">
        <f t="shared" si="264"/>
        <v>1.0043727413029055</v>
      </c>
      <c r="D363">
        <f t="shared" si="265"/>
        <v>9.3347377879186746E-2</v>
      </c>
      <c r="F363">
        <f t="shared" si="266"/>
        <v>4.0738536181959096E-4</v>
      </c>
      <c r="G363">
        <f t="shared" si="267"/>
        <v>6.9419999262525902E-3</v>
      </c>
      <c r="H363">
        <f t="shared" si="268"/>
        <v>-3.1346506500737474</v>
      </c>
      <c r="J363">
        <f t="shared" si="269"/>
        <v>15</v>
      </c>
      <c r="M363">
        <f t="shared" si="270"/>
        <v>2.4361269835221654E-3</v>
      </c>
      <c r="N363">
        <f t="shared" si="271"/>
        <v>-1.5707963250000001</v>
      </c>
      <c r="O363">
        <f t="shared" si="272"/>
        <v>88.911344867331991</v>
      </c>
      <c r="P363">
        <f t="shared" si="273"/>
        <v>1.5595489310234276</v>
      </c>
      <c r="Q363">
        <f t="shared" si="274"/>
        <v>58.036017516509013</v>
      </c>
      <c r="R363">
        <f t="shared" si="275"/>
        <v>1.5535647948579339</v>
      </c>
      <c r="S363">
        <f t="shared" si="276"/>
        <v>0.99545394485626015</v>
      </c>
      <c r="T363">
        <f t="shared" si="277"/>
        <v>-9.5388718009054935E-2</v>
      </c>
      <c r="U363">
        <f t="shared" si="278"/>
        <v>0.54871271381884479</v>
      </c>
      <c r="V363">
        <f t="shared" si="279"/>
        <v>-0.98997266419603192</v>
      </c>
      <c r="X363">
        <f t="shared" si="296"/>
        <v>-27.505750077567495</v>
      </c>
      <c r="Y363">
        <f t="shared" si="280"/>
        <v>-148.07219059202075</v>
      </c>
      <c r="Z363">
        <f t="shared" si="297"/>
        <v>31.927809407979254</v>
      </c>
      <c r="AC363">
        <v>1</v>
      </c>
      <c r="AD363">
        <f t="shared" si="281"/>
        <v>88.905721110160499</v>
      </c>
      <c r="AE363">
        <f t="shared" si="282"/>
        <v>-2.8299239337440083E-2</v>
      </c>
      <c r="AF363">
        <f t="shared" si="283"/>
        <v>1.8574101056448002E-2</v>
      </c>
      <c r="AG363">
        <f t="shared" si="315"/>
        <v>1416.4618902373441</v>
      </c>
      <c r="AH363">
        <f t="shared" si="316"/>
        <v>-2211.9398359753618</v>
      </c>
      <c r="AJ363">
        <f t="shared" si="284"/>
        <v>22100</v>
      </c>
      <c r="AK363">
        <f t="shared" si="285"/>
        <v>2114.5078693606142</v>
      </c>
      <c r="AL363">
        <v>1</v>
      </c>
      <c r="AM363">
        <f t="shared" si="286"/>
        <v>58.027401537347338</v>
      </c>
      <c r="AN363">
        <f t="shared" si="317"/>
        <v>42.99040610307113</v>
      </c>
      <c r="AO363">
        <f t="shared" si="318"/>
        <v>-380.11368783592167</v>
      </c>
      <c r="AQ363">
        <f t="shared" si="287"/>
        <v>4.50429957916329E-3</v>
      </c>
      <c r="AR363">
        <f t="shared" si="288"/>
        <v>-6.7114063729533022</v>
      </c>
      <c r="AT363">
        <f t="shared" si="313"/>
        <v>-14838.84694305823</v>
      </c>
      <c r="AU363">
        <f t="shared" si="314"/>
        <v>-9516.41459685671</v>
      </c>
      <c r="AV363">
        <f t="shared" si="302"/>
        <v>-2.5713452459235677</v>
      </c>
      <c r="AW363">
        <f t="shared" si="303"/>
        <v>-2114.8422471954386</v>
      </c>
      <c r="AX363">
        <f t="shared" si="304"/>
        <v>-3713.5928228078037</v>
      </c>
      <c r="AY363">
        <f t="shared" si="312"/>
        <v>-2.0884774510608155</v>
      </c>
      <c r="BA363">
        <f t="shared" si="289"/>
        <v>4.1249439928838179</v>
      </c>
      <c r="BB363">
        <f t="shared" si="305"/>
        <v>12.308361124401868</v>
      </c>
      <c r="BC363">
        <f t="shared" si="306"/>
        <v>-0.48286779486275222</v>
      </c>
      <c r="BD363">
        <f t="shared" si="290"/>
        <v>-207.66628674003786</v>
      </c>
      <c r="BF363">
        <f t="shared" si="291"/>
        <v>-31.931806948394332</v>
      </c>
      <c r="BG363">
        <f t="shared" si="292"/>
        <v>-201.92012865522724</v>
      </c>
      <c r="BH363">
        <f t="shared" si="307"/>
        <v>-21.920128655227245</v>
      </c>
      <c r="BI363">
        <f t="shared" si="308"/>
        <v>-21.920128655227245</v>
      </c>
      <c r="BJ363">
        <f t="shared" si="293"/>
        <v>0</v>
      </c>
      <c r="BK363">
        <f t="shared" si="309"/>
        <v>0</v>
      </c>
      <c r="BM363">
        <f t="shared" si="310"/>
        <v>-44.240168072796202</v>
      </c>
      <c r="BN363">
        <f t="shared" si="294"/>
        <v>-174.25384191518938</v>
      </c>
      <c r="BQ363" s="56">
        <f t="shared" si="311"/>
        <v>29.210321924687005</v>
      </c>
      <c r="BR363" s="59"/>
      <c r="BS363" s="59"/>
      <c r="BT363" s="59">
        <v>338844.15600000002</v>
      </c>
      <c r="BU363" s="59">
        <v>15.2844</v>
      </c>
      <c r="BV363" s="59">
        <v>-197.85300000000001</v>
      </c>
      <c r="BW363" s="61"/>
      <c r="BY363" s="59"/>
      <c r="BZ363" s="59"/>
      <c r="CA363" s="59"/>
      <c r="CC363" s="59"/>
    </row>
    <row r="364" spans="1:81" x14ac:dyDescent="0.2">
      <c r="A364">
        <f t="shared" ref="A364:A427" si="319">A363+5000</f>
        <v>750000</v>
      </c>
      <c r="B364">
        <f t="shared" si="295"/>
        <v>750</v>
      </c>
      <c r="C364">
        <f t="shared" si="264"/>
        <v>1.0044315028615345</v>
      </c>
      <c r="D364">
        <f t="shared" si="265"/>
        <v>9.3970200894956821E-2</v>
      </c>
      <c r="F364">
        <f t="shared" si="266"/>
        <v>4.0196960747041751E-4</v>
      </c>
      <c r="G364">
        <f t="shared" si="267"/>
        <v>6.8956839278866561E-3</v>
      </c>
      <c r="H364">
        <f t="shared" si="268"/>
        <v>-3.1346969660721133</v>
      </c>
      <c r="J364">
        <f t="shared" si="269"/>
        <v>15</v>
      </c>
      <c r="M364">
        <f t="shared" si="270"/>
        <v>2.4198861369653514E-3</v>
      </c>
      <c r="N364">
        <f t="shared" si="271"/>
        <v>-1.5707963250000001</v>
      </c>
      <c r="O364">
        <f t="shared" si="272"/>
        <v>89.507990069979755</v>
      </c>
      <c r="P364">
        <f t="shared" si="273"/>
        <v>1.5596239074014215</v>
      </c>
      <c r="Q364">
        <f t="shared" si="274"/>
        <v>58.425405732991997</v>
      </c>
      <c r="R364">
        <f t="shared" si="275"/>
        <v>1.5536796492257599</v>
      </c>
      <c r="S364">
        <f t="shared" si="276"/>
        <v>0.99539314165519255</v>
      </c>
      <c r="T364">
        <f t="shared" si="277"/>
        <v>-9.6024995572096886E-2</v>
      </c>
      <c r="U364">
        <f t="shared" si="278"/>
        <v>0.54614831943143771</v>
      </c>
      <c r="V364">
        <f t="shared" si="279"/>
        <v>-0.9930370045047735</v>
      </c>
      <c r="X364">
        <f t="shared" si="296"/>
        <v>-27.604629569426635</v>
      </c>
      <c r="Y364">
        <f t="shared" si="280"/>
        <v>-148.24031245834246</v>
      </c>
      <c r="Z364">
        <f t="shared" si="297"/>
        <v>31.759687541657541</v>
      </c>
      <c r="AC364">
        <v>1</v>
      </c>
      <c r="AD364">
        <f t="shared" si="281"/>
        <v>89.50240380217501</v>
      </c>
      <c r="AE364">
        <f t="shared" si="282"/>
        <v>-2.8680369582108997E-2</v>
      </c>
      <c r="AF364">
        <f t="shared" si="283"/>
        <v>1.8698759452800005E-2</v>
      </c>
      <c r="AG364">
        <f t="shared" si="315"/>
        <v>1403.2532331584659</v>
      </c>
      <c r="AH364">
        <f t="shared" si="316"/>
        <v>-2205.8052272605664</v>
      </c>
      <c r="AJ364">
        <f t="shared" si="284"/>
        <v>22100</v>
      </c>
      <c r="AK364">
        <f t="shared" si="285"/>
        <v>2128.6991973429003</v>
      </c>
      <c r="AL364">
        <v>1</v>
      </c>
      <c r="AM364">
        <f t="shared" si="286"/>
        <v>58.416847185249004</v>
      </c>
      <c r="AN364">
        <f t="shared" si="317"/>
        <v>42.903381548399992</v>
      </c>
      <c r="AO364">
        <f t="shared" si="318"/>
        <v>-377.58108630041397</v>
      </c>
      <c r="AQ364">
        <f t="shared" si="287"/>
        <v>4.4444424691366807E-3</v>
      </c>
      <c r="AR364">
        <f t="shared" si="288"/>
        <v>-6.6666637037050203</v>
      </c>
      <c r="AT364">
        <f t="shared" si="313"/>
        <v>-14699.124967756419</v>
      </c>
      <c r="AU364">
        <f t="shared" si="314"/>
        <v>-9364.820971034942</v>
      </c>
      <c r="AV364">
        <f t="shared" si="302"/>
        <v>-2.5743390841252438</v>
      </c>
      <c r="AW364">
        <f t="shared" si="303"/>
        <v>-2084.7644705982507</v>
      </c>
      <c r="AX364">
        <f t="shared" si="304"/>
        <v>-3690.5381398687573</v>
      </c>
      <c r="AY364">
        <f t="shared" si="312"/>
        <v>-2.0850028466978063</v>
      </c>
      <c r="BA364">
        <f t="shared" si="289"/>
        <v>4.1118641288650117</v>
      </c>
      <c r="BB364">
        <f t="shared" si="305"/>
        <v>12.280775110702136</v>
      </c>
      <c r="BC364">
        <f t="shared" si="306"/>
        <v>-0.48933623742743748</v>
      </c>
      <c r="BD364">
        <f t="shared" si="290"/>
        <v>-208.03690119944059</v>
      </c>
      <c r="BF364">
        <f t="shared" si="291"/>
        <v>-32.075128845079689</v>
      </c>
      <c r="BG364">
        <f t="shared" si="292"/>
        <v>-202.25771169563529</v>
      </c>
      <c r="BH364">
        <f t="shared" si="307"/>
        <v>-22.257711695635294</v>
      </c>
      <c r="BI364">
        <f t="shared" si="308"/>
        <v>-22.257711695635294</v>
      </c>
      <c r="BJ364">
        <f t="shared" si="293"/>
        <v>0</v>
      </c>
      <c r="BK364">
        <f t="shared" si="309"/>
        <v>0</v>
      </c>
      <c r="BM364">
        <f t="shared" si="310"/>
        <v>-44.355903955781827</v>
      </c>
      <c r="BN364">
        <f t="shared" si="294"/>
        <v>-174.2208104961947</v>
      </c>
      <c r="BQ364" s="56">
        <f t="shared" si="311"/>
        <v>29.182735910987276</v>
      </c>
      <c r="BR364" s="59"/>
      <c r="BS364" s="59"/>
      <c r="BT364" s="59">
        <v>346736.85</v>
      </c>
      <c r="BU364" s="59">
        <v>15.295400000000001</v>
      </c>
      <c r="BV364" s="59">
        <v>-200.482</v>
      </c>
      <c r="BW364" s="61"/>
      <c r="BY364" s="59"/>
      <c r="BZ364" s="59"/>
      <c r="CA364" s="59"/>
      <c r="CC364" s="59"/>
    </row>
    <row r="365" spans="1:81" x14ac:dyDescent="0.2">
      <c r="A365">
        <f t="shared" si="319"/>
        <v>755000</v>
      </c>
      <c r="B365">
        <f t="shared" si="295"/>
        <v>755</v>
      </c>
      <c r="C365">
        <f t="shared" si="264"/>
        <v>1.0044906540020162</v>
      </c>
      <c r="D365">
        <f t="shared" si="265"/>
        <v>9.459295080028822E-2</v>
      </c>
      <c r="F365">
        <f t="shared" si="266"/>
        <v>3.9666114796119053E-4</v>
      </c>
      <c r="G365">
        <f t="shared" si="267"/>
        <v>6.8499820949175574E-3</v>
      </c>
      <c r="H365">
        <f t="shared" si="268"/>
        <v>-3.1347426679050825</v>
      </c>
      <c r="J365">
        <f t="shared" si="269"/>
        <v>15</v>
      </c>
      <c r="M365">
        <f t="shared" si="270"/>
        <v>2.4038604009589582E-3</v>
      </c>
      <c r="N365">
        <f t="shared" si="271"/>
        <v>-1.5707963250000001</v>
      </c>
      <c r="O365">
        <f t="shared" si="272"/>
        <v>90.104635769129246</v>
      </c>
      <c r="P365">
        <f t="shared" si="273"/>
        <v>1.5596978908379413</v>
      </c>
      <c r="Q365">
        <f t="shared" si="274"/>
        <v>58.814794709989997</v>
      </c>
      <c r="R365">
        <f t="shared" si="275"/>
        <v>1.5537929827863968</v>
      </c>
      <c r="S365">
        <f t="shared" si="276"/>
        <v>0.99533194299614525</v>
      </c>
      <c r="T365">
        <f t="shared" si="277"/>
        <v>-9.6661195153573631E-2</v>
      </c>
      <c r="U365">
        <f t="shared" si="278"/>
        <v>0.54360274931696795</v>
      </c>
      <c r="V365">
        <f t="shared" si="279"/>
        <v>-0.99607280762431727</v>
      </c>
      <c r="X365">
        <f t="shared" si="296"/>
        <v>-27.703012506989872</v>
      </c>
      <c r="Y365">
        <f t="shared" si="280"/>
        <v>-148.40690782317131</v>
      </c>
      <c r="Z365">
        <f t="shared" si="297"/>
        <v>31.593092176828691</v>
      </c>
      <c r="AC365">
        <v>1</v>
      </c>
      <c r="AD365">
        <f t="shared" si="281"/>
        <v>90.099086494189507</v>
      </c>
      <c r="AE365">
        <f t="shared" si="282"/>
        <v>-2.9064049192962991E-2</v>
      </c>
      <c r="AF365">
        <f t="shared" si="283"/>
        <v>1.8823417849152004E-2</v>
      </c>
      <c r="AG365">
        <f t="shared" si="315"/>
        <v>1390.2027312187347</v>
      </c>
      <c r="AH365">
        <f t="shared" si="316"/>
        <v>-2199.6494419953656</v>
      </c>
      <c r="AJ365">
        <f t="shared" si="284"/>
        <v>22100</v>
      </c>
      <c r="AK365">
        <f t="shared" si="285"/>
        <v>2142.8905253251864</v>
      </c>
      <c r="AL365">
        <v>1</v>
      </c>
      <c r="AM365">
        <f t="shared" si="286"/>
        <v>58.806292833150664</v>
      </c>
      <c r="AN365">
        <f t="shared" si="317"/>
        <v>42.818079560519841</v>
      </c>
      <c r="AO365">
        <f t="shared" si="318"/>
        <v>-375.08199986388638</v>
      </c>
      <c r="AQ365">
        <f t="shared" si="287"/>
        <v>4.3857706303361121E-3</v>
      </c>
      <c r="AR365">
        <f t="shared" si="288"/>
        <v>-6.6225136518075294</v>
      </c>
      <c r="AT365">
        <f t="shared" si="313"/>
        <v>-14561.11134849633</v>
      </c>
      <c r="AU365">
        <f t="shared" si="314"/>
        <v>-9216.2837241959223</v>
      </c>
      <c r="AV365">
        <f t="shared" si="302"/>
        <v>-2.577305318817356</v>
      </c>
      <c r="AW365">
        <f t="shared" si="303"/>
        <v>-2055.3096389764892</v>
      </c>
      <c r="AX365">
        <f t="shared" si="304"/>
        <v>-3667.7732107887223</v>
      </c>
      <c r="AY365">
        <f t="shared" si="312"/>
        <v>-2.0815661826891043</v>
      </c>
      <c r="BA365">
        <f t="shared" si="289"/>
        <v>4.0987432780301507</v>
      </c>
      <c r="BB365">
        <f t="shared" si="305"/>
        <v>12.253014348635682</v>
      </c>
      <c r="BC365">
        <f t="shared" si="306"/>
        <v>-0.49573913612825171</v>
      </c>
      <c r="BD365">
        <f t="shared" si="290"/>
        <v>-208.40376027206625</v>
      </c>
      <c r="BF365">
        <f t="shared" si="291"/>
        <v>-32.217849175167515</v>
      </c>
      <c r="BG365">
        <f t="shared" si="292"/>
        <v>-202.59150834910062</v>
      </c>
      <c r="BH365">
        <f t="shared" si="307"/>
        <v>-22.591508349100621</v>
      </c>
      <c r="BI365">
        <f t="shared" si="308"/>
        <v>-22.591508349100621</v>
      </c>
      <c r="BJ365">
        <f t="shared" si="293"/>
        <v>0</v>
      </c>
      <c r="BK365">
        <f t="shared" si="309"/>
        <v>0</v>
      </c>
      <c r="BM365">
        <f t="shared" si="310"/>
        <v>-44.470863523803203</v>
      </c>
      <c r="BN365">
        <f t="shared" si="294"/>
        <v>-174.1877480770344</v>
      </c>
      <c r="BQ365" s="56">
        <f t="shared" si="311"/>
        <v>29.154975148920819</v>
      </c>
      <c r="BR365" s="59"/>
      <c r="BS365" s="59"/>
      <c r="BT365" s="59">
        <v>354813.38900000002</v>
      </c>
      <c r="BU365" s="59">
        <v>15.3028</v>
      </c>
      <c r="BV365" s="59">
        <v>-203.33199999999999</v>
      </c>
      <c r="BW365" s="61"/>
      <c r="BY365" s="59"/>
      <c r="BZ365" s="59"/>
      <c r="CA365" s="59"/>
      <c r="CC365" s="59"/>
    </row>
    <row r="366" spans="1:81" x14ac:dyDescent="0.2">
      <c r="A366">
        <f t="shared" si="319"/>
        <v>760000</v>
      </c>
      <c r="B366">
        <f t="shared" si="295"/>
        <v>760</v>
      </c>
      <c r="C366">
        <f t="shared" si="264"/>
        <v>1.0045501946555313</v>
      </c>
      <c r="D366">
        <f t="shared" si="265"/>
        <v>9.5215627125112209E-2</v>
      </c>
      <c r="F366">
        <f t="shared" si="266"/>
        <v>3.9145716730637774E-4</v>
      </c>
      <c r="G366">
        <f t="shared" si="267"/>
        <v>6.8048822871885255E-3</v>
      </c>
      <c r="H366">
        <f t="shared" si="268"/>
        <v>-3.1347877677128118</v>
      </c>
      <c r="J366">
        <f t="shared" si="269"/>
        <v>15</v>
      </c>
      <c r="M366">
        <f t="shared" si="270"/>
        <v>2.3880455299000176E-3</v>
      </c>
      <c r="N366">
        <f t="shared" si="271"/>
        <v>-1.5707963250000001</v>
      </c>
      <c r="O366">
        <f t="shared" si="272"/>
        <v>90.701281954982278</v>
      </c>
      <c r="P366">
        <f t="shared" si="273"/>
        <v>1.5597709009273077</v>
      </c>
      <c r="Q366">
        <f t="shared" si="274"/>
        <v>59.204184432497158</v>
      </c>
      <c r="R366">
        <f t="shared" si="275"/>
        <v>1.5539048255442436</v>
      </c>
      <c r="S366">
        <f t="shared" si="276"/>
        <v>0.99527034910066214</v>
      </c>
      <c r="T366">
        <f t="shared" si="277"/>
        <v>-9.7297316252911936E-2</v>
      </c>
      <c r="U366">
        <f t="shared" si="278"/>
        <v>0.54107588126964545</v>
      </c>
      <c r="V366">
        <f t="shared" si="279"/>
        <v>-0.99908041516090929</v>
      </c>
      <c r="X366">
        <f t="shared" si="296"/>
        <v>-27.800903549690034</v>
      </c>
      <c r="Y366">
        <f t="shared" si="280"/>
        <v>-148.571994111138</v>
      </c>
      <c r="Z366">
        <f t="shared" si="297"/>
        <v>31.428005888862003</v>
      </c>
      <c r="AC366">
        <v>1</v>
      </c>
      <c r="AD366">
        <f t="shared" si="281"/>
        <v>90.695769186204004</v>
      </c>
      <c r="AE366">
        <f t="shared" si="282"/>
        <v>-2.9450278170002061E-2</v>
      </c>
      <c r="AF366">
        <f t="shared" si="283"/>
        <v>1.8948076245504004E-2</v>
      </c>
      <c r="AG366">
        <f t="shared" si="315"/>
        <v>1377.3084096685427</v>
      </c>
      <c r="AH366">
        <f t="shared" si="316"/>
        <v>-2193.4741686762841</v>
      </c>
      <c r="AJ366">
        <f t="shared" si="284"/>
        <v>22100</v>
      </c>
      <c r="AK366">
        <f t="shared" si="285"/>
        <v>2157.0818533074721</v>
      </c>
      <c r="AL366">
        <v>1</v>
      </c>
      <c r="AM366">
        <f t="shared" si="286"/>
        <v>59.195738481052331</v>
      </c>
      <c r="AN366">
        <f t="shared" si="317"/>
        <v>42.734454979798905</v>
      </c>
      <c r="AO366">
        <f t="shared" si="318"/>
        <v>-372.61576780700864</v>
      </c>
      <c r="AQ366">
        <f t="shared" si="287"/>
        <v>4.3282529742672375E-3</v>
      </c>
      <c r="AR366">
        <f t="shared" si="288"/>
        <v>-6.5789445208862007</v>
      </c>
      <c r="AT366">
        <f t="shared" si="313"/>
        <v>-14424.783524497621</v>
      </c>
      <c r="AU366">
        <f t="shared" si="314"/>
        <v>-9070.7295264538971</v>
      </c>
      <c r="AV366">
        <f t="shared" si="302"/>
        <v>-2.5802442731814703</v>
      </c>
      <c r="AW366">
        <f t="shared" si="303"/>
        <v>-2026.4608411460904</v>
      </c>
      <c r="AX366">
        <f t="shared" si="304"/>
        <v>-3645.292349955128</v>
      </c>
      <c r="AY366">
        <f t="shared" si="312"/>
        <v>-2.0781669745929925</v>
      </c>
      <c r="BA366">
        <f t="shared" si="289"/>
        <v>4.0855857070223633</v>
      </c>
      <c r="BB366">
        <f t="shared" si="305"/>
        <v>12.225086510361777</v>
      </c>
      <c r="BC366">
        <f t="shared" si="306"/>
        <v>-0.50207729858847783</v>
      </c>
      <c r="BD366">
        <f t="shared" si="290"/>
        <v>-208.76691023132042</v>
      </c>
      <c r="BF366">
        <f t="shared" si="291"/>
        <v>-32.359970483566926</v>
      </c>
      <c r="BG366">
        <f t="shared" si="292"/>
        <v>-202.92156561154158</v>
      </c>
      <c r="BH366">
        <f t="shared" si="307"/>
        <v>-22.921565611541581</v>
      </c>
      <c r="BI366">
        <f t="shared" si="308"/>
        <v>-22.921565611541581</v>
      </c>
      <c r="BJ366">
        <f t="shared" si="293"/>
        <v>0</v>
      </c>
      <c r="BK366">
        <f t="shared" si="309"/>
        <v>0</v>
      </c>
      <c r="BM366">
        <f t="shared" si="310"/>
        <v>-44.585056993928703</v>
      </c>
      <c r="BN366">
        <f t="shared" si="294"/>
        <v>-174.15465538022119</v>
      </c>
      <c r="BQ366" s="56">
        <f t="shared" si="311"/>
        <v>29.127047310646912</v>
      </c>
      <c r="BR366" s="59"/>
      <c r="BS366" s="59"/>
      <c r="BT366" s="59">
        <v>363078.05499999999</v>
      </c>
      <c r="BU366" s="59">
        <v>15.049200000000001</v>
      </c>
      <c r="BV366" s="59">
        <v>-205.19499999999999</v>
      </c>
      <c r="BW366" s="61"/>
      <c r="BY366" s="59"/>
      <c r="BZ366" s="59"/>
      <c r="CA366" s="59"/>
      <c r="CC366" s="59"/>
    </row>
    <row r="367" spans="1:81" x14ac:dyDescent="0.2">
      <c r="A367">
        <f t="shared" si="319"/>
        <v>765000</v>
      </c>
      <c r="B367">
        <f t="shared" si="295"/>
        <v>765</v>
      </c>
      <c r="C367">
        <f t="shared" si="264"/>
        <v>1.0046101247528239</v>
      </c>
      <c r="D367">
        <f t="shared" si="265"/>
        <v>9.5838229399699396E-2</v>
      </c>
      <c r="F367">
        <f t="shared" si="266"/>
        <v>3.8635494131198235E-4</v>
      </c>
      <c r="G367">
        <f t="shared" si="267"/>
        <v>6.7603726825306715E-3</v>
      </c>
      <c r="H367">
        <f t="shared" si="268"/>
        <v>-3.1348322773174697</v>
      </c>
      <c r="J367">
        <f t="shared" si="269"/>
        <v>15</v>
      </c>
      <c r="M367">
        <f t="shared" si="270"/>
        <v>2.3724373891817166E-3</v>
      </c>
      <c r="N367">
        <f t="shared" si="271"/>
        <v>-1.5707963250000001</v>
      </c>
      <c r="O367">
        <f t="shared" si="272"/>
        <v>91.297928617996817</v>
      </c>
      <c r="P367">
        <f t="shared" si="273"/>
        <v>1.5598429567516763</v>
      </c>
      <c r="Q367">
        <f t="shared" si="274"/>
        <v>59.59357488589982</v>
      </c>
      <c r="R367">
        <f t="shared" si="275"/>
        <v>1.5540152067196438</v>
      </c>
      <c r="S367">
        <f t="shared" si="276"/>
        <v>0.99520836019164283</v>
      </c>
      <c r="T367">
        <f t="shared" si="277"/>
        <v>-9.7933358369916151E-2</v>
      </c>
      <c r="U367">
        <f t="shared" si="278"/>
        <v>0.53856759189364412</v>
      </c>
      <c r="V367">
        <f t="shared" si="279"/>
        <v>-1.0020601644453806</v>
      </c>
      <c r="X367">
        <f t="shared" si="296"/>
        <v>-27.898307288648372</v>
      </c>
      <c r="Y367">
        <f t="shared" si="280"/>
        <v>-148.73558855796102</v>
      </c>
      <c r="Z367">
        <f t="shared" si="297"/>
        <v>31.264411442038977</v>
      </c>
      <c r="AC367">
        <v>1</v>
      </c>
      <c r="AD367">
        <f t="shared" si="281"/>
        <v>91.2924518782185</v>
      </c>
      <c r="AE367">
        <f t="shared" si="282"/>
        <v>-2.9839056513226207E-2</v>
      </c>
      <c r="AF367">
        <f t="shared" si="283"/>
        <v>1.9072734641856003E-2</v>
      </c>
      <c r="AG367">
        <f t="shared" si="315"/>
        <v>1364.5683092659153</v>
      </c>
      <c r="AH367">
        <f t="shared" si="316"/>
        <v>-2187.2810417438691</v>
      </c>
      <c r="AJ367">
        <f t="shared" si="284"/>
        <v>22100</v>
      </c>
      <c r="AK367">
        <f t="shared" si="285"/>
        <v>2171.2731812897582</v>
      </c>
      <c r="AL367">
        <v>1</v>
      </c>
      <c r="AM367">
        <f t="shared" si="286"/>
        <v>59.585184128953983</v>
      </c>
      <c r="AN367">
        <f t="shared" si="317"/>
        <v>42.65246411673477</v>
      </c>
      <c r="AO367">
        <f t="shared" si="318"/>
        <v>-370.1817466594859</v>
      </c>
      <c r="AQ367">
        <f t="shared" si="287"/>
        <v>4.2718594250675274E-3</v>
      </c>
      <c r="AR367">
        <f t="shared" si="288"/>
        <v>-6.5359449203533169</v>
      </c>
      <c r="AT367">
        <f t="shared" si="313"/>
        <v>-14290.119170177866</v>
      </c>
      <c r="AU367">
        <f t="shared" si="314"/>
        <v>-8928.0870665551192</v>
      </c>
      <c r="AV367">
        <f t="shared" si="302"/>
        <v>-2.5831562666053243</v>
      </c>
      <c r="AW367">
        <f t="shared" si="303"/>
        <v>-1998.201729468195</v>
      </c>
      <c r="AX367">
        <f t="shared" si="304"/>
        <v>-3623.0900276537841</v>
      </c>
      <c r="AY367">
        <f t="shared" si="312"/>
        <v>-2.0748047418963074</v>
      </c>
      <c r="BA367">
        <f t="shared" si="289"/>
        <v>4.0723955275179842</v>
      </c>
      <c r="BB367">
        <f t="shared" si="305"/>
        <v>12.196999036262014</v>
      </c>
      <c r="BC367">
        <f t="shared" si="306"/>
        <v>-0.5083515247090169</v>
      </c>
      <c r="BD367">
        <f t="shared" si="290"/>
        <v>-209.12639690814882</v>
      </c>
      <c r="BF367">
        <f t="shared" si="291"/>
        <v>-32.501495345703063</v>
      </c>
      <c r="BG367">
        <f t="shared" si="292"/>
        <v>-203.24793001817775</v>
      </c>
      <c r="BH367">
        <f t="shared" si="307"/>
        <v>-23.247930018177755</v>
      </c>
      <c r="BI367">
        <f t="shared" si="308"/>
        <v>-23.247930018177755</v>
      </c>
      <c r="BJ367">
        <f t="shared" si="293"/>
        <v>0</v>
      </c>
      <c r="BK367">
        <f t="shared" si="309"/>
        <v>0</v>
      </c>
      <c r="BM367">
        <f t="shared" si="310"/>
        <v>-44.698494381965084</v>
      </c>
      <c r="BN367">
        <f t="shared" si="294"/>
        <v>-174.12153311002896</v>
      </c>
      <c r="BQ367" s="56">
        <f t="shared" si="311"/>
        <v>29.098959836547145</v>
      </c>
      <c r="BR367" s="59"/>
      <c r="BS367" s="59"/>
      <c r="BT367" s="59">
        <v>371535.22899999999</v>
      </c>
      <c r="BU367" s="59">
        <v>14.9002</v>
      </c>
      <c r="BV367" s="59">
        <v>-207.41</v>
      </c>
      <c r="BW367" s="61"/>
      <c r="BY367" s="59"/>
      <c r="BZ367" s="59"/>
      <c r="CA367" s="59"/>
      <c r="CC367" s="59"/>
    </row>
    <row r="368" spans="1:81" x14ac:dyDescent="0.2">
      <c r="A368">
        <f t="shared" si="319"/>
        <v>770000</v>
      </c>
      <c r="B368">
        <f t="shared" si="295"/>
        <v>770</v>
      </c>
      <c r="C368">
        <f t="shared" si="264"/>
        <v>1.0046704442242005</v>
      </c>
      <c r="D368">
        <f t="shared" si="265"/>
        <v>9.646075715466168E-2</v>
      </c>
      <c r="F368">
        <f t="shared" si="266"/>
        <v>3.8135183400787805E-4</v>
      </c>
      <c r="G368">
        <f t="shared" si="267"/>
        <v>6.7164417664156021E-3</v>
      </c>
      <c r="H368">
        <f t="shared" si="268"/>
        <v>-3.1348762082335848</v>
      </c>
      <c r="J368">
        <f t="shared" si="269"/>
        <v>15</v>
      </c>
      <c r="M368">
        <f t="shared" si="270"/>
        <v>2.3570319515896277E-3</v>
      </c>
      <c r="N368">
        <f t="shared" si="271"/>
        <v>-1.5707963250000001</v>
      </c>
      <c r="O368">
        <f t="shared" si="272"/>
        <v>91.894575748878637</v>
      </c>
      <c r="P368">
        <f t="shared" si="273"/>
        <v>1.55991407689766</v>
      </c>
      <c r="Q368">
        <f t="shared" si="274"/>
        <v>59.98296605596375</v>
      </c>
      <c r="R368">
        <f t="shared" si="275"/>
        <v>1.554124154774327</v>
      </c>
      <c r="S368">
        <f t="shared" si="276"/>
        <v>0.99514597649334269</v>
      </c>
      <c r="T368">
        <f t="shared" si="277"/>
        <v>-9.8569321004770408E-2</v>
      </c>
      <c r="U368">
        <f t="shared" si="278"/>
        <v>0.53607775671143476</v>
      </c>
      <c r="V368">
        <f t="shared" si="279"/>
        <v>-1.0050123885673723</v>
      </c>
      <c r="X368">
        <f t="shared" si="296"/>
        <v>-27.995228248280135</v>
      </c>
      <c r="Y368">
        <f t="shared" si="280"/>
        <v>-148.89770821059</v>
      </c>
      <c r="Z368">
        <f t="shared" si="297"/>
        <v>31.102291789410003</v>
      </c>
      <c r="AC368">
        <v>1</v>
      </c>
      <c r="AD368">
        <f t="shared" si="281"/>
        <v>91.889134570232997</v>
      </c>
      <c r="AE368">
        <f t="shared" si="282"/>
        <v>-3.0230384222635413E-2</v>
      </c>
      <c r="AF368">
        <f t="shared" si="283"/>
        <v>1.9197393038208003E-2</v>
      </c>
      <c r="AG368">
        <f t="shared" si="315"/>
        <v>1351.9804867479888</v>
      </c>
      <c r="AH368">
        <f t="shared" si="316"/>
        <v>-2181.0716430383518</v>
      </c>
      <c r="AJ368">
        <f t="shared" si="284"/>
        <v>22100</v>
      </c>
      <c r="AK368">
        <f t="shared" si="285"/>
        <v>2185.4645092720443</v>
      </c>
      <c r="AL368">
        <v>1</v>
      </c>
      <c r="AM368">
        <f t="shared" si="286"/>
        <v>59.974629776855636</v>
      </c>
      <c r="AN368">
        <f t="shared" si="317"/>
        <v>42.572064694900781</v>
      </c>
      <c r="AO368">
        <f t="shared" si="318"/>
        <v>-367.77930964097618</v>
      </c>
      <c r="AQ368">
        <f t="shared" si="287"/>
        <v>4.2165608801817845E-3</v>
      </c>
      <c r="AR368">
        <f t="shared" si="288"/>
        <v>-6.4935037554799475</v>
      </c>
      <c r="AT368">
        <f t="shared" si="313"/>
        <v>-14157.096197009167</v>
      </c>
      <c r="AU368">
        <f t="shared" si="314"/>
        <v>-8788.2869894005817</v>
      </c>
      <c r="AV368">
        <f t="shared" si="302"/>
        <v>-2.586041614701422</v>
      </c>
      <c r="AW368">
        <f t="shared" si="303"/>
        <v>-1970.516497692691</v>
      </c>
      <c r="AX368">
        <f t="shared" si="304"/>
        <v>-3601.1608645454371</v>
      </c>
      <c r="AY368">
        <f t="shared" si="312"/>
        <v>-2.0714790081559791</v>
      </c>
      <c r="BA368">
        <f t="shared" si="289"/>
        <v>4.0591767007402622</v>
      </c>
      <c r="BB368">
        <f t="shared" si="305"/>
        <v>12.168759141576677</v>
      </c>
      <c r="BC368">
        <f t="shared" si="306"/>
        <v>-0.51456260654544295</v>
      </c>
      <c r="BD368">
        <f t="shared" si="290"/>
        <v>-209.48226568399303</v>
      </c>
      <c r="BF368">
        <f t="shared" si="291"/>
        <v>-32.642426366135247</v>
      </c>
      <c r="BG368">
        <f t="shared" si="292"/>
        <v>-203.57064763707854</v>
      </c>
      <c r="BH368">
        <f t="shared" si="307"/>
        <v>-23.570647637078537</v>
      </c>
      <c r="BI368">
        <f t="shared" si="308"/>
        <v>-23.570647637078537</v>
      </c>
      <c r="BJ368">
        <f t="shared" si="293"/>
        <v>0</v>
      </c>
      <c r="BK368">
        <f t="shared" si="309"/>
        <v>0</v>
      </c>
      <c r="BM368">
        <f t="shared" si="310"/>
        <v>-44.811185507711926</v>
      </c>
      <c r="BN368">
        <f t="shared" si="294"/>
        <v>-174.08838195308553</v>
      </c>
      <c r="BQ368" s="56">
        <f t="shared" si="311"/>
        <v>29.070719941861817</v>
      </c>
      <c r="BR368" s="59"/>
      <c r="BS368" s="59"/>
      <c r="BT368" s="59">
        <v>380189.39600000001</v>
      </c>
      <c r="BU368" s="59">
        <v>14.938000000000001</v>
      </c>
      <c r="BV368" s="59">
        <v>-210.39400000000001</v>
      </c>
      <c r="BW368" s="61"/>
      <c r="BY368" s="59"/>
      <c r="BZ368" s="59"/>
      <c r="CA368" s="59"/>
      <c r="CC368" s="59"/>
    </row>
    <row r="369" spans="1:81" x14ac:dyDescent="0.2">
      <c r="A369">
        <f t="shared" si="319"/>
        <v>775000</v>
      </c>
      <c r="B369">
        <f t="shared" si="295"/>
        <v>775</v>
      </c>
      <c r="C369">
        <f t="shared" si="264"/>
        <v>1.0047311529995331</v>
      </c>
      <c r="D369">
        <f t="shared" si="265"/>
        <v>9.7083209920954386E-2</v>
      </c>
      <c r="F369">
        <f t="shared" si="266"/>
        <v>3.7644529424089531E-4</v>
      </c>
      <c r="G369">
        <f t="shared" si="267"/>
        <v>6.6730783220096184E-3</v>
      </c>
      <c r="H369">
        <f t="shared" si="268"/>
        <v>-3.1349195716779907</v>
      </c>
      <c r="J369">
        <f t="shared" si="269"/>
        <v>15</v>
      </c>
      <c r="M369">
        <f t="shared" si="270"/>
        <v>2.3418252938374367E-3</v>
      </c>
      <c r="N369">
        <f t="shared" si="271"/>
        <v>-1.5707963250000001</v>
      </c>
      <c r="O369">
        <f t="shared" si="272"/>
        <v>92.491223338573278</v>
      </c>
      <c r="P369">
        <f t="shared" si="273"/>
        <v>1.5599842794723133</v>
      </c>
      <c r="Q369">
        <f t="shared" si="274"/>
        <v>60.372357928821934</v>
      </c>
      <c r="R369">
        <f t="shared" si="275"/>
        <v>1.554231697435867</v>
      </c>
      <c r="S369">
        <f t="shared" si="276"/>
        <v>0.99508319823136937</v>
      </c>
      <c r="T369">
        <f t="shared" si="277"/>
        <v>-9.9205203658040961E-2</v>
      </c>
      <c r="U369">
        <f t="shared" si="278"/>
        <v>0.53360625026751884</v>
      </c>
      <c r="V369">
        <f t="shared" si="279"/>
        <v>-1.0079374164105441</v>
      </c>
      <c r="X369">
        <f t="shared" si="296"/>
        <v>-28.091670887842284</v>
      </c>
      <c r="Y369">
        <f t="shared" si="280"/>
        <v>-149.05836992747589</v>
      </c>
      <c r="Z369">
        <f t="shared" si="297"/>
        <v>30.941630072524106</v>
      </c>
      <c r="AC369">
        <v>1</v>
      </c>
      <c r="AD369">
        <f t="shared" si="281"/>
        <v>92.485817262247494</v>
      </c>
      <c r="AE369">
        <f t="shared" si="282"/>
        <v>-3.0624261298229712E-2</v>
      </c>
      <c r="AF369">
        <f t="shared" si="283"/>
        <v>1.9322051434560002E-2</v>
      </c>
      <c r="AG369">
        <f t="shared" si="315"/>
        <v>1339.5430152626111</v>
      </c>
      <c r="AH369">
        <f t="shared" si="316"/>
        <v>-2174.8475032241131</v>
      </c>
      <c r="AJ369">
        <f t="shared" si="284"/>
        <v>22100</v>
      </c>
      <c r="AK369">
        <f t="shared" si="285"/>
        <v>2199.6558372543304</v>
      </c>
      <c r="AL369">
        <v>1</v>
      </c>
      <c r="AM369">
        <f t="shared" si="286"/>
        <v>60.364075424757303</v>
      </c>
      <c r="AN369">
        <f t="shared" si="317"/>
        <v>42.493215796458969</v>
      </c>
      <c r="AO369">
        <f t="shared" si="318"/>
        <v>-365.40784612360727</v>
      </c>
      <c r="AQ369">
        <f t="shared" si="287"/>
        <v>4.1623291728078368E-3</v>
      </c>
      <c r="AR369">
        <f t="shared" si="288"/>
        <v>-6.4516102178521466</v>
      </c>
      <c r="AT369">
        <f t="shared" si="313"/>
        <v>-14025.692755100259</v>
      </c>
      <c r="AU369">
        <f t="shared" si="314"/>
        <v>-8651.2618357298143</v>
      </c>
      <c r="AV369">
        <f t="shared" si="302"/>
        <v>-2.5889006293272137</v>
      </c>
      <c r="AW369">
        <f t="shared" si="303"/>
        <v>-1943.3898598033486</v>
      </c>
      <c r="AX369">
        <f t="shared" si="304"/>
        <v>-3579.4996263799258</v>
      </c>
      <c r="AY369">
        <f t="shared" si="312"/>
        <v>-2.0681893011281565</v>
      </c>
      <c r="BA369">
        <f t="shared" si="289"/>
        <v>4.0459330418838073</v>
      </c>
      <c r="BB369">
        <f t="shared" si="305"/>
        <v>12.140373822867712</v>
      </c>
      <c r="BC369">
        <f t="shared" si="306"/>
        <v>-0.52071132819905719</v>
      </c>
      <c r="BD369">
        <f t="shared" si="290"/>
        <v>-209.83456148454837</v>
      </c>
      <c r="BF369">
        <f t="shared" si="291"/>
        <v>-32.782766177178054</v>
      </c>
      <c r="BG369">
        <f t="shared" si="292"/>
        <v>-203.88976406349079</v>
      </c>
      <c r="BH369">
        <f t="shared" si="307"/>
        <v>-23.889764063490787</v>
      </c>
      <c r="BI369">
        <f t="shared" si="308"/>
        <v>-23.889764063490787</v>
      </c>
      <c r="BJ369">
        <f t="shared" si="293"/>
        <v>0</v>
      </c>
      <c r="BK369">
        <f t="shared" si="309"/>
        <v>0</v>
      </c>
      <c r="BM369">
        <f t="shared" si="310"/>
        <v>-44.92314000004577</v>
      </c>
      <c r="BN369">
        <f t="shared" si="294"/>
        <v>-174.05520257894241</v>
      </c>
      <c r="BQ369" s="56">
        <f t="shared" si="311"/>
        <v>29.042334623152847</v>
      </c>
      <c r="BR369" s="59"/>
      <c r="BS369" s="59"/>
      <c r="BT369" s="59">
        <v>389045.14500000002</v>
      </c>
      <c r="BU369" s="59">
        <v>14.7561</v>
      </c>
      <c r="BV369" s="59">
        <v>-213.04300000000001</v>
      </c>
      <c r="BW369" s="61"/>
      <c r="BY369" s="59"/>
      <c r="BZ369" s="59"/>
      <c r="CA369" s="59"/>
      <c r="CC369" s="59"/>
    </row>
    <row r="370" spans="1:81" x14ac:dyDescent="0.2">
      <c r="A370">
        <f t="shared" si="319"/>
        <v>780000</v>
      </c>
      <c r="B370">
        <f t="shared" si="295"/>
        <v>780</v>
      </c>
      <c r="C370">
        <f t="shared" si="264"/>
        <v>1.004792251008257</v>
      </c>
      <c r="D370">
        <f t="shared" si="265"/>
        <v>9.770558722987828E-2</v>
      </c>
      <c r="F370">
        <f t="shared" si="266"/>
        <v>3.7163285242043507E-4</v>
      </c>
      <c r="G370">
        <f t="shared" si="267"/>
        <v>6.6302714206114242E-3</v>
      </c>
      <c r="H370">
        <f t="shared" si="268"/>
        <v>-3.134962378579389</v>
      </c>
      <c r="J370">
        <f t="shared" si="269"/>
        <v>15</v>
      </c>
      <c r="M370">
        <f t="shared" si="270"/>
        <v>2.3268135932359149E-3</v>
      </c>
      <c r="N370">
        <f t="shared" si="271"/>
        <v>-1.5707963250000001</v>
      </c>
      <c r="O370">
        <f t="shared" si="272"/>
        <v>93.087871378258455</v>
      </c>
      <c r="P370">
        <f t="shared" si="273"/>
        <v>1.5600535821184969</v>
      </c>
      <c r="Q370">
        <f t="shared" si="274"/>
        <v>60.76175049096279</v>
      </c>
      <c r="R370">
        <f t="shared" si="275"/>
        <v>1.5543378617211991</v>
      </c>
      <c r="S370">
        <f t="shared" si="276"/>
        <v>0.99502002563268155</v>
      </c>
      <c r="T370">
        <f t="shared" si="277"/>
        <v>-9.9841005830678384E-2</v>
      </c>
      <c r="U370">
        <f t="shared" si="278"/>
        <v>0.53115294622772347</v>
      </c>
      <c r="V370">
        <f t="shared" si="279"/>
        <v>-1.0108355726886764</v>
      </c>
      <c r="X370">
        <f t="shared" si="296"/>
        <v>-28.187639602925966</v>
      </c>
      <c r="Y370">
        <f t="shared" si="280"/>
        <v>-149.21759037895967</v>
      </c>
      <c r="Z370">
        <f t="shared" si="297"/>
        <v>30.78240962104033</v>
      </c>
      <c r="AC370">
        <v>1</v>
      </c>
      <c r="AD370">
        <f t="shared" si="281"/>
        <v>93.082499954262005</v>
      </c>
      <c r="AE370">
        <f t="shared" si="282"/>
        <v>-3.102068774000909E-2</v>
      </c>
      <c r="AF370">
        <f t="shared" si="283"/>
        <v>1.9446709830912002E-2</v>
      </c>
      <c r="AG370">
        <f t="shared" si="315"/>
        <v>1327.2539847620524</v>
      </c>
      <c r="AH370">
        <f t="shared" si="316"/>
        <v>-2168.6101031831272</v>
      </c>
      <c r="AJ370">
        <f t="shared" si="284"/>
        <v>22100</v>
      </c>
      <c r="AK370">
        <f t="shared" si="285"/>
        <v>2213.8471652366161</v>
      </c>
      <c r="AL370">
        <v>1</v>
      </c>
      <c r="AM370">
        <f t="shared" si="286"/>
        <v>60.753521072658963</v>
      </c>
      <c r="AN370">
        <f t="shared" si="317"/>
        <v>42.415877810108313</v>
      </c>
      <c r="AO370">
        <f t="shared" si="318"/>
        <v>-363.06676111512684</v>
      </c>
      <c r="AQ370">
        <f t="shared" si="287"/>
        <v>4.1091370360219282E-3</v>
      </c>
      <c r="AR370">
        <f t="shared" si="288"/>
        <v>-6.4102537761942076</v>
      </c>
      <c r="AT370">
        <f t="shared" si="313"/>
        <v>-13895.887234517557</v>
      </c>
      <c r="AU370">
        <f t="shared" si="314"/>
        <v>-8516.9459838814364</v>
      </c>
      <c r="AV370">
        <f t="shared" si="302"/>
        <v>-2.5917336186067494</v>
      </c>
      <c r="AW370">
        <f t="shared" si="303"/>
        <v>-1916.8070298133962</v>
      </c>
      <c r="AX370">
        <f t="shared" si="304"/>
        <v>-3558.1012189360786</v>
      </c>
      <c r="AY370">
        <f t="shared" si="312"/>
        <v>-2.0649351528855373</v>
      </c>
      <c r="BA370">
        <f t="shared" si="289"/>
        <v>4.0326682244484706</v>
      </c>
      <c r="BB370">
        <f t="shared" si="305"/>
        <v>12.111849864311505</v>
      </c>
      <c r="BC370">
        <f t="shared" si="306"/>
        <v>-0.52679846572121214</v>
      </c>
      <c r="BD370">
        <f t="shared" si="290"/>
        <v>-210.1833287742821</v>
      </c>
      <c r="BF370">
        <f t="shared" si="291"/>
        <v>-32.922517437528811</v>
      </c>
      <c r="BG370">
        <f t="shared" si="292"/>
        <v>-204.20532441490465</v>
      </c>
      <c r="BH370">
        <f t="shared" si="307"/>
        <v>-24.205324414904652</v>
      </c>
      <c r="BI370">
        <f t="shared" si="308"/>
        <v>-24.205324414904652</v>
      </c>
      <c r="BJ370">
        <f t="shared" si="293"/>
        <v>0</v>
      </c>
      <c r="BK370">
        <f t="shared" si="309"/>
        <v>0</v>
      </c>
      <c r="BM370">
        <f t="shared" si="310"/>
        <v>-45.034367301840312</v>
      </c>
      <c r="BN370">
        <f t="shared" si="294"/>
        <v>-174.02199564062255</v>
      </c>
      <c r="BQ370" s="56">
        <f t="shared" si="311"/>
        <v>29.01381066459664</v>
      </c>
      <c r="BR370" s="59"/>
      <c r="BS370" s="59"/>
      <c r="BT370" s="59">
        <v>398107.17099999997</v>
      </c>
      <c r="BU370" s="59">
        <v>14.525499999999999</v>
      </c>
      <c r="BV370" s="59">
        <v>-214.58500000000001</v>
      </c>
      <c r="BW370" s="61"/>
      <c r="BY370" s="59"/>
      <c r="BZ370" s="59"/>
      <c r="CA370" s="59"/>
      <c r="CC370" s="59"/>
    </row>
    <row r="371" spans="1:81" x14ac:dyDescent="0.2">
      <c r="A371">
        <f t="shared" si="319"/>
        <v>785000</v>
      </c>
      <c r="B371">
        <f t="shared" si="295"/>
        <v>785</v>
      </c>
      <c r="C371">
        <f t="shared" si="264"/>
        <v>1.0048537381793727</v>
      </c>
      <c r="D371">
        <f t="shared" si="265"/>
        <v>9.8327888613081546E-2</v>
      </c>
      <c r="F371">
        <f t="shared" si="266"/>
        <v>3.6691211740885282E-4</v>
      </c>
      <c r="G371">
        <f t="shared" si="267"/>
        <v>6.5880104124561873E-3</v>
      </c>
      <c r="H371">
        <f t="shared" si="268"/>
        <v>-3.1350046395875442</v>
      </c>
      <c r="J371">
        <f t="shared" si="269"/>
        <v>15</v>
      </c>
      <c r="M371">
        <f t="shared" si="270"/>
        <v>2.311993124489189E-3</v>
      </c>
      <c r="N371">
        <f t="shared" si="271"/>
        <v>-1.5707963250000001</v>
      </c>
      <c r="O371">
        <f t="shared" si="272"/>
        <v>93.684519859336604</v>
      </c>
      <c r="P371">
        <f t="shared" si="273"/>
        <v>1.5601220020296582</v>
      </c>
      <c r="Q371">
        <f t="shared" si="274"/>
        <v>61.151143729218873</v>
      </c>
      <c r="R371">
        <f t="shared" si="275"/>
        <v>1.5544426739592401</v>
      </c>
      <c r="S371">
        <f t="shared" si="276"/>
        <v>0.99495645892558537</v>
      </c>
      <c r="T371">
        <f t="shared" si="277"/>
        <v>-0.10047672702401983</v>
      </c>
      <c r="U371">
        <f t="shared" si="278"/>
        <v>0.52871771747421303</v>
      </c>
      <c r="V371">
        <f t="shared" si="279"/>
        <v>-1.0137071779825921</v>
      </c>
      <c r="X371">
        <f t="shared" si="296"/>
        <v>-28.283138726896347</v>
      </c>
      <c r="Y371">
        <f t="shared" si="280"/>
        <v>-149.3753860477716</v>
      </c>
      <c r="Z371">
        <f t="shared" si="297"/>
        <v>30.624613952228401</v>
      </c>
      <c r="AC371">
        <v>1</v>
      </c>
      <c r="AD371">
        <f t="shared" si="281"/>
        <v>93.679182646276502</v>
      </c>
      <c r="AE371">
        <f t="shared" si="282"/>
        <v>-3.1419663547973535E-2</v>
      </c>
      <c r="AF371">
        <f t="shared" si="283"/>
        <v>1.9571368227264005E-2</v>
      </c>
      <c r="AG371">
        <f t="shared" si="315"/>
        <v>1315.1115023607049</v>
      </c>
      <c r="AH371">
        <f t="shared" si="316"/>
        <v>-2162.3608753775698</v>
      </c>
      <c r="AJ371">
        <f t="shared" si="284"/>
        <v>22100</v>
      </c>
      <c r="AK371">
        <f t="shared" si="285"/>
        <v>2228.0384932189022</v>
      </c>
      <c r="AL371">
        <v>1</v>
      </c>
      <c r="AM371">
        <f t="shared" si="286"/>
        <v>61.142966720560629</v>
      </c>
      <c r="AN371">
        <f t="shared" si="317"/>
        <v>42.340012381344422</v>
      </c>
      <c r="AO371">
        <f t="shared" si="318"/>
        <v>-360.75547476176513</v>
      </c>
      <c r="AQ371">
        <f t="shared" si="287"/>
        <v>4.056958068498491E-3</v>
      </c>
      <c r="AR371">
        <f t="shared" si="288"/>
        <v>-6.3694241675426317</v>
      </c>
      <c r="AT371">
        <f t="shared" si="313"/>
        <v>-13767.658266358056</v>
      </c>
      <c r="AU371">
        <f t="shared" si="314"/>
        <v>-8385.2755935499408</v>
      </c>
      <c r="AV371">
        <f t="shared" si="302"/>
        <v>-2.5945408869537028</v>
      </c>
      <c r="AW371">
        <f t="shared" si="303"/>
        <v>-1890.7537024633109</v>
      </c>
      <c r="AX371">
        <f t="shared" si="304"/>
        <v>-3536.9606831761485</v>
      </c>
      <c r="AY371">
        <f t="shared" si="312"/>
        <v>-2.0617160999235171</v>
      </c>
      <c r="BA371">
        <f t="shared" si="289"/>
        <v>4.0193857844816216</v>
      </c>
      <c r="BB371">
        <f t="shared" si="305"/>
        <v>12.083193843824748</v>
      </c>
      <c r="BC371">
        <f t="shared" si="306"/>
        <v>-0.53282478703018565</v>
      </c>
      <c r="BD371">
        <f t="shared" si="290"/>
        <v>-210.52861155167059</v>
      </c>
      <c r="BF371">
        <f t="shared" si="291"/>
        <v>-33.061682830904424</v>
      </c>
      <c r="BG371">
        <f t="shared" si="292"/>
        <v>-204.51737332681773</v>
      </c>
      <c r="BH371">
        <f t="shared" si="307"/>
        <v>-24.517373326817733</v>
      </c>
      <c r="BI371">
        <f t="shared" si="308"/>
        <v>-24.517373326817733</v>
      </c>
      <c r="BJ371">
        <f t="shared" si="293"/>
        <v>0</v>
      </c>
      <c r="BK371">
        <f t="shared" si="309"/>
        <v>0</v>
      </c>
      <c r="BM371">
        <f t="shared" si="310"/>
        <v>-45.144876674729176</v>
      </c>
      <c r="BN371">
        <f t="shared" si="294"/>
        <v>-173.98876177514714</v>
      </c>
      <c r="BQ371" s="56">
        <f t="shared" si="311"/>
        <v>28.985154644109883</v>
      </c>
      <c r="BR371" s="59"/>
      <c r="BS371" s="59"/>
      <c r="BT371" s="59">
        <v>407380.27799999999</v>
      </c>
      <c r="BU371" s="59">
        <v>14.4298</v>
      </c>
      <c r="BV371" s="59">
        <v>-217.34299999999999</v>
      </c>
      <c r="BW371" s="61"/>
      <c r="BY371" s="59"/>
      <c r="BZ371" s="59"/>
      <c r="CA371" s="59"/>
      <c r="CC371" s="59"/>
    </row>
    <row r="372" spans="1:81" x14ac:dyDescent="0.2">
      <c r="A372">
        <f t="shared" si="319"/>
        <v>790000</v>
      </c>
      <c r="B372">
        <f t="shared" si="295"/>
        <v>790</v>
      </c>
      <c r="C372">
        <f t="shared" si="264"/>
        <v>1.0049156144414459</v>
      </c>
      <c r="D372">
        <f t="shared" si="265"/>
        <v>9.8950113602561868E-2</v>
      </c>
      <c r="F372">
        <f t="shared" si="266"/>
        <v>3.6228077354930071E-4</v>
      </c>
      <c r="G372">
        <f t="shared" si="267"/>
        <v>6.5462849178696747E-3</v>
      </c>
      <c r="H372">
        <f t="shared" si="268"/>
        <v>-3.1350463650821307</v>
      </c>
      <c r="J372">
        <f t="shared" si="269"/>
        <v>15</v>
      </c>
      <c r="M372">
        <f t="shared" si="270"/>
        <v>2.2973602566126751E-3</v>
      </c>
      <c r="N372">
        <f t="shared" si="271"/>
        <v>-1.5707963250000001</v>
      </c>
      <c r="O372">
        <f t="shared" si="272"/>
        <v>94.281168773427822</v>
      </c>
      <c r="P372">
        <f t="shared" si="273"/>
        <v>1.5601895559640511</v>
      </c>
      <c r="Q372">
        <f t="shared" si="274"/>
        <v>61.540537630755964</v>
      </c>
      <c r="R372">
        <f t="shared" si="275"/>
        <v>1.5545461598126487</v>
      </c>
      <c r="S372">
        <f t="shared" si="276"/>
        <v>0.99489249833973392</v>
      </c>
      <c r="T372">
        <f t="shared" si="277"/>
        <v>-0.10111236673979129</v>
      </c>
      <c r="U372">
        <f t="shared" si="278"/>
        <v>0.52630043619636568</v>
      </c>
      <c r="V372">
        <f t="shared" si="279"/>
        <v>-1.0165525487778149</v>
      </c>
      <c r="X372">
        <f t="shared" si="296"/>
        <v>-28.378172532282264</v>
      </c>
      <c r="Y372">
        <f t="shared" si="280"/>
        <v>-149.53177322963418</v>
      </c>
      <c r="Z372">
        <f t="shared" si="297"/>
        <v>30.468226770365817</v>
      </c>
      <c r="AC372">
        <v>1</v>
      </c>
      <c r="AD372">
        <f t="shared" si="281"/>
        <v>94.275865338290998</v>
      </c>
      <c r="AE372">
        <f t="shared" si="282"/>
        <v>-3.1821188722123063E-2</v>
      </c>
      <c r="AF372">
        <f t="shared" si="283"/>
        <v>1.9696026623616001E-2</v>
      </c>
      <c r="AG372">
        <f t="shared" si="315"/>
        <v>1303.1136926586069</v>
      </c>
      <c r="AH372">
        <f t="shared" si="316"/>
        <v>-2156.101205181847</v>
      </c>
      <c r="AJ372">
        <f t="shared" si="284"/>
        <v>22100</v>
      </c>
      <c r="AK372">
        <f t="shared" si="285"/>
        <v>2242.2298212011883</v>
      </c>
      <c r="AL372">
        <v>1</v>
      </c>
      <c r="AM372">
        <f t="shared" si="286"/>
        <v>61.532412368462282</v>
      </c>
      <c r="AN372">
        <f t="shared" si="317"/>
        <v>42.265582364914579</v>
      </c>
      <c r="AO372">
        <f t="shared" si="318"/>
        <v>-358.47342186994314</v>
      </c>
      <c r="AQ372">
        <f t="shared" si="287"/>
        <v>4.0057667017438306E-3</v>
      </c>
      <c r="AR372">
        <f t="shared" si="288"/>
        <v>-6.3291113887552521</v>
      </c>
      <c r="AT372">
        <f t="shared" si="313"/>
        <v>-13640.984723586715</v>
      </c>
      <c r="AU372">
        <f t="shared" si="314"/>
        <v>-8256.1885514618079</v>
      </c>
      <c r="AV372">
        <f t="shared" si="302"/>
        <v>-2.5973227350956618</v>
      </c>
      <c r="AW372">
        <f t="shared" si="303"/>
        <v>-1865.2160347753475</v>
      </c>
      <c r="AX372">
        <f t="shared" si="304"/>
        <v>-3516.073190604232</v>
      </c>
      <c r="AY372">
        <f t="shared" si="312"/>
        <v>-2.058531683255739</v>
      </c>
      <c r="BA372">
        <f t="shared" si="289"/>
        <v>4.0060891247281205</v>
      </c>
      <c r="BB372">
        <f t="shared" si="305"/>
        <v>12.054412139026656</v>
      </c>
      <c r="BC372">
        <f t="shared" si="306"/>
        <v>-0.53879105183992282</v>
      </c>
      <c r="BD372">
        <f t="shared" si="290"/>
        <v>-210.87045334511657</v>
      </c>
      <c r="BF372">
        <f t="shared" si="291"/>
        <v>-33.20026506469037</v>
      </c>
      <c r="BG372">
        <f t="shared" si="292"/>
        <v>-204.82595494915881</v>
      </c>
      <c r="BH372">
        <f t="shared" si="307"/>
        <v>-24.825954949158813</v>
      </c>
      <c r="BI372">
        <f t="shared" si="308"/>
        <v>-24.825954949158813</v>
      </c>
      <c r="BJ372">
        <f t="shared" si="293"/>
        <v>0</v>
      </c>
      <c r="BK372">
        <f t="shared" si="309"/>
        <v>0</v>
      </c>
      <c r="BM372">
        <f t="shared" si="310"/>
        <v>-45.254677203717023</v>
      </c>
      <c r="BN372">
        <f t="shared" si="294"/>
        <v>-173.95550160404224</v>
      </c>
      <c r="BQ372" s="56">
        <f t="shared" si="311"/>
        <v>28.956372939311791</v>
      </c>
      <c r="BR372" s="59"/>
      <c r="BS372" s="59"/>
      <c r="BT372" s="59">
        <v>416869.38299999997</v>
      </c>
      <c r="BU372" s="59">
        <v>14.126799999999999</v>
      </c>
      <c r="BV372" s="59">
        <v>-219.017</v>
      </c>
      <c r="BW372" s="61"/>
      <c r="BY372" s="59"/>
      <c r="BZ372" s="59"/>
      <c r="CA372" s="59"/>
      <c r="CC372" s="59"/>
    </row>
    <row r="373" spans="1:81" x14ac:dyDescent="0.2">
      <c r="A373">
        <f t="shared" si="319"/>
        <v>795000</v>
      </c>
      <c r="B373">
        <f t="shared" si="295"/>
        <v>795</v>
      </c>
      <c r="C373">
        <f t="shared" si="264"/>
        <v>1.0049778797226079</v>
      </c>
      <c r="D373">
        <f t="shared" si="265"/>
        <v>9.9572261730668479E-2</v>
      </c>
      <c r="F373">
        <f t="shared" si="266"/>
        <v>3.5773657782412372E-4</v>
      </c>
      <c r="G373">
        <f t="shared" si="267"/>
        <v>6.5050848187570296E-3</v>
      </c>
      <c r="H373">
        <f t="shared" si="268"/>
        <v>-3.1350875651812431</v>
      </c>
      <c r="J373">
        <f t="shared" si="269"/>
        <v>15</v>
      </c>
      <c r="M373">
        <f t="shared" si="270"/>
        <v>2.2829114499673124E-3</v>
      </c>
      <c r="N373">
        <f t="shared" si="271"/>
        <v>-1.5707963250000001</v>
      </c>
      <c r="O373">
        <f t="shared" si="272"/>
        <v>94.877818112362959</v>
      </c>
      <c r="P373">
        <f t="shared" si="273"/>
        <v>1.560256260258416</v>
      </c>
      <c r="Q373">
        <f t="shared" si="274"/>
        <v>61.929932183062625</v>
      </c>
      <c r="R373">
        <f t="shared" si="275"/>
        <v>1.5546483442987669</v>
      </c>
      <c r="S373">
        <f t="shared" si="276"/>
        <v>0.99482814410612286</v>
      </c>
      <c r="T373">
        <f t="shared" si="277"/>
        <v>-0.10174792448010983</v>
      </c>
      <c r="U373">
        <f t="shared" si="278"/>
        <v>0.52390097397766366</v>
      </c>
      <c r="V373">
        <f t="shared" si="279"/>
        <v>-1.0193719975028983</v>
      </c>
      <c r="X373">
        <f t="shared" si="296"/>
        <v>-28.472745232118008</v>
      </c>
      <c r="Y373">
        <f t="shared" si="280"/>
        <v>-149.68676803396264</v>
      </c>
      <c r="Z373">
        <f t="shared" si="297"/>
        <v>30.313231966037364</v>
      </c>
      <c r="AC373">
        <v>1</v>
      </c>
      <c r="AD373">
        <f t="shared" si="281"/>
        <v>94.872548030305509</v>
      </c>
      <c r="AE373">
        <f t="shared" si="282"/>
        <v>-3.2225263262457664E-2</v>
      </c>
      <c r="AF373">
        <f t="shared" si="283"/>
        <v>1.9820685019968004E-2</v>
      </c>
      <c r="AG373">
        <f t="shared" si="315"/>
        <v>1291.2586980325334</v>
      </c>
      <c r="AH373">
        <f t="shared" si="316"/>
        <v>-2149.8324321842988</v>
      </c>
      <c r="AJ373">
        <f t="shared" si="284"/>
        <v>22100</v>
      </c>
      <c r="AK373">
        <f t="shared" si="285"/>
        <v>2256.4211491834744</v>
      </c>
      <c r="AL373">
        <v>1</v>
      </c>
      <c r="AM373">
        <f t="shared" si="286"/>
        <v>61.921858016363949</v>
      </c>
      <c r="AN373">
        <f t="shared" si="317"/>
        <v>42.192551779357636</v>
      </c>
      <c r="AO373">
        <f t="shared" si="318"/>
        <v>-356.22005144599308</v>
      </c>
      <c r="AQ373">
        <f t="shared" si="287"/>
        <v>3.9555381687677825E-3</v>
      </c>
      <c r="AR373">
        <f t="shared" si="288"/>
        <v>-6.2893056883407743</v>
      </c>
      <c r="AT373">
        <f t="shared" si="313"/>
        <v>-13515.84572165037</v>
      </c>
      <c r="AU373">
        <f t="shared" si="314"/>
        <v>-8129.6244188974742</v>
      </c>
      <c r="AV373">
        <f t="shared" si="302"/>
        <v>-2.6000794600995905</v>
      </c>
      <c r="AW373">
        <f t="shared" si="303"/>
        <v>-1840.1806284218103</v>
      </c>
      <c r="AX373">
        <f t="shared" si="304"/>
        <v>-3495.4340388186847</v>
      </c>
      <c r="AY373">
        <f t="shared" si="312"/>
        <v>-2.0553814484995985</v>
      </c>
      <c r="BA373">
        <f t="shared" si="289"/>
        <v>3.9927815186875382</v>
      </c>
      <c r="BB373">
        <f t="shared" si="305"/>
        <v>12.025510933040922</v>
      </c>
      <c r="BC373">
        <f t="shared" si="306"/>
        <v>-0.54469801159999198</v>
      </c>
      <c r="BD373">
        <f t="shared" si="290"/>
        <v>-211.20889720950885</v>
      </c>
      <c r="BF373">
        <f t="shared" si="291"/>
        <v>-33.338266868604158</v>
      </c>
      <c r="BG373">
        <f t="shared" si="292"/>
        <v>-205.13111294333527</v>
      </c>
      <c r="BH373">
        <f t="shared" si="307"/>
        <v>-25.131112943335268</v>
      </c>
      <c r="BI373">
        <f t="shared" si="308"/>
        <v>-25.131112943335268</v>
      </c>
      <c r="BJ373">
        <f t="shared" si="293"/>
        <v>0</v>
      </c>
      <c r="BK373">
        <f t="shared" si="309"/>
        <v>0</v>
      </c>
      <c r="BM373">
        <f t="shared" si="310"/>
        <v>-45.363777801645078</v>
      </c>
      <c r="BN373">
        <f t="shared" si="294"/>
        <v>-173.92221573382642</v>
      </c>
      <c r="BQ373" s="56">
        <f t="shared" si="311"/>
        <v>28.927471733326058</v>
      </c>
      <c r="BR373" s="59"/>
      <c r="BS373" s="59"/>
      <c r="BT373" s="59">
        <v>426579.51899999997</v>
      </c>
      <c r="BU373" s="59">
        <v>14.106299999999999</v>
      </c>
      <c r="BV373" s="59">
        <v>-221.39400000000001</v>
      </c>
      <c r="BW373" s="61"/>
      <c r="BY373" s="59"/>
      <c r="BZ373" s="59"/>
      <c r="CA373" s="59"/>
      <c r="CC373" s="59"/>
    </row>
    <row r="374" spans="1:81" x14ac:dyDescent="0.2">
      <c r="A374">
        <f t="shared" si="319"/>
        <v>800000</v>
      </c>
      <c r="B374">
        <f t="shared" si="295"/>
        <v>800</v>
      </c>
      <c r="C374">
        <f t="shared" si="264"/>
        <v>1.0050405339505561</v>
      </c>
      <c r="D374">
        <f t="shared" si="265"/>
        <v>0.10019433253010411</v>
      </c>
      <c r="F374">
        <f t="shared" si="266"/>
        <v>3.5327735713729791E-4</v>
      </c>
      <c r="G374">
        <f t="shared" si="267"/>
        <v>6.4644002504114732E-3</v>
      </c>
      <c r="H374">
        <f t="shared" si="268"/>
        <v>-3.1351282497495889</v>
      </c>
      <c r="J374">
        <f t="shared" si="269"/>
        <v>15</v>
      </c>
      <c r="M374">
        <f t="shared" si="270"/>
        <v>2.2686432534050165E-3</v>
      </c>
      <c r="N374">
        <f t="shared" si="271"/>
        <v>-1.5707963250000001</v>
      </c>
      <c r="O374">
        <f t="shared" si="272"/>
        <v>95.474467868177058</v>
      </c>
      <c r="P374">
        <f t="shared" si="273"/>
        <v>1.5603221308411512</v>
      </c>
      <c r="Q374">
        <f t="shared" si="274"/>
        <v>62.319327373940105</v>
      </c>
      <c r="R374">
        <f t="shared" si="275"/>
        <v>1.5547492518097743</v>
      </c>
      <c r="S374">
        <f t="shared" si="276"/>
        <v>0.99476339645709011</v>
      </c>
      <c r="T374">
        <f t="shared" si="277"/>
        <v>-0.10238339974748582</v>
      </c>
      <c r="U374">
        <f t="shared" si="278"/>
        <v>0.52151920187873779</v>
      </c>
      <c r="V374">
        <f t="shared" si="279"/>
        <v>-1.0221658325683514</v>
      </c>
      <c r="X374">
        <f t="shared" si="296"/>
        <v>-28.566860981239387</v>
      </c>
      <c r="Y374">
        <f t="shared" si="280"/>
        <v>-149.84038638465469</v>
      </c>
      <c r="Z374">
        <f t="shared" si="297"/>
        <v>30.159613615345307</v>
      </c>
      <c r="AC374">
        <v>1</v>
      </c>
      <c r="AD374">
        <f t="shared" si="281"/>
        <v>95.469230722320006</v>
      </c>
      <c r="AE374">
        <f t="shared" si="282"/>
        <v>-3.2631887168977351E-2</v>
      </c>
      <c r="AF374">
        <f t="shared" si="283"/>
        <v>1.9945343416320004E-2</v>
      </c>
      <c r="AG374">
        <f t="shared" si="315"/>
        <v>1279.5446788963179</v>
      </c>
      <c r="AH374">
        <f t="shared" si="316"/>
        <v>-2143.5558514589006</v>
      </c>
      <c r="AJ374">
        <f t="shared" si="284"/>
        <v>22100</v>
      </c>
      <c r="AK374">
        <f t="shared" si="285"/>
        <v>2270.6124771657605</v>
      </c>
      <c r="AL374">
        <v>1</v>
      </c>
      <c r="AM374">
        <f t="shared" si="286"/>
        <v>62.311303664265601</v>
      </c>
      <c r="AN374">
        <f t="shared" si="317"/>
        <v>42.120885763525358</v>
      </c>
      <c r="AO374">
        <f t="shared" si="318"/>
        <v>-353.99482625310992</v>
      </c>
      <c r="AQ374">
        <f t="shared" si="287"/>
        <v>3.90624847412169E-3</v>
      </c>
      <c r="AR374">
        <f t="shared" si="288"/>
        <v>-6.2499975585947034</v>
      </c>
      <c r="AT374">
        <f t="shared" si="313"/>
        <v>-13392.22061888001</v>
      </c>
      <c r="AU374">
        <f t="shared" si="314"/>
        <v>-8005.524380988787</v>
      </c>
      <c r="AV374">
        <f t="shared" si="302"/>
        <v>-2.6028113553983734</v>
      </c>
      <c r="AW374">
        <f t="shared" si="303"/>
        <v>-1815.6345128665957</v>
      </c>
      <c r="AX374">
        <f t="shared" si="304"/>
        <v>-3475.0386472491041</v>
      </c>
      <c r="AY374">
        <f t="shared" si="312"/>
        <v>-2.0522649459522526</v>
      </c>
      <c r="BA374">
        <f t="shared" si="289"/>
        <v>3.9794661145783659</v>
      </c>
      <c r="BB374">
        <f t="shared" si="305"/>
        <v>11.996496220140596</v>
      </c>
      <c r="BC374">
        <f t="shared" si="306"/>
        <v>-0.55054640944612077</v>
      </c>
      <c r="BD374">
        <f t="shared" si="290"/>
        <v>-211.54398572338835</v>
      </c>
      <c r="BF374">
        <f t="shared" si="291"/>
        <v>-33.475690993375608</v>
      </c>
      <c r="BG374">
        <f t="shared" si="292"/>
        <v>-205.43289047986821</v>
      </c>
      <c r="BH374">
        <f t="shared" si="307"/>
        <v>-25.432890479868206</v>
      </c>
      <c r="BI374">
        <f t="shared" si="308"/>
        <v>-25.432890479868206</v>
      </c>
      <c r="BJ374">
        <f t="shared" si="293"/>
        <v>0</v>
      </c>
      <c r="BK374">
        <f t="shared" si="309"/>
        <v>0</v>
      </c>
      <c r="BM374">
        <f t="shared" si="310"/>
        <v>-45.4721872135162</v>
      </c>
      <c r="BN374">
        <f t="shared" si="294"/>
        <v>-173.88890475647989</v>
      </c>
      <c r="BQ374" s="56">
        <f t="shared" si="311"/>
        <v>28.898457020425731</v>
      </c>
      <c r="BR374" s="59"/>
      <c r="BS374" s="59"/>
      <c r="BT374" s="59">
        <v>436515.83199999999</v>
      </c>
      <c r="BU374" s="59">
        <v>13.8226</v>
      </c>
      <c r="BV374" s="59">
        <v>-223.214</v>
      </c>
      <c r="BW374" s="61"/>
      <c r="BY374" s="59"/>
      <c r="BZ374" s="59"/>
      <c r="CA374" s="59"/>
      <c r="CC374" s="59"/>
    </row>
    <row r="375" spans="1:81" x14ac:dyDescent="0.2">
      <c r="A375">
        <f t="shared" si="319"/>
        <v>805000</v>
      </c>
      <c r="B375">
        <f t="shared" si="295"/>
        <v>805</v>
      </c>
      <c r="C375">
        <f t="shared" si="264"/>
        <v>1.005103577052554</v>
      </c>
      <c r="D375">
        <f t="shared" si="265"/>
        <v>0.10081632553392701</v>
      </c>
      <c r="F375">
        <f t="shared" si="266"/>
        <v>3.4890100571476009E-4</v>
      </c>
      <c r="G375">
        <f t="shared" si="267"/>
        <v>6.4242215936290157E-3</v>
      </c>
      <c r="H375">
        <f t="shared" si="268"/>
        <v>-3.135168428406371</v>
      </c>
      <c r="J375">
        <f t="shared" si="269"/>
        <v>15</v>
      </c>
      <c r="M375">
        <f t="shared" si="270"/>
        <v>2.2545523015205138E-3</v>
      </c>
      <c r="N375">
        <f t="shared" si="271"/>
        <v>-1.5707963250000001</v>
      </c>
      <c r="O375">
        <f t="shared" si="272"/>
        <v>96.071118033103033</v>
      </c>
      <c r="P375">
        <f t="shared" si="273"/>
        <v>1.5603871832449907</v>
      </c>
      <c r="Q375">
        <f t="shared" si="274"/>
        <v>62.708723191492616</v>
      </c>
      <c r="R375">
        <f t="shared" si="275"/>
        <v>1.554848906132094</v>
      </c>
      <c r="S375">
        <f t="shared" si="276"/>
        <v>0.99469825562631242</v>
      </c>
      <c r="T375">
        <f t="shared" si="277"/>
        <v>-0.10301879204482521</v>
      </c>
      <c r="U375">
        <f t="shared" si="278"/>
        <v>0.51915499051670411</v>
      </c>
      <c r="V375">
        <f t="shared" si="279"/>
        <v>-1.0249343584060997</v>
      </c>
      <c r="X375">
        <f t="shared" si="296"/>
        <v>-28.660523877536193</v>
      </c>
      <c r="Y375">
        <f t="shared" si="280"/>
        <v>-149.99264402096532</v>
      </c>
      <c r="Z375">
        <f t="shared" si="297"/>
        <v>30.007355979034685</v>
      </c>
      <c r="AC375">
        <v>1</v>
      </c>
      <c r="AD375">
        <f t="shared" si="281"/>
        <v>96.065913414334503</v>
      </c>
      <c r="AE375">
        <f t="shared" si="282"/>
        <v>-3.3041060441682105E-2</v>
      </c>
      <c r="AF375">
        <f t="shared" si="283"/>
        <v>2.0070001812672003E-2</v>
      </c>
      <c r="AG375">
        <f t="shared" si="315"/>
        <v>1267.9698139320271</v>
      </c>
      <c r="AH375">
        <f t="shared" si="316"/>
        <v>-2137.27271480728</v>
      </c>
      <c r="AJ375">
        <f t="shared" si="284"/>
        <v>22100</v>
      </c>
      <c r="AK375">
        <f t="shared" si="285"/>
        <v>2284.8038051480462</v>
      </c>
      <c r="AL375">
        <v>1</v>
      </c>
      <c r="AM375">
        <f t="shared" si="286"/>
        <v>62.700749312167268</v>
      </c>
      <c r="AN375">
        <f t="shared" si="317"/>
        <v>42.050550534986805</v>
      </c>
      <c r="AO375">
        <f t="shared" si="318"/>
        <v>-351.79722238478257</v>
      </c>
      <c r="AQ375">
        <f t="shared" si="287"/>
        <v>3.8578743652349966E-3</v>
      </c>
      <c r="AR375">
        <f t="shared" si="288"/>
        <v>-6.2111777280283444</v>
      </c>
      <c r="AT375">
        <f t="shared" si="313"/>
        <v>-13270.089016692593</v>
      </c>
      <c r="AU375">
        <f t="shared" si="314"/>
        <v>-7883.8311977248222</v>
      </c>
      <c r="AV375">
        <f t="shared" si="302"/>
        <v>-2.6055187108183531</v>
      </c>
      <c r="AW375">
        <f t="shared" si="303"/>
        <v>-1791.5651292416494</v>
      </c>
      <c r="AX375">
        <f t="shared" si="304"/>
        <v>-3454.8825530689792</v>
      </c>
      <c r="AY375">
        <f t="shared" si="312"/>
        <v>-2.0491817306576352</v>
      </c>
      <c r="BA375">
        <f t="shared" si="289"/>
        <v>3.9661459392092731</v>
      </c>
      <c r="BB375">
        <f t="shared" si="305"/>
        <v>11.967373811239348</v>
      </c>
      <c r="BC375">
        <f t="shared" si="306"/>
        <v>-0.55633698016071786</v>
      </c>
      <c r="BD375">
        <f t="shared" si="290"/>
        <v>-211.87576098668592</v>
      </c>
      <c r="BF375">
        <f t="shared" si="291"/>
        <v>-33.61254020944574</v>
      </c>
      <c r="BG375">
        <f t="shared" si="292"/>
        <v>-205.7313302365821</v>
      </c>
      <c r="BH375">
        <f t="shared" si="307"/>
        <v>-25.731330236582096</v>
      </c>
      <c r="BI375">
        <f t="shared" si="308"/>
        <v>-25.731330236582096</v>
      </c>
      <c r="BJ375">
        <f t="shared" si="293"/>
        <v>0</v>
      </c>
      <c r="BK375">
        <f t="shared" si="309"/>
        <v>0</v>
      </c>
      <c r="BM375">
        <f t="shared" si="310"/>
        <v>-45.579914020685088</v>
      </c>
      <c r="BN375">
        <f t="shared" si="294"/>
        <v>-173.85556924989621</v>
      </c>
      <c r="BQ375" s="56">
        <f t="shared" si="311"/>
        <v>28.869334611524486</v>
      </c>
      <c r="BR375" s="59"/>
      <c r="BS375" s="59"/>
      <c r="BT375" s="59">
        <v>446683.592</v>
      </c>
      <c r="BU375" s="59">
        <v>13.599500000000001</v>
      </c>
      <c r="BV375" s="59">
        <v>-225.053</v>
      </c>
      <c r="BW375" s="61"/>
      <c r="BY375" s="59"/>
      <c r="BZ375" s="59"/>
      <c r="CA375" s="59"/>
      <c r="CC375" s="59"/>
    </row>
    <row r="376" spans="1:81" x14ac:dyDescent="0.2">
      <c r="A376">
        <f t="shared" si="319"/>
        <v>810000</v>
      </c>
      <c r="B376">
        <f t="shared" si="295"/>
        <v>810</v>
      </c>
      <c r="C376">
        <f t="shared" si="264"/>
        <v>1.0051670089554323</v>
      </c>
      <c r="D376">
        <f t="shared" si="265"/>
        <v>0.10143824027555307</v>
      </c>
      <c r="F376">
        <f t="shared" si="266"/>
        <v>3.4460548261681874E-4</v>
      </c>
      <c r="G376">
        <f t="shared" si="267"/>
        <v>6.3845394671158979E-3</v>
      </c>
      <c r="H376">
        <f t="shared" si="268"/>
        <v>-3.1352081105328842</v>
      </c>
      <c r="J376">
        <f t="shared" si="269"/>
        <v>15</v>
      </c>
      <c r="M376">
        <f t="shared" si="270"/>
        <v>2.2406353120049548E-3</v>
      </c>
      <c r="N376">
        <f t="shared" si="271"/>
        <v>-1.5707963250000001</v>
      </c>
      <c r="O376">
        <f t="shared" si="272"/>
        <v>96.667768599565605</v>
      </c>
      <c r="P376">
        <f t="shared" si="273"/>
        <v>1.5604514326192134</v>
      </c>
      <c r="Q376">
        <f t="shared" si="274"/>
        <v>63.098119624118013</v>
      </c>
      <c r="R376">
        <f t="shared" si="275"/>
        <v>1.5549473304650792</v>
      </c>
      <c r="S376">
        <f t="shared" si="276"/>
        <v>0.99463272184880314</v>
      </c>
      <c r="T376">
        <f t="shared" si="277"/>
        <v>-0.10365410087543166</v>
      </c>
      <c r="U376">
        <f t="shared" si="278"/>
        <v>0.51680821014092748</v>
      </c>
      <c r="V376">
        <f t="shared" si="279"/>
        <v>-1.0276778755094182</v>
      </c>
      <c r="X376">
        <f t="shared" si="296"/>
        <v>-28.753737963162994</v>
      </c>
      <c r="Y376">
        <f t="shared" si="280"/>
        <v>-150.14355649845942</v>
      </c>
      <c r="Z376">
        <f t="shared" si="297"/>
        <v>29.856443501540582</v>
      </c>
      <c r="AC376">
        <v>1</v>
      </c>
      <c r="AD376">
        <f t="shared" si="281"/>
        <v>96.662596106349</v>
      </c>
      <c r="AE376">
        <f t="shared" si="282"/>
        <v>-3.3452783080571931E-2</v>
      </c>
      <c r="AF376">
        <f t="shared" si="283"/>
        <v>2.0194660209024003E-2</v>
      </c>
      <c r="AG376">
        <f t="shared" si="315"/>
        <v>1256.5323002934977</v>
      </c>
      <c r="AH376">
        <f t="shared" si="316"/>
        <v>-2130.9842319714021</v>
      </c>
      <c r="AJ376">
        <f t="shared" si="284"/>
        <v>22100</v>
      </c>
      <c r="AK376">
        <f t="shared" si="285"/>
        <v>2298.9951331303323</v>
      </c>
      <c r="AL376">
        <v>1</v>
      </c>
      <c r="AM376">
        <f t="shared" si="286"/>
        <v>63.090194960068921</v>
      </c>
      <c r="AN376">
        <f t="shared" si="317"/>
        <v>41.981513350223366</v>
      </c>
      <c r="AO376">
        <f t="shared" si="318"/>
        <v>-349.62672885399627</v>
      </c>
      <c r="AQ376">
        <f t="shared" si="287"/>
        <v>3.8103933049865473E-3</v>
      </c>
      <c r="AR376">
        <f t="shared" si="288"/>
        <v>-6.1728371540782065</v>
      </c>
      <c r="AT376">
        <f t="shared" si="313"/>
        <v>-13149.430759603345</v>
      </c>
      <c r="AU376">
        <f t="shared" si="314"/>
        <v>-7764.4891566015922</v>
      </c>
      <c r="AV376">
        <f t="shared" si="302"/>
        <v>-2.6082018126077839</v>
      </c>
      <c r="AW376">
        <f t="shared" si="303"/>
        <v>-1767.9603149222037</v>
      </c>
      <c r="AX376">
        <f t="shared" si="304"/>
        <v>-3434.9614072755521</v>
      </c>
      <c r="AY376">
        <f t="shared" si="312"/>
        <v>-2.0461313624649931</v>
      </c>
      <c r="BA376">
        <f t="shared" si="289"/>
        <v>3.9528239017575735</v>
      </c>
      <c r="BB376">
        <f t="shared" si="305"/>
        <v>11.938149339232337</v>
      </c>
      <c r="BC376">
        <f t="shared" si="306"/>
        <v>-0.56207045014279089</v>
      </c>
      <c r="BD376">
        <f t="shared" si="290"/>
        <v>-212.20426461899902</v>
      </c>
      <c r="BF376">
        <f t="shared" si="291"/>
        <v>-33.74881730568606</v>
      </c>
      <c r="BG376">
        <f t="shared" si="292"/>
        <v>-206.02647439731624</v>
      </c>
      <c r="BH376">
        <f t="shared" si="307"/>
        <v>-26.026474397316235</v>
      </c>
      <c r="BI376">
        <f t="shared" si="308"/>
        <v>-26.026474397316235</v>
      </c>
      <c r="BJ376">
        <f t="shared" si="293"/>
        <v>0</v>
      </c>
      <c r="BK376">
        <f t="shared" si="309"/>
        <v>0</v>
      </c>
      <c r="BM376">
        <f t="shared" si="310"/>
        <v>-45.6869666449184</v>
      </c>
      <c r="BN376">
        <f t="shared" si="294"/>
        <v>-173.82220977831722</v>
      </c>
      <c r="BQ376" s="56">
        <f t="shared" si="311"/>
        <v>28.840110139517474</v>
      </c>
      <c r="BR376" s="59"/>
      <c r="BS376" s="59"/>
      <c r="BT376" s="59">
        <v>457088.19</v>
      </c>
      <c r="BU376" s="59">
        <v>13.3674</v>
      </c>
      <c r="BV376" s="59">
        <v>-226.50200000000001</v>
      </c>
      <c r="BW376" s="61"/>
      <c r="BY376" s="59"/>
      <c r="BZ376" s="59"/>
      <c r="CA376" s="59"/>
      <c r="CC376" s="59"/>
    </row>
    <row r="377" spans="1:81" x14ac:dyDescent="0.2">
      <c r="A377">
        <f t="shared" si="319"/>
        <v>815000</v>
      </c>
      <c r="B377">
        <f t="shared" si="295"/>
        <v>815</v>
      </c>
      <c r="C377">
        <f t="shared" si="264"/>
        <v>1.0052308295855887</v>
      </c>
      <c r="D377">
        <f t="shared" si="265"/>
        <v>0.10206007628875766</v>
      </c>
      <c r="F377">
        <f t="shared" si="266"/>
        <v>3.4038880935715704E-4</v>
      </c>
      <c r="G377">
        <f t="shared" si="267"/>
        <v>6.3453447201761723E-3</v>
      </c>
      <c r="H377">
        <f t="shared" si="268"/>
        <v>-3.1352473052798242</v>
      </c>
      <c r="J377">
        <f t="shared" si="269"/>
        <v>15</v>
      </c>
      <c r="M377">
        <f t="shared" si="270"/>
        <v>2.2268890830969492E-3</v>
      </c>
      <c r="N377">
        <f t="shared" si="271"/>
        <v>-1.5707963250000001</v>
      </c>
      <c r="O377">
        <f t="shared" si="272"/>
        <v>97.26441956017527</v>
      </c>
      <c r="P377">
        <f t="shared" si="273"/>
        <v>1.5605148937414028</v>
      </c>
      <c r="Q377">
        <f t="shared" si="274"/>
        <v>63.48751666049877</v>
      </c>
      <c r="R377">
        <f t="shared" si="275"/>
        <v>1.555044547439012</v>
      </c>
      <c r="S377">
        <f t="shared" si="276"/>
        <v>0.99456679536091075</v>
      </c>
      <c r="T377">
        <f t="shared" si="277"/>
        <v>-0.10428932574300888</v>
      </c>
      <c r="U377">
        <f t="shared" si="278"/>
        <v>0.51447873070534167</v>
      </c>
      <c r="V377">
        <f t="shared" si="279"/>
        <v>-1.0303966804732767</v>
      </c>
      <c r="X377">
        <f t="shared" si="296"/>
        <v>-28.846507225710095</v>
      </c>
      <c r="Y377">
        <f t="shared" si="280"/>
        <v>-150.29313919003746</v>
      </c>
      <c r="Z377">
        <f t="shared" si="297"/>
        <v>29.706860809962535</v>
      </c>
      <c r="AC377">
        <v>1</v>
      </c>
      <c r="AD377">
        <f t="shared" si="281"/>
        <v>97.259278798363496</v>
      </c>
      <c r="AE377">
        <f t="shared" si="282"/>
        <v>-3.3867055085646844E-2</v>
      </c>
      <c r="AF377">
        <f t="shared" si="283"/>
        <v>2.0319318605376002E-2</v>
      </c>
      <c r="AG377">
        <f t="shared" si="315"/>
        <v>1245.2303537837342</v>
      </c>
      <c r="AH377">
        <f t="shared" si="316"/>
        <v>-2124.6915718173191</v>
      </c>
      <c r="AJ377">
        <f t="shared" si="284"/>
        <v>22100</v>
      </c>
      <c r="AK377">
        <f t="shared" si="285"/>
        <v>2313.1864611126184</v>
      </c>
      <c r="AL377">
        <v>1</v>
      </c>
      <c r="AM377">
        <f t="shared" si="286"/>
        <v>63.47964060797058</v>
      </c>
      <c r="AN377">
        <f t="shared" si="317"/>
        <v>41.913742466526664</v>
      </c>
      <c r="AO377">
        <f t="shared" si="318"/>
        <v>-347.4828471975286</v>
      </c>
      <c r="AQ377">
        <f t="shared" si="287"/>
        <v>3.7637834454501691E-3</v>
      </c>
      <c r="AR377">
        <f t="shared" si="288"/>
        <v>-6.1349670160837757</v>
      </c>
      <c r="AT377">
        <f t="shared" si="313"/>
        <v>-13030.225935059101</v>
      </c>
      <c r="AU377">
        <f t="shared" si="314"/>
        <v>-7647.4440268542339</v>
      </c>
      <c r="AV377">
        <f t="shared" si="302"/>
        <v>-2.6108609434661205</v>
      </c>
      <c r="AW377">
        <f t="shared" si="303"/>
        <v>-1744.8082887665705</v>
      </c>
      <c r="AX377">
        <f t="shared" si="304"/>
        <v>-3415.270970928952</v>
      </c>
      <c r="AY377">
        <f t="shared" si="312"/>
        <v>-2.043113406079395</v>
      </c>
      <c r="BA377">
        <f t="shared" si="289"/>
        <v>3.9395027974553267</v>
      </c>
      <c r="BB377">
        <f t="shared" si="305"/>
        <v>11.90882826419007</v>
      </c>
      <c r="BC377">
        <f t="shared" si="306"/>
        <v>-0.56774753738672556</v>
      </c>
      <c r="BD377">
        <f t="shared" si="290"/>
        <v>-212.52953775837571</v>
      </c>
      <c r="BF377">
        <f t="shared" si="291"/>
        <v>-33.884525088139668</v>
      </c>
      <c r="BG377">
        <f t="shared" si="292"/>
        <v>-206.31836465112767</v>
      </c>
      <c r="BH377">
        <f t="shared" si="307"/>
        <v>-26.318364651127666</v>
      </c>
      <c r="BI377">
        <f t="shared" si="308"/>
        <v>-26.318364651127666</v>
      </c>
      <c r="BJ377">
        <f t="shared" si="293"/>
        <v>0</v>
      </c>
      <c r="BK377">
        <f t="shared" si="309"/>
        <v>0</v>
      </c>
      <c r="BM377">
        <f t="shared" si="310"/>
        <v>-45.793353352329746</v>
      </c>
      <c r="BN377">
        <f t="shared" si="294"/>
        <v>-173.78882689275198</v>
      </c>
      <c r="BQ377" s="56">
        <f t="shared" si="311"/>
        <v>28.810789064475205</v>
      </c>
      <c r="BR377" s="59"/>
      <c r="BS377" s="59"/>
      <c r="BT377" s="59">
        <v>467735.141</v>
      </c>
      <c r="BU377" s="59">
        <v>13.1959</v>
      </c>
      <c r="BV377" s="59">
        <v>131.81700000000001</v>
      </c>
      <c r="BY377" s="59"/>
      <c r="BZ377" s="59"/>
      <c r="CA377" s="59"/>
      <c r="CC377" s="59"/>
    </row>
    <row r="378" spans="1:81" x14ac:dyDescent="0.2">
      <c r="A378">
        <f t="shared" si="319"/>
        <v>820000</v>
      </c>
      <c r="B378">
        <f t="shared" si="295"/>
        <v>820</v>
      </c>
      <c r="C378">
        <f t="shared" si="264"/>
        <v>1.005295038868989</v>
      </c>
      <c r="D378">
        <f t="shared" si="265"/>
        <v>0.10268183310767778</v>
      </c>
      <c r="F378">
        <f t="shared" si="266"/>
        <v>3.3624906762324001E-4</v>
      </c>
      <c r="G378">
        <f t="shared" si="267"/>
        <v>6.3066284256674153E-3</v>
      </c>
      <c r="H378">
        <f t="shared" si="268"/>
        <v>-3.1352860215743328</v>
      </c>
      <c r="J378">
        <f t="shared" si="269"/>
        <v>15</v>
      </c>
      <c r="M378">
        <f t="shared" si="270"/>
        <v>2.2133104911268454E-3</v>
      </c>
      <c r="N378">
        <f t="shared" si="271"/>
        <v>-1.5707963250000001</v>
      </c>
      <c r="O378">
        <f t="shared" si="272"/>
        <v>97.861070907722791</v>
      </c>
      <c r="P378">
        <f t="shared" si="273"/>
        <v>1.5605775810287772</v>
      </c>
      <c r="Q378">
        <f t="shared" si="274"/>
        <v>63.876914289593302</v>
      </c>
      <c r="R378">
        <f t="shared" si="275"/>
        <v>1.5551405791324442</v>
      </c>
      <c r="S378">
        <f t="shared" si="276"/>
        <v>0.99450047640031469</v>
      </c>
      <c r="T378">
        <f t="shared" si="277"/>
        <v>-0.10492446615166276</v>
      </c>
      <c r="U378">
        <f t="shared" si="278"/>
        <v>0.51216642193745099</v>
      </c>
      <c r="V378">
        <f t="shared" si="279"/>
        <v>-1.0330910660350452</v>
      </c>
      <c r="X378">
        <f t="shared" si="296"/>
        <v>-28.93883559933656</v>
      </c>
      <c r="Y378">
        <f t="shared" si="280"/>
        <v>-150.44140728702854</v>
      </c>
      <c r="Z378">
        <f t="shared" si="297"/>
        <v>29.558592712971461</v>
      </c>
      <c r="AC378">
        <v>1</v>
      </c>
      <c r="AD378">
        <f t="shared" si="281"/>
        <v>97.855961490377993</v>
      </c>
      <c r="AE378">
        <f t="shared" si="282"/>
        <v>-3.428387645690683E-2</v>
      </c>
      <c r="AF378">
        <f t="shared" si="283"/>
        <v>2.0443977001728005E-2</v>
      </c>
      <c r="AG378">
        <f t="shared" si="315"/>
        <v>1234.0622090075562</v>
      </c>
      <c r="AH378">
        <f t="shared" si="316"/>
        <v>-2118.3958634903565</v>
      </c>
      <c r="AJ378">
        <f t="shared" si="284"/>
        <v>22100</v>
      </c>
      <c r="AK378">
        <f t="shared" si="285"/>
        <v>2327.3777890949041</v>
      </c>
      <c r="AL378">
        <v>1</v>
      </c>
      <c r="AM378">
        <f t="shared" si="286"/>
        <v>63.869086255872247</v>
      </c>
      <c r="AN378">
        <f t="shared" si="317"/>
        <v>41.847207105516809</v>
      </c>
      <c r="AO378">
        <f t="shared" si="318"/>
        <v>-345.36509109469864</v>
      </c>
      <c r="AQ378">
        <f t="shared" si="287"/>
        <v>3.7180236027574351E-3</v>
      </c>
      <c r="AR378">
        <f t="shared" si="288"/>
        <v>-6.0975587085221932</v>
      </c>
      <c r="AT378">
        <f t="shared" si="313"/>
        <v>-12912.454873102655</v>
      </c>
      <c r="AU378">
        <f t="shared" si="314"/>
        <v>-7532.6430152126004</v>
      </c>
      <c r="AV378">
        <f t="shared" si="302"/>
        <v>-2.6134963825740698</v>
      </c>
      <c r="AW378">
        <f t="shared" si="303"/>
        <v>-1722.097636988186</v>
      </c>
      <c r="AX378">
        <f t="shared" si="304"/>
        <v>-3395.8071115430416</v>
      </c>
      <c r="AY378">
        <f t="shared" si="312"/>
        <v>-2.0401274311046915</v>
      </c>
      <c r="BA378">
        <f t="shared" si="289"/>
        <v>3.9261853111836063</v>
      </c>
      <c r="BB378">
        <f t="shared" si="305"/>
        <v>11.879415878408505</v>
      </c>
      <c r="BC378">
        <f t="shared" si="306"/>
        <v>-0.57336895146937827</v>
      </c>
      <c r="BD378">
        <f t="shared" si="290"/>
        <v>-212.85162106057516</v>
      </c>
      <c r="BF378">
        <f t="shared" si="291"/>
        <v>-34.019666378785558</v>
      </c>
      <c r="BG378">
        <f t="shared" si="292"/>
        <v>-206.60704219195506</v>
      </c>
      <c r="BH378">
        <f t="shared" si="307"/>
        <v>-26.60704219195506</v>
      </c>
      <c r="BI378">
        <f t="shared" si="308"/>
        <v>-26.60704219195506</v>
      </c>
      <c r="BJ378">
        <f t="shared" si="293"/>
        <v>0</v>
      </c>
      <c r="BK378">
        <f t="shared" si="309"/>
        <v>0</v>
      </c>
      <c r="BM378">
        <f t="shared" si="310"/>
        <v>-45.89908225719406</v>
      </c>
      <c r="BN378">
        <f t="shared" si="294"/>
        <v>-173.7554211313799</v>
      </c>
      <c r="BQ378" s="56">
        <f t="shared" si="311"/>
        <v>28.78137667869364</v>
      </c>
      <c r="BR378" s="59"/>
      <c r="BS378" s="59"/>
      <c r="BT378" s="59">
        <v>478630.092</v>
      </c>
      <c r="BU378" s="59">
        <v>13.0069</v>
      </c>
      <c r="BV378" s="59">
        <v>129.95699999999999</v>
      </c>
      <c r="BY378" s="59"/>
      <c r="BZ378" s="59"/>
      <c r="CA378" s="59"/>
      <c r="CC378" s="59"/>
    </row>
    <row r="379" spans="1:81" x14ac:dyDescent="0.2">
      <c r="A379">
        <f t="shared" si="319"/>
        <v>825000</v>
      </c>
      <c r="B379">
        <f t="shared" si="295"/>
        <v>825</v>
      </c>
      <c r="C379">
        <f t="shared" si="264"/>
        <v>1.0053596367311668</v>
      </c>
      <c r="D379">
        <f t="shared" si="265"/>
        <v>0.10330351026681403</v>
      </c>
      <c r="F379">
        <f t="shared" si="266"/>
        <v>3.321843970932183E-4</v>
      </c>
      <c r="G379">
        <f t="shared" si="267"/>
        <v>6.2683818732131935E-3</v>
      </c>
      <c r="H379">
        <f t="shared" si="268"/>
        <v>-3.1353242681267872</v>
      </c>
      <c r="J379">
        <f t="shared" si="269"/>
        <v>15</v>
      </c>
      <c r="M379">
        <f t="shared" si="270"/>
        <v>2.199896488150319E-3</v>
      </c>
      <c r="N379">
        <f t="shared" si="271"/>
        <v>-1.5707963250000001</v>
      </c>
      <c r="O379">
        <f t="shared" si="272"/>
        <v>98.457722635173653</v>
      </c>
      <c r="P379">
        <f t="shared" si="273"/>
        <v>1.5606395085491078</v>
      </c>
      <c r="Q379">
        <f t="shared" si="274"/>
        <v>64.266312500627635</v>
      </c>
      <c r="R379">
        <f t="shared" si="275"/>
        <v>1.5552354470889096</v>
      </c>
      <c r="S379">
        <f t="shared" si="276"/>
        <v>0.99443376520602544</v>
      </c>
      <c r="T379">
        <f t="shared" si="277"/>
        <v>-0.10555952160590364</v>
      </c>
      <c r="U379">
        <f t="shared" si="278"/>
        <v>0.50987115340413747</v>
      </c>
      <c r="V379">
        <f t="shared" si="279"/>
        <v>-1.0357613211155052</v>
      </c>
      <c r="X379">
        <f t="shared" si="296"/>
        <v>-29.030726965866748</v>
      </c>
      <c r="Y379">
        <f t="shared" si="280"/>
        <v>-150.5883758003462</v>
      </c>
      <c r="Z379">
        <f t="shared" si="297"/>
        <v>29.411624199653801</v>
      </c>
      <c r="AC379">
        <v>1</v>
      </c>
      <c r="AD379">
        <f t="shared" si="281"/>
        <v>98.452644182392504</v>
      </c>
      <c r="AE379">
        <f t="shared" si="282"/>
        <v>-3.4703247194351888E-2</v>
      </c>
      <c r="AF379">
        <f t="shared" si="283"/>
        <v>2.0568635398080001E-2</v>
      </c>
      <c r="AG379">
        <f t="shared" si="315"/>
        <v>1223.0261195008466</v>
      </c>
      <c r="AH379">
        <f t="shared" si="316"/>
        <v>-2112.0981975421691</v>
      </c>
      <c r="AJ379">
        <f t="shared" si="284"/>
        <v>22100</v>
      </c>
      <c r="AK379">
        <f t="shared" si="285"/>
        <v>2341.5691170771902</v>
      </c>
      <c r="AL379">
        <v>1</v>
      </c>
      <c r="AM379">
        <f t="shared" si="286"/>
        <v>64.2585319037739</v>
      </c>
      <c r="AN379">
        <f t="shared" si="317"/>
        <v>41.78187741820264</v>
      </c>
      <c r="AO379">
        <f t="shared" si="318"/>
        <v>-343.27298599995441</v>
      </c>
      <c r="AQ379">
        <f t="shared" si="287"/>
        <v>3.6730932330236057E-3</v>
      </c>
      <c r="AR379">
        <f t="shared" si="288"/>
        <v>-6.0606038344889495</v>
      </c>
      <c r="AT379">
        <f t="shared" si="313"/>
        <v>-12796.098145877921</v>
      </c>
      <c r="AU379">
        <f t="shared" si="314"/>
        <v>-7420.0347231238438</v>
      </c>
      <c r="AV379">
        <f t="shared" si="302"/>
        <v>-2.6161084056243338</v>
      </c>
      <c r="AW379">
        <f t="shared" si="303"/>
        <v>-1699.8172996293097</v>
      </c>
      <c r="AX379">
        <f t="shared" si="304"/>
        <v>-3376.5657996208447</v>
      </c>
      <c r="AY379">
        <f t="shared" si="312"/>
        <v>-2.0371730120793394</v>
      </c>
      <c r="BA379">
        <f t="shared" si="289"/>
        <v>3.9128740209756452</v>
      </c>
      <c r="BB379">
        <f t="shared" si="305"/>
        <v>11.849917311318698</v>
      </c>
      <c r="BC379">
        <f t="shared" si="306"/>
        <v>-0.57893539354499435</v>
      </c>
      <c r="BD379">
        <f t="shared" si="290"/>
        <v>-213.17055469877641</v>
      </c>
      <c r="BF379">
        <f t="shared" si="291"/>
        <v>-34.154244014327226</v>
      </c>
      <c r="BG379">
        <f t="shared" si="292"/>
        <v>-206.89254771871651</v>
      </c>
      <c r="BH379">
        <f t="shared" si="307"/>
        <v>-26.892547718716514</v>
      </c>
      <c r="BI379">
        <f t="shared" si="308"/>
        <v>-26.892547718716514</v>
      </c>
      <c r="BJ379">
        <f t="shared" si="293"/>
        <v>0</v>
      </c>
      <c r="BK379">
        <f t="shared" si="309"/>
        <v>0</v>
      </c>
      <c r="BM379">
        <f t="shared" si="310"/>
        <v>-46.004161325645931</v>
      </c>
      <c r="BN379">
        <f t="shared" si="294"/>
        <v>-173.7219930199401</v>
      </c>
      <c r="BQ379" s="56">
        <f t="shared" si="311"/>
        <v>28.751878111603833</v>
      </c>
      <c r="BR379" s="59"/>
      <c r="BS379" s="59"/>
      <c r="BT379" s="59">
        <v>489778.81900000002</v>
      </c>
      <c r="BU379" s="59">
        <v>12.7394</v>
      </c>
      <c r="BV379" s="59">
        <v>126.41800000000001</v>
      </c>
      <c r="BY379" s="59"/>
      <c r="BZ379" s="59"/>
      <c r="CA379" s="59"/>
      <c r="CC379" s="59"/>
    </row>
    <row r="380" spans="1:81" x14ac:dyDescent="0.2">
      <c r="A380">
        <f t="shared" si="319"/>
        <v>830000</v>
      </c>
      <c r="B380">
        <f t="shared" si="295"/>
        <v>830</v>
      </c>
      <c r="C380">
        <f t="shared" si="264"/>
        <v>1.0054246230972241</v>
      </c>
      <c r="D380">
        <f t="shared" si="265"/>
        <v>0.10392510730103249</v>
      </c>
      <c r="F380">
        <f t="shared" si="266"/>
        <v>3.2819299334468916E-4</v>
      </c>
      <c r="G380">
        <f t="shared" si="267"/>
        <v>6.2305965626614076E-3</v>
      </c>
      <c r="H380">
        <f t="shared" si="268"/>
        <v>-3.1353620534373388</v>
      </c>
      <c r="J380">
        <f t="shared" si="269"/>
        <v>15</v>
      </c>
      <c r="M380">
        <f t="shared" si="270"/>
        <v>2.1866440996674858E-3</v>
      </c>
      <c r="N380">
        <f t="shared" si="271"/>
        <v>-1.5707963250000001</v>
      </c>
      <c r="O380">
        <f t="shared" si="272"/>
        <v>99.05437473566289</v>
      </c>
      <c r="P380">
        <f t="shared" si="273"/>
        <v>1.560700690031241</v>
      </c>
      <c r="Q380">
        <f t="shared" si="274"/>
        <v>64.655711283087342</v>
      </c>
      <c r="R380">
        <f t="shared" si="275"/>
        <v>1.5553291723330294</v>
      </c>
      <c r="S380">
        <f t="shared" si="276"/>
        <v>0.99436666201838042</v>
      </c>
      <c r="T380">
        <f t="shared" si="277"/>
        <v>-0.10619449161064846</v>
      </c>
      <c r="U380">
        <f t="shared" si="278"/>
        <v>0.50759279457438877</v>
      </c>
      <c r="V380">
        <f t="shared" si="279"/>
        <v>-1.0384077308601167</v>
      </c>
      <c r="X380">
        <f t="shared" si="296"/>
        <v>-29.122185155852151</v>
      </c>
      <c r="Y380">
        <f t="shared" si="280"/>
        <v>-150.73405956170168</v>
      </c>
      <c r="Z380">
        <f t="shared" si="297"/>
        <v>29.265940438298315</v>
      </c>
      <c r="AC380">
        <v>1</v>
      </c>
      <c r="AD380">
        <f t="shared" si="281"/>
        <v>99.049326874407001</v>
      </c>
      <c r="AE380">
        <f t="shared" si="282"/>
        <v>-3.5125167297982027E-2</v>
      </c>
      <c r="AF380">
        <f t="shared" si="283"/>
        <v>2.0693293794432004E-2</v>
      </c>
      <c r="AG380">
        <f t="shared" si="315"/>
        <v>1212.1203578376906</v>
      </c>
      <c r="AH380">
        <f t="shared" si="316"/>
        <v>-2105.7996270300773</v>
      </c>
      <c r="AJ380">
        <f t="shared" si="284"/>
        <v>22100</v>
      </c>
      <c r="AK380">
        <f t="shared" si="285"/>
        <v>2355.7604450594763</v>
      </c>
      <c r="AL380">
        <v>1</v>
      </c>
      <c r="AM380">
        <f t="shared" si="286"/>
        <v>64.647977551675567</v>
      </c>
      <c r="AN380">
        <f t="shared" si="317"/>
        <v>41.717724451509824</v>
      </c>
      <c r="AO380">
        <f t="shared" si="318"/>
        <v>-341.20606878871763</v>
      </c>
      <c r="AQ380">
        <f t="shared" si="287"/>
        <v>3.6289724092856694E-3</v>
      </c>
      <c r="AR380">
        <f t="shared" si="288"/>
        <v>-6.0240941994142112</v>
      </c>
      <c r="AT380">
        <f t="shared" si="313"/>
        <v>-12681.136566985173</v>
      </c>
      <c r="AU380">
        <f t="shared" si="314"/>
        <v>-7309.5691053878854</v>
      </c>
      <c r="AV380">
        <f t="shared" si="302"/>
        <v>-2.6186972848529857</v>
      </c>
      <c r="AW380">
        <f t="shared" si="303"/>
        <v>-1677.9565576074483</v>
      </c>
      <c r="AX380">
        <f t="shared" si="304"/>
        <v>-3357.5431053277839</v>
      </c>
      <c r="AY380">
        <f t="shared" si="312"/>
        <v>-2.0342497285055217</v>
      </c>
      <c r="BA380">
        <f t="shared" si="289"/>
        <v>3.8995714014297129</v>
      </c>
      <c r="BB380">
        <f t="shared" si="305"/>
        <v>11.820337534259282</v>
      </c>
      <c r="BC380">
        <f t="shared" si="306"/>
        <v>-0.58444755634746404</v>
      </c>
      <c r="BD380">
        <f t="shared" si="290"/>
        <v>-213.48637836370781</v>
      </c>
      <c r="BF380">
        <f t="shared" si="291"/>
        <v>-34.288260845006505</v>
      </c>
      <c r="BG380">
        <f t="shared" si="292"/>
        <v>-207.17492143581333</v>
      </c>
      <c r="BH380">
        <f t="shared" si="307"/>
        <v>-27.174921435813332</v>
      </c>
      <c r="BI380">
        <f t="shared" si="308"/>
        <v>-27.174921435813332</v>
      </c>
      <c r="BJ380">
        <f t="shared" si="293"/>
        <v>0</v>
      </c>
      <c r="BK380">
        <f t="shared" si="309"/>
        <v>0</v>
      </c>
      <c r="BM380">
        <f t="shared" si="310"/>
        <v>-46.108598379265793</v>
      </c>
      <c r="BN380">
        <f t="shared" si="294"/>
        <v>-173.68854307210552</v>
      </c>
      <c r="BQ380" s="56">
        <f t="shared" si="311"/>
        <v>28.722298334544419</v>
      </c>
      <c r="BR380" s="59"/>
      <c r="BS380" s="59"/>
      <c r="BT380" s="59">
        <v>501187.234</v>
      </c>
      <c r="BU380" s="59">
        <v>12.4757</v>
      </c>
      <c r="BV380" s="59">
        <v>125.40900000000001</v>
      </c>
      <c r="BY380" s="59"/>
      <c r="BZ380" s="59"/>
      <c r="CA380" s="59"/>
      <c r="CC380" s="59"/>
    </row>
    <row r="381" spans="1:81" x14ac:dyDescent="0.2">
      <c r="A381">
        <f t="shared" si="319"/>
        <v>835000</v>
      </c>
      <c r="B381">
        <f t="shared" si="295"/>
        <v>835</v>
      </c>
      <c r="C381">
        <f t="shared" si="264"/>
        <v>1.0054899978918326</v>
      </c>
      <c r="D381">
        <f t="shared" si="265"/>
        <v>0.10454662374556685</v>
      </c>
      <c r="F381">
        <f t="shared" si="266"/>
        <v>3.2427310585092213E-4</v>
      </c>
      <c r="G381">
        <f t="shared" si="267"/>
        <v>6.1932641977781814E-3</v>
      </c>
      <c r="H381">
        <f t="shared" si="268"/>
        <v>-3.1353993858022222</v>
      </c>
      <c r="J381">
        <f t="shared" si="269"/>
        <v>15</v>
      </c>
      <c r="M381">
        <f t="shared" si="270"/>
        <v>2.1735504224239684E-3</v>
      </c>
      <c r="N381">
        <f t="shared" si="271"/>
        <v>-1.5707963250000001</v>
      </c>
      <c r="O381">
        <f t="shared" si="272"/>
        <v>99.651027202489843</v>
      </c>
      <c r="P381">
        <f t="shared" si="273"/>
        <v>1.5607611388752451</v>
      </c>
      <c r="Q381">
        <f t="shared" si="274"/>
        <v>65.045110626709729</v>
      </c>
      <c r="R381">
        <f t="shared" si="275"/>
        <v>1.5554217753860422</v>
      </c>
      <c r="S381">
        <f t="shared" si="276"/>
        <v>0.99429916707904198</v>
      </c>
      <c r="T381">
        <f t="shared" si="277"/>
        <v>-0.10682937567122307</v>
      </c>
      <c r="U381">
        <f t="shared" si="278"/>
        <v>0.50533121487906552</v>
      </c>
      <c r="V381">
        <f t="shared" si="279"/>
        <v>-1.0410305766804957</v>
      </c>
      <c r="X381">
        <f t="shared" si="296"/>
        <v>-29.213213949599979</v>
      </c>
      <c r="Y381">
        <f t="shared" si="280"/>
        <v>-150.8784732248707</v>
      </c>
      <c r="Z381">
        <f t="shared" si="297"/>
        <v>29.121526775129297</v>
      </c>
      <c r="AC381">
        <v>1</v>
      </c>
      <c r="AD381">
        <f t="shared" si="281"/>
        <v>99.646009566421498</v>
      </c>
      <c r="AE381">
        <f t="shared" si="282"/>
        <v>-3.5549636767797245E-2</v>
      </c>
      <c r="AF381">
        <f t="shared" si="283"/>
        <v>2.0817952190784004E-2</v>
      </c>
      <c r="AG381">
        <f t="shared" si="315"/>
        <v>1201.3432157166362</v>
      </c>
      <c r="AH381">
        <f t="shared" si="316"/>
        <v>-2099.5011685891418</v>
      </c>
      <c r="AJ381">
        <f t="shared" si="284"/>
        <v>22100</v>
      </c>
      <c r="AK381">
        <f t="shared" si="285"/>
        <v>2369.9517730417624</v>
      </c>
      <c r="AL381">
        <v>1</v>
      </c>
      <c r="AM381">
        <f t="shared" si="286"/>
        <v>65.037423199577219</v>
      </c>
      <c r="AN381">
        <f t="shared" si="317"/>
        <v>41.654720116206981</v>
      </c>
      <c r="AO381">
        <f t="shared" si="318"/>
        <v>-339.16388741593295</v>
      </c>
      <c r="AQ381">
        <f t="shared" si="287"/>
        <v>3.585641799404138E-3</v>
      </c>
      <c r="AR381">
        <f t="shared" si="288"/>
        <v>-5.9880218050049105</v>
      </c>
      <c r="AT381">
        <f t="shared" si="313"/>
        <v>-12567.551190695367</v>
      </c>
      <c r="AU381">
        <f t="shared" si="314"/>
        <v>-7201.1974301539267</v>
      </c>
      <c r="AV381">
        <f t="shared" si="302"/>
        <v>-2.621263289071404</v>
      </c>
      <c r="AW381">
        <f t="shared" si="303"/>
        <v>-1656.5050203071539</v>
      </c>
      <c r="AX381">
        <f t="shared" si="304"/>
        <v>-3338.7351952963463</v>
      </c>
      <c r="AY381">
        <f t="shared" si="312"/>
        <v>-2.0313571648719577</v>
      </c>
      <c r="BA381">
        <f t="shared" si="289"/>
        <v>3.8862798270326668</v>
      </c>
      <c r="BB381">
        <f t="shared" si="305"/>
        <v>11.79068136511497</v>
      </c>
      <c r="BC381">
        <f t="shared" si="306"/>
        <v>-0.58990612419944632</v>
      </c>
      <c r="BD381">
        <f t="shared" si="290"/>
        <v>-213.79913126416957</v>
      </c>
      <c r="BF381">
        <f t="shared" si="291"/>
        <v>-34.421719733443425</v>
      </c>
      <c r="BG381">
        <f t="shared" si="292"/>
        <v>-207.4542030540141</v>
      </c>
      <c r="BH381">
        <f t="shared" si="307"/>
        <v>-27.454203054014101</v>
      </c>
      <c r="BI381">
        <f t="shared" si="308"/>
        <v>-27.454203054014101</v>
      </c>
      <c r="BJ381">
        <f t="shared" si="293"/>
        <v>0</v>
      </c>
      <c r="BK381">
        <f t="shared" si="309"/>
        <v>0</v>
      </c>
      <c r="BM381">
        <f t="shared" si="310"/>
        <v>-46.212401098558395</v>
      </c>
      <c r="BN381">
        <f t="shared" si="294"/>
        <v>-173.65507178984453</v>
      </c>
      <c r="BQ381" s="56">
        <f t="shared" si="311"/>
        <v>28.692642165400105</v>
      </c>
      <c r="BR381" s="59"/>
      <c r="BS381" s="59"/>
      <c r="BT381" s="59">
        <v>512861.38400000002</v>
      </c>
      <c r="BU381" s="59">
        <v>12.1639</v>
      </c>
      <c r="BV381" s="59">
        <v>124.027</v>
      </c>
      <c r="BY381" s="59"/>
      <c r="BZ381" s="59"/>
      <c r="CA381" s="59"/>
      <c r="CC381" s="59"/>
    </row>
    <row r="382" spans="1:81" x14ac:dyDescent="0.2">
      <c r="A382">
        <f t="shared" si="319"/>
        <v>840000</v>
      </c>
      <c r="B382">
        <f t="shared" si="295"/>
        <v>840</v>
      </c>
      <c r="C382">
        <f t="shared" si="264"/>
        <v>1.0055557610392323</v>
      </c>
      <c r="D382">
        <f t="shared" si="265"/>
        <v>0.10516805913602038</v>
      </c>
      <c r="F382">
        <f t="shared" si="266"/>
        <v>3.2042303606039471E-4</v>
      </c>
      <c r="G382">
        <f t="shared" si="267"/>
        <v>6.156376680167476E-3</v>
      </c>
      <c r="H382">
        <f t="shared" si="268"/>
        <v>-3.1354362733198329</v>
      </c>
      <c r="J382">
        <f t="shared" si="269"/>
        <v>15</v>
      </c>
      <c r="M382">
        <f t="shared" si="270"/>
        <v>2.1606126222904923E-3</v>
      </c>
      <c r="N382">
        <f t="shared" si="271"/>
        <v>-1.5707963250000001</v>
      </c>
      <c r="O382">
        <f t="shared" si="272"/>
        <v>100.24768002911344</v>
      </c>
      <c r="P382">
        <f t="shared" si="273"/>
        <v>1.560820868162192</v>
      </c>
      <c r="Q382">
        <f t="shared" si="274"/>
        <v>65.434510521476383</v>
      </c>
      <c r="R382">
        <f t="shared" si="275"/>
        <v>1.5555132762807782</v>
      </c>
      <c r="S382">
        <f t="shared" si="276"/>
        <v>0.9942312806309952</v>
      </c>
      <c r="T382">
        <f t="shared" si="277"/>
        <v>-0.10746417329336425</v>
      </c>
      <c r="U382">
        <f t="shared" si="278"/>
        <v>0.50308628376781561</v>
      </c>
      <c r="V382">
        <f t="shared" si="279"/>
        <v>-1.0436301362960581</v>
      </c>
      <c r="X382">
        <f t="shared" si="296"/>
        <v>-29.303817078169828</v>
      </c>
      <c r="Y382">
        <f t="shared" si="280"/>
        <v>-151.02163126700961</v>
      </c>
      <c r="Z382">
        <f t="shared" si="297"/>
        <v>28.97836873299039</v>
      </c>
      <c r="AC382">
        <v>1</v>
      </c>
      <c r="AD382">
        <f t="shared" si="281"/>
        <v>100.24269225843601</v>
      </c>
      <c r="AE382">
        <f t="shared" si="282"/>
        <v>-3.5976655603797529E-2</v>
      </c>
      <c r="AF382">
        <f t="shared" si="283"/>
        <v>2.0942610587136003E-2</v>
      </c>
      <c r="AG382">
        <f t="shared" si="315"/>
        <v>1190.6930040272509</v>
      </c>
      <c r="AH382">
        <f t="shared" si="316"/>
        <v>-2093.2038034774173</v>
      </c>
      <c r="AJ382">
        <f t="shared" si="284"/>
        <v>22100</v>
      </c>
      <c r="AK382">
        <f t="shared" si="285"/>
        <v>2384.1431010240485</v>
      </c>
      <c r="AL382">
        <v>1</v>
      </c>
      <c r="AM382">
        <f t="shared" si="286"/>
        <v>65.426868847478886</v>
      </c>
      <c r="AN382">
        <f t="shared" si="317"/>
        <v>41.592837156163206</v>
      </c>
      <c r="AO382">
        <f t="shared" si="318"/>
        <v>-337.14600058678826</v>
      </c>
      <c r="AQ382">
        <f t="shared" si="287"/>
        <v>3.5430826448828497E-3</v>
      </c>
      <c r="AR382">
        <f t="shared" si="288"/>
        <v>-5.9523788434031877</v>
      </c>
      <c r="AT382">
        <f t="shared" si="313"/>
        <v>-12455.323311032109</v>
      </c>
      <c r="AU382">
        <f t="shared" si="314"/>
        <v>-7094.8722402282992</v>
      </c>
      <c r="AV382">
        <f t="shared" si="302"/>
        <v>-2.6238066836987199</v>
      </c>
      <c r="AW382">
        <f t="shared" si="303"/>
        <v>-1635.4526136912209</v>
      </c>
      <c r="AX382">
        <f t="shared" si="304"/>
        <v>-3320.1383295560981</v>
      </c>
      <c r="AY382">
        <f t="shared" si="312"/>
        <v>-2.0284949106707728</v>
      </c>
      <c r="BA382">
        <f t="shared" si="289"/>
        <v>3.8730015753952718</v>
      </c>
      <c r="BB382">
        <f t="shared" si="305"/>
        <v>11.760953472824337</v>
      </c>
      <c r="BC382">
        <f t="shared" si="306"/>
        <v>-0.59531177302794713</v>
      </c>
      <c r="BD382">
        <f t="shared" si="290"/>
        <v>-214.10885212792641</v>
      </c>
      <c r="BF382">
        <f t="shared" si="291"/>
        <v>-34.554623553502807</v>
      </c>
      <c r="BG382">
        <f t="shared" si="292"/>
        <v>-207.73043179169542</v>
      </c>
      <c r="BH382">
        <f t="shared" si="307"/>
        <v>-27.730431791695423</v>
      </c>
      <c r="BI382">
        <f t="shared" si="308"/>
        <v>-27.730431791695423</v>
      </c>
      <c r="BJ382">
        <f t="shared" si="293"/>
        <v>0</v>
      </c>
      <c r="BK382">
        <f t="shared" si="309"/>
        <v>0</v>
      </c>
      <c r="BM382">
        <f t="shared" si="310"/>
        <v>-46.315577026327148</v>
      </c>
      <c r="BN382">
        <f t="shared" si="294"/>
        <v>-173.62157966376901</v>
      </c>
      <c r="BQ382" s="56">
        <f t="shared" si="311"/>
        <v>28.662914273109475</v>
      </c>
      <c r="BR382" s="59"/>
      <c r="BS382" s="59"/>
      <c r="BT382" s="59">
        <v>524807.46</v>
      </c>
      <c r="BU382" s="59">
        <v>11.9579</v>
      </c>
      <c r="BV382" s="59">
        <v>122.795</v>
      </c>
      <c r="BY382" s="59"/>
      <c r="BZ382" s="59"/>
      <c r="CA382" s="59"/>
      <c r="CC382" s="59"/>
    </row>
    <row r="383" spans="1:81" x14ac:dyDescent="0.2">
      <c r="A383">
        <f t="shared" si="319"/>
        <v>845000</v>
      </c>
      <c r="B383">
        <f t="shared" si="295"/>
        <v>845</v>
      </c>
      <c r="C383">
        <f t="shared" si="264"/>
        <v>1.0056219124632342</v>
      </c>
      <c r="D383">
        <f t="shared" si="265"/>
        <v>0.10578941300836782</v>
      </c>
      <c r="F383">
        <f t="shared" si="266"/>
        <v>3.1664113555570045E-4</v>
      </c>
      <c r="G383">
        <f t="shared" si="267"/>
        <v>6.1199261034070342E-3</v>
      </c>
      <c r="H383">
        <f t="shared" si="268"/>
        <v>-3.1354727238965934</v>
      </c>
      <c r="J383">
        <f t="shared" si="269"/>
        <v>15</v>
      </c>
      <c r="M383">
        <f t="shared" si="270"/>
        <v>2.1478279322177671E-3</v>
      </c>
      <c r="N383">
        <f t="shared" si="271"/>
        <v>-1.5707963250000001</v>
      </c>
      <c r="O383">
        <f t="shared" si="272"/>
        <v>100.84433320914739</v>
      </c>
      <c r="P383">
        <f t="shared" si="273"/>
        <v>1.5608798906635943</v>
      </c>
      <c r="Q383">
        <f t="shared" si="274"/>
        <v>65.823910957605975</v>
      </c>
      <c r="R383">
        <f t="shared" si="275"/>
        <v>1.5556036945761023</v>
      </c>
      <c r="S383">
        <f t="shared" si="276"/>
        <v>0.99416300291854598</v>
      </c>
      <c r="T383">
        <f t="shared" si="277"/>
        <v>-0.10809888398322209</v>
      </c>
      <c r="U383">
        <f t="shared" si="278"/>
        <v>0.50085787076324451</v>
      </c>
      <c r="V383">
        <f t="shared" si="279"/>
        <v>-1.0462066837757866</v>
      </c>
      <c r="X383">
        <f t="shared" si="296"/>
        <v>-29.393998224339906</v>
      </c>
      <c r="Y383">
        <f t="shared" si="280"/>
        <v>-151.16354799001607</v>
      </c>
      <c r="Z383">
        <f t="shared" si="297"/>
        <v>28.83645200998393</v>
      </c>
      <c r="AC383">
        <v>1</v>
      </c>
      <c r="AD383">
        <f t="shared" si="281"/>
        <v>100.83937495045049</v>
      </c>
      <c r="AE383">
        <f t="shared" si="282"/>
        <v>-3.64062238059829E-2</v>
      </c>
      <c r="AF383">
        <f t="shared" si="283"/>
        <v>2.1067268983488003E-2</v>
      </c>
      <c r="AG383">
        <f t="shared" si="315"/>
        <v>1180.1680528980971</v>
      </c>
      <c r="AH383">
        <f t="shared" si="316"/>
        <v>-2086.9084785948389</v>
      </c>
      <c r="AJ383">
        <f t="shared" si="284"/>
        <v>22100</v>
      </c>
      <c r="AK383">
        <f t="shared" si="285"/>
        <v>2398.3344290063342</v>
      </c>
      <c r="AL383">
        <v>1</v>
      </c>
      <c r="AM383">
        <f t="shared" si="286"/>
        <v>65.816314495380539</v>
      </c>
      <c r="AN383">
        <f t="shared" si="317"/>
        <v>41.53204911887461</v>
      </c>
      <c r="AO383">
        <f t="shared" si="318"/>
        <v>-335.15197743910966</v>
      </c>
      <c r="AQ383">
        <f t="shared" si="287"/>
        <v>3.5012767405634463E-3</v>
      </c>
      <c r="AR383">
        <f t="shared" si="288"/>
        <v>-5.9171576915522248</v>
      </c>
      <c r="AT383">
        <f t="shared" si="313"/>
        <v>-12344.434460729435</v>
      </c>
      <c r="AU383">
        <f t="shared" si="314"/>
        <v>-6990.5473156459766</v>
      </c>
      <c r="AV383">
        <f t="shared" si="302"/>
        <v>-2.626327730794713</v>
      </c>
      <c r="AW383">
        <f t="shared" si="303"/>
        <v>-1614.7895689067957</v>
      </c>
      <c r="AX383">
        <f t="shared" si="304"/>
        <v>-3301.7488585832934</v>
      </c>
      <c r="AY383">
        <f t="shared" si="312"/>
        <v>-2.0256625604088092</v>
      </c>
      <c r="BA383">
        <f t="shared" si="289"/>
        <v>3.8597388304004072</v>
      </c>
      <c r="BB383">
        <f t="shared" si="305"/>
        <v>11.731158381759981</v>
      </c>
      <c r="BC383">
        <f t="shared" si="306"/>
        <v>-0.60066517038590383</v>
      </c>
      <c r="BD383">
        <f t="shared" si="290"/>
        <v>-214.41557920294429</v>
      </c>
      <c r="BF383">
        <f t="shared" si="291"/>
        <v>-34.686975189188196</v>
      </c>
      <c r="BG383">
        <f t="shared" si="292"/>
        <v>-208.00364637641459</v>
      </c>
      <c r="BH383">
        <f t="shared" si="307"/>
        <v>-28.003646376414594</v>
      </c>
      <c r="BI383">
        <f t="shared" si="308"/>
        <v>-28.003646376414594</v>
      </c>
      <c r="BJ383">
        <f t="shared" si="293"/>
        <v>0</v>
      </c>
      <c r="BK383">
        <f t="shared" si="309"/>
        <v>0</v>
      </c>
      <c r="BM383">
        <f t="shared" si="310"/>
        <v>-46.418133570948179</v>
      </c>
      <c r="BN383">
        <f t="shared" si="294"/>
        <v>-173.58806717347034</v>
      </c>
      <c r="BQ383" s="56">
        <f t="shared" si="311"/>
        <v>28.633119182045121</v>
      </c>
      <c r="BR383" s="59"/>
      <c r="BS383" s="59"/>
      <c r="BT383" s="59">
        <v>537031.79599999997</v>
      </c>
      <c r="BU383" s="59">
        <v>11.690200000000001</v>
      </c>
      <c r="BV383" s="59">
        <v>121.76300000000001</v>
      </c>
      <c r="BY383" s="59"/>
      <c r="BZ383" s="59"/>
      <c r="CA383" s="59"/>
      <c r="CC383" s="59"/>
    </row>
    <row r="384" spans="1:81" x14ac:dyDescent="0.2">
      <c r="A384">
        <f t="shared" si="319"/>
        <v>850000</v>
      </c>
      <c r="B384">
        <f t="shared" si="295"/>
        <v>850</v>
      </c>
      <c r="C384">
        <f t="shared" si="264"/>
        <v>1.0056884520872185</v>
      </c>
      <c r="D384">
        <f t="shared" si="265"/>
        <v>0.10641068489895747</v>
      </c>
      <c r="F384">
        <f t="shared" si="266"/>
        <v>3.1292580428810381E-4</v>
      </c>
      <c r="G384">
        <f t="shared" si="267"/>
        <v>6.0839047473917468E-3</v>
      </c>
      <c r="H384">
        <f t="shared" si="268"/>
        <v>-3.1355087452526083</v>
      </c>
      <c r="J384">
        <f t="shared" si="269"/>
        <v>15</v>
      </c>
      <c r="M384">
        <f t="shared" si="270"/>
        <v>2.1351936502635449E-3</v>
      </c>
      <c r="N384">
        <f t="shared" si="271"/>
        <v>-1.5707963250000001</v>
      </c>
      <c r="O384">
        <f t="shared" si="272"/>
        <v>101.44098673635568</v>
      </c>
      <c r="P384">
        <f t="shared" si="273"/>
        <v>1.5609382188505074</v>
      </c>
      <c r="Q384">
        <f t="shared" si="274"/>
        <v>66.213311925547231</v>
      </c>
      <c r="R384">
        <f t="shared" si="275"/>
        <v>1.5556930493708478</v>
      </c>
      <c r="S384">
        <f t="shared" si="276"/>
        <v>0.9940943341873173</v>
      </c>
      <c r="T384">
        <f t="shared" si="277"/>
        <v>-0.1087335072473621</v>
      </c>
      <c r="U384">
        <f t="shared" si="278"/>
        <v>0.49864584551244495</v>
      </c>
      <c r="V384">
        <f t="shared" si="279"/>
        <v>-1.0487604895800846</v>
      </c>
      <c r="X384">
        <f t="shared" si="296"/>
        <v>-29.483761023544069</v>
      </c>
      <c r="Y384">
        <f t="shared" si="280"/>
        <v>-151.3042375219313</v>
      </c>
      <c r="Z384">
        <f t="shared" si="297"/>
        <v>28.695762478068701</v>
      </c>
      <c r="AC384">
        <v>1</v>
      </c>
      <c r="AD384">
        <f t="shared" si="281"/>
        <v>101.436057642465</v>
      </c>
      <c r="AE384">
        <f t="shared" si="282"/>
        <v>-3.6838341374353337E-2</v>
      </c>
      <c r="AF384">
        <f t="shared" si="283"/>
        <v>2.1191927379840006E-2</v>
      </c>
      <c r="AG384">
        <f t="shared" si="315"/>
        <v>1169.7667117272099</v>
      </c>
      <c r="AH384">
        <f t="shared" si="316"/>
        <v>-2080.6161074762335</v>
      </c>
      <c r="AJ384">
        <f t="shared" si="284"/>
        <v>22100</v>
      </c>
      <c r="AK384">
        <f t="shared" si="285"/>
        <v>2412.5257569886203</v>
      </c>
      <c r="AL384">
        <v>1</v>
      </c>
      <c r="AM384">
        <f t="shared" si="286"/>
        <v>66.205760143282205</v>
      </c>
      <c r="AN384">
        <f t="shared" si="317"/>
        <v>41.472330327199899</v>
      </c>
      <c r="AO384">
        <f t="shared" si="318"/>
        <v>-333.1813972369448</v>
      </c>
      <c r="AQ384">
        <f t="shared" si="287"/>
        <v>3.4602064151534897E-3</v>
      </c>
      <c r="AR384">
        <f t="shared" si="288"/>
        <v>-5.8823509057609327</v>
      </c>
      <c r="AT384">
        <f t="shared" si="313"/>
        <v>-12234.866410073457</v>
      </c>
      <c r="AU384">
        <f t="shared" si="314"/>
        <v>-6888.1776374601013</v>
      </c>
      <c r="AV384">
        <f t="shared" si="302"/>
        <v>-2.6288266890931</v>
      </c>
      <c r="AW384">
        <f t="shared" si="303"/>
        <v>-1594.5064113630799</v>
      </c>
      <c r="AX384">
        <f t="shared" si="304"/>
        <v>-3283.563220464654</v>
      </c>
      <c r="AY384">
        <f t="shared" si="312"/>
        <v>-2.0228597136137005</v>
      </c>
      <c r="BA384">
        <f t="shared" si="289"/>
        <v>3.846493685265477</v>
      </c>
      <c r="BB384">
        <f t="shared" si="305"/>
        <v>11.701300475984311</v>
      </c>
      <c r="BC384">
        <f t="shared" si="306"/>
        <v>-0.60596697547939948</v>
      </c>
      <c r="BD384">
        <f t="shared" si="290"/>
        <v>-214.71935025894967</v>
      </c>
      <c r="BF384">
        <f t="shared" si="291"/>
        <v>-34.818777533563335</v>
      </c>
      <c r="BG384">
        <f t="shared" si="292"/>
        <v>-208.27388504679274</v>
      </c>
      <c r="BH384">
        <f t="shared" si="307"/>
        <v>-28.273885046792742</v>
      </c>
      <c r="BI384">
        <f t="shared" si="308"/>
        <v>-28.273885046792742</v>
      </c>
      <c r="BJ384">
        <f t="shared" si="293"/>
        <v>0</v>
      </c>
      <c r="BK384">
        <f t="shared" si="309"/>
        <v>0</v>
      </c>
      <c r="BM384">
        <f t="shared" si="310"/>
        <v>-46.520078009547639</v>
      </c>
      <c r="BN384">
        <f t="shared" si="294"/>
        <v>-173.55453478784307</v>
      </c>
      <c r="BQ384" s="56">
        <f t="shared" si="311"/>
        <v>28.603261276269446</v>
      </c>
      <c r="BR384" s="59"/>
      <c r="BS384" s="59"/>
      <c r="BT384" s="59">
        <v>549540.87399999995</v>
      </c>
      <c r="BU384" s="59">
        <v>11.575799999999999</v>
      </c>
      <c r="BV384" s="59">
        <v>121.762</v>
      </c>
      <c r="BY384" s="59"/>
      <c r="BZ384" s="59"/>
      <c r="CA384" s="59"/>
      <c r="CC384" s="59"/>
    </row>
    <row r="385" spans="1:81" x14ac:dyDescent="0.2">
      <c r="A385">
        <f t="shared" si="319"/>
        <v>855000</v>
      </c>
      <c r="B385">
        <f t="shared" si="295"/>
        <v>855</v>
      </c>
      <c r="C385">
        <f t="shared" si="264"/>
        <v>1.0057553798341368</v>
      </c>
      <c r="D385">
        <f t="shared" si="265"/>
        <v>0.10703187434451308</v>
      </c>
      <c r="F385">
        <f t="shared" si="266"/>
        <v>3.0927548888420923E-4</v>
      </c>
      <c r="G385">
        <f t="shared" si="267"/>
        <v>6.048305072875894E-3</v>
      </c>
      <c r="H385">
        <f t="shared" si="268"/>
        <v>-3.1355443449271245</v>
      </c>
      <c r="J385">
        <f t="shared" si="269"/>
        <v>15</v>
      </c>
      <c r="M385">
        <f t="shared" si="270"/>
        <v>2.1227071376889043E-3</v>
      </c>
      <c r="N385">
        <f t="shared" si="271"/>
        <v>-1.5707963250000001</v>
      </c>
      <c r="O385">
        <f t="shared" si="272"/>
        <v>102.03764060464808</v>
      </c>
      <c r="P385">
        <f t="shared" si="273"/>
        <v>1.5609958649023137</v>
      </c>
      <c r="Q385">
        <f t="shared" si="274"/>
        <v>66.602713415972246</v>
      </c>
      <c r="R385">
        <f t="shared" si="275"/>
        <v>1.5557813593172618</v>
      </c>
      <c r="S385">
        <f t="shared" si="276"/>
        <v>0.99402527468424795</v>
      </c>
      <c r="T385">
        <f t="shared" si="277"/>
        <v>-0.10936804259276736</v>
      </c>
      <c r="U385">
        <f t="shared" si="278"/>
        <v>0.49645007783598732</v>
      </c>
      <c r="V385">
        <f t="shared" si="279"/>
        <v>-1.051291820602676</v>
      </c>
      <c r="X385">
        <f t="shared" si="296"/>
        <v>-29.573109064780873</v>
      </c>
      <c r="Y385">
        <f t="shared" si="280"/>
        <v>-151.4437138183801</v>
      </c>
      <c r="Z385">
        <f t="shared" si="297"/>
        <v>28.556286181619896</v>
      </c>
      <c r="AC385">
        <v>1</v>
      </c>
      <c r="AD385">
        <f t="shared" si="281"/>
        <v>102.0327403344795</v>
      </c>
      <c r="AE385">
        <f t="shared" si="282"/>
        <v>-3.7273008308908846E-2</v>
      </c>
      <c r="AF385">
        <f t="shared" si="283"/>
        <v>2.1316585776192002E-2</v>
      </c>
      <c r="AG385">
        <f t="shared" si="315"/>
        <v>1159.4873491960848</v>
      </c>
      <c r="AH385">
        <f t="shared" si="316"/>
        <v>-2074.3275712588993</v>
      </c>
      <c r="AJ385">
        <f t="shared" si="284"/>
        <v>22100</v>
      </c>
      <c r="AK385">
        <f t="shared" si="285"/>
        <v>2426.7170849709059</v>
      </c>
      <c r="AL385">
        <v>1</v>
      </c>
      <c r="AM385">
        <f t="shared" si="286"/>
        <v>66.595205791183858</v>
      </c>
      <c r="AN385">
        <f t="shared" si="317"/>
        <v>41.413655852249015</v>
      </c>
      <c r="AO385">
        <f t="shared" si="318"/>
        <v>-331.23384907488276</v>
      </c>
      <c r="AQ385">
        <f t="shared" si="287"/>
        <v>3.4198545125493271E-3</v>
      </c>
      <c r="AR385">
        <f t="shared" si="288"/>
        <v>-5.8479512164593492</v>
      </c>
      <c r="AT385">
        <f t="shared" si="313"/>
        <v>-12126.601165635257</v>
      </c>
      <c r="AU385">
        <f t="shared" si="314"/>
        <v>-6787.7193527055451</v>
      </c>
      <c r="AV385">
        <f t="shared" si="302"/>
        <v>-2.6313038140351819</v>
      </c>
      <c r="AW385">
        <f t="shared" si="303"/>
        <v>-1574.5939502586452</v>
      </c>
      <c r="AX385">
        <f t="shared" si="304"/>
        <v>-3265.5779381701113</v>
      </c>
      <c r="AY385">
        <f t="shared" si="312"/>
        <v>-2.0200859748350632</v>
      </c>
      <c r="BA385">
        <f t="shared" si="289"/>
        <v>3.8332681455202837</v>
      </c>
      <c r="BB385">
        <f t="shared" si="305"/>
        <v>11.671384003383942</v>
      </c>
      <c r="BC385">
        <f t="shared" si="306"/>
        <v>-0.61121783920011863</v>
      </c>
      <c r="BD385">
        <f t="shared" si="290"/>
        <v>-215.020202589289</v>
      </c>
      <c r="BF385">
        <f t="shared" si="291"/>
        <v>-34.950033487701717</v>
      </c>
      <c r="BG385">
        <f t="shared" si="292"/>
        <v>-208.54118555468716</v>
      </c>
      <c r="BH385">
        <f t="shared" si="307"/>
        <v>-28.541185554687161</v>
      </c>
      <c r="BI385">
        <f t="shared" si="308"/>
        <v>-28.541185554687161</v>
      </c>
      <c r="BJ385">
        <f t="shared" si="293"/>
        <v>0</v>
      </c>
      <c r="BK385">
        <f t="shared" si="309"/>
        <v>0</v>
      </c>
      <c r="BM385">
        <f t="shared" si="310"/>
        <v>-46.621417491085666</v>
      </c>
      <c r="BN385">
        <f t="shared" si="294"/>
        <v>-173.52098296539816</v>
      </c>
      <c r="BQ385" s="56">
        <f t="shared" si="311"/>
        <v>28.57334480366908</v>
      </c>
      <c r="BR385" s="59"/>
      <c r="BS385" s="59"/>
      <c r="BT385" s="59">
        <v>562341.32499999995</v>
      </c>
      <c r="BU385" s="59">
        <v>11.314</v>
      </c>
      <c r="BV385" s="59">
        <v>119.89400000000001</v>
      </c>
      <c r="BY385" s="59"/>
      <c r="BZ385" s="59"/>
      <c r="CA385" s="59"/>
      <c r="CC385" s="59"/>
    </row>
    <row r="386" spans="1:81" x14ac:dyDescent="0.2">
      <c r="A386">
        <f t="shared" si="319"/>
        <v>860000</v>
      </c>
      <c r="B386">
        <f t="shared" si="295"/>
        <v>860</v>
      </c>
      <c r="C386">
        <f t="shared" si="264"/>
        <v>1.0058226956265115</v>
      </c>
      <c r="D386">
        <f t="shared" si="265"/>
        <v>0.10765298088213587</v>
      </c>
      <c r="F386">
        <f t="shared" si="266"/>
        <v>3.0568868102139664E-4</v>
      </c>
      <c r="G386">
        <f t="shared" si="267"/>
        <v>6.0131197162062036E-3</v>
      </c>
      <c r="H386">
        <f t="shared" si="268"/>
        <v>-3.1355795302837941</v>
      </c>
      <c r="J386">
        <f t="shared" si="269"/>
        <v>15</v>
      </c>
      <c r="M386">
        <f t="shared" si="270"/>
        <v>2.1103658171209455E-3</v>
      </c>
      <c r="N386">
        <f t="shared" si="271"/>
        <v>-1.5707963250000001</v>
      </c>
      <c r="O386">
        <f t="shared" si="272"/>
        <v>102.63429480807604</v>
      </c>
      <c r="P386">
        <f t="shared" si="273"/>
        <v>1.5610528407151989</v>
      </c>
      <c r="Q386">
        <f t="shared" si="274"/>
        <v>66.992115419769974</v>
      </c>
      <c r="R386">
        <f t="shared" si="275"/>
        <v>1.5558686426339807</v>
      </c>
      <c r="S386">
        <f t="shared" si="276"/>
        <v>0.99395582465759036</v>
      </c>
      <c r="T386">
        <f t="shared" si="277"/>
        <v>-0.11000248952684076</v>
      </c>
      <c r="U386">
        <f t="shared" si="278"/>
        <v>0.49427043777446716</v>
      </c>
      <c r="V386">
        <f t="shared" si="279"/>
        <v>-1.0538009402125204</v>
      </c>
      <c r="X386">
        <f t="shared" si="296"/>
        <v>-29.662045891495783</v>
      </c>
      <c r="Y386">
        <f t="shared" si="280"/>
        <v>-151.58199066404458</v>
      </c>
      <c r="Z386">
        <f t="shared" si="297"/>
        <v>28.418009335955418</v>
      </c>
      <c r="AC386">
        <v>1</v>
      </c>
      <c r="AD386">
        <f t="shared" si="281"/>
        <v>102.62942302649401</v>
      </c>
      <c r="AE386">
        <f t="shared" si="282"/>
        <v>-3.7710224609649443E-2</v>
      </c>
      <c r="AF386">
        <f t="shared" si="283"/>
        <v>2.1441244172544002E-2</v>
      </c>
      <c r="AG386">
        <f t="shared" si="315"/>
        <v>1149.3283532681703</v>
      </c>
      <c r="AH386">
        <f t="shared" si="316"/>
        <v>-2068.0437196252551</v>
      </c>
      <c r="AJ386">
        <f t="shared" si="284"/>
        <v>22100</v>
      </c>
      <c r="AK386">
        <f t="shared" si="285"/>
        <v>2440.9084129531921</v>
      </c>
      <c r="AL386">
        <v>1</v>
      </c>
      <c r="AM386">
        <f t="shared" si="286"/>
        <v>66.984651439085525</v>
      </c>
      <c r="AN386">
        <f t="shared" si="317"/>
        <v>41.356001487371188</v>
      </c>
      <c r="AO386">
        <f t="shared" si="318"/>
        <v>-329.30893159266952</v>
      </c>
      <c r="AQ386">
        <f t="shared" si="287"/>
        <v>3.3802043739168557E-3</v>
      </c>
      <c r="AR386">
        <f t="shared" si="288"/>
        <v>-5.8139515231369918</v>
      </c>
      <c r="AT386">
        <f t="shared" si="313"/>
        <v>-12019.620968902358</v>
      </c>
      <c r="AU386">
        <f t="shared" si="314"/>
        <v>-6689.1297404945381</v>
      </c>
      <c r="AV386">
        <f t="shared" si="302"/>
        <v>-2.6337593578037852</v>
      </c>
      <c r="AW386">
        <f t="shared" si="303"/>
        <v>-1555.0432685374183</v>
      </c>
      <c r="AX386">
        <f t="shared" si="304"/>
        <v>-3247.7896169296446</v>
      </c>
      <c r="AY386">
        <f t="shared" si="312"/>
        <v>-2.0173409536410993</v>
      </c>
      <c r="BA386">
        <f t="shared" si="289"/>
        <v>3.8200641319017885</v>
      </c>
      <c r="BB386">
        <f t="shared" si="305"/>
        <v>11.64141307968583</v>
      </c>
      <c r="BC386">
        <f t="shared" si="306"/>
        <v>-0.6164184041626859</v>
      </c>
      <c r="BD386">
        <f t="shared" si="290"/>
        <v>-215.31817301306822</v>
      </c>
      <c r="BF386">
        <f t="shared" si="291"/>
        <v>-35.080745959664384</v>
      </c>
      <c r="BG386">
        <f t="shared" si="292"/>
        <v>-208.80558516763205</v>
      </c>
      <c r="BH386">
        <f t="shared" si="307"/>
        <v>-28.805585167632046</v>
      </c>
      <c r="BI386">
        <f t="shared" si="308"/>
        <v>-28.805585167632046</v>
      </c>
      <c r="BJ386">
        <f t="shared" si="293"/>
        <v>0</v>
      </c>
      <c r="BK386">
        <f t="shared" si="309"/>
        <v>0</v>
      </c>
      <c r="BM386">
        <f t="shared" si="310"/>
        <v>-46.722159039350217</v>
      </c>
      <c r="BN386">
        <f t="shared" si="294"/>
        <v>-173.48741215456386</v>
      </c>
      <c r="BQ386" s="56">
        <f t="shared" si="311"/>
        <v>28.543373879970968</v>
      </c>
      <c r="BR386" s="59"/>
      <c r="BS386" s="59"/>
      <c r="BT386" s="59">
        <v>575439.93700000003</v>
      </c>
      <c r="BU386" s="59">
        <v>11.0791</v>
      </c>
      <c r="BV386" s="59">
        <v>119.196</v>
      </c>
      <c r="BY386" s="59"/>
      <c r="BZ386" s="59"/>
      <c r="CA386" s="59"/>
      <c r="CC386" s="59"/>
    </row>
    <row r="387" spans="1:81" x14ac:dyDescent="0.2">
      <c r="A387">
        <f t="shared" si="319"/>
        <v>865000</v>
      </c>
      <c r="B387">
        <f t="shared" si="295"/>
        <v>865</v>
      </c>
      <c r="C387">
        <f t="shared" si="264"/>
        <v>1.005890399386437</v>
      </c>
      <c r="D387">
        <f t="shared" si="265"/>
        <v>0.10827400404930652</v>
      </c>
      <c r="F387">
        <f t="shared" si="266"/>
        <v>3.0216391586885096E-4</v>
      </c>
      <c r="G387">
        <f t="shared" si="267"/>
        <v>5.9783414842379335E-3</v>
      </c>
      <c r="H387">
        <f t="shared" si="268"/>
        <v>-3.1356143085157622</v>
      </c>
      <c r="J387">
        <f t="shared" si="269"/>
        <v>15</v>
      </c>
      <c r="M387">
        <f t="shared" si="270"/>
        <v>2.0981671707792065E-3</v>
      </c>
      <c r="N387">
        <f t="shared" si="271"/>
        <v>-1.5707963250000001</v>
      </c>
      <c r="O387">
        <f t="shared" si="272"/>
        <v>103.23094934082849</v>
      </c>
      <c r="P387">
        <f t="shared" si="273"/>
        <v>1.5611091579103367</v>
      </c>
      <c r="Q387">
        <f t="shared" si="274"/>
        <v>67.381517928039997</v>
      </c>
      <c r="R387">
        <f t="shared" si="275"/>
        <v>1.5559549171185576</v>
      </c>
      <c r="S387">
        <f t="shared" si="276"/>
        <v>0.99388598435690656</v>
      </c>
      <c r="T387">
        <f t="shared" si="277"/>
        <v>-0.11063684755740714</v>
      </c>
      <c r="U387">
        <f t="shared" si="278"/>
        <v>0.49210679563270443</v>
      </c>
      <c r="V387">
        <f t="shared" si="279"/>
        <v>-1.0562881082957067</v>
      </c>
      <c r="X387">
        <f t="shared" si="296"/>
        <v>-29.750575002437699</v>
      </c>
      <c r="Y387">
        <f t="shared" si="280"/>
        <v>-151.71908167416981</v>
      </c>
      <c r="Z387">
        <f t="shared" si="297"/>
        <v>28.280918325830186</v>
      </c>
      <c r="AC387">
        <v>1</v>
      </c>
      <c r="AD387">
        <f t="shared" si="281"/>
        <v>103.22610571850849</v>
      </c>
      <c r="AE387">
        <f t="shared" si="282"/>
        <v>-3.8149990276575112E-2</v>
      </c>
      <c r="AF387">
        <f t="shared" si="283"/>
        <v>2.1565902568896005E-2</v>
      </c>
      <c r="AG387">
        <f t="shared" si="315"/>
        <v>1139.2881311727895</v>
      </c>
      <c r="AH387">
        <f t="shared" si="316"/>
        <v>-2061.7653717210283</v>
      </c>
      <c r="AJ387">
        <f t="shared" si="284"/>
        <v>22100</v>
      </c>
      <c r="AK387">
        <f t="shared" si="285"/>
        <v>2455.0997409354782</v>
      </c>
      <c r="AL387">
        <v>1</v>
      </c>
      <c r="AM387">
        <f t="shared" si="286"/>
        <v>67.374097086987192</v>
      </c>
      <c r="AN387">
        <f t="shared" si="317"/>
        <v>41.299343723191896</v>
      </c>
      <c r="AO387">
        <f t="shared" si="318"/>
        <v>-327.40625269970832</v>
      </c>
      <c r="AQ387">
        <f t="shared" si="287"/>
        <v>3.3412398204952318E-3</v>
      </c>
      <c r="AR387">
        <f t="shared" si="288"/>
        <v>-5.7803448894567513</v>
      </c>
      <c r="AT387">
        <f t="shared" si="313"/>
        <v>-11913.908294815652</v>
      </c>
      <c r="AU387">
        <f t="shared" si="314"/>
        <v>-6592.3671792038785</v>
      </c>
      <c r="AV387">
        <f t="shared" si="302"/>
        <v>-2.6361935693574603</v>
      </c>
      <c r="AW387">
        <f t="shared" si="303"/>
        <v>-1535.8457132535625</v>
      </c>
      <c r="AX387">
        <f t="shared" si="304"/>
        <v>-3230.1949417095316</v>
      </c>
      <c r="AY387">
        <f t="shared" si="312"/>
        <v>-2.0146242646109211</v>
      </c>
      <c r="BA387">
        <f t="shared" si="289"/>
        <v>3.8068834831671903</v>
      </c>
      <c r="BB387">
        <f t="shared" si="305"/>
        <v>11.611391692358136</v>
      </c>
      <c r="BC387">
        <f t="shared" si="306"/>
        <v>-0.62156930474653915</v>
      </c>
      <c r="BD387">
        <f t="shared" si="290"/>
        <v>-215.6132978775517</v>
      </c>
      <c r="BF387">
        <f t="shared" si="291"/>
        <v>-35.210917863505962</v>
      </c>
      <c r="BG387">
        <f t="shared" si="292"/>
        <v>-209.06712067152912</v>
      </c>
      <c r="BH387">
        <f t="shared" si="307"/>
        <v>-29.067120671529125</v>
      </c>
      <c r="BI387">
        <f t="shared" si="308"/>
        <v>-29.067120671529125</v>
      </c>
      <c r="BJ387">
        <f t="shared" si="293"/>
        <v>0</v>
      </c>
      <c r="BK387">
        <f t="shared" si="309"/>
        <v>0</v>
      </c>
      <c r="BM387">
        <f t="shared" si="310"/>
        <v>-46.822309555864095</v>
      </c>
      <c r="BN387">
        <f t="shared" si="294"/>
        <v>-173.45382279397745</v>
      </c>
      <c r="BQ387" s="56">
        <f t="shared" si="311"/>
        <v>28.513352492643275</v>
      </c>
      <c r="BR387" s="59"/>
      <c r="BS387" s="59"/>
      <c r="BT387" s="59">
        <v>588843.65500000003</v>
      </c>
      <c r="BU387" s="59">
        <v>10.8666</v>
      </c>
      <c r="BV387" s="59">
        <v>116.889</v>
      </c>
      <c r="BY387" s="59"/>
      <c r="BZ387" s="59"/>
      <c r="CA387" s="59"/>
      <c r="CC387" s="59"/>
    </row>
    <row r="388" spans="1:81" x14ac:dyDescent="0.2">
      <c r="A388">
        <f t="shared" si="319"/>
        <v>870000</v>
      </c>
      <c r="B388">
        <f t="shared" si="295"/>
        <v>870</v>
      </c>
      <c r="C388">
        <f t="shared" si="264"/>
        <v>1.0059584910355794</v>
      </c>
      <c r="D388">
        <f t="shared" si="265"/>
        <v>0.10889494338388704</v>
      </c>
      <c r="F388">
        <f t="shared" si="266"/>
        <v>2.9869977059117559E-4</v>
      </c>
      <c r="G388">
        <f t="shared" si="267"/>
        <v>5.9439633494266265E-3</v>
      </c>
      <c r="H388">
        <f t="shared" si="268"/>
        <v>-3.1356486866505735</v>
      </c>
      <c r="J388">
        <f t="shared" si="269"/>
        <v>15</v>
      </c>
      <c r="M388">
        <f t="shared" si="270"/>
        <v>2.0861087387632339E-3</v>
      </c>
      <c r="N388">
        <f t="shared" si="271"/>
        <v>-1.5707963250000001</v>
      </c>
      <c r="O388">
        <f t="shared" si="272"/>
        <v>103.82760419722798</v>
      </c>
      <c r="P388">
        <f t="shared" si="273"/>
        <v>1.5611648278417882</v>
      </c>
      <c r="Q388">
        <f t="shared" si="274"/>
        <v>67.770920932086398</v>
      </c>
      <c r="R388">
        <f t="shared" si="275"/>
        <v>1.5560402001595568</v>
      </c>
      <c r="S388">
        <f t="shared" si="276"/>
        <v>0.99381575403306743</v>
      </c>
      <c r="T388">
        <f t="shared" si="277"/>
        <v>-0.11127111619271549</v>
      </c>
      <c r="U388">
        <f t="shared" si="278"/>
        <v>0.48995902202168456</v>
      </c>
      <c r="V388">
        <f t="shared" si="279"/>
        <v>-1.0587535812973001</v>
      </c>
      <c r="X388">
        <f t="shared" si="296"/>
        <v>-29.838699852490826</v>
      </c>
      <c r="Y388">
        <f t="shared" si="280"/>
        <v>-151.85500029609639</v>
      </c>
      <c r="Z388">
        <f t="shared" si="297"/>
        <v>28.144999703903608</v>
      </c>
      <c r="AC388">
        <v>1</v>
      </c>
      <c r="AD388">
        <f t="shared" si="281"/>
        <v>103.82278841052302</v>
      </c>
      <c r="AE388">
        <f t="shared" si="282"/>
        <v>-3.8592305309685868E-2</v>
      </c>
      <c r="AF388">
        <f t="shared" si="283"/>
        <v>2.1690560965248001E-2</v>
      </c>
      <c r="AG388">
        <f t="shared" si="315"/>
        <v>1129.3651093753817</v>
      </c>
      <c r="AH388">
        <f t="shared" si="316"/>
        <v>-2055.4933170494764</v>
      </c>
      <c r="AJ388">
        <f t="shared" si="284"/>
        <v>22100</v>
      </c>
      <c r="AK388">
        <f t="shared" si="285"/>
        <v>2469.2910689177643</v>
      </c>
      <c r="AL388">
        <v>1</v>
      </c>
      <c r="AM388">
        <f t="shared" si="286"/>
        <v>67.763542734888844</v>
      </c>
      <c r="AN388">
        <f t="shared" si="317"/>
        <v>41.243659723650538</v>
      </c>
      <c r="AO388">
        <f t="shared" si="318"/>
        <v>-325.52542930904269</v>
      </c>
      <c r="AQ388">
        <f t="shared" si="287"/>
        <v>3.3029451370903892E-3</v>
      </c>
      <c r="AR388">
        <f t="shared" si="288"/>
        <v>-5.7471245385372773</v>
      </c>
      <c r="AT388">
        <f t="shared" si="313"/>
        <v>-11809.445850218419</v>
      </c>
      <c r="AU388">
        <f t="shared" si="314"/>
        <v>-6497.3911147149629</v>
      </c>
      <c r="AV388">
        <f t="shared" si="302"/>
        <v>-2.6386066944649014</v>
      </c>
      <c r="AW388">
        <f t="shared" si="303"/>
        <v>-1516.9928863264411</v>
      </c>
      <c r="AX388">
        <f t="shared" si="304"/>
        <v>-3212.7906747836232</v>
      </c>
      <c r="AY388">
        <f t="shared" si="312"/>
        <v>-2.0119355273228781</v>
      </c>
      <c r="BA388">
        <f t="shared" si="289"/>
        <v>3.7937279588268016</v>
      </c>
      <c r="BB388">
        <f t="shared" si="305"/>
        <v>11.581323704398772</v>
      </c>
      <c r="BC388">
        <f t="shared" si="306"/>
        <v>-0.62667116714202331</v>
      </c>
      <c r="BD388">
        <f t="shared" si="290"/>
        <v>-215.90561306080346</v>
      </c>
      <c r="BF388">
        <f t="shared" si="291"/>
        <v>-35.340552118309184</v>
      </c>
      <c r="BG388">
        <f t="shared" si="292"/>
        <v>-209.32582837356961</v>
      </c>
      <c r="BH388">
        <f t="shared" si="307"/>
        <v>-29.325828373569607</v>
      </c>
      <c r="BI388">
        <f t="shared" si="308"/>
        <v>-29.325828373569607</v>
      </c>
      <c r="BJ388">
        <f t="shared" si="293"/>
        <v>0</v>
      </c>
      <c r="BK388">
        <f t="shared" si="309"/>
        <v>0</v>
      </c>
      <c r="BM388">
        <f t="shared" si="310"/>
        <v>-46.921875822707946</v>
      </c>
      <c r="BN388">
        <f t="shared" si="294"/>
        <v>-173.42021531276612</v>
      </c>
      <c r="BQ388" s="56">
        <f t="shared" si="311"/>
        <v>28.483284504683908</v>
      </c>
      <c r="BR388" s="59"/>
      <c r="BS388" s="59"/>
      <c r="BT388" s="59">
        <v>602559.58600000001</v>
      </c>
      <c r="BU388" s="59">
        <v>10.6013</v>
      </c>
      <c r="BV388" s="59">
        <v>117.324</v>
      </c>
      <c r="BY388" s="59"/>
      <c r="BZ388" s="59"/>
      <c r="CA388" s="59"/>
      <c r="CC388" s="59"/>
    </row>
    <row r="389" spans="1:81" x14ac:dyDescent="0.2">
      <c r="A389">
        <f t="shared" si="319"/>
        <v>875000</v>
      </c>
      <c r="B389">
        <f t="shared" si="295"/>
        <v>875</v>
      </c>
      <c r="C389">
        <f t="shared" si="264"/>
        <v>1.0060269704951772</v>
      </c>
      <c r="D389">
        <f t="shared" si="265"/>
        <v>0.10951579842412279</v>
      </c>
      <c r="F389">
        <f t="shared" si="266"/>
        <v>2.9529486291173397E-4</v>
      </c>
      <c r="G389">
        <f t="shared" si="267"/>
        <v>5.909978445088491E-3</v>
      </c>
      <c r="H389">
        <f t="shared" si="268"/>
        <v>-3.1356826715549118</v>
      </c>
      <c r="J389">
        <f t="shared" si="269"/>
        <v>15</v>
      </c>
      <c r="M389">
        <f t="shared" si="270"/>
        <v>2.0741881173988726E-3</v>
      </c>
      <c r="N389">
        <f t="shared" si="271"/>
        <v>-1.5707963250000001</v>
      </c>
      <c r="O389">
        <f t="shared" si="272"/>
        <v>104.42425937172679</v>
      </c>
      <c r="P389">
        <f t="shared" si="273"/>
        <v>1.5612198616041344</v>
      </c>
      <c r="Q389">
        <f t="shared" si="274"/>
        <v>68.160324423412035</v>
      </c>
      <c r="R389">
        <f t="shared" si="275"/>
        <v>1.5561245087482334</v>
      </c>
      <c r="S389">
        <f t="shared" si="276"/>
        <v>0.99374513393824959</v>
      </c>
      <c r="T389">
        <f t="shared" si="277"/>
        <v>-0.11190529494144105</v>
      </c>
      <c r="U389">
        <f t="shared" si="278"/>
        <v>0.4878269878983314</v>
      </c>
      <c r="V389">
        <f t="shared" si="279"/>
        <v>-1.0611976122631066</v>
      </c>
      <c r="X389">
        <f t="shared" si="296"/>
        <v>-29.926423853482852</v>
      </c>
      <c r="Y389">
        <f t="shared" si="280"/>
        <v>-151.98975981081898</v>
      </c>
      <c r="Z389">
        <f t="shared" si="297"/>
        <v>28.010240189181019</v>
      </c>
      <c r="AC389">
        <v>1</v>
      </c>
      <c r="AD389">
        <f t="shared" si="281"/>
        <v>104.4194711025375</v>
      </c>
      <c r="AE389">
        <f t="shared" si="282"/>
        <v>-3.9037169708981689E-2</v>
      </c>
      <c r="AF389">
        <f t="shared" si="283"/>
        <v>2.1815219361600004E-2</v>
      </c>
      <c r="AG389">
        <f t="shared" si="315"/>
        <v>1119.5577335349133</v>
      </c>
      <c r="AH389">
        <f t="shared" si="316"/>
        <v>-2049.2283163421071</v>
      </c>
      <c r="AJ389">
        <f t="shared" si="284"/>
        <v>22100</v>
      </c>
      <c r="AK389">
        <f t="shared" si="285"/>
        <v>2483.4823969000504</v>
      </c>
      <c r="AL389">
        <v>1</v>
      </c>
      <c r="AM389">
        <f t="shared" si="286"/>
        <v>68.152988382790511</v>
      </c>
      <c r="AN389">
        <f t="shared" si="317"/>
        <v>41.188927302993193</v>
      </c>
      <c r="AO389">
        <f t="shared" si="318"/>
        <v>-323.66608708044754</v>
      </c>
      <c r="AQ389">
        <f t="shared" si="287"/>
        <v>3.2653050562269203E-3</v>
      </c>
      <c r="AR389">
        <f t="shared" si="288"/>
        <v>-5.7142838483971108</v>
      </c>
      <c r="AT389">
        <f t="shared" si="313"/>
        <v>-11706.216572223659</v>
      </c>
      <c r="AU389">
        <f t="shared" si="314"/>
        <v>-6404.1620296693463</v>
      </c>
      <c r="AV389">
        <f t="shared" si="302"/>
        <v>-2.6409989757395329</v>
      </c>
      <c r="AW389">
        <f t="shared" si="303"/>
        <v>-1498.4766356678413</v>
      </c>
      <c r="AX389">
        <f t="shared" si="304"/>
        <v>-3195.5736533954041</v>
      </c>
      <c r="AY389">
        <f t="shared" si="312"/>
        <v>-2.0092743663391541</v>
      </c>
      <c r="BA389">
        <f t="shared" si="289"/>
        <v>3.7805992417982694</v>
      </c>
      <c r="BB389">
        <f t="shared" si="305"/>
        <v>11.551212858014551</v>
      </c>
      <c r="BC389">
        <f t="shared" si="306"/>
        <v>-0.63172460940037878</v>
      </c>
      <c r="BD389">
        <f t="shared" si="290"/>
        <v>-216.19515397455115</v>
      </c>
      <c r="BF389">
        <f t="shared" si="291"/>
        <v>-35.469651647247694</v>
      </c>
      <c r="BG389">
        <f t="shared" si="292"/>
        <v>-209.58174410536964</v>
      </c>
      <c r="BH389">
        <f t="shared" si="307"/>
        <v>-29.581744105369637</v>
      </c>
      <c r="BI389">
        <f t="shared" si="308"/>
        <v>-29.581744105369637</v>
      </c>
      <c r="BJ389">
        <f t="shared" si="293"/>
        <v>0</v>
      </c>
      <c r="BK389">
        <f t="shared" si="309"/>
        <v>0</v>
      </c>
      <c r="BM389">
        <f t="shared" si="310"/>
        <v>-47.020864505262246</v>
      </c>
      <c r="BN389">
        <f t="shared" si="294"/>
        <v>-173.38659013081849</v>
      </c>
      <c r="BQ389" s="56">
        <f t="shared" si="311"/>
        <v>28.453173658299686</v>
      </c>
      <c r="BR389" s="59"/>
      <c r="BS389" s="59"/>
      <c r="BT389" s="59">
        <v>616595.00199999998</v>
      </c>
      <c r="BU389" s="59">
        <v>10.4749</v>
      </c>
      <c r="BV389" s="59">
        <v>115.142</v>
      </c>
      <c r="BY389" s="59"/>
      <c r="BZ389" s="59"/>
      <c r="CA389" s="59"/>
      <c r="CC389" s="59"/>
    </row>
    <row r="390" spans="1:81" x14ac:dyDescent="0.2">
      <c r="A390">
        <f t="shared" si="319"/>
        <v>880000</v>
      </c>
      <c r="B390">
        <f t="shared" si="295"/>
        <v>880</v>
      </c>
      <c r="C390">
        <f t="shared" si="264"/>
        <v>1.006095837686042</v>
      </c>
      <c r="D390">
        <f t="shared" si="265"/>
        <v>0.11013656870864448</v>
      </c>
      <c r="F390">
        <f t="shared" si="266"/>
        <v>2.9194784973301055E-4</v>
      </c>
      <c r="G390">
        <f t="shared" si="267"/>
        <v>5.8763800608226772E-3</v>
      </c>
      <c r="H390">
        <f t="shared" si="268"/>
        <v>-3.1357162699391776</v>
      </c>
      <c r="J390">
        <f t="shared" si="269"/>
        <v>15</v>
      </c>
      <c r="M390">
        <f t="shared" si="270"/>
        <v>2.0624029576409241E-3</v>
      </c>
      <c r="N390">
        <f t="shared" si="271"/>
        <v>-1.5707963250000001</v>
      </c>
      <c r="O390">
        <f t="shared" si="272"/>
        <v>105.02091485890324</v>
      </c>
      <c r="P390">
        <f t="shared" si="273"/>
        <v>1.5612742700398443</v>
      </c>
      <c r="Q390">
        <f t="shared" si="274"/>
        <v>68.549728393712741</v>
      </c>
      <c r="R390">
        <f t="shared" si="275"/>
        <v>1.5562078594898168</v>
      </c>
      <c r="S390">
        <f t="shared" si="276"/>
        <v>0.99367412432593238</v>
      </c>
      <c r="T390">
        <f t="shared" si="277"/>
        <v>-0.11253938331268756</v>
      </c>
      <c r="U390">
        <f t="shared" si="278"/>
        <v>0.48571056460319312</v>
      </c>
      <c r="V390">
        <f t="shared" si="279"/>
        <v>-1.0636204508813347</v>
      </c>
      <c r="X390">
        <f t="shared" si="296"/>
        <v>-30.013750374970428</v>
      </c>
      <c r="Y390">
        <f t="shared" si="280"/>
        <v>-152.12337333456676</v>
      </c>
      <c r="Z390">
        <f t="shared" si="297"/>
        <v>27.876626665433236</v>
      </c>
      <c r="AC390">
        <v>1</v>
      </c>
      <c r="AD390">
        <f t="shared" si="281"/>
        <v>105.016153794552</v>
      </c>
      <c r="AE390">
        <f t="shared" si="282"/>
        <v>-3.9484583474462591E-2</v>
      </c>
      <c r="AF390">
        <f t="shared" si="283"/>
        <v>2.1939877757952003E-2</v>
      </c>
      <c r="AG390">
        <f t="shared" si="315"/>
        <v>1109.8644684492654</v>
      </c>
      <c r="AH390">
        <f t="shared" si="316"/>
        <v>-2042.9711024064097</v>
      </c>
      <c r="AJ390">
        <f t="shared" si="284"/>
        <v>22100</v>
      </c>
      <c r="AK390">
        <f t="shared" si="285"/>
        <v>2497.6737248823365</v>
      </c>
      <c r="AL390">
        <v>1</v>
      </c>
      <c r="AM390">
        <f t="shared" si="286"/>
        <v>68.542434030692164</v>
      </c>
      <c r="AN390">
        <f t="shared" si="317"/>
        <v>41.135124903677564</v>
      </c>
      <c r="AO390">
        <f t="shared" si="318"/>
        <v>-321.82786017226539</v>
      </c>
      <c r="AQ390">
        <f t="shared" si="287"/>
        <v>3.2283047429284791E-3</v>
      </c>
      <c r="AR390">
        <f t="shared" si="288"/>
        <v>-5.6818163475541237</v>
      </c>
      <c r="AT390">
        <f t="shared" si="313"/>
        <v>-11604.203626505907</v>
      </c>
      <c r="AU390">
        <f t="shared" si="314"/>
        <v>-6312.6414137040683</v>
      </c>
      <c r="AV390">
        <f t="shared" si="302"/>
        <v>-2.643370652674244</v>
      </c>
      <c r="AW390">
        <f t="shared" si="303"/>
        <v>-1480.2890466645474</v>
      </c>
      <c r="AX390">
        <f t="shared" si="304"/>
        <v>-3178.5407875069091</v>
      </c>
      <c r="AY390">
        <f t="shared" si="312"/>
        <v>-2.0066404111869032</v>
      </c>
      <c r="BA390">
        <f t="shared" si="289"/>
        <v>3.7674989409836712</v>
      </c>
      <c r="BB390">
        <f t="shared" si="305"/>
        <v>11.521062778193841</v>
      </c>
      <c r="BC390">
        <f t="shared" si="306"/>
        <v>-0.63673024148734081</v>
      </c>
      <c r="BD390">
        <f t="shared" si="290"/>
        <v>-216.48195556725705</v>
      </c>
      <c r="BF390">
        <f t="shared" si="291"/>
        <v>-35.598219376677214</v>
      </c>
      <c r="BG390">
        <f t="shared" si="292"/>
        <v>-209.83490322630379</v>
      </c>
      <c r="BH390">
        <f t="shared" si="307"/>
        <v>-29.834903226303794</v>
      </c>
      <c r="BI390">
        <f t="shared" si="308"/>
        <v>-29.834903226303794</v>
      </c>
      <c r="BJ390">
        <f t="shared" si="293"/>
        <v>0</v>
      </c>
      <c r="BK390">
        <f t="shared" si="309"/>
        <v>0</v>
      </c>
      <c r="BM390">
        <f t="shared" si="310"/>
        <v>-47.119282154871058</v>
      </c>
      <c r="BN390">
        <f t="shared" si="294"/>
        <v>-173.35294765904675</v>
      </c>
      <c r="BQ390" s="56">
        <f t="shared" si="311"/>
        <v>28.423023578478976</v>
      </c>
      <c r="BR390" s="59"/>
      <c r="BS390" s="59"/>
      <c r="BT390" s="59">
        <v>630957.34400000004</v>
      </c>
      <c r="BU390" s="59">
        <v>10.283799999999999</v>
      </c>
      <c r="BV390" s="59">
        <v>115.247</v>
      </c>
      <c r="BY390" s="59"/>
      <c r="BZ390" s="59"/>
      <c r="CA390" s="59"/>
      <c r="CC390" s="59"/>
    </row>
    <row r="391" spans="1:81" x14ac:dyDescent="0.2">
      <c r="A391">
        <f t="shared" si="319"/>
        <v>885000</v>
      </c>
      <c r="B391">
        <f t="shared" si="295"/>
        <v>885</v>
      </c>
      <c r="C391">
        <f t="shared" si="264"/>
        <v>1.006165092528559</v>
      </c>
      <c r="D391">
        <f t="shared" si="265"/>
        <v>0.11075725377647001</v>
      </c>
      <c r="F391">
        <f t="shared" si="266"/>
        <v>2.8865742581141933E-4</v>
      </c>
      <c r="G391">
        <f t="shared" si="267"/>
        <v>5.8431616380890429E-3</v>
      </c>
      <c r="H391">
        <f t="shared" si="268"/>
        <v>-3.135749488361911</v>
      </c>
      <c r="J391">
        <f t="shared" si="269"/>
        <v>15</v>
      </c>
      <c r="M391">
        <f t="shared" si="270"/>
        <v>2.0507509635299586E-3</v>
      </c>
      <c r="N391">
        <f t="shared" si="271"/>
        <v>-1.5707963250000001</v>
      </c>
      <c r="O391">
        <f t="shared" si="272"/>
        <v>105.6175706534582</v>
      </c>
      <c r="P391">
        <f t="shared" si="273"/>
        <v>1.5613280637463967</v>
      </c>
      <c r="Q391">
        <f t="shared" si="274"/>
        <v>68.939132834872069</v>
      </c>
      <c r="R391">
        <f t="shared" si="275"/>
        <v>1.5562902686144093</v>
      </c>
      <c r="S391">
        <f t="shared" si="276"/>
        <v>0.99360272545089645</v>
      </c>
      <c r="T391">
        <f t="shared" si="277"/>
        <v>-0.11317338081598938</v>
      </c>
      <c r="U391">
        <f t="shared" si="278"/>
        <v>0.48360962389612749</v>
      </c>
      <c r="V391">
        <f t="shared" si="279"/>
        <v>-1.0660223435241241</v>
      </c>
      <c r="X391">
        <f t="shared" si="296"/>
        <v>-30.100682745002793</v>
      </c>
      <c r="Y391">
        <f t="shared" si="280"/>
        <v>-152.25585382040367</v>
      </c>
      <c r="Z391">
        <f t="shared" si="297"/>
        <v>27.744146179596328</v>
      </c>
      <c r="AC391">
        <v>1</v>
      </c>
      <c r="AD391">
        <f t="shared" si="281"/>
        <v>105.61283648656651</v>
      </c>
      <c r="AE391">
        <f t="shared" si="282"/>
        <v>-3.9934546606128565E-2</v>
      </c>
      <c r="AF391">
        <f t="shared" si="283"/>
        <v>2.2064536154304006E-2</v>
      </c>
      <c r="AG391">
        <f t="shared" si="315"/>
        <v>1100.2837979893718</v>
      </c>
      <c r="AH391">
        <f t="shared" si="316"/>
        <v>-2036.722380951056</v>
      </c>
      <c r="AJ391">
        <f t="shared" si="284"/>
        <v>22100</v>
      </c>
      <c r="AK391">
        <f t="shared" si="285"/>
        <v>2511.8650528646226</v>
      </c>
      <c r="AL391">
        <v>1</v>
      </c>
      <c r="AM391">
        <f t="shared" si="286"/>
        <v>68.93187967859383</v>
      </c>
      <c r="AN391">
        <f t="shared" si="317"/>
        <v>41.082231575148484</v>
      </c>
      <c r="AO391">
        <f t="shared" si="318"/>
        <v>-320.01039100164058</v>
      </c>
      <c r="AQ391">
        <f t="shared" si="287"/>
        <v>3.1919297800983818E-3</v>
      </c>
      <c r="AR391">
        <f t="shared" si="288"/>
        <v>-5.6497157107741351</v>
      </c>
      <c r="AT391">
        <f t="shared" si="313"/>
        <v>-11503.390405523121</v>
      </c>
      <c r="AU391">
        <f t="shared" si="314"/>
        <v>-6222.7917346323393</v>
      </c>
      <c r="AV391">
        <f t="shared" si="302"/>
        <v>-2.6457219616762195</v>
      </c>
      <c r="AW391">
        <f t="shared" si="303"/>
        <v>-1462.422434000167</v>
      </c>
      <c r="AX391">
        <f t="shared" si="304"/>
        <v>-3161.689057630656</v>
      </c>
      <c r="AY391">
        <f t="shared" si="312"/>
        <v>-2.0040332963361487</v>
      </c>
      <c r="BA391">
        <f t="shared" si="289"/>
        <v>3.7544285937711068</v>
      </c>
      <c r="BB391">
        <f t="shared" si="305"/>
        <v>11.490876976175491</v>
      </c>
      <c r="BC391">
        <f t="shared" si="306"/>
        <v>-0.64168866534007085</v>
      </c>
      <c r="BD391">
        <f t="shared" si="290"/>
        <v>-216.76605232738012</v>
      </c>
      <c r="BF391">
        <f t="shared" si="291"/>
        <v>-35.726258235254711</v>
      </c>
      <c r="BG391">
        <f t="shared" si="292"/>
        <v>-210.08534062701989</v>
      </c>
      <c r="BH391">
        <f t="shared" si="307"/>
        <v>-30.085340627019889</v>
      </c>
      <c r="BI391">
        <f t="shared" si="308"/>
        <v>-30.085340627019889</v>
      </c>
      <c r="BJ391">
        <f t="shared" si="293"/>
        <v>0</v>
      </c>
      <c r="BK391">
        <f t="shared" si="309"/>
        <v>0</v>
      </c>
      <c r="BM391">
        <f t="shared" si="310"/>
        <v>-47.217135211430204</v>
      </c>
      <c r="BN391">
        <f t="shared" si="294"/>
        <v>-173.31928829963979</v>
      </c>
      <c r="BQ391" s="56">
        <f t="shared" si="311"/>
        <v>28.392837776460627</v>
      </c>
      <c r="BR391" s="59"/>
      <c r="BS391" s="59"/>
      <c r="BT391" s="59">
        <v>645654.22900000005</v>
      </c>
      <c r="BU391" s="59">
        <v>9.9821899999999992</v>
      </c>
      <c r="BV391" s="59">
        <v>113.164</v>
      </c>
      <c r="BY391" s="59"/>
      <c r="BZ391" s="59"/>
      <c r="CA391" s="59"/>
      <c r="CC391" s="59"/>
    </row>
    <row r="392" spans="1:81" x14ac:dyDescent="0.2">
      <c r="A392">
        <f t="shared" si="319"/>
        <v>890000</v>
      </c>
      <c r="B392">
        <f t="shared" si="295"/>
        <v>890</v>
      </c>
      <c r="C392">
        <f t="shared" si="264"/>
        <v>1.0062347349426866</v>
      </c>
      <c r="D392">
        <f t="shared" si="265"/>
        <v>0.11137785316700649</v>
      </c>
      <c r="F392">
        <f t="shared" si="266"/>
        <v>2.8542232248411712E-4</v>
      </c>
      <c r="G392">
        <f t="shared" si="267"/>
        <v>5.8103167659352721E-3</v>
      </c>
      <c r="H392">
        <f t="shared" si="268"/>
        <v>-3.1357823332340651</v>
      </c>
      <c r="J392">
        <f t="shared" si="269"/>
        <v>15</v>
      </c>
      <c r="M392">
        <f t="shared" si="270"/>
        <v>2.0392298907011388E-3</v>
      </c>
      <c r="N392">
        <f t="shared" si="271"/>
        <v>-1.5707963250000001</v>
      </c>
      <c r="O392">
        <f t="shared" si="272"/>
        <v>106.21422675021162</v>
      </c>
      <c r="P392">
        <f t="shared" si="273"/>
        <v>1.5613812530831606</v>
      </c>
      <c r="Q392">
        <f t="shared" si="274"/>
        <v>69.328537738955845</v>
      </c>
      <c r="R392">
        <f t="shared" si="275"/>
        <v>1.5563717519875209</v>
      </c>
      <c r="S392">
        <f t="shared" si="276"/>
        <v>0.99353093756922017</v>
      </c>
      <c r="T392">
        <f t="shared" si="277"/>
        <v>-0.11380728696131354</v>
      </c>
      <c r="U392">
        <f t="shared" si="278"/>
        <v>0.48152403799006177</v>
      </c>
      <c r="V392">
        <f t="shared" si="279"/>
        <v>-1.0684035332889206</v>
      </c>
      <c r="X392">
        <f t="shared" si="296"/>
        <v>-30.187224250864546</v>
      </c>
      <c r="Y392">
        <f t="shared" si="280"/>
        <v>-152.38721405984634</v>
      </c>
      <c r="Z392">
        <f t="shared" si="297"/>
        <v>27.612785940153657</v>
      </c>
      <c r="AC392">
        <v>1</v>
      </c>
      <c r="AD392">
        <f t="shared" si="281"/>
        <v>106.20951917858099</v>
      </c>
      <c r="AE392">
        <f t="shared" si="282"/>
        <v>-4.038705910397962E-2</v>
      </c>
      <c r="AF392">
        <f t="shared" si="283"/>
        <v>2.2189194550656002E-2</v>
      </c>
      <c r="AG392">
        <f t="shared" si="315"/>
        <v>1090.8142250228343</v>
      </c>
      <c r="AH392">
        <f t="shared" si="316"/>
        <v>-2030.4828313890703</v>
      </c>
      <c r="AJ392">
        <f t="shared" si="284"/>
        <v>22100</v>
      </c>
      <c r="AK392">
        <f t="shared" si="285"/>
        <v>2526.0563808469083</v>
      </c>
      <c r="AL392">
        <v>1</v>
      </c>
      <c r="AM392">
        <f t="shared" si="286"/>
        <v>69.321325326495483</v>
      </c>
      <c r="AN392">
        <f t="shared" si="317"/>
        <v>41.030226953445428</v>
      </c>
      <c r="AO392">
        <f t="shared" si="318"/>
        <v>-318.21333001282562</v>
      </c>
      <c r="AQ392">
        <f t="shared" si="287"/>
        <v>3.1561661544735027E-3</v>
      </c>
      <c r="AR392">
        <f t="shared" si="288"/>
        <v>-5.6179757549628349</v>
      </c>
      <c r="AT392">
        <f t="shared" si="313"/>
        <v>-11403.76052667425</v>
      </c>
      <c r="AU392">
        <f t="shared" si="314"/>
        <v>-6134.576410536527</v>
      </c>
      <c r="AV392">
        <f t="shared" si="302"/>
        <v>-2.648053136101848</v>
      </c>
      <c r="AW392">
        <f t="shared" si="303"/>
        <v>-1444.8693338009982</v>
      </c>
      <c r="AX392">
        <f t="shared" si="304"/>
        <v>-3145.0155127410308</v>
      </c>
      <c r="AY392">
        <f t="shared" si="312"/>
        <v>-2.0014526611747012</v>
      </c>
      <c r="BA392">
        <f t="shared" si="289"/>
        <v>3.7413896684623529</v>
      </c>
      <c r="BB392">
        <f t="shared" si="305"/>
        <v>11.460658852816849</v>
      </c>
      <c r="BC392">
        <f t="shared" si="306"/>
        <v>-0.64660047492714678</v>
      </c>
      <c r="BD392">
        <f t="shared" si="290"/>
        <v>-217.04747828681303</v>
      </c>
      <c r="BF392">
        <f t="shared" si="291"/>
        <v>-35.85377115308556</v>
      </c>
      <c r="BG392">
        <f t="shared" si="292"/>
        <v>-210.33309073312128</v>
      </c>
      <c r="BH392">
        <f t="shared" si="307"/>
        <v>-30.333090733121281</v>
      </c>
      <c r="BI392">
        <f t="shared" si="308"/>
        <v>-30.333090733121281</v>
      </c>
      <c r="BJ392">
        <f t="shared" si="293"/>
        <v>0</v>
      </c>
      <c r="BK392">
        <f t="shared" si="309"/>
        <v>0</v>
      </c>
      <c r="BM392">
        <f t="shared" si="310"/>
        <v>-47.314430005902402</v>
      </c>
      <c r="BN392">
        <f t="shared" si="294"/>
        <v>-173.28561244630825</v>
      </c>
      <c r="BQ392" s="56">
        <f t="shared" si="311"/>
        <v>28.362619653101987</v>
      </c>
      <c r="BR392" s="59"/>
      <c r="BS392" s="59"/>
      <c r="BT392" s="59">
        <v>660693.44799999997</v>
      </c>
      <c r="BU392" s="59">
        <v>9.7520900000000008</v>
      </c>
      <c r="BV392" s="59">
        <v>112.872</v>
      </c>
      <c r="BY392" s="59"/>
      <c r="BZ392" s="59"/>
      <c r="CA392" s="59"/>
      <c r="CC392" s="59"/>
    </row>
    <row r="393" spans="1:81" x14ac:dyDescent="0.2">
      <c r="A393">
        <f t="shared" si="319"/>
        <v>895000</v>
      </c>
      <c r="B393">
        <f t="shared" si="295"/>
        <v>895</v>
      </c>
      <c r="C393">
        <f t="shared" ref="C393:C456" si="320">SQRT((A393/Fesr)^2+1)</f>
        <v>1.0063047648479582</v>
      </c>
      <c r="D393">
        <f t="shared" ref="D393:D456" si="321">ATAN(A393/Fesr)</f>
        <v>0.11199836642005219</v>
      </c>
      <c r="F393">
        <f t="shared" ref="F393:F456" si="322">(Ro/(Ro+Rdcr))/SQRT((A393/(Q*Fo))^2+(1-(A393^2/Fo^2))^2)</f>
        <v>2.8224130644550214E-4</v>
      </c>
      <c r="G393">
        <f t="shared" ref="G393:G456" si="323">-ATAN(A393*Fo/(Q*(Fo^2-A393^2)))</f>
        <v>5.777839176867491E-3</v>
      </c>
      <c r="H393">
        <f t="shared" ref="H393:H456" si="324">IF(G393&gt;0,G393-Pi,G393)</f>
        <v>-3.1358148108231325</v>
      </c>
      <c r="J393">
        <f t="shared" ref="J393:J456" si="325">Vin/Vramp</f>
        <v>15</v>
      </c>
      <c r="M393">
        <f t="shared" ref="M393:M456" si="326">1/(2*Pi*_Rfb1*(Cc1ea_u+Cc2ea_u)*A393)</f>
        <v>2.0278375449430319E-3</v>
      </c>
      <c r="N393">
        <f t="shared" ref="N393:N456" si="327">-Pi/2</f>
        <v>-1.5707963250000001</v>
      </c>
      <c r="O393">
        <f t="shared" ref="O393:O456" si="328">SQRT(1+(A393/Fz1_u)^2)</f>
        <v>106.81088314409915</v>
      </c>
      <c r="P393">
        <f t="shared" ref="P393:P456" si="329">ATAN2(Fz1_u,A393)</f>
        <v>1.5614338481780445</v>
      </c>
      <c r="Q393">
        <f t="shared" ref="Q393:Q456" si="330">SQRT(1+(A393/Fz2_u)^2)</f>
        <v>69.717943098207158</v>
      </c>
      <c r="R393">
        <f t="shared" ref="R393:R456" si="331">ATAN2(Fz2_u,A393)</f>
        <v>1.5564523251202467</v>
      </c>
      <c r="S393">
        <f t="shared" ref="S393:S456" si="332">1/SQRT(1+(A393/Fp1_u)^2)</f>
        <v>0.99345876093827801</v>
      </c>
      <c r="T393">
        <f t="shared" ref="T393:T456" si="333">-ATAN2(Fp1_u,A393)</f>
        <v>-0.11444110125906207</v>
      </c>
      <c r="U393">
        <f t="shared" ref="U393:U456" si="334">1/SQRT(1+(A393/Fp2_u)^2)</f>
        <v>0.47945367958290697</v>
      </c>
      <c r="V393">
        <f t="shared" ref="V393:V456" si="335">-ATAN2(Fp2_u,A393)</f>
        <v>-1.0707642600396738</v>
      </c>
      <c r="X393">
        <f t="shared" si="296"/>
        <v>-30.273378139798126</v>
      </c>
      <c r="Y393">
        <f t="shared" ref="Y393:Y456" si="336">(180/Pi)*(D393+H393+N393+P393+R393+T393+V393)</f>
        <v>-152.51746668449664</v>
      </c>
      <c r="Z393">
        <f t="shared" si="297"/>
        <v>27.48253331550336</v>
      </c>
      <c r="AC393">
        <v>1</v>
      </c>
      <c r="AD393">
        <f t="shared" ref="AD393:AD456" si="337">Rcea1_u*Cc1ea_u*A393*2*Pi</f>
        <v>106.8062018705955</v>
      </c>
      <c r="AE393">
        <f t="shared" ref="AE393:AE456" si="338">-Rcea1_u*Cc1ea_u*Cc2ea_u*(A393*2*Pi)^2</f>
        <v>-4.0842120968015753E-2</v>
      </c>
      <c r="AF393">
        <f t="shared" ref="AF393:AF456" si="339">(Cc2ea_u+Cc1ea_u)*A393*2*Pi</f>
        <v>2.2313852947008005E-2</v>
      </c>
      <c r="AG393">
        <f t="shared" si="315"/>
        <v>1081.4542713277224</v>
      </c>
      <c r="AH393">
        <f t="shared" si="316"/>
        <v>-2024.2531076194407</v>
      </c>
      <c r="AJ393">
        <f t="shared" ref="AJ393:AJ456" si="340">_Rfb1</f>
        <v>22100</v>
      </c>
      <c r="AK393">
        <f t="shared" ref="AK393:AK456" si="341">_Rfb1*Rcea2_u*Cc3ea_u*A393*2*Pi</f>
        <v>2540.2477088291944</v>
      </c>
      <c r="AL393">
        <v>1</v>
      </c>
      <c r="AM393">
        <f t="shared" ref="AM393:AM456" si="342">(_Rfb1+Rcea2_u)*Cc3ea_u*A393*2*Pi</f>
        <v>69.71077097439715</v>
      </c>
      <c r="AN393">
        <f t="shared" si="317"/>
        <v>40.979091241604792</v>
      </c>
      <c r="AO393">
        <f t="shared" si="318"/>
        <v>-316.43633545324104</v>
      </c>
      <c r="AQ393">
        <f t="shared" ref="AQ393:AQ456" si="343">Eadcg/(1+(Eadcg*A393/GBP)^2)</f>
        <v>3.1210002431259188E-3</v>
      </c>
      <c r="AR393">
        <f t="shared" ref="AR393:AR456" si="344">-(A393*Eadcg*Eadcg/GBP)/(1+(Eadcg*A393/GBP)^2)</f>
        <v>-5.5865904351953946</v>
      </c>
      <c r="AT393">
        <f t="shared" si="313"/>
        <v>-11305.297830397578</v>
      </c>
      <c r="AU393">
        <f t="shared" si="314"/>
        <v>-6047.9597827416874</v>
      </c>
      <c r="AV393">
        <f t="shared" si="302"/>
        <v>-2.6503644062916645</v>
      </c>
      <c r="AW393">
        <f t="shared" si="303"/>
        <v>-1427.6224960914021</v>
      </c>
      <c r="AX393">
        <f t="shared" si="304"/>
        <v>-3128.5172682616935</v>
      </c>
      <c r="AY393">
        <f t="shared" si="312"/>
        <v>-1.9988981499802931</v>
      </c>
      <c r="BA393">
        <f t="shared" ref="BA393:BA456" si="345">SQRT(AT393^2+AU393^2)/SQRT(AW393^2+AX393^2)</f>
        <v>3.7283835666282092</v>
      </c>
      <c r="BB393">
        <f t="shared" si="305"/>
        <v>11.430411701863507</v>
      </c>
      <c r="BC393">
        <f t="shared" si="306"/>
        <v>-0.65146625631137134</v>
      </c>
      <c r="BD393">
        <f t="shared" ref="BD393:BD456" si="346">BC393*180/Pi-180</f>
        <v>-217.32626702448098</v>
      </c>
      <c r="BF393">
        <f t="shared" ref="BF393:BF456" si="347">20*LOG(BA393*J393*F393*C393)</f>
        <v>-35.980761060898331</v>
      </c>
      <c r="BG393">
        <f t="shared" ref="BG393:BG456" si="348">(180/Pi)*(D393+H393+BC393)</f>
        <v>-210.57818750900159</v>
      </c>
      <c r="BH393">
        <f t="shared" si="307"/>
        <v>-30.578187509001594</v>
      </c>
      <c r="BI393">
        <f t="shared" si="308"/>
        <v>-30.578187509001594</v>
      </c>
      <c r="BJ393">
        <f t="shared" ref="BJ393:BJ456" si="349">SUM((BF394&lt;0)*(BF393&gt;0))*A393</f>
        <v>0</v>
      </c>
      <c r="BK393">
        <f t="shared" si="309"/>
        <v>0</v>
      </c>
      <c r="BM393">
        <f t="shared" si="310"/>
        <v>-47.411172762761836</v>
      </c>
      <c r="BN393">
        <f t="shared" ref="BN393:BN456" si="350">(H393+D393)*180/Pi</f>
        <v>-173.25192048452061</v>
      </c>
      <c r="BQ393" s="56">
        <f t="shared" si="311"/>
        <v>28.332372502148644</v>
      </c>
      <c r="BR393" s="59"/>
      <c r="BS393" s="59"/>
      <c r="BT393" s="59">
        <v>676082.97499999998</v>
      </c>
      <c r="BU393" s="59">
        <v>9.5117999999999991</v>
      </c>
      <c r="BV393" s="59">
        <v>110.592</v>
      </c>
      <c r="BY393" s="59"/>
      <c r="BZ393" s="59"/>
      <c r="CA393" s="59"/>
      <c r="CC393" s="59"/>
    </row>
    <row r="394" spans="1:81" x14ac:dyDescent="0.2">
      <c r="A394">
        <f t="shared" si="319"/>
        <v>900000</v>
      </c>
      <c r="B394">
        <f t="shared" ref="B394:B457" si="351">A394/1000</f>
        <v>900</v>
      </c>
      <c r="C394">
        <f t="shared" si="320"/>
        <v>1.0063751821634812</v>
      </c>
      <c r="D394">
        <f t="shared" si="321"/>
        <v>0.1126187930757984</v>
      </c>
      <c r="F394">
        <f t="shared" si="322"/>
        <v>2.7911317857119466E-4</v>
      </c>
      <c r="G394">
        <f t="shared" si="323"/>
        <v>5.7457227428588031E-3</v>
      </c>
      <c r="H394">
        <f t="shared" si="324"/>
        <v>-3.1358469272571412</v>
      </c>
      <c r="J394">
        <f t="shared" si="325"/>
        <v>15</v>
      </c>
      <c r="M394">
        <f t="shared" si="326"/>
        <v>2.0165717808044593E-3</v>
      </c>
      <c r="N394">
        <f t="shared" si="327"/>
        <v>-1.5707963250000001</v>
      </c>
      <c r="O394">
        <f t="shared" si="328"/>
        <v>107.40753983016897</v>
      </c>
      <c r="P394">
        <f t="shared" si="329"/>
        <v>1.5614858589339258</v>
      </c>
      <c r="Q394">
        <f t="shared" si="330"/>
        <v>70.107348905041448</v>
      </c>
      <c r="R394">
        <f t="shared" si="331"/>
        <v>1.5565320031791097</v>
      </c>
      <c r="S394">
        <f t="shared" si="332"/>
        <v>0.99338619581673804</v>
      </c>
      <c r="T394">
        <f t="shared" si="333"/>
        <v>-0.11507482322007399</v>
      </c>
      <c r="U394">
        <f t="shared" si="334"/>
        <v>0.4773984218876971</v>
      </c>
      <c r="V394">
        <f t="shared" si="335"/>
        <v>-1.0731047604478383</v>
      </c>
      <c r="X394">
        <f t="shared" ref="X394:X457" si="352">20*LOG(C394*J394*O394*Q394*F394*M394*S394*U394)</f>
        <v>-30.359147619707056</v>
      </c>
      <c r="Y394">
        <f t="shared" si="336"/>
        <v>-152.64662416768752</v>
      </c>
      <c r="Z394">
        <f t="shared" ref="Z394:Z457" si="353">Y394+180</f>
        <v>27.35337583231248</v>
      </c>
      <c r="AC394">
        <v>1</v>
      </c>
      <c r="AD394">
        <f t="shared" si="337"/>
        <v>107.40288456261</v>
      </c>
      <c r="AE394">
        <f t="shared" si="338"/>
        <v>-4.129973219823696E-2</v>
      </c>
      <c r="AF394">
        <f t="shared" si="339"/>
        <v>2.2438511343360005E-2</v>
      </c>
      <c r="AG394">
        <f t="shared" si="315"/>
        <v>1072.2024774972124</v>
      </c>
      <c r="AH394">
        <f t="shared" si="316"/>
        <v>-2018.0338387876513</v>
      </c>
      <c r="AJ394">
        <f t="shared" si="340"/>
        <v>22100</v>
      </c>
      <c r="AK394">
        <f t="shared" si="341"/>
        <v>2554.43903681148</v>
      </c>
      <c r="AL394">
        <v>1</v>
      </c>
      <c r="AM394">
        <f t="shared" si="342"/>
        <v>70.100216622298802</v>
      </c>
      <c r="AN394">
        <f t="shared" si="317"/>
        <v>40.928805190821713</v>
      </c>
      <c r="AO394">
        <f t="shared" si="318"/>
        <v>-314.6790731569896</v>
      </c>
      <c r="AQ394">
        <f t="shared" si="343"/>
        <v>3.0864188004880245E-3</v>
      </c>
      <c r="AR394">
        <f t="shared" si="344"/>
        <v>-5.5555538408784439</v>
      </c>
      <c r="AT394">
        <f t="shared" si="313"/>
        <v>-11207.98637821493</v>
      </c>
      <c r="AU394">
        <f t="shared" si="314"/>
        <v>-5962.9070896390767</v>
      </c>
      <c r="AV394">
        <f t="shared" ref="AV394:AV457" si="354">ATAN2(AT394,AU394)</f>
        <v>-2.6526559996053063</v>
      </c>
      <c r="AW394">
        <f t="shared" ref="AW394:AW457" si="355">AG394-AH394*AO394/_Rfb2+AG394*AN394/_Rfb2+AN394-AO394*AR394+AQ394*AN394</f>
        <v>-1410.6748775449403</v>
      </c>
      <c r="AX394">
        <f t="shared" ref="AX394:AX457" si="356">AH394+AH394*AN394/_Rfb2+AG394*AO394/_Rfb2+AO394+AO394*AQ394+AN394*AR394</f>
        <v>-3112.191504125738</v>
      </c>
      <c r="AY394">
        <f t="shared" si="312"/>
        <v>-1.9963694118901572</v>
      </c>
      <c r="BA394">
        <f t="shared" si="345"/>
        <v>3.7154116253931879</v>
      </c>
      <c r="BB394">
        <f t="shared" ref="BB394:BB457" si="357">20*LOG(BA394)</f>
        <v>11.400138713123543</v>
      </c>
      <c r="BC394">
        <f t="shared" ref="BC394:BC457" si="358">AV394-AY394</f>
        <v>-0.65628658771514914</v>
      </c>
      <c r="BD394">
        <f t="shared" si="346"/>
        <v>-217.60245167008742</v>
      </c>
      <c r="BF394">
        <f t="shared" si="347"/>
        <v>-36.107230889246935</v>
      </c>
      <c r="BG394">
        <f t="shared" si="348"/>
        <v>-210.82066446181955</v>
      </c>
      <c r="BH394">
        <f t="shared" ref="BH394:BH457" si="359">IF(BG394&gt;180,BG394-180,BG394+180)</f>
        <v>-30.820664461819547</v>
      </c>
      <c r="BI394">
        <f t="shared" ref="BI394:BI457" si="360">IF(BH394&gt;180,BH394-360,BH394)</f>
        <v>-30.820664461819547</v>
      </c>
      <c r="BJ394">
        <f t="shared" si="349"/>
        <v>0</v>
      </c>
      <c r="BK394">
        <f t="shared" ref="BK394:BK457" si="361">IF(BJ394&gt;0,BI394,0)</f>
        <v>0</v>
      </c>
      <c r="BM394">
        <f t="shared" ref="BM394:BM457" si="362">20*LOG(J394*F394*C394)</f>
        <v>-47.507369602370481</v>
      </c>
      <c r="BN394">
        <f t="shared" si="350"/>
        <v>-173.21821279173216</v>
      </c>
      <c r="BQ394" s="56">
        <f t="shared" ref="BQ394:BQ457" si="363">20*LOG(BA394*7)</f>
        <v>28.302099513408677</v>
      </c>
      <c r="BR394" s="59"/>
      <c r="BS394" s="59"/>
      <c r="BT394" s="59">
        <v>691830.97100000002</v>
      </c>
      <c r="BU394" s="59">
        <v>9.28308</v>
      </c>
      <c r="BV394" s="59">
        <v>111.01300000000001</v>
      </c>
      <c r="BY394" s="59"/>
      <c r="BZ394" s="59"/>
      <c r="CA394" s="59"/>
      <c r="CC394" s="59"/>
    </row>
    <row r="395" spans="1:81" x14ac:dyDescent="0.2">
      <c r="A395">
        <f t="shared" si="319"/>
        <v>905000</v>
      </c>
      <c r="B395">
        <f t="shared" si="351"/>
        <v>905</v>
      </c>
      <c r="C395">
        <f t="shared" si="320"/>
        <v>1.006445986807939</v>
      </c>
      <c r="D395">
        <f t="shared" si="321"/>
        <v>0.11323913267483143</v>
      </c>
      <c r="F395">
        <f t="shared" si="322"/>
        <v>2.7603677278740483E-4</v>
      </c>
      <c r="G395">
        <f t="shared" si="323"/>
        <v>5.7139614714903789E-3</v>
      </c>
      <c r="H395">
        <f t="shared" si="324"/>
        <v>-3.1358786885285097</v>
      </c>
      <c r="J395">
        <f t="shared" si="325"/>
        <v>15</v>
      </c>
      <c r="M395">
        <f t="shared" si="326"/>
        <v>2.0054305002475286E-3</v>
      </c>
      <c r="N395">
        <f t="shared" si="327"/>
        <v>-1.5707963250000001</v>
      </c>
      <c r="O395">
        <f t="shared" si="328"/>
        <v>108.00419680357872</v>
      </c>
      <c r="P395">
        <f t="shared" si="329"/>
        <v>1.5615372950348645</v>
      </c>
      <c r="Q395">
        <f t="shared" si="330"/>
        <v>70.496755152041743</v>
      </c>
      <c r="R395">
        <f t="shared" si="331"/>
        <v>1.556610800995575</v>
      </c>
      <c r="S395">
        <f t="shared" si="332"/>
        <v>0.99331324246455799</v>
      </c>
      <c r="T395">
        <f t="shared" si="333"/>
        <v>-0.11570845235562753</v>
      </c>
      <c r="U395">
        <f t="shared" si="334"/>
        <v>0.4753581386610275</v>
      </c>
      <c r="V395">
        <f t="shared" si="335"/>
        <v>-1.0754252680331566</v>
      </c>
      <c r="X395">
        <f t="shared" si="352"/>
        <v>-30.444535859840506</v>
      </c>
      <c r="Y395">
        <f t="shared" si="336"/>
        <v>-152.77469882613968</v>
      </c>
      <c r="Z395">
        <f t="shared" si="353"/>
        <v>27.225301173860316</v>
      </c>
      <c r="AC395">
        <v>1</v>
      </c>
      <c r="AD395">
        <f t="shared" si="337"/>
        <v>107.99956725462451</v>
      </c>
      <c r="AE395">
        <f t="shared" si="338"/>
        <v>-4.175989279464324E-2</v>
      </c>
      <c r="AF395">
        <f t="shared" si="339"/>
        <v>2.2563169739712004E-2</v>
      </c>
      <c r="AG395">
        <f t="shared" si="315"/>
        <v>1063.0574028357048</v>
      </c>
      <c r="AH395">
        <f t="shared" si="316"/>
        <v>-2011.8256300256107</v>
      </c>
      <c r="AJ395">
        <f t="shared" si="340"/>
        <v>22100</v>
      </c>
      <c r="AK395">
        <f t="shared" si="341"/>
        <v>2568.6303647937661</v>
      </c>
      <c r="AL395">
        <v>1</v>
      </c>
      <c r="AM395">
        <f t="shared" si="342"/>
        <v>70.489662270200455</v>
      </c>
      <c r="AN395">
        <f t="shared" si="317"/>
        <v>40.879350082338078</v>
      </c>
      <c r="AO395">
        <f t="shared" si="318"/>
        <v>-312.94121633553584</v>
      </c>
      <c r="AQ395">
        <f t="shared" si="343"/>
        <v>3.0524089458780421E-3</v>
      </c>
      <c r="AR395">
        <f t="shared" si="344"/>
        <v>-5.5248601920392568</v>
      </c>
      <c r="AT395">
        <f t="shared" si="313"/>
        <v>-11111.810450726398</v>
      </c>
      <c r="AU395">
        <f t="shared" si="314"/>
        <v>-5879.3844413302622</v>
      </c>
      <c r="AV395">
        <f t="shared" si="354"/>
        <v>-2.6549281404564535</v>
      </c>
      <c r="AW395">
        <f t="shared" si="355"/>
        <v>-1394.0196345181712</v>
      </c>
      <c r="AX395">
        <f t="shared" si="356"/>
        <v>-3096.035462905535</v>
      </c>
      <c r="AY395">
        <f t="shared" ref="AY395:AY458" si="364">ATAN2(AW395,AX395)</f>
        <v>-1.9938661008682321</v>
      </c>
      <c r="BA395">
        <f t="shared" si="345"/>
        <v>3.7024751196511274</v>
      </c>
      <c r="BB395">
        <f t="shared" si="357"/>
        <v>11.369842975548764</v>
      </c>
      <c r="BC395">
        <f t="shared" si="358"/>
        <v>-0.66106203958822141</v>
      </c>
      <c r="BD395">
        <f t="shared" si="346"/>
        <v>-217.87606490799493</v>
      </c>
      <c r="BF395">
        <f t="shared" si="347"/>
        <v>-36.2331835677398</v>
      </c>
      <c r="BG395">
        <f t="shared" si="348"/>
        <v>-211.06055464560052</v>
      </c>
      <c r="BH395">
        <f t="shared" si="359"/>
        <v>-31.060554645600519</v>
      </c>
      <c r="BI395">
        <f t="shared" si="360"/>
        <v>-31.060554645600519</v>
      </c>
      <c r="BJ395">
        <f t="shared" si="349"/>
        <v>0</v>
      </c>
      <c r="BK395">
        <f t="shared" si="361"/>
        <v>0</v>
      </c>
      <c r="BM395">
        <f t="shared" si="362"/>
        <v>-47.603026543288571</v>
      </c>
      <c r="BN395">
        <f t="shared" si="350"/>
        <v>-173.18448973760556</v>
      </c>
      <c r="BQ395" s="56">
        <f t="shared" si="363"/>
        <v>28.271803775833902</v>
      </c>
      <c r="BR395" s="59"/>
      <c r="BS395" s="59"/>
      <c r="BT395" s="59">
        <v>707945.78399999999</v>
      </c>
      <c r="BU395" s="59">
        <v>9.1002899999999993</v>
      </c>
      <c r="BV395" s="59">
        <v>109.21</v>
      </c>
      <c r="BY395" s="59"/>
      <c r="BZ395" s="59"/>
      <c r="CA395" s="59"/>
      <c r="CC395" s="59"/>
    </row>
    <row r="396" spans="1:81" x14ac:dyDescent="0.2">
      <c r="A396">
        <f t="shared" si="319"/>
        <v>910000</v>
      </c>
      <c r="B396">
        <f t="shared" si="351"/>
        <v>910</v>
      </c>
      <c r="C396">
        <f t="shared" si="320"/>
        <v>1.0065171786995901</v>
      </c>
      <c r="D396">
        <f t="shared" si="321"/>
        <v>0.11385938475813456</v>
      </c>
      <c r="F396">
        <f t="shared" si="322"/>
        <v>2.7301095498369571E-4</v>
      </c>
      <c r="G396">
        <f t="shared" si="323"/>
        <v>5.6825495022200011E-3</v>
      </c>
      <c r="H396">
        <f t="shared" si="324"/>
        <v>-3.1359101004977803</v>
      </c>
      <c r="J396">
        <f t="shared" si="325"/>
        <v>15</v>
      </c>
      <c r="M396">
        <f t="shared" si="326"/>
        <v>1.9944116513450696E-3</v>
      </c>
      <c r="N396">
        <f t="shared" si="327"/>
        <v>-1.5707963250000001</v>
      </c>
      <c r="O396">
        <f t="shared" si="328"/>
        <v>108.60085405959244</v>
      </c>
      <c r="P396">
        <f t="shared" si="329"/>
        <v>1.5615881659521154</v>
      </c>
      <c r="Q396">
        <f t="shared" si="330"/>
        <v>70.886161831953956</v>
      </c>
      <c r="R396">
        <f t="shared" si="331"/>
        <v>1.5566887330752501</v>
      </c>
      <c r="S396">
        <f t="shared" si="332"/>
        <v>0.99323990114298466</v>
      </c>
      <c r="T396">
        <f t="shared" si="333"/>
        <v>-0.11634198817744221</v>
      </c>
      <c r="U396">
        <f t="shared" si="334"/>
        <v>0.47333270422985879</v>
      </c>
      <c r="V396">
        <f t="shared" si="335"/>
        <v>-1.077726013204209</v>
      </c>
      <c r="X396">
        <f t="shared" si="352"/>
        <v>-30.529545991459948</v>
      </c>
      <c r="Y396">
        <f t="shared" si="336"/>
        <v>-152.901702821627</v>
      </c>
      <c r="Z396">
        <f t="shared" si="353"/>
        <v>27.098297178373002</v>
      </c>
      <c r="AC396">
        <v>1</v>
      </c>
      <c r="AD396">
        <f t="shared" si="337"/>
        <v>108.59624994663901</v>
      </c>
      <c r="AE396">
        <f t="shared" si="338"/>
        <v>-4.2222602757234599E-2</v>
      </c>
      <c r="AF396">
        <f t="shared" si="339"/>
        <v>2.2687828136064004E-2</v>
      </c>
      <c r="AG396">
        <f t="shared" si="315"/>
        <v>1054.0176252470201</v>
      </c>
      <c r="AH396">
        <f t="shared" si="316"/>
        <v>-2005.6290631714403</v>
      </c>
      <c r="AJ396">
        <f t="shared" si="340"/>
        <v>22100</v>
      </c>
      <c r="AK396">
        <f t="shared" si="341"/>
        <v>2582.8216927760523</v>
      </c>
      <c r="AL396">
        <v>1</v>
      </c>
      <c r="AM396">
        <f t="shared" si="342"/>
        <v>70.879107918102122</v>
      </c>
      <c r="AN396">
        <f t="shared" si="317"/>
        <v>40.830707710024775</v>
      </c>
      <c r="AO396">
        <f t="shared" si="318"/>
        <v>-311.22244537527808</v>
      </c>
      <c r="AQ396">
        <f t="shared" si="343"/>
        <v>3.0189581515039999E-3</v>
      </c>
      <c r="AR396">
        <f t="shared" si="344"/>
        <v>-5.4945038357372793</v>
      </c>
      <c r="AT396">
        <f t="shared" si="313"/>
        <v>-11016.754545560076</v>
      </c>
      <c r="AU396">
        <f t="shared" si="314"/>
        <v>-5797.3587950636047</v>
      </c>
      <c r="AV396">
        <f t="shared" si="354"/>
        <v>-2.6571810503477282</v>
      </c>
      <c r="AW396">
        <f t="shared" si="355"/>
        <v>-1377.6501163546754</v>
      </c>
      <c r="AX396">
        <f t="shared" si="356"/>
        <v>-3080.0464480092814</v>
      </c>
      <c r="AY396">
        <f t="shared" si="364"/>
        <v>-1.9913878756701959</v>
      </c>
      <c r="BA396">
        <f t="shared" si="345"/>
        <v>3.6895752642134125</v>
      </c>
      <c r="BB396">
        <f t="shared" si="357"/>
        <v>11.339527480225584</v>
      </c>
      <c r="BC396">
        <f t="shared" si="358"/>
        <v>-0.6657931746775323</v>
      </c>
      <c r="BD396">
        <f t="shared" si="346"/>
        <v>-218.14713898122847</v>
      </c>
      <c r="BF396">
        <f t="shared" si="347"/>
        <v>-36.358622024295677</v>
      </c>
      <c r="BG396">
        <f t="shared" si="348"/>
        <v>-211.29789066545339</v>
      </c>
      <c r="BH396">
        <f t="shared" si="359"/>
        <v>-31.297890665453394</v>
      </c>
      <c r="BI396">
        <f t="shared" si="360"/>
        <v>-31.297890665453394</v>
      </c>
      <c r="BJ396">
        <f t="shared" si="349"/>
        <v>0</v>
      </c>
      <c r="BK396">
        <f t="shared" si="361"/>
        <v>0</v>
      </c>
      <c r="BM396">
        <f t="shared" si="362"/>
        <v>-47.698149504521261</v>
      </c>
      <c r="BN396">
        <f t="shared" si="350"/>
        <v>-173.15075168422493</v>
      </c>
      <c r="BQ396" s="56">
        <f t="shared" si="363"/>
        <v>28.241488280510719</v>
      </c>
      <c r="BR396" s="59"/>
      <c r="BS396" s="59"/>
      <c r="BT396" s="59">
        <v>724435.96</v>
      </c>
      <c r="BU396" s="59">
        <v>8.7908299999999997</v>
      </c>
      <c r="BV396" s="59">
        <v>107.553</v>
      </c>
      <c r="BY396" s="59"/>
      <c r="BZ396" s="59"/>
      <c r="CA396" s="59"/>
      <c r="CC396" s="59"/>
    </row>
    <row r="397" spans="1:81" x14ac:dyDescent="0.2">
      <c r="A397">
        <f t="shared" si="319"/>
        <v>915000</v>
      </c>
      <c r="B397">
        <f t="shared" si="351"/>
        <v>915</v>
      </c>
      <c r="C397">
        <f t="shared" si="320"/>
        <v>1.0065887577562691</v>
      </c>
      <c r="D397">
        <f t="shared" si="321"/>
        <v>0.11447954886708987</v>
      </c>
      <c r="F397">
        <f t="shared" si="322"/>
        <v>2.7003462196725027E-4</v>
      </c>
      <c r="G397">
        <f t="shared" si="323"/>
        <v>5.6514811027731883E-3</v>
      </c>
      <c r="H397">
        <f t="shared" si="324"/>
        <v>-3.1359411688972272</v>
      </c>
      <c r="J397">
        <f t="shared" si="325"/>
        <v>15</v>
      </c>
      <c r="M397">
        <f t="shared" si="326"/>
        <v>1.9835132270207795E-3</v>
      </c>
      <c r="N397">
        <f t="shared" si="327"/>
        <v>-1.5707963250000001</v>
      </c>
      <c r="O397">
        <f t="shared" si="328"/>
        <v>109.19751159357766</v>
      </c>
      <c r="P397">
        <f t="shared" si="329"/>
        <v>1.56163848094994</v>
      </c>
      <c r="Q397">
        <f t="shared" si="330"/>
        <v>71.27556893768265</v>
      </c>
      <c r="R397">
        <f t="shared" si="331"/>
        <v>1.5567658136067859</v>
      </c>
      <c r="S397">
        <f t="shared" si="332"/>
        <v>0.99316617211454983</v>
      </c>
      <c r="T397">
        <f t="shared" si="333"/>
        <v>-0.11697543019768096</v>
      </c>
      <c r="U397">
        <f t="shared" si="334"/>
        <v>0.47132199351675436</v>
      </c>
      <c r="V397">
        <f t="shared" si="335"/>
        <v>-1.080007223298711</v>
      </c>
      <c r="X397">
        <f t="shared" si="352"/>
        <v>-30.61418110848857</v>
      </c>
      <c r="Y397">
        <f t="shared" si="336"/>
        <v>-153.02764816264917</v>
      </c>
      <c r="Z397">
        <f t="shared" si="353"/>
        <v>26.972351837350828</v>
      </c>
      <c r="AC397">
        <v>1</v>
      </c>
      <c r="AD397">
        <f t="shared" si="337"/>
        <v>109.19293263865352</v>
      </c>
      <c r="AE397">
        <f t="shared" si="338"/>
        <v>-4.2687862086011032E-2</v>
      </c>
      <c r="AF397">
        <f t="shared" si="339"/>
        <v>2.2812486532416004E-2</v>
      </c>
      <c r="AG397">
        <f t="shared" si="315"/>
        <v>1045.0817411152425</v>
      </c>
      <c r="AH397">
        <f t="shared" si="316"/>
        <v>-1999.4446974695963</v>
      </c>
      <c r="AJ397">
        <f t="shared" si="340"/>
        <v>22100</v>
      </c>
      <c r="AK397">
        <f t="shared" si="341"/>
        <v>2597.0130207583384</v>
      </c>
      <c r="AL397">
        <v>1</v>
      </c>
      <c r="AM397">
        <f t="shared" si="342"/>
        <v>71.268553566003774</v>
      </c>
      <c r="AN397">
        <f t="shared" si="317"/>
        <v>40.782860363628146</v>
      </c>
      <c r="AO397">
        <f t="shared" si="318"/>
        <v>-309.522447641746</v>
      </c>
      <c r="AQ397">
        <f t="shared" si="343"/>
        <v>2.9860542309253094E-3</v>
      </c>
      <c r="AR397">
        <f t="shared" si="344"/>
        <v>-5.4644792425933169</v>
      </c>
      <c r="AT397">
        <f t="shared" si="313"/>
        <v>-10922.803375281163</v>
      </c>
      <c r="AU397">
        <f t="shared" si="314"/>
        <v>-5716.7979314359054</v>
      </c>
      <c r="AV397">
        <f t="shared" si="354"/>
        <v>-2.6594149479055234</v>
      </c>
      <c r="AW397">
        <f t="shared" si="355"/>
        <v>-1361.5598589474598</v>
      </c>
      <c r="AX397">
        <f t="shared" si="356"/>
        <v>-3064.2218219414849</v>
      </c>
      <c r="AY397">
        <f t="shared" si="364"/>
        <v>-1.9889343998064908</v>
      </c>
      <c r="BA397">
        <f t="shared" si="345"/>
        <v>3.676713215891386</v>
      </c>
      <c r="BB397">
        <f t="shared" si="357"/>
        <v>11.30919512327797</v>
      </c>
      <c r="BC397">
        <f t="shared" si="358"/>
        <v>-0.67048054809903257</v>
      </c>
      <c r="BD397">
        <f t="shared" si="346"/>
        <v>-218.41570569558911</v>
      </c>
      <c r="BF397">
        <f t="shared" si="347"/>
        <v>-36.483549184425698</v>
      </c>
      <c r="BG397">
        <f t="shared" si="348"/>
        <v>-211.53270468189137</v>
      </c>
      <c r="BH397">
        <f t="shared" si="359"/>
        <v>-31.532704681891374</v>
      </c>
      <c r="BI397">
        <f t="shared" si="360"/>
        <v>-31.532704681891374</v>
      </c>
      <c r="BJ397">
        <f t="shared" si="349"/>
        <v>0</v>
      </c>
      <c r="BK397">
        <f t="shared" si="361"/>
        <v>0</v>
      </c>
      <c r="BM397">
        <f t="shared" si="362"/>
        <v>-47.792744307703671</v>
      </c>
      <c r="BN397">
        <f t="shared" si="350"/>
        <v>-173.11699898630229</v>
      </c>
      <c r="BQ397" s="56">
        <f t="shared" si="363"/>
        <v>28.211155923563108</v>
      </c>
      <c r="BR397" s="59"/>
      <c r="BS397" s="59"/>
      <c r="BT397" s="59">
        <v>741310.24100000004</v>
      </c>
      <c r="BU397" s="59">
        <v>8.6150300000000009</v>
      </c>
      <c r="BV397" s="59">
        <v>107.324</v>
      </c>
      <c r="BY397" s="59"/>
      <c r="BZ397" s="59"/>
      <c r="CA397" s="59"/>
      <c r="CC397" s="59"/>
    </row>
    <row r="398" spans="1:81" x14ac:dyDescent="0.2">
      <c r="A398">
        <f t="shared" si="319"/>
        <v>920000</v>
      </c>
      <c r="B398">
        <f t="shared" si="351"/>
        <v>920</v>
      </c>
      <c r="C398">
        <f t="shared" si="320"/>
        <v>1.0066607238953877</v>
      </c>
      <c r="D398">
        <f t="shared" si="321"/>
        <v>0.1150996245434802</v>
      </c>
      <c r="F398">
        <f t="shared" si="322"/>
        <v>2.6710670045683931E-4</v>
      </c>
      <c r="G398">
        <f t="shared" si="323"/>
        <v>5.620750665652199E-3</v>
      </c>
      <c r="H398">
        <f t="shared" si="324"/>
        <v>-3.1359718993343479</v>
      </c>
      <c r="J398">
        <f t="shared" si="325"/>
        <v>15</v>
      </c>
      <c r="M398">
        <f t="shared" si="326"/>
        <v>1.9727332638304496E-3</v>
      </c>
      <c r="N398">
        <f t="shared" si="327"/>
        <v>-1.5707963250000001</v>
      </c>
      <c r="O398">
        <f t="shared" si="328"/>
        <v>109.79416940100259</v>
      </c>
      <c r="P398">
        <f t="shared" si="329"/>
        <v>1.5616882490912314</v>
      </c>
      <c r="Q398">
        <f t="shared" si="330"/>
        <v>71.664976462286461</v>
      </c>
      <c r="R398">
        <f t="shared" si="331"/>
        <v>1.5568420564704852</v>
      </c>
      <c r="S398">
        <f t="shared" si="332"/>
        <v>0.99309205564306879</v>
      </c>
      <c r="T398">
        <f t="shared" si="333"/>
        <v>-0.11760877792895232</v>
      </c>
      <c r="U398">
        <f t="shared" si="334"/>
        <v>0.46932588206361348</v>
      </c>
      <c r="V398">
        <f t="shared" si="335"/>
        <v>-1.0822691226235466</v>
      </c>
      <c r="X398">
        <f t="shared" si="352"/>
        <v>-30.698444268144094</v>
      </c>
      <c r="Y398">
        <f t="shared" si="336"/>
        <v>-153.15254670611003</v>
      </c>
      <c r="Z398">
        <f t="shared" si="353"/>
        <v>26.84745329388997</v>
      </c>
      <c r="AC398">
        <v>1</v>
      </c>
      <c r="AD398">
        <f t="shared" si="337"/>
        <v>109.789615330668</v>
      </c>
      <c r="AE398">
        <f t="shared" si="338"/>
        <v>-4.3155670780972551E-2</v>
      </c>
      <c r="AF398">
        <f t="shared" si="339"/>
        <v>2.2937144928768003E-2</v>
      </c>
      <c r="AG398">
        <f t="shared" si="315"/>
        <v>1036.2483651787545</v>
      </c>
      <c r="AH398">
        <f t="shared" si="316"/>
        <v>-1993.2730702517756</v>
      </c>
      <c r="AJ398">
        <f t="shared" si="340"/>
        <v>22100</v>
      </c>
      <c r="AK398">
        <f t="shared" si="341"/>
        <v>2611.2043487406245</v>
      </c>
      <c r="AL398">
        <v>1</v>
      </c>
      <c r="AM398">
        <f t="shared" si="342"/>
        <v>71.657999213905441</v>
      </c>
      <c r="AN398">
        <f t="shared" si="317"/>
        <v>40.73579081265153</v>
      </c>
      <c r="AO398">
        <f t="shared" si="318"/>
        <v>-307.84091729017581</v>
      </c>
      <c r="AQ398">
        <f t="shared" si="343"/>
        <v>2.9536853279521127E-3</v>
      </c>
      <c r="AR398">
        <f t="shared" si="344"/>
        <v>-5.4347810034318869</v>
      </c>
      <c r="AT398">
        <f t="shared" si="313"/>
        <v>-10829.941865264362</v>
      </c>
      <c r="AU398">
        <f t="shared" si="314"/>
        <v>-5637.6704313330483</v>
      </c>
      <c r="AV398">
        <f t="shared" si="354"/>
        <v>-2.6616300489147475</v>
      </c>
      <c r="AW398">
        <f t="shared" si="355"/>
        <v>-1345.7425785485018</v>
      </c>
      <c r="AX398">
        <f t="shared" si="356"/>
        <v>-3048.5590046246834</v>
      </c>
      <c r="AY398">
        <f t="shared" si="364"/>
        <v>-1.9865053415035216</v>
      </c>
      <c r="BA398">
        <f t="shared" si="345"/>
        <v>3.6638900755145993</v>
      </c>
      <c r="BB398">
        <f t="shared" si="357"/>
        <v>11.278848708684961</v>
      </c>
      <c r="BC398">
        <f t="shared" si="358"/>
        <v>-0.67512470741122588</v>
      </c>
      <c r="BD398">
        <f t="shared" si="346"/>
        <v>-218.68179642386821</v>
      </c>
      <c r="BF398">
        <f t="shared" si="347"/>
        <v>-36.607967970541281</v>
      </c>
      <c r="BG398">
        <f t="shared" si="348"/>
        <v>-211.76502841524561</v>
      </c>
      <c r="BH398">
        <f t="shared" si="359"/>
        <v>-31.765028415245609</v>
      </c>
      <c r="BI398">
        <f t="shared" si="360"/>
        <v>-31.765028415245609</v>
      </c>
      <c r="BJ398">
        <f t="shared" si="349"/>
        <v>0</v>
      </c>
      <c r="BK398">
        <f t="shared" si="361"/>
        <v>0</v>
      </c>
      <c r="BM398">
        <f t="shared" si="362"/>
        <v>-47.88681667922625</v>
      </c>
      <c r="BN398">
        <f t="shared" si="350"/>
        <v>-173.08323199137743</v>
      </c>
      <c r="BQ398" s="56">
        <f t="shared" si="363"/>
        <v>28.180809508970096</v>
      </c>
      <c r="BR398" s="59"/>
      <c r="BS398" s="59"/>
      <c r="BT398" s="59">
        <v>758577.57499999995</v>
      </c>
      <c r="BU398" s="59">
        <v>8.3056699999999992</v>
      </c>
      <c r="BV398" s="59">
        <v>105.50700000000001</v>
      </c>
      <c r="BY398" s="59"/>
      <c r="BZ398" s="59"/>
      <c r="CA398" s="59"/>
      <c r="CC398" s="59"/>
    </row>
    <row r="399" spans="1:81" x14ac:dyDescent="0.2">
      <c r="A399">
        <f t="shared" si="319"/>
        <v>925000</v>
      </c>
      <c r="B399">
        <f t="shared" si="351"/>
        <v>925</v>
      </c>
      <c r="C399">
        <f t="shared" si="320"/>
        <v>1.0067330770339342</v>
      </c>
      <c r="D399">
        <f t="shared" si="321"/>
        <v>0.11571961132949114</v>
      </c>
      <c r="F399">
        <f t="shared" si="322"/>
        <v>2.6422614611477778E-4</v>
      </c>
      <c r="G399">
        <f t="shared" si="323"/>
        <v>5.590352704758478E-3</v>
      </c>
      <c r="H399">
        <f t="shared" si="324"/>
        <v>-3.1360022972952417</v>
      </c>
      <c r="J399">
        <f t="shared" si="325"/>
        <v>15</v>
      </c>
      <c r="M399">
        <f t="shared" si="326"/>
        <v>1.9620698407827172E-3</v>
      </c>
      <c r="N399">
        <f t="shared" si="327"/>
        <v>-1.5707963250000001</v>
      </c>
      <c r="O399">
        <f t="shared" si="328"/>
        <v>110.39082747743349</v>
      </c>
      <c r="P399">
        <f t="shared" si="329"/>
        <v>1.5617374792429548</v>
      </c>
      <c r="Q399">
        <f t="shared" si="330"/>
        <v>72.054384398974193</v>
      </c>
      <c r="R399">
        <f t="shared" si="331"/>
        <v>1.5569174752466335</v>
      </c>
      <c r="S399">
        <f t="shared" si="332"/>
        <v>0.99301755199363739</v>
      </c>
      <c r="T399">
        <f t="shared" si="333"/>
        <v>-0.11824203088431241</v>
      </c>
      <c r="U399">
        <f t="shared" si="334"/>
        <v>0.46734424605396363</v>
      </c>
      <c r="V399">
        <f t="shared" si="335"/>
        <v>-1.0845119324945172</v>
      </c>
      <c r="X399">
        <f t="shared" si="352"/>
        <v>-30.782338491555578</v>
      </c>
      <c r="Y399">
        <f t="shared" si="336"/>
        <v>-153.27641015899962</v>
      </c>
      <c r="Z399">
        <f t="shared" si="353"/>
        <v>26.723589841000376</v>
      </c>
      <c r="AC399">
        <v>1</v>
      </c>
      <c r="AD399">
        <f t="shared" si="337"/>
        <v>110.38629802268251</v>
      </c>
      <c r="AE399">
        <f t="shared" si="338"/>
        <v>-4.3626028842119136E-2</v>
      </c>
      <c r="AF399">
        <f t="shared" si="339"/>
        <v>2.3061803325120003E-2</v>
      </c>
      <c r="AG399">
        <f t="shared" si="315"/>
        <v>1027.516130397983</v>
      </c>
      <c r="AH399">
        <f t="shared" si="316"/>
        <v>-1987.1146975990698</v>
      </c>
      <c r="AJ399">
        <f t="shared" si="340"/>
        <v>22100</v>
      </c>
      <c r="AK399">
        <f t="shared" si="341"/>
        <v>2625.3956767229106</v>
      </c>
      <c r="AL399">
        <v>1</v>
      </c>
      <c r="AM399">
        <f t="shared" si="342"/>
        <v>72.047444861807108</v>
      </c>
      <c r="AN399">
        <f t="shared" si="317"/>
        <v>40.689482290844978</v>
      </c>
      <c r="AO399">
        <f t="shared" si="318"/>
        <v>-306.17755508222001</v>
      </c>
      <c r="AQ399">
        <f t="shared" si="343"/>
        <v>2.9218399059635046E-3</v>
      </c>
      <c r="AR399">
        <f t="shared" si="344"/>
        <v>-5.405403826032483</v>
      </c>
      <c r="AT399">
        <f t="shared" si="313"/>
        <v>-10738.155151533574</v>
      </c>
      <c r="AU399">
        <f t="shared" si="314"/>
        <v>-5559.9456535845202</v>
      </c>
      <c r="AV399">
        <f t="shared" si="354"/>
        <v>-2.6638265663534608</v>
      </c>
      <c r="AW399">
        <f t="shared" si="355"/>
        <v>-1330.1921658147112</v>
      </c>
      <c r="AX399">
        <f t="shared" si="356"/>
        <v>-3033.0554717798805</v>
      </c>
      <c r="AY399">
        <f t="shared" si="364"/>
        <v>-1.9841003736631753</v>
      </c>
      <c r="BA399">
        <f t="shared" si="345"/>
        <v>3.6511068898864982</v>
      </c>
      <c r="BB399">
        <f t="shared" si="357"/>
        <v>11.248490951015089</v>
      </c>
      <c r="BC399">
        <f t="shared" si="358"/>
        <v>-0.67972619269028556</v>
      </c>
      <c r="BD399">
        <f t="shared" si="346"/>
        <v>-218.94544211015116</v>
      </c>
      <c r="BF399">
        <f t="shared" si="347"/>
        <v>-36.73188130128743</v>
      </c>
      <c r="BG399">
        <f t="shared" si="348"/>
        <v>-211.99489315016268</v>
      </c>
      <c r="BH399">
        <f t="shared" si="359"/>
        <v>-31.994893150162682</v>
      </c>
      <c r="BI399">
        <f t="shared" si="360"/>
        <v>-31.994893150162682</v>
      </c>
      <c r="BJ399">
        <f t="shared" si="349"/>
        <v>0</v>
      </c>
      <c r="BK399">
        <f t="shared" si="361"/>
        <v>0</v>
      </c>
      <c r="BM399">
        <f t="shared" si="362"/>
        <v>-47.980372252302523</v>
      </c>
      <c r="BN399">
        <f t="shared" si="350"/>
        <v>-173.04945104001155</v>
      </c>
      <c r="BQ399" s="56">
        <f t="shared" si="363"/>
        <v>28.150451751300224</v>
      </c>
      <c r="BR399" s="59"/>
      <c r="BS399" s="59"/>
      <c r="BT399" s="59">
        <v>776247.11699999997</v>
      </c>
      <c r="BU399" s="59">
        <v>7.9999099999999999</v>
      </c>
      <c r="BV399" s="59">
        <v>105.28700000000001</v>
      </c>
      <c r="BY399" s="59"/>
      <c r="BZ399" s="59"/>
      <c r="CA399" s="59"/>
      <c r="CC399" s="59"/>
    </row>
    <row r="400" spans="1:81" x14ac:dyDescent="0.2">
      <c r="A400">
        <f t="shared" si="319"/>
        <v>930000</v>
      </c>
      <c r="B400">
        <f t="shared" si="351"/>
        <v>930</v>
      </c>
      <c r="C400">
        <f t="shared" si="320"/>
        <v>1.0068058170884744</v>
      </c>
      <c r="D400">
        <f t="shared" si="321"/>
        <v>0.11633950876771282</v>
      </c>
      <c r="F400">
        <f t="shared" si="322"/>
        <v>2.6139194261523921E-4</v>
      </c>
      <c r="G400">
        <f t="shared" si="323"/>
        <v>5.5602818521242377E-3</v>
      </c>
      <c r="H400">
        <f t="shared" si="324"/>
        <v>-3.1360323681478759</v>
      </c>
      <c r="J400">
        <f t="shared" si="325"/>
        <v>15</v>
      </c>
      <c r="M400">
        <f t="shared" si="326"/>
        <v>1.9515210781978637E-3</v>
      </c>
      <c r="N400">
        <f t="shared" si="327"/>
        <v>-1.5707963250000001</v>
      </c>
      <c r="O400">
        <f t="shared" si="328"/>
        <v>110.98748581853187</v>
      </c>
      <c r="P400">
        <f t="shared" si="329"/>
        <v>1.5617861800814148</v>
      </c>
      <c r="Q400">
        <f t="shared" si="330"/>
        <v>72.443792741100566</v>
      </c>
      <c r="R400">
        <f t="shared" si="331"/>
        <v>1.5569920832235609</v>
      </c>
      <c r="S400">
        <f t="shared" si="332"/>
        <v>0.99294266143262899</v>
      </c>
      <c r="T400">
        <f t="shared" si="333"/>
        <v>-0.11887518857726721</v>
      </c>
      <c r="U400">
        <f t="shared" si="334"/>
        <v>0.46537696233387033</v>
      </c>
      <c r="V400">
        <f t="shared" si="335"/>
        <v>-1.0867358712758006</v>
      </c>
      <c r="X400">
        <f t="shared" si="352"/>
        <v>-30.865866764364831</v>
      </c>
      <c r="Y400">
        <f t="shared" si="336"/>
        <v>-153.3992500800783</v>
      </c>
      <c r="Z400">
        <f t="shared" si="353"/>
        <v>26.600749919921697</v>
      </c>
      <c r="AC400">
        <v>1</v>
      </c>
      <c r="AD400">
        <f t="shared" si="337"/>
        <v>110.98298071469701</v>
      </c>
      <c r="AE400">
        <f t="shared" si="338"/>
        <v>-4.40989362694508E-2</v>
      </c>
      <c r="AF400">
        <f t="shared" si="339"/>
        <v>2.3186461721472006E-2</v>
      </c>
      <c r="AG400">
        <f t="shared" si="315"/>
        <v>1018.8836878173387</v>
      </c>
      <c r="AH400">
        <f t="shared" si="316"/>
        <v>-1980.9700749858016</v>
      </c>
      <c r="AJ400">
        <f t="shared" si="340"/>
        <v>22100</v>
      </c>
      <c r="AK400">
        <f t="shared" si="341"/>
        <v>2639.5870047051967</v>
      </c>
      <c r="AL400">
        <v>1</v>
      </c>
      <c r="AM400">
        <f t="shared" si="342"/>
        <v>72.436890509708775</v>
      </c>
      <c r="AN400">
        <f t="shared" si="317"/>
        <v>40.643918481276543</v>
      </c>
      <c r="AO400">
        <f t="shared" si="318"/>
        <v>-304.53206820856133</v>
      </c>
      <c r="AQ400">
        <f t="shared" si="343"/>
        <v>2.8905067376266799E-3</v>
      </c>
      <c r="AR400">
        <f t="shared" si="344"/>
        <v>-5.3763425319856246</v>
      </c>
      <c r="AT400">
        <f t="shared" si="313"/>
        <v>-10647.428578572422</v>
      </c>
      <c r="AU400">
        <f t="shared" si="314"/>
        <v>-5483.5937133075049</v>
      </c>
      <c r="AV400">
        <f t="shared" si="354"/>
        <v>-2.6660047104273779</v>
      </c>
      <c r="AW400">
        <f t="shared" si="355"/>
        <v>-1314.9026800801169</v>
      </c>
      <c r="AX400">
        <f t="shared" si="356"/>
        <v>-3017.7087533632571</v>
      </c>
      <c r="AY400">
        <f t="shared" si="364"/>
        <v>-1.9817191738208164</v>
      </c>
      <c r="BA400">
        <f t="shared" si="345"/>
        <v>3.6383646536791421</v>
      </c>
      <c r="BB400">
        <f t="shared" si="357"/>
        <v>11.218124478080096</v>
      </c>
      <c r="BC400">
        <f t="shared" si="358"/>
        <v>-0.68428553660656144</v>
      </c>
      <c r="BD400">
        <f t="shared" si="346"/>
        <v>-219.20667327420091</v>
      </c>
      <c r="BF400">
        <f t="shared" si="347"/>
        <v>-36.855292090900853</v>
      </c>
      <c r="BG400">
        <f t="shared" si="348"/>
        <v>-212.22232974017504</v>
      </c>
      <c r="BH400">
        <f t="shared" si="359"/>
        <v>-32.222329740175041</v>
      </c>
      <c r="BI400">
        <f t="shared" si="360"/>
        <v>-32.222329740175041</v>
      </c>
      <c r="BJ400">
        <f t="shared" si="349"/>
        <v>0</v>
      </c>
      <c r="BK400">
        <f t="shared" si="361"/>
        <v>0</v>
      </c>
      <c r="BM400">
        <f t="shared" si="362"/>
        <v>-48.073416568980953</v>
      </c>
      <c r="BN400">
        <f t="shared" si="350"/>
        <v>-173.01565646597416</v>
      </c>
      <c r="BQ400" s="56">
        <f t="shared" si="363"/>
        <v>28.120085278365234</v>
      </c>
      <c r="BR400" s="59"/>
      <c r="BS400" s="59"/>
      <c r="BT400" s="59">
        <v>794328.23499999999</v>
      </c>
      <c r="BU400" s="59">
        <v>7.7399399999999998</v>
      </c>
      <c r="BV400" s="59">
        <v>105.286</v>
      </c>
      <c r="BY400" s="59"/>
      <c r="BZ400" s="59"/>
      <c r="CA400" s="59"/>
      <c r="CC400" s="59"/>
    </row>
    <row r="401" spans="1:81" x14ac:dyDescent="0.2">
      <c r="A401">
        <f t="shared" si="319"/>
        <v>935000</v>
      </c>
      <c r="B401">
        <f t="shared" si="351"/>
        <v>935</v>
      </c>
      <c r="C401">
        <f t="shared" si="320"/>
        <v>1.0068789439751524</v>
      </c>
      <c r="D401">
        <f t="shared" si="321"/>
        <v>0.11695931640114185</v>
      </c>
      <c r="F401">
        <f t="shared" si="322"/>
        <v>2.5860310074737468E-4</v>
      </c>
      <c r="G401">
        <f t="shared" si="323"/>
        <v>5.5305328547491E-3</v>
      </c>
      <c r="H401">
        <f t="shared" si="324"/>
        <v>-3.1360621171452512</v>
      </c>
      <c r="J401">
        <f t="shared" si="325"/>
        <v>15</v>
      </c>
      <c r="M401">
        <f t="shared" si="326"/>
        <v>1.9410851366032228E-3</v>
      </c>
      <c r="N401">
        <f t="shared" si="327"/>
        <v>-1.5707963250000001</v>
      </c>
      <c r="O401">
        <f t="shared" si="328"/>
        <v>111.58414442005208</v>
      </c>
      <c r="P401">
        <f t="shared" si="329"/>
        <v>1.5618343600973512</v>
      </c>
      <c r="Q401">
        <f t="shared" si="330"/>
        <v>72.833201482162494</v>
      </c>
      <c r="R401">
        <f t="shared" si="331"/>
        <v>1.5570658934054458</v>
      </c>
      <c r="S401">
        <f t="shared" si="332"/>
        <v>0.99286738422769205</v>
      </c>
      <c r="T401">
        <f t="shared" si="333"/>
        <v>-0.1195082505217745</v>
      </c>
      <c r="U401">
        <f t="shared" si="334"/>
        <v>0.46342390843152104</v>
      </c>
      <c r="V401">
        <f t="shared" si="335"/>
        <v>-1.0889411544191014</v>
      </c>
      <c r="X401">
        <f t="shared" si="352"/>
        <v>-30.949032037312975</v>
      </c>
      <c r="Y401">
        <f t="shared" si="336"/>
        <v>-153.52107788156235</v>
      </c>
      <c r="Z401">
        <f t="shared" si="353"/>
        <v>26.478922118437652</v>
      </c>
      <c r="AC401">
        <v>1</v>
      </c>
      <c r="AD401">
        <f t="shared" si="337"/>
        <v>111.57966340671149</v>
      </c>
      <c r="AE401">
        <f t="shared" si="338"/>
        <v>-4.4574393062967524E-2</v>
      </c>
      <c r="AF401">
        <f t="shared" si="339"/>
        <v>2.3311120117824002E-2</v>
      </c>
      <c r="AG401">
        <f t="shared" si="315"/>
        <v>1010.3497064218213</v>
      </c>
      <c r="AH401">
        <f t="shared" si="316"/>
        <v>-1974.8396779055058</v>
      </c>
      <c r="AJ401">
        <f t="shared" si="340"/>
        <v>22100</v>
      </c>
      <c r="AK401">
        <f t="shared" si="341"/>
        <v>2653.7783326874824</v>
      </c>
      <c r="AL401">
        <v>1</v>
      </c>
      <c r="AM401">
        <f t="shared" si="342"/>
        <v>72.826336157610427</v>
      </c>
      <c r="AN401">
        <f t="shared" si="317"/>
        <v>40.599083501960806</v>
      </c>
      <c r="AO401">
        <f t="shared" si="318"/>
        <v>-302.90417011721121</v>
      </c>
      <c r="AQ401">
        <f t="shared" si="343"/>
        <v>2.8596748949998871E-3</v>
      </c>
      <c r="AR401">
        <f t="shared" si="344"/>
        <v>-5.3475920536497892</v>
      </c>
      <c r="AT401">
        <f t="shared" si="313"/>
        <v>-10557.747697109167</v>
      </c>
      <c r="AU401">
        <f t="shared" si="314"/>
        <v>-5408.5854609172848</v>
      </c>
      <c r="AV401">
        <f t="shared" si="354"/>
        <v>-2.6681646886042292</v>
      </c>
      <c r="AW401">
        <f t="shared" si="355"/>
        <v>-1299.8683438445814</v>
      </c>
      <c r="AX401">
        <f t="shared" si="356"/>
        <v>-3002.516432056861</v>
      </c>
      <c r="AY401">
        <f t="shared" si="364"/>
        <v>-1.979361424101904</v>
      </c>
      <c r="BA401">
        <f t="shared" si="345"/>
        <v>3.6256643112685492</v>
      </c>
      <c r="BB401">
        <f t="shared" si="357"/>
        <v>11.187751833510202</v>
      </c>
      <c r="BC401">
        <f t="shared" si="358"/>
        <v>-0.68880326450232521</v>
      </c>
      <c r="BD401">
        <f t="shared" si="346"/>
        <v>-219.46552001591249</v>
      </c>
      <c r="BF401">
        <f t="shared" si="347"/>
        <v>-36.978203248592649</v>
      </c>
      <c r="BG401">
        <f t="shared" si="348"/>
        <v>-212.44736861233685</v>
      </c>
      <c r="BH401">
        <f t="shared" si="359"/>
        <v>-32.447368612336845</v>
      </c>
      <c r="BI401">
        <f t="shared" si="360"/>
        <v>-32.447368612336845</v>
      </c>
      <c r="BJ401">
        <f t="shared" si="349"/>
        <v>0</v>
      </c>
      <c r="BK401">
        <f t="shared" si="361"/>
        <v>0</v>
      </c>
      <c r="BM401">
        <f t="shared" si="362"/>
        <v>-48.165955082102847</v>
      </c>
      <c r="BN401">
        <f t="shared" si="350"/>
        <v>-172.98184859642438</v>
      </c>
      <c r="BQ401" s="56">
        <f t="shared" si="363"/>
        <v>28.089712633795337</v>
      </c>
      <c r="BR401" s="59"/>
      <c r="BS401" s="59"/>
      <c r="BT401" s="59">
        <v>812830.51599999995</v>
      </c>
      <c r="BU401" s="59">
        <v>7.5259600000000004</v>
      </c>
      <c r="BV401" s="59">
        <v>105.187</v>
      </c>
      <c r="BY401" s="59"/>
      <c r="BZ401" s="59"/>
      <c r="CA401" s="59"/>
      <c r="CC401" s="59"/>
    </row>
    <row r="402" spans="1:81" x14ac:dyDescent="0.2">
      <c r="A402">
        <f t="shared" si="319"/>
        <v>940000</v>
      </c>
      <c r="B402">
        <f t="shared" si="351"/>
        <v>940</v>
      </c>
      <c r="C402">
        <f t="shared" si="320"/>
        <v>1.0069524576096909</v>
      </c>
      <c r="D402">
        <f t="shared" si="321"/>
        <v>0.11757903377318331</v>
      </c>
      <c r="F402">
        <f t="shared" si="322"/>
        <v>2.5585865755175954E-4</v>
      </c>
      <c r="G402">
        <f t="shared" si="323"/>
        <v>5.5011005715378787E-3</v>
      </c>
      <c r="H402">
        <f t="shared" si="324"/>
        <v>-3.1360915494284622</v>
      </c>
      <c r="J402">
        <f t="shared" si="325"/>
        <v>15</v>
      </c>
      <c r="M402">
        <f t="shared" si="326"/>
        <v>1.9307602156638441E-3</v>
      </c>
      <c r="N402">
        <f t="shared" si="327"/>
        <v>-1.5707963250000001</v>
      </c>
      <c r="O402">
        <f t="shared" si="328"/>
        <v>112.18080327783879</v>
      </c>
      <c r="P402">
        <f t="shared" si="329"/>
        <v>1.5618820276008738</v>
      </c>
      <c r="Q402">
        <f t="shared" si="330"/>
        <v>73.222610615795148</v>
      </c>
      <c r="R402">
        <f t="shared" si="331"/>
        <v>1.5571389185198685</v>
      </c>
      <c r="S402">
        <f t="shared" si="332"/>
        <v>0.99279172064774834</v>
      </c>
      <c r="T402">
        <f t="shared" si="333"/>
        <v>-0.12014121623224605</v>
      </c>
      <c r="U402">
        <f t="shared" si="334"/>
        <v>0.46148496257554089</v>
      </c>
      <c r="V402">
        <f t="shared" si="335"/>
        <v>-1.0911279945024848</v>
      </c>
      <c r="X402">
        <f t="shared" si="352"/>
        <v>-31.031837226812637</v>
      </c>
      <c r="Y402">
        <f t="shared" si="336"/>
        <v>-153.64190483080867</v>
      </c>
      <c r="Z402">
        <f t="shared" si="353"/>
        <v>26.35809516919133</v>
      </c>
      <c r="AC402">
        <v>1</v>
      </c>
      <c r="AD402">
        <f t="shared" si="337"/>
        <v>112.176346098726</v>
      </c>
      <c r="AE402">
        <f t="shared" si="338"/>
        <v>-4.5052399222669341E-2</v>
      </c>
      <c r="AF402">
        <f t="shared" si="339"/>
        <v>2.3435778514176005E-2</v>
      </c>
      <c r="AG402">
        <f t="shared" si="315"/>
        <v>1001.9128729887271</v>
      </c>
      <c r="AH402">
        <f t="shared" si="316"/>
        <v>-1968.723962479467</v>
      </c>
      <c r="AJ402">
        <f t="shared" si="340"/>
        <v>22100</v>
      </c>
      <c r="AK402">
        <f t="shared" si="341"/>
        <v>2667.9696606697685</v>
      </c>
      <c r="AL402">
        <v>1</v>
      </c>
      <c r="AM402">
        <f t="shared" si="342"/>
        <v>73.215781805512094</v>
      </c>
      <c r="AN402">
        <f t="shared" si="317"/>
        <v>40.554961892020742</v>
      </c>
      <c r="AO402">
        <f t="shared" si="318"/>
        <v>-301.29358034728006</v>
      </c>
      <c r="AQ402">
        <f t="shared" si="343"/>
        <v>2.829333740002903E-3</v>
      </c>
      <c r="AR402">
        <f t="shared" si="344"/>
        <v>-5.3191474312054572</v>
      </c>
      <c r="AT402">
        <f t="shared" si="313"/>
        <v>-10469.098261879195</v>
      </c>
      <c r="AU402">
        <f t="shared" si="314"/>
        <v>-5334.8924617814628</v>
      </c>
      <c r="AV402">
        <f t="shared" si="354"/>
        <v>-2.6703067056479526</v>
      </c>
      <c r="AW402">
        <f t="shared" si="355"/>
        <v>-1285.0835374697897</v>
      </c>
      <c r="AX402">
        <f t="shared" si="356"/>
        <v>-2987.4761418110652</v>
      </c>
      <c r="AY402">
        <f t="shared" si="364"/>
        <v>-1.9770268111773548</v>
      </c>
      <c r="BA402">
        <f t="shared" si="345"/>
        <v>3.6130067585122156</v>
      </c>
      <c r="BB402">
        <f t="shared" si="357"/>
        <v>11.157375479253142</v>
      </c>
      <c r="BC402">
        <f t="shared" si="358"/>
        <v>-0.69327989447059779</v>
      </c>
      <c r="BD402">
        <f t="shared" si="346"/>
        <v>-219.72201201982938</v>
      </c>
      <c r="BF402">
        <f t="shared" si="347"/>
        <v>-37.100617677954759</v>
      </c>
      <c r="BG402">
        <f t="shared" si="348"/>
        <v>-212.67003977191558</v>
      </c>
      <c r="BH402">
        <f t="shared" si="359"/>
        <v>-32.670039771915583</v>
      </c>
      <c r="BI402">
        <f t="shared" si="360"/>
        <v>-32.670039771915583</v>
      </c>
      <c r="BJ402">
        <f t="shared" si="349"/>
        <v>0</v>
      </c>
      <c r="BK402">
        <f t="shared" si="361"/>
        <v>0</v>
      </c>
      <c r="BM402">
        <f t="shared" si="362"/>
        <v>-48.257993157207906</v>
      </c>
      <c r="BN402">
        <f t="shared" si="350"/>
        <v>-172.94802775208626</v>
      </c>
      <c r="BQ402" s="56">
        <f t="shared" si="363"/>
        <v>28.059336279538279</v>
      </c>
      <c r="BR402" s="59"/>
      <c r="BS402" s="59"/>
      <c r="BT402" s="59">
        <v>831763.77099999995</v>
      </c>
      <c r="BU402" s="59">
        <v>7.3913599999999997</v>
      </c>
      <c r="BV402" s="59">
        <v>104.541</v>
      </c>
      <c r="BY402" s="59"/>
      <c r="BZ402" s="59"/>
      <c r="CA402" s="59"/>
      <c r="CC402" s="59"/>
    </row>
    <row r="403" spans="1:81" x14ac:dyDescent="0.2">
      <c r="A403">
        <f t="shared" si="319"/>
        <v>945000</v>
      </c>
      <c r="B403">
        <f t="shared" si="351"/>
        <v>945</v>
      </c>
      <c r="C403">
        <f t="shared" si="320"/>
        <v>1.0070263579073908</v>
      </c>
      <c r="D403">
        <f t="shared" si="321"/>
        <v>0.11819866042765252</v>
      </c>
      <c r="F403">
        <f t="shared" si="322"/>
        <v>2.5315767548875846E-4</v>
      </c>
      <c r="G403">
        <f t="shared" si="323"/>
        <v>5.4719799703357259E-3</v>
      </c>
      <c r="H403">
        <f t="shared" si="324"/>
        <v>-3.1361206700296647</v>
      </c>
      <c r="J403">
        <f t="shared" si="325"/>
        <v>15</v>
      </c>
      <c r="M403">
        <f t="shared" si="326"/>
        <v>1.920544553147104E-3</v>
      </c>
      <c r="N403">
        <f t="shared" si="327"/>
        <v>-1.5707963250000001</v>
      </c>
      <c r="O403">
        <f t="shared" si="328"/>
        <v>112.7774623878246</v>
      </c>
      <c r="P403">
        <f t="shared" si="329"/>
        <v>1.5619291907262409</v>
      </c>
      <c r="Q403">
        <f t="shared" si="330"/>
        <v>73.612020135768404</v>
      </c>
      <c r="R403">
        <f t="shared" si="331"/>
        <v>1.5572111710251266</v>
      </c>
      <c r="S403">
        <f t="shared" si="332"/>
        <v>0.99271567096298929</v>
      </c>
      <c r="T403">
        <f t="shared" si="333"/>
        <v>-0.12077408522354977</v>
      </c>
      <c r="U403">
        <f t="shared" si="334"/>
        <v>0.45956000371208949</v>
      </c>
      <c r="V403">
        <f t="shared" si="335"/>
        <v>-1.0932966012688838</v>
      </c>
      <c r="X403">
        <f t="shared" si="352"/>
        <v>-31.114285215506406</v>
      </c>
      <c r="Y403">
        <f t="shared" si="336"/>
        <v>-153.76174205199834</v>
      </c>
      <c r="Z403">
        <f t="shared" si="353"/>
        <v>26.23825794800166</v>
      </c>
      <c r="AC403">
        <v>1</v>
      </c>
      <c r="AD403">
        <f t="shared" si="337"/>
        <v>112.7730287907405</v>
      </c>
      <c r="AE403">
        <f t="shared" si="338"/>
        <v>-4.5532954748556238E-2</v>
      </c>
      <c r="AF403">
        <f t="shared" si="339"/>
        <v>2.3560436910528004E-2</v>
      </c>
      <c r="AG403">
        <f t="shared" si="315"/>
        <v>993.57189193487977</v>
      </c>
      <c r="AH403">
        <f t="shared" si="316"/>
        <v>-1962.6233660482662</v>
      </c>
      <c r="AJ403">
        <f t="shared" si="340"/>
        <v>22100</v>
      </c>
      <c r="AK403">
        <f t="shared" si="341"/>
        <v>2682.1609886520541</v>
      </c>
      <c r="AL403">
        <v>1</v>
      </c>
      <c r="AM403">
        <f t="shared" si="342"/>
        <v>73.605227453413747</v>
      </c>
      <c r="AN403">
        <f t="shared" si="317"/>
        <v>40.511538598360474</v>
      </c>
      <c r="AO403">
        <f t="shared" si="318"/>
        <v>-299.70002436801838</v>
      </c>
      <c r="AQ403">
        <f t="shared" si="343"/>
        <v>2.7994729152395186E-3</v>
      </c>
      <c r="AR403">
        <f t="shared" si="344"/>
        <v>-5.2910038098026906</v>
      </c>
      <c r="AT403">
        <f t="shared" si="313"/>
        <v>-10381.466229368343</v>
      </c>
      <c r="AU403">
        <f t="shared" si="314"/>
        <v>-5262.4869764963842</v>
      </c>
      <c r="AV403">
        <f t="shared" si="354"/>
        <v>-2.672430963652709</v>
      </c>
      <c r="AW403">
        <f t="shared" si="355"/>
        <v>-1270.5427940737261</v>
      </c>
      <c r="AX403">
        <f t="shared" si="356"/>
        <v>-2972.585566436715</v>
      </c>
      <c r="AY403">
        <f t="shared" si="364"/>
        <v>-1.9747150262177871</v>
      </c>
      <c r="BA403">
        <f t="shared" si="345"/>
        <v>3.6003928444703681</v>
      </c>
      <c r="BB403">
        <f t="shared" si="357"/>
        <v>11.126997797999174</v>
      </c>
      <c r="BC403">
        <f t="shared" si="358"/>
        <v>-0.697715937434922</v>
      </c>
      <c r="BD403">
        <f t="shared" si="346"/>
        <v>-219.97617855971427</v>
      </c>
      <c r="BF403">
        <f t="shared" si="347"/>
        <v>-37.222538276390026</v>
      </c>
      <c r="BG403">
        <f t="shared" si="348"/>
        <v>-212.89037280713274</v>
      </c>
      <c r="BH403">
        <f t="shared" si="359"/>
        <v>-32.890372807132735</v>
      </c>
      <c r="BI403">
        <f t="shared" si="360"/>
        <v>-32.890372807132735</v>
      </c>
      <c r="BJ403">
        <f t="shared" si="349"/>
        <v>0</v>
      </c>
      <c r="BK403">
        <f t="shared" si="361"/>
        <v>0</v>
      </c>
      <c r="BM403">
        <f t="shared" si="362"/>
        <v>-48.349536074389199</v>
      </c>
      <c r="BN403">
        <f t="shared" si="350"/>
        <v>-172.91419424741849</v>
      </c>
      <c r="BQ403" s="56">
        <f t="shared" si="363"/>
        <v>28.028958598284312</v>
      </c>
      <c r="BR403" s="59"/>
      <c r="BS403" s="59"/>
      <c r="BT403" s="59">
        <v>851138.03799999994</v>
      </c>
      <c r="BU403" s="59">
        <v>7.3125499999999999</v>
      </c>
      <c r="BV403" s="59">
        <v>103.205</v>
      </c>
      <c r="BY403" s="59"/>
      <c r="BZ403" s="59"/>
      <c r="CA403" s="59"/>
      <c r="CC403" s="59"/>
    </row>
    <row r="404" spans="1:81" x14ac:dyDescent="0.2">
      <c r="A404">
        <f t="shared" si="319"/>
        <v>950000</v>
      </c>
      <c r="B404">
        <f t="shared" si="351"/>
        <v>950</v>
      </c>
      <c r="C404">
        <f t="shared" si="320"/>
        <v>1.0071006447831334</v>
      </c>
      <c r="D404">
        <f t="shared" si="321"/>
        <v>0.11881819590877699</v>
      </c>
      <c r="F404">
        <f t="shared" si="322"/>
        <v>2.5049924163746877E-4</v>
      </c>
      <c r="G404">
        <f t="shared" si="323"/>
        <v>5.4431661250570898E-3</v>
      </c>
      <c r="H404">
        <f t="shared" si="324"/>
        <v>-3.1361494838749433</v>
      </c>
      <c r="J404">
        <f t="shared" si="325"/>
        <v>15</v>
      </c>
      <c r="M404">
        <f t="shared" si="326"/>
        <v>1.9104364239200141E-3</v>
      </c>
      <c r="N404">
        <f t="shared" si="327"/>
        <v>-1.5707963250000001</v>
      </c>
      <c r="O404">
        <f t="shared" si="328"/>
        <v>113.37412174602773</v>
      </c>
      <c r="P404">
        <f t="shared" si="329"/>
        <v>1.5619758574364853</v>
      </c>
      <c r="Q404">
        <f t="shared" si="330"/>
        <v>74.001430035983304</v>
      </c>
      <c r="R404">
        <f t="shared" si="331"/>
        <v>1.557282663117318</v>
      </c>
      <c r="S404">
        <f t="shared" si="332"/>
        <v>0.99263923544487398</v>
      </c>
      <c r="T404">
        <f t="shared" si="333"/>
        <v>-0.1214068570110116</v>
      </c>
      <c r="U404">
        <f t="shared" si="334"/>
        <v>0.45764891152079468</v>
      </c>
      <c r="V404">
        <f t="shared" si="335"/>
        <v>-1.0954471816642699</v>
      </c>
      <c r="X404">
        <f t="shared" si="352"/>
        <v>-31.196378852811858</v>
      </c>
      <c r="Y404">
        <f t="shared" si="336"/>
        <v>-153.88060052781702</v>
      </c>
      <c r="Z404">
        <f t="shared" si="353"/>
        <v>26.119399472182977</v>
      </c>
      <c r="AC404">
        <v>1</v>
      </c>
      <c r="AD404">
        <f t="shared" si="337"/>
        <v>113.36971148275501</v>
      </c>
      <c r="AE404">
        <f t="shared" si="338"/>
        <v>-4.6016059640628208E-2</v>
      </c>
      <c r="AF404">
        <f t="shared" si="339"/>
        <v>2.3685095306880004E-2</v>
      </c>
      <c r="AG404">
        <f t="shared" si="315"/>
        <v>985.32548515977874</v>
      </c>
      <c r="AH404">
        <f t="shared" si="316"/>
        <v>-1956.538307746742</v>
      </c>
      <c r="AJ404">
        <f t="shared" si="340"/>
        <v>22100</v>
      </c>
      <c r="AK404">
        <f t="shared" si="341"/>
        <v>2696.3523166343402</v>
      </c>
      <c r="AL404">
        <v>1</v>
      </c>
      <c r="AM404">
        <f t="shared" si="342"/>
        <v>73.994673101315399</v>
      </c>
      <c r="AN404">
        <f t="shared" si="317"/>
        <v>40.46879896282752</v>
      </c>
      <c r="AO404">
        <f t="shared" si="318"/>
        <v>-298.12323342293433</v>
      </c>
      <c r="AQ404">
        <f t="shared" si="343"/>
        <v>2.770082335157248E-3</v>
      </c>
      <c r="AR404">
        <f t="shared" si="344"/>
        <v>-5.2631564367987709</v>
      </c>
      <c r="AT404">
        <f t="shared" si="313"/>
        <v>-10294.837755539818</v>
      </c>
      <c r="AU404">
        <f t="shared" si="314"/>
        <v>-5191.3419417649084</v>
      </c>
      <c r="AV404">
        <f t="shared" si="354"/>
        <v>-2.6745376620767018</v>
      </c>
      <c r="AW404">
        <f t="shared" si="355"/>
        <v>-1256.2407946152412</v>
      </c>
      <c r="AX404">
        <f t="shared" si="356"/>
        <v>-2957.8424382449352</v>
      </c>
      <c r="AY404">
        <f t="shared" si="364"/>
        <v>-1.9724257648467627</v>
      </c>
      <c r="BA404">
        <f t="shared" si="345"/>
        <v>3.587823373072462</v>
      </c>
      <c r="BB404">
        <f t="shared" si="357"/>
        <v>11.096621095534138</v>
      </c>
      <c r="BC404">
        <f t="shared" si="358"/>
        <v>-0.70211189722993916</v>
      </c>
      <c r="BD404">
        <f t="shared" si="346"/>
        <v>-220.22804850316575</v>
      </c>
      <c r="BF404">
        <f t="shared" si="347"/>
        <v>-37.343967934564979</v>
      </c>
      <c r="BG404">
        <f t="shared" si="348"/>
        <v>-213.10839689394453</v>
      </c>
      <c r="BH404">
        <f t="shared" si="359"/>
        <v>-33.10839689394453</v>
      </c>
      <c r="BI404">
        <f t="shared" si="360"/>
        <v>-33.10839689394453</v>
      </c>
      <c r="BJ404">
        <f t="shared" si="349"/>
        <v>0</v>
      </c>
      <c r="BK404">
        <f t="shared" si="361"/>
        <v>0</v>
      </c>
      <c r="BM404">
        <f t="shared" si="362"/>
        <v>-48.440589030099126</v>
      </c>
      <c r="BN404">
        <f t="shared" si="350"/>
        <v>-172.88034839077875</v>
      </c>
      <c r="BQ404" s="56">
        <f t="shared" si="363"/>
        <v>27.998581895819274</v>
      </c>
      <c r="BR404" s="59"/>
      <c r="BS404" s="59"/>
      <c r="BT404" s="59">
        <v>870963.59</v>
      </c>
      <c r="BU404" s="59">
        <v>7.1463099999999997</v>
      </c>
      <c r="BV404" s="59">
        <v>103.91</v>
      </c>
      <c r="BY404" s="59"/>
      <c r="BZ404" s="59"/>
      <c r="CA404" s="59"/>
      <c r="CC404" s="59"/>
    </row>
    <row r="405" spans="1:81" x14ac:dyDescent="0.2">
      <c r="A405">
        <f t="shared" si="319"/>
        <v>955000</v>
      </c>
      <c r="B405">
        <f t="shared" si="351"/>
        <v>955</v>
      </c>
      <c r="C405">
        <f t="shared" si="320"/>
        <v>1.0071753181513794</v>
      </c>
      <c r="D405">
        <f t="shared" si="321"/>
        <v>0.11943763976119834</v>
      </c>
      <c r="F405">
        <f t="shared" si="322"/>
        <v>2.4788246692396292E-4</v>
      </c>
      <c r="G405">
        <f t="shared" si="323"/>
        <v>5.4146542129049988E-3</v>
      </c>
      <c r="H405">
        <f t="shared" si="324"/>
        <v>-3.136177995787095</v>
      </c>
      <c r="J405">
        <f t="shared" si="325"/>
        <v>15</v>
      </c>
      <c r="M405">
        <f t="shared" si="326"/>
        <v>1.9004341389780243E-3</v>
      </c>
      <c r="N405">
        <f t="shared" si="327"/>
        <v>-1.5707963250000001</v>
      </c>
      <c r="O405">
        <f t="shared" si="328"/>
        <v>113.97078134854978</v>
      </c>
      <c r="P405">
        <f t="shared" si="329"/>
        <v>1.5620220355278962</v>
      </c>
      <c r="Q405">
        <f t="shared" si="330"/>
        <v>74.390840310468505</v>
      </c>
      <c r="R405">
        <f t="shared" si="331"/>
        <v>1.557353406737203</v>
      </c>
      <c r="S405">
        <f t="shared" si="332"/>
        <v>0.99256241436612613</v>
      </c>
      <c r="T405">
        <f t="shared" si="333"/>
        <v>-0.12203953111041783</v>
      </c>
      <c r="U405">
        <f t="shared" si="334"/>
        <v>0.45575156642956827</v>
      </c>
      <c r="V405">
        <f t="shared" si="335"/>
        <v>-1.0975799398754778</v>
      </c>
      <c r="X405">
        <f t="shared" si="352"/>
        <v>-31.278120955453804</v>
      </c>
      <c r="Y405">
        <f t="shared" si="336"/>
        <v>-153.99849110113138</v>
      </c>
      <c r="Z405">
        <f t="shared" si="353"/>
        <v>26.001508898868622</v>
      </c>
      <c r="AC405">
        <v>1</v>
      </c>
      <c r="AD405">
        <f t="shared" si="337"/>
        <v>113.9663941747695</v>
      </c>
      <c r="AE405">
        <f t="shared" si="338"/>
        <v>-4.6501713898885258E-2</v>
      </c>
      <c r="AF405">
        <f t="shared" si="339"/>
        <v>2.3809753703232003E-2</v>
      </c>
      <c r="AG405">
        <f t="shared" si="315"/>
        <v>977.17239188504288</v>
      </c>
      <c r="AH405">
        <f t="shared" si="316"/>
        <v>-1950.4691890627882</v>
      </c>
      <c r="AJ405">
        <f t="shared" si="340"/>
        <v>22100</v>
      </c>
      <c r="AK405">
        <f t="shared" si="341"/>
        <v>2710.5436446166264</v>
      </c>
      <c r="AL405">
        <v>1</v>
      </c>
      <c r="AM405">
        <f t="shared" si="342"/>
        <v>74.384118749217066</v>
      </c>
      <c r="AN405">
        <f t="shared" si="317"/>
        <v>40.426728709844113</v>
      </c>
      <c r="AO405">
        <f t="shared" si="318"/>
        <v>-296.56294437880058</v>
      </c>
      <c r="AQ405">
        <f t="shared" si="343"/>
        <v>2.7411521775301726E-3</v>
      </c>
      <c r="AR405">
        <f t="shared" si="344"/>
        <v>-5.2356006590826292</v>
      </c>
      <c r="AT405">
        <f t="shared" si="313"/>
        <v>-10209.199193547658</v>
      </c>
      <c r="AU405">
        <f t="shared" si="314"/>
        <v>-5121.4309518554846</v>
      </c>
      <c r="AV405">
        <f t="shared" si="354"/>
        <v>-2.6766269977757888</v>
      </c>
      <c r="AW405">
        <f t="shared" si="355"/>
        <v>-1242.1723631607165</v>
      </c>
      <c r="AX405">
        <f t="shared" si="356"/>
        <v>-2943.2445367327127</v>
      </c>
      <c r="AY405">
        <f t="shared" si="364"/>
        <v>-1.9701587270931336</v>
      </c>
      <c r="BA405">
        <f t="shared" si="345"/>
        <v>3.5752991047304494</v>
      </c>
      <c r="BB405">
        <f t="shared" si="357"/>
        <v>11.066247603022735</v>
      </c>
      <c r="BC405">
        <f t="shared" si="358"/>
        <v>-0.70646827068265527</v>
      </c>
      <c r="BD405">
        <f t="shared" si="346"/>
        <v>-220.47765031627443</v>
      </c>
      <c r="BF405">
        <f t="shared" si="347"/>
        <v>-37.464909535885134</v>
      </c>
      <c r="BG405">
        <f t="shared" si="348"/>
        <v>-213.32414080085758</v>
      </c>
      <c r="BH405">
        <f t="shared" si="359"/>
        <v>-33.324140800857577</v>
      </c>
      <c r="BI405">
        <f t="shared" si="360"/>
        <v>-33.324140800857577</v>
      </c>
      <c r="BJ405">
        <f t="shared" si="349"/>
        <v>0</v>
      </c>
      <c r="BK405">
        <f t="shared" si="361"/>
        <v>0</v>
      </c>
      <c r="BM405">
        <f t="shared" si="362"/>
        <v>-48.531157138907872</v>
      </c>
      <c r="BN405">
        <f t="shared" si="350"/>
        <v>-172.84649048458314</v>
      </c>
      <c r="BQ405" s="56">
        <f t="shared" si="363"/>
        <v>27.96820840330787</v>
      </c>
      <c r="BR405" s="59"/>
      <c r="BS405" s="59"/>
      <c r="BT405" s="59">
        <v>891250.93799999997</v>
      </c>
      <c r="BU405" s="59">
        <v>6.8612700000000002</v>
      </c>
      <c r="BV405" s="59">
        <v>102.337</v>
      </c>
      <c r="BY405" s="59"/>
      <c r="BZ405" s="59"/>
      <c r="CA405" s="59"/>
      <c r="CC405" s="59"/>
    </row>
    <row r="406" spans="1:81" x14ac:dyDescent="0.2">
      <c r="A406">
        <f t="shared" si="319"/>
        <v>960000</v>
      </c>
      <c r="B406">
        <f t="shared" si="351"/>
        <v>960</v>
      </c>
      <c r="C406">
        <f t="shared" si="320"/>
        <v>1.0072503779261694</v>
      </c>
      <c r="D406">
        <f t="shared" si="321"/>
        <v>0.12005699152997409</v>
      </c>
      <c r="F406">
        <f t="shared" si="322"/>
        <v>2.4530648537761222E-4</v>
      </c>
      <c r="G406">
        <f t="shared" si="323"/>
        <v>5.3864395116773843E-3</v>
      </c>
      <c r="H406">
        <f t="shared" si="324"/>
        <v>-3.1362062104883228</v>
      </c>
      <c r="J406">
        <f t="shared" si="325"/>
        <v>15</v>
      </c>
      <c r="M406">
        <f t="shared" si="326"/>
        <v>1.8905360445041807E-3</v>
      </c>
      <c r="N406">
        <f t="shared" si="327"/>
        <v>-1.5707963250000001</v>
      </c>
      <c r="O406">
        <f t="shared" si="328"/>
        <v>114.56744119157356</v>
      </c>
      <c r="P406">
        <f t="shared" si="329"/>
        <v>1.5620677326343617</v>
      </c>
      <c r="Q406">
        <f t="shared" si="330"/>
        <v>74.780250953377134</v>
      </c>
      <c r="R406">
        <f t="shared" si="331"/>
        <v>1.5574234135768508</v>
      </c>
      <c r="S406">
        <f t="shared" si="332"/>
        <v>0.9924852080007317</v>
      </c>
      <c r="T406">
        <f t="shared" si="333"/>
        <v>-0.12267210703801699</v>
      </c>
      <c r="U406">
        <f t="shared" si="334"/>
        <v>0.45386784962835375</v>
      </c>
      <c r="V406">
        <f t="shared" si="335"/>
        <v>-1.0996950773676779</v>
      </c>
      <c r="X406">
        <f t="shared" si="352"/>
        <v>-31.359514307984032</v>
      </c>
      <c r="Y406">
        <f t="shared" si="336"/>
        <v>-154.11542447666139</v>
      </c>
      <c r="Z406">
        <f t="shared" si="353"/>
        <v>25.884575523338611</v>
      </c>
      <c r="AC406">
        <v>1</v>
      </c>
      <c r="AD406">
        <f t="shared" si="337"/>
        <v>114.56307686678402</v>
      </c>
      <c r="AE406">
        <f t="shared" si="338"/>
        <v>-4.6989917523327374E-2</v>
      </c>
      <c r="AF406">
        <f t="shared" si="339"/>
        <v>2.3934412099584003E-2</v>
      </c>
      <c r="AG406">
        <f t="shared" si="315"/>
        <v>969.11136849050376</v>
      </c>
      <c r="AH406">
        <f t="shared" si="316"/>
        <v>-1944.4163943803978</v>
      </c>
      <c r="AJ406">
        <f t="shared" si="340"/>
        <v>22100</v>
      </c>
      <c r="AK406">
        <f t="shared" si="341"/>
        <v>2724.7349725989125</v>
      </c>
      <c r="AL406">
        <v>1</v>
      </c>
      <c r="AM406">
        <f t="shared" si="342"/>
        <v>74.773564397118719</v>
      </c>
      <c r="AN406">
        <f t="shared" si="317"/>
        <v>40.385313934487911</v>
      </c>
      <c r="AO406">
        <f t="shared" si="318"/>
        <v>-295.01889957937522</v>
      </c>
      <c r="AQ406">
        <f t="shared" si="343"/>
        <v>2.7126728752514986E-3</v>
      </c>
      <c r="AR406">
        <f t="shared" si="344"/>
        <v>-5.2083319204828777</v>
      </c>
      <c r="AT406">
        <f t="shared" ref="AT406:AT469" si="365">-AR406*AH406+AG406*AQ406</f>
        <v>-10124.537091439248</v>
      </c>
      <c r="AU406">
        <f t="shared" ref="AU406:AU469" si="366">AQ406*AH406+AG406*AR406</f>
        <v>-5052.7282406231652</v>
      </c>
      <c r="AV406">
        <f t="shared" si="354"/>
        <v>-2.6786991650368712</v>
      </c>
      <c r="AW406">
        <f t="shared" si="355"/>
        <v>-1228.332462325224</v>
      </c>
      <c r="AX406">
        <f t="shared" si="356"/>
        <v>-2928.7896873124214</v>
      </c>
      <c r="AY406">
        <f t="shared" si="364"/>
        <v>-1.9679136173426082</v>
      </c>
      <c r="BA406">
        <f t="shared" si="345"/>
        <v>3.5628207579002553</v>
      </c>
      <c r="BB406">
        <f t="shared" si="357"/>
        <v>11.035879479223871</v>
      </c>
      <c r="BC406">
        <f t="shared" si="358"/>
        <v>-0.71078554769426305</v>
      </c>
      <c r="BD406">
        <f t="shared" si="346"/>
        <v>-220.72501206831106</v>
      </c>
      <c r="BF406">
        <f t="shared" si="347"/>
        <v>-37.585365955992053</v>
      </c>
      <c r="BG406">
        <f t="shared" si="348"/>
        <v>-213.53763289377125</v>
      </c>
      <c r="BH406">
        <f t="shared" si="359"/>
        <v>-33.537632893771246</v>
      </c>
      <c r="BI406">
        <f t="shared" si="360"/>
        <v>-33.537632893771246</v>
      </c>
      <c r="BJ406">
        <f t="shared" si="349"/>
        <v>0</v>
      </c>
      <c r="BK406">
        <f t="shared" si="361"/>
        <v>0</v>
      </c>
      <c r="BM406">
        <f t="shared" si="362"/>
        <v>-48.621245435215926</v>
      </c>
      <c r="BN406">
        <f t="shared" si="350"/>
        <v>-172.81262082546021</v>
      </c>
      <c r="BQ406" s="56">
        <f t="shared" si="363"/>
        <v>27.937840279509008</v>
      </c>
      <c r="BR406" s="59"/>
      <c r="BS406" s="59"/>
      <c r="BT406" s="59">
        <v>912010.83900000004</v>
      </c>
      <c r="BU406" s="59">
        <v>6.4708399999999999</v>
      </c>
      <c r="BV406" s="59">
        <v>100.33499999999999</v>
      </c>
      <c r="BY406" s="59"/>
      <c r="BZ406" s="59"/>
      <c r="CA406" s="59"/>
      <c r="CC406" s="59"/>
    </row>
    <row r="407" spans="1:81" x14ac:dyDescent="0.2">
      <c r="A407">
        <f t="shared" si="319"/>
        <v>965000</v>
      </c>
      <c r="B407">
        <f t="shared" si="351"/>
        <v>965</v>
      </c>
      <c r="C407">
        <f t="shared" si="320"/>
        <v>1.007325824021126</v>
      </c>
      <c r="D407">
        <f t="shared" si="321"/>
        <v>0.12067625076057964</v>
      </c>
      <c r="F407">
        <f t="shared" si="322"/>
        <v>2.4277045341432937E-4</v>
      </c>
      <c r="G407">
        <f t="shared" si="323"/>
        <v>5.3585173971573098E-3</v>
      </c>
      <c r="H407">
        <f t="shared" si="324"/>
        <v>-3.1362341326028429</v>
      </c>
      <c r="J407">
        <f t="shared" si="325"/>
        <v>15</v>
      </c>
      <c r="M407">
        <f t="shared" si="326"/>
        <v>1.880740520957527E-3</v>
      </c>
      <c r="N407">
        <f t="shared" si="327"/>
        <v>-1.5707963250000001</v>
      </c>
      <c r="O407">
        <f t="shared" si="328"/>
        <v>115.16410127136098</v>
      </c>
      <c r="P407">
        <f t="shared" si="329"/>
        <v>1.5621129562315736</v>
      </c>
      <c r="Q407">
        <f t="shared" si="330"/>
        <v>75.169661958983397</v>
      </c>
      <c r="R407">
        <f t="shared" si="331"/>
        <v>1.5574926950860803</v>
      </c>
      <c r="S407">
        <f t="shared" si="332"/>
        <v>0.99240761662393584</v>
      </c>
      <c r="T407">
        <f t="shared" si="333"/>
        <v>-0.12330458431052203</v>
      </c>
      <c r="U407">
        <f t="shared" si="334"/>
        <v>0.4519976430818522</v>
      </c>
      <c r="V407">
        <f t="shared" si="335"/>
        <v>-1.1017927929214903</v>
      </c>
      <c r="X407">
        <f t="shared" si="352"/>
        <v>-31.44056166328906</v>
      </c>
      <c r="Y407">
        <f t="shared" si="336"/>
        <v>-154.23141122264587</v>
      </c>
      <c r="Z407">
        <f t="shared" si="353"/>
        <v>25.768588777354125</v>
      </c>
      <c r="AC407">
        <v>1</v>
      </c>
      <c r="AD407">
        <f t="shared" si="337"/>
        <v>115.1597595587985</v>
      </c>
      <c r="AE407">
        <f t="shared" si="338"/>
        <v>-4.7480670513954576E-2</v>
      </c>
      <c r="AF407">
        <f t="shared" si="339"/>
        <v>2.4059070495936006E-2</v>
      </c>
      <c r="AG407">
        <f t="shared" si="315"/>
        <v>961.14118834728492</v>
      </c>
      <c r="AH407">
        <f t="shared" si="316"/>
        <v>-1938.3802915073447</v>
      </c>
      <c r="AJ407">
        <f t="shared" si="340"/>
        <v>22100</v>
      </c>
      <c r="AK407">
        <f t="shared" si="341"/>
        <v>2738.9263005811986</v>
      </c>
      <c r="AL407">
        <v>1</v>
      </c>
      <c r="AM407">
        <f t="shared" si="342"/>
        <v>75.163010045020386</v>
      </c>
      <c r="AN407">
        <f t="shared" si="317"/>
        <v>40.344541091003883</v>
      </c>
      <c r="AO407">
        <f t="shared" si="318"/>
        <v>-293.49084670366346</v>
      </c>
      <c r="AQ407">
        <f t="shared" si="343"/>
        <v>2.6846351084230157E-3</v>
      </c>
      <c r="AR407">
        <f t="shared" si="344"/>
        <v>-5.1813457592564207</v>
      </c>
      <c r="AT407">
        <f t="shared" si="365"/>
        <v>-10040.838189849417</v>
      </c>
      <c r="AU407">
        <f t="shared" si="366"/>
        <v>-4985.2086640739371</v>
      </c>
      <c r="AV407">
        <f t="shared" si="354"/>
        <v>-2.6807543556110507</v>
      </c>
      <c r="AW407">
        <f t="shared" si="355"/>
        <v>-1214.7161888808989</v>
      </c>
      <c r="AX407">
        <f t="shared" si="356"/>
        <v>-2914.4757600835451</v>
      </c>
      <c r="AY407">
        <f t="shared" si="364"/>
        <v>-1.9656901442886299</v>
      </c>
      <c r="BA407">
        <f t="shared" si="345"/>
        <v>3.5503890105929554</v>
      </c>
      <c r="BB407">
        <f t="shared" si="357"/>
        <v>11.005518812640226</v>
      </c>
      <c r="BC407">
        <f t="shared" si="358"/>
        <v>-0.71506421132242082</v>
      </c>
      <c r="BD407">
        <f t="shared" si="346"/>
        <v>-220.97016143644078</v>
      </c>
      <c r="BF407">
        <f t="shared" si="347"/>
        <v>-37.705340062281806</v>
      </c>
      <c r="BG407">
        <f t="shared" si="348"/>
        <v>-213.74890114084113</v>
      </c>
      <c r="BH407">
        <f t="shared" si="359"/>
        <v>-33.748901140841127</v>
      </c>
      <c r="BI407">
        <f t="shared" si="360"/>
        <v>-33.748901140841127</v>
      </c>
      <c r="BJ407">
        <f t="shared" si="349"/>
        <v>0</v>
      </c>
      <c r="BK407">
        <f t="shared" si="361"/>
        <v>0</v>
      </c>
      <c r="BM407">
        <f t="shared" si="362"/>
        <v>-48.710858874922032</v>
      </c>
      <c r="BN407">
        <f t="shared" si="350"/>
        <v>-172.77873970440038</v>
      </c>
      <c r="BQ407" s="56">
        <f t="shared" si="363"/>
        <v>27.907479612925357</v>
      </c>
      <c r="BR407" s="59"/>
      <c r="BS407" s="59"/>
      <c r="BT407" s="59">
        <v>933254.30099999998</v>
      </c>
      <c r="BU407" s="59">
        <v>6.2453099999999999</v>
      </c>
      <c r="BV407" s="59">
        <v>100.20399999999999</v>
      </c>
      <c r="BY407" s="59"/>
      <c r="BZ407" s="59"/>
      <c r="CA407" s="59"/>
      <c r="CC407" s="59"/>
    </row>
    <row r="408" spans="1:81" x14ac:dyDescent="0.2">
      <c r="A408">
        <f t="shared" si="319"/>
        <v>970000</v>
      </c>
      <c r="B408">
        <f t="shared" si="351"/>
        <v>970</v>
      </c>
      <c r="C408">
        <f t="shared" si="320"/>
        <v>1.0074016563494523</v>
      </c>
      <c r="D408">
        <f t="shared" si="321"/>
        <v>0.12129541699891008</v>
      </c>
      <c r="F408">
        <f t="shared" si="322"/>
        <v>2.4027354914562223E-4</v>
      </c>
      <c r="G408">
        <f t="shared" si="323"/>
        <v>5.3308833405840113E-3</v>
      </c>
      <c r="H408">
        <f t="shared" si="324"/>
        <v>-3.1362617666594161</v>
      </c>
      <c r="J408">
        <f t="shared" si="325"/>
        <v>15</v>
      </c>
      <c r="M408">
        <f t="shared" si="326"/>
        <v>1.8710459821897044E-3</v>
      </c>
      <c r="N408">
        <f t="shared" si="327"/>
        <v>-1.5707963250000001</v>
      </c>
      <c r="O408">
        <f t="shared" si="328"/>
        <v>115.76076158425104</v>
      </c>
      <c r="P408">
        <f t="shared" si="329"/>
        <v>1.5621577136411064</v>
      </c>
      <c r="Q408">
        <f t="shared" si="330"/>
        <v>75.559073321679577</v>
      </c>
      <c r="R408">
        <f t="shared" si="331"/>
        <v>1.5575612624787014</v>
      </c>
      <c r="S408">
        <f t="shared" si="332"/>
        <v>0.99232964051224137</v>
      </c>
      <c r="T408">
        <f t="shared" si="333"/>
        <v>-0.12393696244511233</v>
      </c>
      <c r="U408">
        <f t="shared" si="334"/>
        <v>0.45014082954126744</v>
      </c>
      <c r="V408">
        <f t="shared" si="335"/>
        <v>-1.1038732826697308</v>
      </c>
      <c r="X408">
        <f t="shared" si="352"/>
        <v>-31.521265743086314</v>
      </c>
      <c r="Y408">
        <f t="shared" si="336"/>
        <v>-154.34646177250173</v>
      </c>
      <c r="Z408">
        <f t="shared" si="353"/>
        <v>25.653538227498274</v>
      </c>
      <c r="AC408">
        <v>1</v>
      </c>
      <c r="AD408">
        <f t="shared" si="337"/>
        <v>115.75644225081301</v>
      </c>
      <c r="AE408">
        <f t="shared" si="338"/>
        <v>-4.7973972870766851E-2</v>
      </c>
      <c r="AF408">
        <f t="shared" si="339"/>
        <v>2.4183728892288002E-2</v>
      </c>
      <c r="AG408">
        <f t="shared" si="315"/>
        <v>953.26064164819149</v>
      </c>
      <c r="AH408">
        <f t="shared" si="316"/>
        <v>-1932.3612321879154</v>
      </c>
      <c r="AJ408">
        <f t="shared" si="340"/>
        <v>22100</v>
      </c>
      <c r="AK408">
        <f t="shared" si="341"/>
        <v>2753.1176285634842</v>
      </c>
      <c r="AL408">
        <v>1</v>
      </c>
      <c r="AM408">
        <f t="shared" si="342"/>
        <v>75.552455692922038</v>
      </c>
      <c r="AN408">
        <f t="shared" si="317"/>
        <v>40.304396981729283</v>
      </c>
      <c r="AO408">
        <f t="shared" si="318"/>
        <v>-291.97853862855823</v>
      </c>
      <c r="AQ408">
        <f t="shared" si="343"/>
        <v>2.6570297967292494E-3</v>
      </c>
      <c r="AR408">
        <f t="shared" si="344"/>
        <v>-5.1546378056547439</v>
      </c>
      <c r="AT408">
        <f t="shared" si="365"/>
        <v>-9958.0894196885056</v>
      </c>
      <c r="AU408">
        <f t="shared" si="366"/>
        <v>-4918.8476834544344</v>
      </c>
      <c r="AV408">
        <f t="shared" si="354"/>
        <v>-2.6827927587465452</v>
      </c>
      <c r="AW408">
        <f t="shared" si="355"/>
        <v>-1201.3187695256181</v>
      </c>
      <c r="AX408">
        <f t="shared" si="356"/>
        <v>-2900.3006686449676</v>
      </c>
      <c r="AY408">
        <f t="shared" si="364"/>
        <v>-1.9634880208826626</v>
      </c>
      <c r="BA408">
        <f t="shared" si="345"/>
        <v>3.5380045018370603</v>
      </c>
      <c r="BB408">
        <f t="shared" si="357"/>
        <v>10.975167623603818</v>
      </c>
      <c r="BC408">
        <f t="shared" si="358"/>
        <v>-0.7193047378638826</v>
      </c>
      <c r="BD408">
        <f t="shared" si="346"/>
        <v>-221.21312571045735</v>
      </c>
      <c r="BF408">
        <f t="shared" si="347"/>
        <v>-37.824834713444154</v>
      </c>
      <c r="BG408">
        <f t="shared" si="348"/>
        <v>-213.95797311735814</v>
      </c>
      <c r="BH408">
        <f t="shared" si="359"/>
        <v>-33.957973117358137</v>
      </c>
      <c r="BI408">
        <f t="shared" si="360"/>
        <v>-33.957973117358137</v>
      </c>
      <c r="BJ408">
        <f t="shared" si="349"/>
        <v>0</v>
      </c>
      <c r="BK408">
        <f t="shared" si="361"/>
        <v>0</v>
      </c>
      <c r="BM408">
        <f t="shared" si="362"/>
        <v>-48.800002337047978</v>
      </c>
      <c r="BN408">
        <f t="shared" si="350"/>
        <v>-172.74484740690079</v>
      </c>
      <c r="BQ408" s="56">
        <f t="shared" si="363"/>
        <v>27.877128423888955</v>
      </c>
      <c r="BR408" s="59"/>
      <c r="BS408" s="59"/>
      <c r="BT408" s="59">
        <v>954992.58600000001</v>
      </c>
      <c r="BU408" s="59">
        <v>6.1328699999999996</v>
      </c>
      <c r="BV408" s="59">
        <v>99.956599999999995</v>
      </c>
      <c r="BY408" s="59"/>
      <c r="BZ408" s="59"/>
      <c r="CA408" s="59"/>
      <c r="CC408" s="59"/>
    </row>
    <row r="409" spans="1:81" x14ac:dyDescent="0.2">
      <c r="A409">
        <f t="shared" si="319"/>
        <v>975000</v>
      </c>
      <c r="B409">
        <f t="shared" si="351"/>
        <v>975</v>
      </c>
      <c r="C409">
        <f t="shared" si="320"/>
        <v>1.0074778748239339</v>
      </c>
      <c r="D409">
        <f t="shared" si="321"/>
        <v>0.12191448979128204</v>
      </c>
      <c r="F409">
        <f t="shared" si="322"/>
        <v>2.3781497171240272E-4</v>
      </c>
      <c r="G409">
        <f t="shared" si="323"/>
        <v>5.3035329062019109E-3</v>
      </c>
      <c r="H409">
        <f t="shared" si="324"/>
        <v>-3.1362891170937983</v>
      </c>
      <c r="J409">
        <f t="shared" si="325"/>
        <v>15</v>
      </c>
      <c r="M409">
        <f t="shared" si="326"/>
        <v>1.8614508745887317E-3</v>
      </c>
      <c r="N409">
        <f t="shared" si="327"/>
        <v>-1.5707963250000001</v>
      </c>
      <c r="O409">
        <f t="shared" si="328"/>
        <v>116.3574221266578</v>
      </c>
      <c r="P409">
        <f t="shared" si="329"/>
        <v>1.5622020120343658</v>
      </c>
      <c r="Q409">
        <f t="shared" si="330"/>
        <v>75.948485035972908</v>
      </c>
      <c r="R409">
        <f t="shared" si="331"/>
        <v>1.557629126738564</v>
      </c>
      <c r="S409">
        <f t="shared" si="332"/>
        <v>0.99225127994340423</v>
      </c>
      <c r="T409">
        <f t="shared" si="333"/>
        <v>-0.12456924095943581</v>
      </c>
      <c r="U409">
        <f t="shared" si="334"/>
        <v>0.44829729255511619</v>
      </c>
      <c r="V409">
        <f t="shared" si="335"/>
        <v>-1.1059367401337878</v>
      </c>
      <c r="X409">
        <f t="shared" si="352"/>
        <v>-31.601629238409032</v>
      </c>
      <c r="Y409">
        <f t="shared" si="336"/>
        <v>-154.46058642647571</v>
      </c>
      <c r="Z409">
        <f t="shared" si="353"/>
        <v>25.539413573524286</v>
      </c>
      <c r="AC409">
        <v>1</v>
      </c>
      <c r="AD409">
        <f t="shared" si="337"/>
        <v>116.35312494282751</v>
      </c>
      <c r="AE409">
        <f t="shared" si="338"/>
        <v>-4.8469824593764206E-2</v>
      </c>
      <c r="AF409">
        <f t="shared" si="339"/>
        <v>2.4308387288640005E-2</v>
      </c>
      <c r="AG409">
        <f t="shared" si="315"/>
        <v>945.46853523570053</v>
      </c>
      <c r="AH409">
        <f t="shared" si="316"/>
        <v>-1926.3595526010483</v>
      </c>
      <c r="AJ409">
        <f t="shared" si="340"/>
        <v>22100</v>
      </c>
      <c r="AK409">
        <f t="shared" si="341"/>
        <v>2767.3089565457703</v>
      </c>
      <c r="AL409">
        <v>1</v>
      </c>
      <c r="AM409">
        <f t="shared" si="342"/>
        <v>75.941901340823705</v>
      </c>
      <c r="AN409">
        <f t="shared" si="317"/>
        <v>40.264868746415097</v>
      </c>
      <c r="AO409">
        <f t="shared" si="318"/>
        <v>-290.48173329570096</v>
      </c>
      <c r="AQ409">
        <f t="shared" si="343"/>
        <v>2.6298480920846569E-3</v>
      </c>
      <c r="AR409">
        <f t="shared" si="344"/>
        <v>-5.128203779565081</v>
      </c>
      <c r="AT409">
        <f t="shared" si="365"/>
        <v>-9876.2778998264803</v>
      </c>
      <c r="AU409">
        <f t="shared" si="366"/>
        <v>-4853.6213488496569</v>
      </c>
      <c r="AV409">
        <f t="shared" si="354"/>
        <v>-2.6848145612213492</v>
      </c>
      <c r="AW409">
        <f t="shared" si="355"/>
        <v>-1188.1355568053548</v>
      </c>
      <c r="AX409">
        <f t="shared" si="356"/>
        <v>-2886.2623689461916</v>
      </c>
      <c r="AY409">
        <f t="shared" si="364"/>
        <v>-1.9613069642839733</v>
      </c>
      <c r="BA409">
        <f t="shared" si="345"/>
        <v>3.5256678330933142</v>
      </c>
      <c r="BB409">
        <f t="shared" si="357"/>
        <v>10.944827866299544</v>
      </c>
      <c r="BC409">
        <f t="shared" si="358"/>
        <v>-0.72350759693737587</v>
      </c>
      <c r="BD409">
        <f t="shared" si="346"/>
        <v>-221.45393179753194</v>
      </c>
      <c r="BF409">
        <f t="shared" si="347"/>
        <v>-37.943852759022029</v>
      </c>
      <c r="BG409">
        <f t="shared" si="348"/>
        <v>-214.16487601063764</v>
      </c>
      <c r="BH409">
        <f t="shared" si="359"/>
        <v>-34.164876010637641</v>
      </c>
      <c r="BI409">
        <f t="shared" si="360"/>
        <v>-34.164876010637641</v>
      </c>
      <c r="BJ409">
        <f t="shared" si="349"/>
        <v>0</v>
      </c>
      <c r="BK409">
        <f t="shared" si="361"/>
        <v>0</v>
      </c>
      <c r="BM409">
        <f t="shared" si="362"/>
        <v>-48.888680625321577</v>
      </c>
      <c r="BN409">
        <f t="shared" si="350"/>
        <v>-172.71094421310571</v>
      </c>
      <c r="BQ409" s="56">
        <f t="shared" si="363"/>
        <v>27.846788666584679</v>
      </c>
      <c r="BR409" s="59"/>
      <c r="BS409" s="59"/>
      <c r="BT409" s="59">
        <v>977237.22100000002</v>
      </c>
      <c r="BU409" s="59">
        <v>5.7547600000000001</v>
      </c>
      <c r="BV409" s="59">
        <v>98.699600000000004</v>
      </c>
      <c r="BY409" s="59"/>
      <c r="BZ409" s="59"/>
      <c r="CA409" s="59"/>
      <c r="CC409" s="59"/>
    </row>
    <row r="410" spans="1:81" x14ac:dyDescent="0.2">
      <c r="A410">
        <f t="shared" si="319"/>
        <v>980000</v>
      </c>
      <c r="B410">
        <f t="shared" si="351"/>
        <v>980</v>
      </c>
      <c r="C410">
        <f t="shared" si="320"/>
        <v>1.0075544793569382</v>
      </c>
      <c r="D410">
        <f t="shared" si="321"/>
        <v>0.12253346868443567</v>
      </c>
      <c r="F410">
        <f t="shared" si="322"/>
        <v>2.3539394064254023E-4</v>
      </c>
      <c r="G410">
        <f t="shared" si="323"/>
        <v>5.2764617488847603E-3</v>
      </c>
      <c r="H410">
        <f t="shared" si="324"/>
        <v>-3.1363161882511155</v>
      </c>
      <c r="J410">
        <f t="shared" si="325"/>
        <v>15</v>
      </c>
      <c r="M410">
        <f t="shared" si="326"/>
        <v>1.8519536762489932E-3</v>
      </c>
      <c r="N410">
        <f t="shared" si="327"/>
        <v>-1.5707963250000001</v>
      </c>
      <c r="O410">
        <f t="shared" si="328"/>
        <v>116.95408289506851</v>
      </c>
      <c r="P410">
        <f t="shared" si="329"/>
        <v>1.5622458584364212</v>
      </c>
      <c r="Q410">
        <f t="shared" si="330"/>
        <v>76.337897096482777</v>
      </c>
      <c r="R410">
        <f t="shared" si="331"/>
        <v>1.5576962986254226</v>
      </c>
      <c r="S410">
        <f t="shared" si="332"/>
        <v>0.99217253519643245</v>
      </c>
      <c r="T410">
        <f t="shared" si="333"/>
        <v>-0.12520141937161089</v>
      </c>
      <c r="U410">
        <f t="shared" si="334"/>
        <v>0.44646691647914255</v>
      </c>
      <c r="V410">
        <f t="shared" si="335"/>
        <v>-1.1079833562596213</v>
      </c>
      <c r="X410">
        <f t="shared" si="352"/>
        <v>-31.681654810080353</v>
      </c>
      <c r="Y410">
        <f t="shared" si="336"/>
        <v>-154.57379535328752</v>
      </c>
      <c r="Z410">
        <f t="shared" si="353"/>
        <v>25.426204646712478</v>
      </c>
      <c r="AC410">
        <v>1</v>
      </c>
      <c r="AD410">
        <f t="shared" si="337"/>
        <v>116.94980763484199</v>
      </c>
      <c r="AE410">
        <f t="shared" si="338"/>
        <v>-4.8968225682946634E-2</v>
      </c>
      <c r="AF410">
        <f t="shared" si="339"/>
        <v>2.4433045684992005E-2</v>
      </c>
      <c r="AG410">
        <f t="shared" si="315"/>
        <v>937.76369242785086</v>
      </c>
      <c r="AH410">
        <f t="shared" si="316"/>
        <v>-1920.3755738442933</v>
      </c>
      <c r="AJ410">
        <f t="shared" si="340"/>
        <v>22100</v>
      </c>
      <c r="AK410">
        <f t="shared" si="341"/>
        <v>2781.5002845280565</v>
      </c>
      <c r="AL410">
        <v>1</v>
      </c>
      <c r="AM410">
        <f t="shared" si="342"/>
        <v>76.331346988725358</v>
      </c>
      <c r="AN410">
        <f t="shared" si="317"/>
        <v>40.225943851927624</v>
      </c>
      <c r="AO410">
        <f t="shared" si="318"/>
        <v>-289.00019358241434</v>
      </c>
      <c r="AQ410">
        <f t="shared" si="343"/>
        <v>2.6030813715427498E-3</v>
      </c>
      <c r="AR410">
        <f t="shared" si="344"/>
        <v>-5.1020394882237898</v>
      </c>
      <c r="AT410">
        <f t="shared" si="365"/>
        <v>-9795.3909347753361</v>
      </c>
      <c r="AU410">
        <f t="shared" si="366"/>
        <v>-4789.5062832720832</v>
      </c>
      <c r="AV410">
        <f t="shared" si="354"/>
        <v>-2.6868199473756307</v>
      </c>
      <c r="AW410">
        <f t="shared" si="355"/>
        <v>-1175.162025183934</v>
      </c>
      <c r="AX410">
        <f t="shared" si="356"/>
        <v>-2872.3588581760405</v>
      </c>
      <c r="AY410">
        <f t="shared" si="364"/>
        <v>-1.9591466958089914</v>
      </c>
      <c r="BA410">
        <f t="shared" si="345"/>
        <v>3.5133795696233707</v>
      </c>
      <c r="BB410">
        <f t="shared" si="357"/>
        <v>10.914501430728379</v>
      </c>
      <c r="BC410">
        <f t="shared" si="358"/>
        <v>-0.72767325156663931</v>
      </c>
      <c r="BD410">
        <f t="shared" si="346"/>
        <v>-221.69260622697061</v>
      </c>
      <c r="BF410">
        <f t="shared" si="347"/>
        <v>-38.062397038990696</v>
      </c>
      <c r="BG410">
        <f t="shared" si="348"/>
        <v>-214.36963662491297</v>
      </c>
      <c r="BH410">
        <f t="shared" si="359"/>
        <v>-34.369636624912971</v>
      </c>
      <c r="BI410">
        <f t="shared" si="360"/>
        <v>-34.369636624912971</v>
      </c>
      <c r="BJ410">
        <f t="shared" si="349"/>
        <v>0</v>
      </c>
      <c r="BK410">
        <f t="shared" si="361"/>
        <v>0</v>
      </c>
      <c r="BM410">
        <f t="shared" si="362"/>
        <v>-48.976898469719082</v>
      </c>
      <c r="BN410">
        <f t="shared" si="350"/>
        <v>-172.67703039794236</v>
      </c>
      <c r="BQ410" s="56">
        <f t="shared" si="363"/>
        <v>27.816462231013514</v>
      </c>
    </row>
    <row r="411" spans="1:81" x14ac:dyDescent="0.2">
      <c r="A411">
        <f t="shared" si="319"/>
        <v>985000</v>
      </c>
      <c r="B411">
        <f t="shared" si="351"/>
        <v>985</v>
      </c>
      <c r="C411">
        <f t="shared" si="320"/>
        <v>1.0076314698604154</v>
      </c>
      <c r="D411">
        <f t="shared" si="321"/>
        <v>0.12315235322553632</v>
      </c>
      <c r="F411">
        <f t="shared" si="322"/>
        <v>2.3300969523119957E-4</v>
      </c>
      <c r="G411">
        <f t="shared" si="323"/>
        <v>5.2496656118322695E-3</v>
      </c>
      <c r="H411">
        <f t="shared" si="324"/>
        <v>-3.1363429843881678</v>
      </c>
      <c r="J411">
        <f t="shared" si="325"/>
        <v>15</v>
      </c>
      <c r="M411">
        <f t="shared" si="326"/>
        <v>1.8425528961665111E-3</v>
      </c>
      <c r="N411">
        <f t="shared" si="327"/>
        <v>-1.5707963250000001</v>
      </c>
      <c r="O411">
        <f t="shared" si="328"/>
        <v>117.55074388604173</v>
      </c>
      <c r="P411">
        <f t="shared" si="329"/>
        <v>1.562289259729718</v>
      </c>
      <c r="Q411">
        <f t="shared" si="330"/>
        <v>76.727309497937725</v>
      </c>
      <c r="R411">
        <f t="shared" si="331"/>
        <v>1.5577627886806225</v>
      </c>
      <c r="S411">
        <f t="shared" si="332"/>
        <v>0.99209340655158285</v>
      </c>
      <c r="T411">
        <f t="shared" si="333"/>
        <v>-0.12583349720022871</v>
      </c>
      <c r="U411">
        <f t="shared" si="334"/>
        <v>0.44464958648537556</v>
      </c>
      <c r="V411">
        <f t="shared" si="335"/>
        <v>-1.1100133194533823</v>
      </c>
      <c r="X411">
        <f t="shared" si="352"/>
        <v>-31.761345089176913</v>
      </c>
      <c r="Y411">
        <f t="shared" si="336"/>
        <v>-154.68609859176436</v>
      </c>
      <c r="Z411">
        <f t="shared" si="353"/>
        <v>25.313901408235637</v>
      </c>
      <c r="AC411">
        <v>1</v>
      </c>
      <c r="AD411">
        <f t="shared" si="337"/>
        <v>117.5464903268565</v>
      </c>
      <c r="AE411">
        <f t="shared" si="338"/>
        <v>-4.9469176138314142E-2</v>
      </c>
      <c r="AF411">
        <f t="shared" si="339"/>
        <v>2.4557704081344004E-2</v>
      </c>
      <c r="AG411">
        <f t="shared" si="315"/>
        <v>930.14495284228917</v>
      </c>
      <c r="AH411">
        <f t="shared" si="316"/>
        <v>-1914.4096024039284</v>
      </c>
      <c r="AJ411">
        <f t="shared" si="340"/>
        <v>22100</v>
      </c>
      <c r="AK411">
        <f t="shared" si="341"/>
        <v>2795.6916125103421</v>
      </c>
      <c r="AL411">
        <v>1</v>
      </c>
      <c r="AM411">
        <f t="shared" si="342"/>
        <v>76.720792636627024</v>
      </c>
      <c r="AN411">
        <f t="shared" si="317"/>
        <v>40.187610082314897</v>
      </c>
      <c r="AO411">
        <f t="shared" si="318"/>
        <v>-287.53368717656053</v>
      </c>
      <c r="AQ411">
        <f t="shared" si="343"/>
        <v>2.5767212304565359E-3</v>
      </c>
      <c r="AR411">
        <f t="shared" si="344"/>
        <v>-5.0761408239993751</v>
      </c>
      <c r="AT411">
        <f t="shared" si="365"/>
        <v>-9715.4160123716028</v>
      </c>
      <c r="AU411">
        <f t="shared" si="366"/>
        <v>-4726.4796672260218</v>
      </c>
      <c r="AV411">
        <f t="shared" si="354"/>
        <v>-2.6888090991438585</v>
      </c>
      <c r="AW411">
        <f t="shared" si="355"/>
        <v>-1162.393767254147</v>
      </c>
      <c r="AX411">
        <f t="shared" si="356"/>
        <v>-2858.5881736873271</v>
      </c>
      <c r="AY411">
        <f t="shared" si="364"/>
        <v>-1.9570069408803259</v>
      </c>
      <c r="BA411">
        <f t="shared" si="345"/>
        <v>3.5011402418137112</v>
      </c>
      <c r="BB411">
        <f t="shared" si="357"/>
        <v>10.884190144612159</v>
      </c>
      <c r="BC411">
        <f t="shared" si="358"/>
        <v>-0.73180215826353257</v>
      </c>
      <c r="BD411">
        <f t="shared" si="346"/>
        <v>-221.92917515497621</v>
      </c>
      <c r="BF411">
        <f t="shared" si="347"/>
        <v>-38.180470383356166</v>
      </c>
      <c r="BG411">
        <f t="shared" si="348"/>
        <v>-214.57228138622918</v>
      </c>
      <c r="BH411">
        <f t="shared" si="359"/>
        <v>-34.572281386229179</v>
      </c>
      <c r="BI411">
        <f t="shared" si="360"/>
        <v>-34.572281386229179</v>
      </c>
      <c r="BJ411">
        <f t="shared" si="349"/>
        <v>0</v>
      </c>
      <c r="BK411">
        <f t="shared" si="361"/>
        <v>0</v>
      </c>
      <c r="BM411">
        <f t="shared" si="362"/>
        <v>-49.064660527968329</v>
      </c>
      <c r="BN411">
        <f t="shared" si="350"/>
        <v>-172.64310623125297</v>
      </c>
      <c r="BQ411" s="56">
        <f t="shared" si="363"/>
        <v>27.786150944897297</v>
      </c>
    </row>
    <row r="412" spans="1:81" x14ac:dyDescent="0.2">
      <c r="A412">
        <f t="shared" si="319"/>
        <v>990000</v>
      </c>
      <c r="B412">
        <f t="shared" si="351"/>
        <v>990</v>
      </c>
      <c r="C412">
        <f t="shared" si="320"/>
        <v>1.0077088462458996</v>
      </c>
      <c r="D412">
        <f t="shared" si="321"/>
        <v>0.12377114296217653</v>
      </c>
      <c r="F412">
        <f t="shared" si="322"/>
        <v>2.3066149394304308E-4</v>
      </c>
      <c r="G412">
        <f t="shared" si="323"/>
        <v>5.2231403243366446E-3</v>
      </c>
      <c r="H412">
        <f t="shared" si="324"/>
        <v>-3.1363695096756636</v>
      </c>
      <c r="J412">
        <f t="shared" si="325"/>
        <v>15</v>
      </c>
      <c r="M412">
        <f t="shared" si="326"/>
        <v>1.8332470734585995E-3</v>
      </c>
      <c r="N412">
        <f t="shared" si="327"/>
        <v>-1.5707963250000001</v>
      </c>
      <c r="O412">
        <f t="shared" si="328"/>
        <v>118.14740509620555</v>
      </c>
      <c r="P412">
        <f t="shared" si="329"/>
        <v>1.5623322226576795</v>
      </c>
      <c r="Q412">
        <f t="shared" si="330"/>
        <v>77.116722235172801</v>
      </c>
      <c r="R412">
        <f t="shared" si="331"/>
        <v>1.5578286072326122</v>
      </c>
      <c r="S412">
        <f t="shared" si="332"/>
        <v>0.99201389429035758</v>
      </c>
      <c r="T412">
        <f t="shared" si="333"/>
        <v>-0.12646547396435498</v>
      </c>
      <c r="U412">
        <f t="shared" si="334"/>
        <v>0.44284518857036892</v>
      </c>
      <c r="V412">
        <f t="shared" si="335"/>
        <v>-1.1120268156166482</v>
      </c>
      <c r="X412">
        <f t="shared" si="352"/>
        <v>-31.840702677482227</v>
      </c>
      <c r="Y412">
        <f t="shared" si="336"/>
        <v>-154.79750605246539</v>
      </c>
      <c r="Z412">
        <f t="shared" si="353"/>
        <v>25.202493947534606</v>
      </c>
      <c r="AC412">
        <v>1</v>
      </c>
      <c r="AD412">
        <f t="shared" si="337"/>
        <v>118.143173018871</v>
      </c>
      <c r="AE412">
        <f t="shared" si="338"/>
        <v>-4.9972675959866722E-2</v>
      </c>
      <c r="AF412">
        <f t="shared" si="339"/>
        <v>2.4682362477696007E-2</v>
      </c>
      <c r="AG412">
        <f t="shared" si="315"/>
        <v>922.61117221873337</v>
      </c>
      <c r="AH412">
        <f t="shared" si="316"/>
        <v>-1908.4619306116213</v>
      </c>
      <c r="AJ412">
        <f t="shared" si="340"/>
        <v>22100</v>
      </c>
      <c r="AK412">
        <f t="shared" si="341"/>
        <v>2809.8829404926282</v>
      </c>
      <c r="AL412">
        <v>1</v>
      </c>
      <c r="AM412">
        <f t="shared" si="342"/>
        <v>77.110238284528691</v>
      </c>
      <c r="AN412">
        <f t="shared" si="317"/>
        <v>40.149855529223359</v>
      </c>
      <c r="AO412">
        <f t="shared" si="318"/>
        <v>-286.08198645518701</v>
      </c>
      <c r="AQ412">
        <f t="shared" si="343"/>
        <v>2.5507594758801457E-3</v>
      </c>
      <c r="AR412">
        <f t="shared" si="344"/>
        <v>-5.0505037622426894</v>
      </c>
      <c r="AT412">
        <f t="shared" si="365"/>
        <v>-9636.3408014608485</v>
      </c>
      <c r="AU412">
        <f t="shared" si="366"/>
        <v>-4664.5192237317142</v>
      </c>
      <c r="AV412">
        <f t="shared" si="354"/>
        <v>-2.6907821960866536</v>
      </c>
      <c r="AW412">
        <f t="shared" si="355"/>
        <v>-1149.8264900844979</v>
      </c>
      <c r="AX412">
        <f t="shared" si="356"/>
        <v>-2844.9483919561608</v>
      </c>
      <c r="AY412">
        <f t="shared" si="364"/>
        <v>-1.9548874289755074</v>
      </c>
      <c r="BA412">
        <f t="shared" si="345"/>
        <v>3.4889503464560927</v>
      </c>
      <c r="BB412">
        <f t="shared" si="357"/>
        <v>10.853895775241536</v>
      </c>
      <c r="BC412">
        <f t="shared" si="358"/>
        <v>-0.73589476711114621</v>
      </c>
      <c r="BD412">
        <f t="shared" si="346"/>
        <v>-222.1636643694103</v>
      </c>
      <c r="BF412">
        <f t="shared" si="347"/>
        <v>-38.298075611772198</v>
      </c>
      <c r="BG412">
        <f t="shared" si="348"/>
        <v>-214.77283634733291</v>
      </c>
      <c r="BH412">
        <f t="shared" si="359"/>
        <v>-34.772836347332913</v>
      </c>
      <c r="BI412">
        <f t="shared" si="360"/>
        <v>-34.772836347332913</v>
      </c>
      <c r="BJ412">
        <f t="shared" si="349"/>
        <v>0</v>
      </c>
      <c r="BK412">
        <f t="shared" si="361"/>
        <v>0</v>
      </c>
      <c r="BM412">
        <f t="shared" si="362"/>
        <v>-49.151971387013738</v>
      </c>
      <c r="BN412">
        <f t="shared" si="350"/>
        <v>-172.60917197792261</v>
      </c>
      <c r="BQ412" s="56">
        <f t="shared" si="363"/>
        <v>27.755856575526675</v>
      </c>
    </row>
    <row r="413" spans="1:81" x14ac:dyDescent="0.2">
      <c r="A413">
        <f t="shared" si="319"/>
        <v>995000</v>
      </c>
      <c r="B413">
        <f t="shared" si="351"/>
        <v>995</v>
      </c>
      <c r="C413">
        <f t="shared" si="320"/>
        <v>1.0077866084245082</v>
      </c>
      <c r="D413">
        <f t="shared" si="321"/>
        <v>0.1243898374423779</v>
      </c>
      <c r="F413">
        <f t="shared" si="322"/>
        <v>2.2834861383541955E-4</v>
      </c>
      <c r="G413">
        <f t="shared" si="323"/>
        <v>5.1968817996165644E-3</v>
      </c>
      <c r="H413">
        <f t="shared" si="324"/>
        <v>-3.1363957682003836</v>
      </c>
      <c r="J413">
        <f t="shared" si="325"/>
        <v>15</v>
      </c>
      <c r="M413">
        <f t="shared" si="326"/>
        <v>1.8240347766070486E-3</v>
      </c>
      <c r="N413">
        <f t="shared" si="327"/>
        <v>-1.5707963250000001</v>
      </c>
      <c r="O413">
        <f t="shared" si="328"/>
        <v>118.74406652225581</v>
      </c>
      <c r="P413">
        <f t="shared" si="329"/>
        <v>1.562374753828198</v>
      </c>
      <c r="Q413">
        <f t="shared" si="330"/>
        <v>77.506135303126825</v>
      </c>
      <c r="R413">
        <f t="shared" si="331"/>
        <v>1.5578937644022917</v>
      </c>
      <c r="S413">
        <f t="shared" si="332"/>
        <v>0.99193399869550314</v>
      </c>
      <c r="T413">
        <f t="shared" si="333"/>
        <v>-0.12709734918353216</v>
      </c>
      <c r="U413">
        <f t="shared" si="334"/>
        <v>0.44105360956265771</v>
      </c>
      <c r="V413">
        <f t="shared" si="335"/>
        <v>-1.1140240281812706</v>
      </c>
      <c r="X413">
        <f t="shared" si="352"/>
        <v>-31.919730147930295</v>
      </c>
      <c r="Y413">
        <f t="shared" si="336"/>
        <v>-154.90802751929576</v>
      </c>
      <c r="Z413">
        <f t="shared" si="353"/>
        <v>25.091972480704243</v>
      </c>
      <c r="AC413">
        <v>1</v>
      </c>
      <c r="AD413">
        <f t="shared" si="337"/>
        <v>118.73985571088551</v>
      </c>
      <c r="AE413">
        <f t="shared" si="338"/>
        <v>-5.0478725147604382E-2</v>
      </c>
      <c r="AF413">
        <f t="shared" si="339"/>
        <v>2.4807020874048003E-2</v>
      </c>
      <c r="AG413">
        <f t="shared" si="315"/>
        <v>915.16122224009302</v>
      </c>
      <c r="AH413">
        <f t="shared" si="316"/>
        <v>-1902.5328370879822</v>
      </c>
      <c r="AJ413">
        <f t="shared" si="340"/>
        <v>22100</v>
      </c>
      <c r="AK413">
        <f t="shared" si="341"/>
        <v>2824.0742684749143</v>
      </c>
      <c r="AL413">
        <v>1</v>
      </c>
      <c r="AM413">
        <f t="shared" si="342"/>
        <v>77.499683932430344</v>
      </c>
      <c r="AN413">
        <f t="shared" si="317"/>
        <v>40.112668582650493</v>
      </c>
      <c r="AO413">
        <f t="shared" si="318"/>
        <v>-284.64486836682715</v>
      </c>
      <c r="AQ413">
        <f t="shared" si="343"/>
        <v>2.5251881202019849E-3</v>
      </c>
      <c r="AR413">
        <f t="shared" si="344"/>
        <v>-5.0251243592019499</v>
      </c>
      <c r="AT413">
        <f t="shared" si="365"/>
        <v>-9558.1531495859435</v>
      </c>
      <c r="AU413">
        <f t="shared" si="366"/>
        <v>-4603.6032037942296</v>
      </c>
      <c r="AV413">
        <f t="shared" si="354"/>
        <v>-2.6927394154223494</v>
      </c>
      <c r="AW413">
        <f t="shared" si="355"/>
        <v>-1137.4560116960929</v>
      </c>
      <c r="AX413">
        <f t="shared" si="356"/>
        <v>-2831.4376275745376</v>
      </c>
      <c r="AY413">
        <f t="shared" si="364"/>
        <v>-1.9527878935755285</v>
      </c>
      <c r="BA413">
        <f t="shared" si="345"/>
        <v>3.4768103479858539</v>
      </c>
      <c r="BB413">
        <f t="shared" si="357"/>
        <v>10.823620031268904</v>
      </c>
      <c r="BC413">
        <f t="shared" si="358"/>
        <v>-0.73995152184682089</v>
      </c>
      <c r="BD413">
        <f t="shared" si="346"/>
        <v>-222.39609929454977</v>
      </c>
      <c r="BF413">
        <f t="shared" si="347"/>
        <v>-38.415215533175505</v>
      </c>
      <c r="BG413">
        <f t="shared" si="348"/>
        <v>-214.97132719255271</v>
      </c>
      <c r="BH413">
        <f t="shared" si="359"/>
        <v>-34.971327192552707</v>
      </c>
      <c r="BI413">
        <f t="shared" si="360"/>
        <v>-34.971327192552707</v>
      </c>
      <c r="BJ413">
        <f t="shared" si="349"/>
        <v>0</v>
      </c>
      <c r="BK413">
        <f t="shared" si="361"/>
        <v>0</v>
      </c>
      <c r="BM413">
        <f t="shared" si="362"/>
        <v>-49.238835564444408</v>
      </c>
      <c r="BN413">
        <f t="shared" si="350"/>
        <v>-172.57522789800294</v>
      </c>
      <c r="BQ413" s="56">
        <f t="shared" si="363"/>
        <v>27.725580831554041</v>
      </c>
    </row>
    <row r="414" spans="1:81" x14ac:dyDescent="0.2">
      <c r="A414">
        <f t="shared" si="319"/>
        <v>1000000</v>
      </c>
      <c r="B414">
        <f t="shared" si="351"/>
        <v>1000</v>
      </c>
      <c r="C414">
        <f t="shared" si="320"/>
        <v>1.0078647563069434</v>
      </c>
      <c r="D414">
        <f t="shared" si="321"/>
        <v>0.12500843621459273</v>
      </c>
      <c r="F414">
        <f t="shared" si="322"/>
        <v>2.2607035000170317E-4</v>
      </c>
      <c r="G414">
        <f t="shared" si="323"/>
        <v>5.1708860327162555E-3</v>
      </c>
      <c r="H414">
        <f t="shared" si="324"/>
        <v>-3.136421763967284</v>
      </c>
      <c r="J414">
        <f t="shared" si="325"/>
        <v>15</v>
      </c>
      <c r="M414">
        <f t="shared" si="326"/>
        <v>1.8149146027240134E-3</v>
      </c>
      <c r="N414">
        <f t="shared" si="327"/>
        <v>-1.5707963250000001</v>
      </c>
      <c r="O414">
        <f t="shared" si="328"/>
        <v>119.34072816095448</v>
      </c>
      <c r="P414">
        <f t="shared" si="329"/>
        <v>1.5624168597170249</v>
      </c>
      <c r="Q414">
        <f t="shared" si="330"/>
        <v>77.895548696839867</v>
      </c>
      <c r="R414">
        <f t="shared" si="331"/>
        <v>1.5579582701081989</v>
      </c>
      <c r="S414">
        <f t="shared" si="332"/>
        <v>0.99185372005100569</v>
      </c>
      <c r="T414">
        <f t="shared" si="333"/>
        <v>-0.12772912237778142</v>
      </c>
      <c r="U414">
        <f t="shared" si="334"/>
        <v>0.43927473712946924</v>
      </c>
      <c r="V414">
        <f t="shared" si="335"/>
        <v>-1.1160051381438316</v>
      </c>
      <c r="X414">
        <f t="shared" si="352"/>
        <v>-31.998430045039605</v>
      </c>
      <c r="Y414">
        <f t="shared" si="336"/>
        <v>-155.01767265111044</v>
      </c>
      <c r="Z414">
        <f t="shared" si="353"/>
        <v>24.982327348889555</v>
      </c>
      <c r="AC414">
        <v>1</v>
      </c>
      <c r="AD414">
        <f t="shared" si="337"/>
        <v>119.3365384029</v>
      </c>
      <c r="AE414">
        <f t="shared" si="338"/>
        <v>-5.0987323701527115E-2</v>
      </c>
      <c r="AF414">
        <f t="shared" si="339"/>
        <v>2.4931679270400003E-2</v>
      </c>
      <c r="AG414">
        <f t="shared" si="315"/>
        <v>907.79399035246934</v>
      </c>
      <c r="AH414">
        <f t="shared" si="316"/>
        <v>-1896.6225871733541</v>
      </c>
      <c r="AJ414">
        <f t="shared" si="340"/>
        <v>22100</v>
      </c>
      <c r="AK414">
        <f t="shared" si="341"/>
        <v>2838.2655964572004</v>
      </c>
      <c r="AL414">
        <v>1</v>
      </c>
      <c r="AM414">
        <f t="shared" si="342"/>
        <v>77.889129580332011</v>
      </c>
      <c r="AN414">
        <f t="shared" si="317"/>
        <v>40.076037922020163</v>
      </c>
      <c r="AO414">
        <f t="shared" si="318"/>
        <v>-283.22211431732813</v>
      </c>
      <c r="AQ414">
        <f t="shared" si="343"/>
        <v>2.4999993750001561E-3</v>
      </c>
      <c r="AR414">
        <f t="shared" si="344"/>
        <v>-4.9999987500003122</v>
      </c>
      <c r="AT414">
        <f t="shared" si="365"/>
        <v>-9480.8410806806187</v>
      </c>
      <c r="AU414">
        <f t="shared" si="366"/>
        <v>-4543.7103723026867</v>
      </c>
      <c r="AV414">
        <f t="shared" si="354"/>
        <v>-2.6946809320582665</v>
      </c>
      <c r="AW414">
        <f t="shared" si="355"/>
        <v>-1125.2782576644427</v>
      </c>
      <c r="AX414">
        <f t="shared" si="356"/>
        <v>-2818.0540322749707</v>
      </c>
      <c r="AY414">
        <f t="shared" si="364"/>
        <v>-1.9507080721132446</v>
      </c>
      <c r="BA414">
        <f t="shared" si="345"/>
        <v>3.4647206796792887</v>
      </c>
      <c r="BB414">
        <f t="shared" si="357"/>
        <v>10.793364564447781</v>
      </c>
      <c r="BC414">
        <f t="shared" si="358"/>
        <v>-0.74397285994502194</v>
      </c>
      <c r="BD414">
        <f t="shared" si="346"/>
        <v>-222.62650499583515</v>
      </c>
      <c r="BF414">
        <f t="shared" si="347"/>
        <v>-38.531892945438543</v>
      </c>
      <c r="BG414">
        <f t="shared" si="348"/>
        <v>-215.16777924266796</v>
      </c>
      <c r="BH414">
        <f t="shared" si="359"/>
        <v>-35.167779242667962</v>
      </c>
      <c r="BI414">
        <f t="shared" si="360"/>
        <v>-35.167779242667962</v>
      </c>
      <c r="BJ414">
        <f t="shared" si="349"/>
        <v>0</v>
      </c>
      <c r="BK414">
        <f t="shared" si="361"/>
        <v>0</v>
      </c>
      <c r="BM414">
        <f t="shared" si="362"/>
        <v>-49.325257509886328</v>
      </c>
      <c r="BN414">
        <f t="shared" si="350"/>
        <v>-172.54127424683287</v>
      </c>
      <c r="BQ414" s="56">
        <f t="shared" si="363"/>
        <v>27.69532536473292</v>
      </c>
    </row>
    <row r="415" spans="1:81" x14ac:dyDescent="0.2">
      <c r="A415">
        <f t="shared" si="319"/>
        <v>1005000</v>
      </c>
      <c r="B415">
        <f t="shared" si="351"/>
        <v>1005</v>
      </c>
      <c r="C415">
        <f t="shared" si="320"/>
        <v>1.0079432898034919</v>
      </c>
      <c r="D415">
        <f t="shared" si="321"/>
        <v>0.12562693882770617</v>
      </c>
      <c r="F415">
        <f t="shared" si="322"/>
        <v>2.2382601503398081E-4</v>
      </c>
      <c r="G415">
        <f t="shared" si="323"/>
        <v>5.1451490984673488E-3</v>
      </c>
      <c r="H415">
        <f t="shared" si="324"/>
        <v>-3.1364475009015327</v>
      </c>
      <c r="J415">
        <f t="shared" si="325"/>
        <v>15</v>
      </c>
      <c r="M415">
        <f t="shared" si="326"/>
        <v>1.8058851768398142E-3</v>
      </c>
      <c r="N415">
        <f t="shared" si="327"/>
        <v>-1.5707963250000001</v>
      </c>
      <c r="O415">
        <f t="shared" si="328"/>
        <v>119.9373900091279</v>
      </c>
      <c r="P415">
        <f t="shared" si="329"/>
        <v>1.562458546671055</v>
      </c>
      <c r="Q415">
        <f t="shared" si="330"/>
        <v>78.284962411450621</v>
      </c>
      <c r="R415">
        <f t="shared" si="331"/>
        <v>1.5580221340715426</v>
      </c>
      <c r="S415">
        <f t="shared" si="332"/>
        <v>0.99177305864208998</v>
      </c>
      <c r="T415">
        <f t="shared" si="333"/>
        <v>-0.12836079306760464</v>
      </c>
      <c r="U415">
        <f t="shared" si="334"/>
        <v>0.43750845978271835</v>
      </c>
      <c r="V415">
        <f t="shared" si="335"/>
        <v>-1.117970324099711</v>
      </c>
      <c r="X415">
        <f t="shared" si="352"/>
        <v>-32.076804885338014</v>
      </c>
      <c r="Y415">
        <f t="shared" si="336"/>
        <v>-155.12645098330555</v>
      </c>
      <c r="Z415">
        <f t="shared" si="353"/>
        <v>24.873549016694454</v>
      </c>
      <c r="AC415">
        <v>1</v>
      </c>
      <c r="AD415">
        <f t="shared" si="337"/>
        <v>119.93322109491451</v>
      </c>
      <c r="AE415">
        <f t="shared" si="338"/>
        <v>-5.1498471621634921E-2</v>
      </c>
      <c r="AF415">
        <f t="shared" si="339"/>
        <v>2.5056337666752002E-2</v>
      </c>
      <c r="AG415">
        <f t="shared" si="315"/>
        <v>900.50837958425302</v>
      </c>
      <c r="AH415">
        <f t="shared" si="316"/>
        <v>-1890.7314333461882</v>
      </c>
      <c r="AJ415">
        <f t="shared" si="340"/>
        <v>22100</v>
      </c>
      <c r="AK415">
        <f t="shared" si="341"/>
        <v>2852.4569244394866</v>
      </c>
      <c r="AL415">
        <v>1</v>
      </c>
      <c r="AM415">
        <f t="shared" si="342"/>
        <v>78.278575228233663</v>
      </c>
      <c r="AN415">
        <f t="shared" si="317"/>
        <v>40.039952507568053</v>
      </c>
      <c r="AO415">
        <f t="shared" si="318"/>
        <v>-281.81351005908198</v>
      </c>
      <c r="AQ415">
        <f t="shared" si="343"/>
        <v>2.4751856451113476E-3</v>
      </c>
      <c r="AR415">
        <f t="shared" si="344"/>
        <v>-4.9751231466738082</v>
      </c>
      <c r="AT415">
        <f t="shared" si="365"/>
        <v>-9404.3927927699187</v>
      </c>
      <c r="AU415">
        <f t="shared" si="366"/>
        <v>-4484.8199943459203</v>
      </c>
      <c r="AV415">
        <f t="shared" si="354"/>
        <v>-2.6966069186216859</v>
      </c>
      <c r="AW415">
        <f t="shared" si="355"/>
        <v>-1113.2892578411636</v>
      </c>
      <c r="AX415">
        <f t="shared" si="356"/>
        <v>-2804.7957939859371</v>
      </c>
      <c r="AY415">
        <f t="shared" si="364"/>
        <v>-1.9486477059216887</v>
      </c>
      <c r="BA415">
        <f t="shared" si="345"/>
        <v>3.4526817448113674</v>
      </c>
      <c r="BB415">
        <f t="shared" si="357"/>
        <v>10.763130971320384</v>
      </c>
      <c r="BC415">
        <f t="shared" si="358"/>
        <v>-0.74795921269999721</v>
      </c>
      <c r="BD415">
        <f t="shared" si="346"/>
        <v>-222.85490618460656</v>
      </c>
      <c r="BF415">
        <f t="shared" si="347"/>
        <v>-38.648110635039465</v>
      </c>
      <c r="BG415">
        <f t="shared" si="348"/>
        <v>-215.36221745976141</v>
      </c>
      <c r="BH415">
        <f t="shared" si="359"/>
        <v>-35.362217459761411</v>
      </c>
      <c r="BI415">
        <f t="shared" si="360"/>
        <v>-35.362217459761411</v>
      </c>
      <c r="BJ415">
        <f t="shared" si="349"/>
        <v>0</v>
      </c>
      <c r="BK415">
        <f t="shared" si="361"/>
        <v>0</v>
      </c>
      <c r="BM415">
        <f t="shared" si="362"/>
        <v>-49.411241606359852</v>
      </c>
      <c r="BN415">
        <f t="shared" si="350"/>
        <v>-172.5073112751549</v>
      </c>
      <c r="BQ415" s="56">
        <f t="shared" si="363"/>
        <v>27.665091771605521</v>
      </c>
    </row>
    <row r="416" spans="1:81" x14ac:dyDescent="0.2">
      <c r="A416">
        <f t="shared" si="319"/>
        <v>1010000</v>
      </c>
      <c r="B416">
        <f t="shared" si="351"/>
        <v>1010</v>
      </c>
      <c r="C416">
        <f t="shared" si="320"/>
        <v>1.0080222088240258</v>
      </c>
      <c r="D416">
        <f t="shared" si="321"/>
        <v>0.1262453448310378</v>
      </c>
      <c r="F416">
        <f t="shared" si="322"/>
        <v>2.2161493850432319E-4</v>
      </c>
      <c r="G416">
        <f t="shared" si="323"/>
        <v>5.1196671495113985E-3</v>
      </c>
      <c r="H416">
        <f t="shared" si="324"/>
        <v>-3.1364729828504889</v>
      </c>
      <c r="J416">
        <f t="shared" si="325"/>
        <v>15</v>
      </c>
      <c r="M416">
        <f t="shared" si="326"/>
        <v>1.7969451512118944E-3</v>
      </c>
      <c r="N416">
        <f t="shared" si="327"/>
        <v>-1.5707963250000001</v>
      </c>
      <c r="O416">
        <f t="shared" si="328"/>
        <v>120.53405206366526</v>
      </c>
      <c r="P416">
        <f t="shared" si="329"/>
        <v>1.5624998209115171</v>
      </c>
      <c r="Q416">
        <f t="shared" si="330"/>
        <v>78.674376442194088</v>
      </c>
      <c r="R416">
        <f t="shared" si="331"/>
        <v>1.5580853658210845</v>
      </c>
      <c r="S416">
        <f t="shared" si="332"/>
        <v>0.9916920147552154</v>
      </c>
      <c r="T416">
        <f t="shared" si="333"/>
        <v>-0.12899236077398665</v>
      </c>
      <c r="U416">
        <f t="shared" si="334"/>
        <v>0.43575466688432402</v>
      </c>
      <c r="V416">
        <f t="shared" si="335"/>
        <v>-1.1199197622767558</v>
      </c>
      <c r="X416">
        <f t="shared" si="352"/>
        <v>-32.154857157778572</v>
      </c>
      <c r="Y416">
        <f t="shared" si="336"/>
        <v>-155.23437192939906</v>
      </c>
      <c r="Z416">
        <f t="shared" si="353"/>
        <v>24.76562807060094</v>
      </c>
      <c r="AC416">
        <v>1</v>
      </c>
      <c r="AD416">
        <f t="shared" si="337"/>
        <v>120.529903786929</v>
      </c>
      <c r="AE416">
        <f t="shared" si="338"/>
        <v>-5.2012168907927807E-2</v>
      </c>
      <c r="AF416">
        <f t="shared" si="339"/>
        <v>2.5180996063104005E-2</v>
      </c>
      <c r="AG416">
        <f t="shared" si="315"/>
        <v>893.30330836451355</v>
      </c>
      <c r="AH416">
        <f t="shared" si="316"/>
        <v>-1884.8596156293263</v>
      </c>
      <c r="AJ416">
        <f t="shared" si="340"/>
        <v>22100</v>
      </c>
      <c r="AK416">
        <f t="shared" si="341"/>
        <v>2866.6482524217722</v>
      </c>
      <c r="AL416">
        <v>1</v>
      </c>
      <c r="AM416">
        <f t="shared" si="342"/>
        <v>78.66802087613533</v>
      </c>
      <c r="AN416">
        <f t="shared" si="317"/>
        <v>40.004401572024392</v>
      </c>
      <c r="AO416">
        <f t="shared" si="318"/>
        <v>-280.41884558354354</v>
      </c>
      <c r="AQ416">
        <f t="shared" si="343"/>
        <v>2.4507395229047342E-3</v>
      </c>
      <c r="AR416">
        <f t="shared" si="344"/>
        <v>-4.9504938362675626</v>
      </c>
      <c r="AT416">
        <f t="shared" si="365"/>
        <v>-9328.796655678876</v>
      </c>
      <c r="AU416">
        <f t="shared" si="366"/>
        <v>-4426.9118219310958</v>
      </c>
      <c r="AV416">
        <f t="shared" si="354"/>
        <v>-2.6985175454905228</v>
      </c>
      <c r="AW416">
        <f t="shared" si="355"/>
        <v>-1101.4851431908141</v>
      </c>
      <c r="AX416">
        <f t="shared" si="356"/>
        <v>-2791.6611359169892</v>
      </c>
      <c r="AY416">
        <f t="shared" si="364"/>
        <v>-1.9466065401823671</v>
      </c>
      <c r="BA416">
        <f t="shared" si="345"/>
        <v>3.4406939177749658</v>
      </c>
      <c r="BB416">
        <f t="shared" si="357"/>
        <v>10.732920794854827</v>
      </c>
      <c r="BC416">
        <f t="shared" si="358"/>
        <v>-0.75191100530815569</v>
      </c>
      <c r="BD416">
        <f t="shared" si="346"/>
        <v>-223.08132722282375</v>
      </c>
      <c r="BF416">
        <f t="shared" si="347"/>
        <v>-38.763871376748618</v>
      </c>
      <c r="BG416">
        <f t="shared" si="348"/>
        <v>-215.55466645205229</v>
      </c>
      <c r="BH416">
        <f t="shared" si="359"/>
        <v>-35.554666452052288</v>
      </c>
      <c r="BI416">
        <f t="shared" si="360"/>
        <v>-35.554666452052288</v>
      </c>
      <c r="BJ416">
        <f t="shared" si="349"/>
        <v>0</v>
      </c>
      <c r="BK416">
        <f t="shared" si="361"/>
        <v>0</v>
      </c>
      <c r="BM416">
        <f t="shared" si="362"/>
        <v>-49.496792171603445</v>
      </c>
      <c r="BN416">
        <f t="shared" si="350"/>
        <v>-172.47333922922857</v>
      </c>
      <c r="BQ416" s="56">
        <f t="shared" si="363"/>
        <v>27.634881595139966</v>
      </c>
    </row>
    <row r="417" spans="1:69" x14ac:dyDescent="0.2">
      <c r="A417">
        <f t="shared" si="319"/>
        <v>1015000</v>
      </c>
      <c r="B417">
        <f t="shared" si="351"/>
        <v>1015</v>
      </c>
      <c r="C417">
        <f t="shared" si="320"/>
        <v>1.0081015132780033</v>
      </c>
      <c r="D417">
        <f t="shared" si="321"/>
        <v>0.12686365377434353</v>
      </c>
      <c r="F417">
        <f t="shared" si="322"/>
        <v>2.1943646646390954E-4</v>
      </c>
      <c r="G417">
        <f t="shared" si="323"/>
        <v>5.0944364143809141E-3</v>
      </c>
      <c r="H417">
        <f t="shared" si="324"/>
        <v>-3.1364982135856194</v>
      </c>
      <c r="J417">
        <f t="shared" si="325"/>
        <v>15</v>
      </c>
      <c r="M417">
        <f t="shared" si="326"/>
        <v>1.7880932046542002E-3</v>
      </c>
      <c r="N417">
        <f t="shared" si="327"/>
        <v>-1.5707963250000001</v>
      </c>
      <c r="O417">
        <f t="shared" si="328"/>
        <v>121.13071432151708</v>
      </c>
      <c r="P417">
        <f t="shared" si="329"/>
        <v>1.5625406885370678</v>
      </c>
      <c r="Q417">
        <f t="shared" si="330"/>
        <v>79.063790784399075</v>
      </c>
      <c r="R417">
        <f t="shared" si="331"/>
        <v>1.5581479746978777</v>
      </c>
      <c r="S417">
        <f t="shared" si="332"/>
        <v>0.99161058867807361</v>
      </c>
      <c r="T417">
        <f t="shared" si="333"/>
        <v>-0.12962382501839689</v>
      </c>
      <c r="U417">
        <f t="shared" si="334"/>
        <v>0.43401324865087304</v>
      </c>
      <c r="V417">
        <f t="shared" si="335"/>
        <v>-1.1218536265685579</v>
      </c>
      <c r="X417">
        <f t="shared" si="352"/>
        <v>-32.232589324146737</v>
      </c>
      <c r="Y417">
        <f t="shared" si="336"/>
        <v>-155.34144478259816</v>
      </c>
      <c r="Z417">
        <f t="shared" si="353"/>
        <v>24.65855521740184</v>
      </c>
      <c r="AC417">
        <v>1</v>
      </c>
      <c r="AD417">
        <f t="shared" si="337"/>
        <v>121.12658647894351</v>
      </c>
      <c r="AE417">
        <f t="shared" si="338"/>
        <v>-5.2528415560405751E-2</v>
      </c>
      <c r="AF417">
        <f t="shared" si="339"/>
        <v>2.5305654459456005E-2</v>
      </c>
      <c r="AG417">
        <f t="shared" si="315"/>
        <v>886.17771034087912</v>
      </c>
      <c r="AH417">
        <f t="shared" si="316"/>
        <v>-1879.0073619845334</v>
      </c>
      <c r="AJ417">
        <f t="shared" si="340"/>
        <v>22100</v>
      </c>
      <c r="AK417">
        <f t="shared" si="341"/>
        <v>2880.8395804040583</v>
      </c>
      <c r="AL417">
        <v>1</v>
      </c>
      <c r="AM417">
        <f t="shared" si="342"/>
        <v>79.057466524036982</v>
      </c>
      <c r="AN417">
        <f t="shared" si="317"/>
        <v>39.969374612583081</v>
      </c>
      <c r="AO417">
        <f t="shared" si="318"/>
        <v>-279.0379150169224</v>
      </c>
      <c r="AQ417">
        <f t="shared" si="343"/>
        <v>2.4266537827528495E-3</v>
      </c>
      <c r="AR417">
        <f t="shared" si="344"/>
        <v>-4.9261071789882847</v>
      </c>
      <c r="AT417">
        <f t="shared" si="365"/>
        <v>-9254.0412087508594</v>
      </c>
      <c r="AU417">
        <f t="shared" si="366"/>
        <v>-4369.966081092386</v>
      </c>
      <c r="AV417">
        <f t="shared" si="354"/>
        <v>-2.7004129808236907</v>
      </c>
      <c r="AW417">
        <f t="shared" si="355"/>
        <v>-1089.8621427382923</v>
      </c>
      <c r="AX417">
        <f t="shared" si="356"/>
        <v>-2778.6483156724325</v>
      </c>
      <c r="AY417">
        <f t="shared" si="364"/>
        <v>-1.9445843238735772</v>
      </c>
      <c r="BA417">
        <f t="shared" si="345"/>
        <v>3.4287575451628127</v>
      </c>
      <c r="BB417">
        <f t="shared" si="357"/>
        <v>10.702735526033528</v>
      </c>
      <c r="BC417">
        <f t="shared" si="358"/>
        <v>-0.75582865695011359</v>
      </c>
      <c r="BD417">
        <f t="shared" si="346"/>
        <v>-223.30579212776692</v>
      </c>
      <c r="BF417">
        <f t="shared" si="347"/>
        <v>-38.87917793333115</v>
      </c>
      <c r="BG417">
        <f t="shared" si="348"/>
        <v>-215.74515047870702</v>
      </c>
      <c r="BH417">
        <f t="shared" si="359"/>
        <v>-35.745150478707018</v>
      </c>
      <c r="BI417">
        <f t="shared" si="360"/>
        <v>-35.745150478707018</v>
      </c>
      <c r="BJ417">
        <f t="shared" si="349"/>
        <v>0</v>
      </c>
      <c r="BK417">
        <f t="shared" si="361"/>
        <v>0</v>
      </c>
      <c r="BM417">
        <f t="shared" si="362"/>
        <v>-49.581913459364685</v>
      </c>
      <c r="BN417">
        <f t="shared" si="350"/>
        <v>-172.4393583509401</v>
      </c>
      <c r="BQ417" s="56">
        <f t="shared" si="363"/>
        <v>27.604696326318667</v>
      </c>
    </row>
    <row r="418" spans="1:69" x14ac:dyDescent="0.2">
      <c r="A418">
        <f t="shared" si="319"/>
        <v>1020000</v>
      </c>
      <c r="B418">
        <f t="shared" si="351"/>
        <v>1020</v>
      </c>
      <c r="C418">
        <f t="shared" si="320"/>
        <v>1.0081812030744686</v>
      </c>
      <c r="D418">
        <f t="shared" si="321"/>
        <v>0.12748186520781749</v>
      </c>
      <c r="F418">
        <f t="shared" si="322"/>
        <v>2.1728996095930582E-4</v>
      </c>
      <c r="G418">
        <f t="shared" si="323"/>
        <v>5.0694531956369231E-3</v>
      </c>
      <c r="H418">
        <f t="shared" si="324"/>
        <v>-3.1365231968043634</v>
      </c>
      <c r="J418">
        <f t="shared" si="325"/>
        <v>15</v>
      </c>
      <c r="M418">
        <f t="shared" si="326"/>
        <v>1.7793280418862876E-3</v>
      </c>
      <c r="N418">
        <f t="shared" si="327"/>
        <v>-1.5707963250000001</v>
      </c>
      <c r="O418">
        <f t="shared" si="328"/>
        <v>121.72737677969366</v>
      </c>
      <c r="P418">
        <f t="shared" si="329"/>
        <v>1.5625811555267966</v>
      </c>
      <c r="Q418">
        <f t="shared" si="330"/>
        <v>79.453205433486019</v>
      </c>
      <c r="R418">
        <f t="shared" si="331"/>
        <v>1.5582099698598666</v>
      </c>
      <c r="S418">
        <f t="shared" si="332"/>
        <v>0.99152878069958639</v>
      </c>
      <c r="T418">
        <f t="shared" si="333"/>
        <v>-0.13025518532279173</v>
      </c>
      <c r="U418">
        <f t="shared" si="334"/>
        <v>0.432284096157666</v>
      </c>
      <c r="V418">
        <f t="shared" si="335"/>
        <v>-1.1237720885673319</v>
      </c>
      <c r="X418">
        <f t="shared" si="352"/>
        <v>-32.310003819459126</v>
      </c>
      <c r="Y418">
        <f t="shared" si="336"/>
        <v>-155.44767871735414</v>
      </c>
      <c r="Z418">
        <f t="shared" si="353"/>
        <v>24.552321282645863</v>
      </c>
      <c r="AC418">
        <v>1</v>
      </c>
      <c r="AD418">
        <f t="shared" si="337"/>
        <v>121.72326917095801</v>
      </c>
      <c r="AE418">
        <f t="shared" si="338"/>
        <v>-5.3047211579068797E-2</v>
      </c>
      <c r="AF418">
        <f t="shared" si="339"/>
        <v>2.5430312855808008E-2</v>
      </c>
      <c r="AG418">
        <f t="shared" si="315"/>
        <v>879.13053419707171</v>
      </c>
      <c r="AH418">
        <f t="shared" si="316"/>
        <v>-1873.1748886955759</v>
      </c>
      <c r="AJ418">
        <f t="shared" si="340"/>
        <v>22100</v>
      </c>
      <c r="AK418">
        <f t="shared" si="341"/>
        <v>2895.0309083863444</v>
      </c>
      <c r="AL418">
        <v>1</v>
      </c>
      <c r="AM418">
        <f t="shared" si="342"/>
        <v>79.446912171938649</v>
      </c>
      <c r="AN418">
        <f t="shared" si="317"/>
        <v>39.934861383145211</v>
      </c>
      <c r="AO418">
        <f t="shared" si="318"/>
        <v>-277.67051651893735</v>
      </c>
      <c r="AQ418">
        <f t="shared" si="343"/>
        <v>2.402921375691711E-3</v>
      </c>
      <c r="AR418">
        <f t="shared" si="344"/>
        <v>-4.90195960641109</v>
      </c>
      <c r="AT418">
        <f t="shared" si="365"/>
        <v>-9180.1151585766565</v>
      </c>
      <c r="AU418">
        <f t="shared" si="366"/>
        <v>-4313.9634593771043</v>
      </c>
      <c r="AV418">
        <f t="shared" si="354"/>
        <v>-2.7022933905911604</v>
      </c>
      <c r="AW418">
        <f t="shared" si="355"/>
        <v>-1078.416580622423</v>
      </c>
      <c r="AX418">
        <f t="shared" si="356"/>
        <v>-2765.7556243924928</v>
      </c>
      <c r="AY418">
        <f t="shared" si="364"/>
        <v>-1.9425808097187998</v>
      </c>
      <c r="BA418">
        <f t="shared" si="345"/>
        <v>3.4168729468132528</v>
      </c>
      <c r="BB418">
        <f t="shared" si="357"/>
        <v>10.672576605394163</v>
      </c>
      <c r="BC418">
        <f t="shared" si="358"/>
        <v>-0.7597125808723606</v>
      </c>
      <c r="BD418">
        <f t="shared" si="346"/>
        <v>-223.52832457671585</v>
      </c>
      <c r="BF418">
        <f t="shared" si="347"/>
        <v>-38.994033055265348</v>
      </c>
      <c r="BG418">
        <f t="shared" si="348"/>
        <v>-215.93369345462506</v>
      </c>
      <c r="BH418">
        <f t="shared" si="359"/>
        <v>-35.933693454625057</v>
      </c>
      <c r="BI418">
        <f t="shared" si="360"/>
        <v>-35.933693454625057</v>
      </c>
      <c r="BJ418">
        <f t="shared" si="349"/>
        <v>0</v>
      </c>
      <c r="BK418">
        <f t="shared" si="361"/>
        <v>0</v>
      </c>
      <c r="BM418">
        <f t="shared" si="362"/>
        <v>-49.66660966065951</v>
      </c>
      <c r="BN418">
        <f t="shared" si="350"/>
        <v>-172.40536887790921</v>
      </c>
      <c r="BQ418" s="56">
        <f t="shared" si="363"/>
        <v>27.574537405679301</v>
      </c>
    </row>
    <row r="419" spans="1:69" x14ac:dyDescent="0.2">
      <c r="A419">
        <f t="shared" si="319"/>
        <v>1025000</v>
      </c>
      <c r="B419">
        <f t="shared" si="351"/>
        <v>1025</v>
      </c>
      <c r="C419">
        <f t="shared" si="320"/>
        <v>1.0082612781220528</v>
      </c>
      <c r="D419">
        <f t="shared" si="321"/>
        <v>0.1280999786820938</v>
      </c>
      <c r="F419">
        <f t="shared" si="322"/>
        <v>2.1517479956522907E-4</v>
      </c>
      <c r="G419">
        <f t="shared" si="323"/>
        <v>5.0447138680611283E-3</v>
      </c>
      <c r="H419">
        <f t="shared" si="324"/>
        <v>-3.1365479361319393</v>
      </c>
      <c r="J419">
        <f t="shared" si="325"/>
        <v>15</v>
      </c>
      <c r="M419">
        <f t="shared" si="326"/>
        <v>1.7706483929014766E-3</v>
      </c>
      <c r="N419">
        <f t="shared" si="327"/>
        <v>-1.5707963250000001</v>
      </c>
      <c r="O419">
        <f t="shared" si="328"/>
        <v>122.32403943526357</v>
      </c>
      <c r="P419">
        <f t="shared" si="329"/>
        <v>1.5626212277431399</v>
      </c>
      <c r="Q419">
        <f t="shared" si="330"/>
        <v>79.842620384964675</v>
      </c>
      <c r="R419">
        <f t="shared" si="331"/>
        <v>1.5582713602863509</v>
      </c>
      <c r="S419">
        <f t="shared" si="332"/>
        <v>0.99144659110990163</v>
      </c>
      <c r="T419">
        <f t="shared" si="333"/>
        <v>-0.13088644120961632</v>
      </c>
      <c r="U419">
        <f t="shared" si="334"/>
        <v>0.43056710134216974</v>
      </c>
      <c r="V419">
        <f t="shared" si="335"/>
        <v>-1.1256753175964005</v>
      </c>
      <c r="X419">
        <f t="shared" si="352"/>
        <v>-32.387103052354213</v>
      </c>
      <c r="Y419">
        <f t="shared" si="336"/>
        <v>-155.55308279090443</v>
      </c>
      <c r="Z419">
        <f t="shared" si="353"/>
        <v>24.446917209095574</v>
      </c>
      <c r="AC419">
        <v>1</v>
      </c>
      <c r="AD419">
        <f t="shared" si="337"/>
        <v>122.31995186297249</v>
      </c>
      <c r="AE419">
        <f t="shared" si="338"/>
        <v>-5.3568556963916915E-2</v>
      </c>
      <c r="AF419">
        <f t="shared" si="339"/>
        <v>2.555497125216E-2</v>
      </c>
      <c r="AG419">
        <f t="shared" si="315"/>
        <v>872.1607434702795</v>
      </c>
      <c r="AH419">
        <f t="shared" si="316"/>
        <v>-1867.3624007401804</v>
      </c>
      <c r="AJ419">
        <f t="shared" si="340"/>
        <v>22100</v>
      </c>
      <c r="AK419">
        <f t="shared" si="341"/>
        <v>2909.2222363686305</v>
      </c>
      <c r="AL419">
        <v>1</v>
      </c>
      <c r="AM419">
        <f t="shared" si="342"/>
        <v>79.836357819840302</v>
      </c>
      <c r="AN419">
        <f t="shared" si="317"/>
        <v>39.900851886826914</v>
      </c>
      <c r="AO419">
        <f t="shared" si="318"/>
        <v>-276.31645218453303</v>
      </c>
      <c r="AQ419">
        <f t="shared" si="343"/>
        <v>2.3795354242628379E-3</v>
      </c>
      <c r="AR419">
        <f t="shared" si="344"/>
        <v>-4.8780476197388172</v>
      </c>
      <c r="AT419">
        <f t="shared" si="365"/>
        <v>-9107.0073767356625</v>
      </c>
      <c r="AU419">
        <f t="shared" si="366"/>
        <v>-4258.8850936973313</v>
      </c>
      <c r="AV419">
        <f t="shared" si="354"/>
        <v>-2.7041589386036966</v>
      </c>
      <c r="AW419">
        <f t="shared" si="355"/>
        <v>-1067.1448732515796</v>
      </c>
      <c r="AX419">
        <f t="shared" si="356"/>
        <v>-2752.9813859209794</v>
      </c>
      <c r="AY419">
        <f t="shared" si="364"/>
        <v>-1.940595754135213</v>
      </c>
      <c r="BA419">
        <f t="shared" si="345"/>
        <v>3.4050404168209947</v>
      </c>
      <c r="BB419">
        <f t="shared" si="357"/>
        <v>10.642445424524745</v>
      </c>
      <c r="BC419">
        <f t="shared" si="358"/>
        <v>-0.76356318446848359</v>
      </c>
      <c r="BD419">
        <f t="shared" si="346"/>
        <v>-223.74894791160369</v>
      </c>
      <c r="BF419">
        <f t="shared" si="347"/>
        <v>-39.10843948047593</v>
      </c>
      <c r="BG419">
        <f t="shared" si="348"/>
        <v>-216.1203189551959</v>
      </c>
      <c r="BH419">
        <f t="shared" si="359"/>
        <v>-36.120318955195899</v>
      </c>
      <c r="BI419">
        <f t="shared" si="360"/>
        <v>-36.120318955195899</v>
      </c>
      <c r="BJ419">
        <f t="shared" si="349"/>
        <v>0</v>
      </c>
      <c r="BK419">
        <f t="shared" si="361"/>
        <v>0</v>
      </c>
      <c r="BM419">
        <f t="shared" si="362"/>
        <v>-49.750884905000675</v>
      </c>
      <c r="BN419">
        <f t="shared" si="350"/>
        <v>-172.37137104359221</v>
      </c>
      <c r="BQ419" s="56">
        <f t="shared" si="363"/>
        <v>27.544406224809883</v>
      </c>
    </row>
    <row r="420" spans="1:69" x14ac:dyDescent="0.2">
      <c r="A420">
        <f t="shared" si="319"/>
        <v>1030000</v>
      </c>
      <c r="B420">
        <f t="shared" si="351"/>
        <v>1030</v>
      </c>
      <c r="C420">
        <f t="shared" si="320"/>
        <v>1.0083417383289748</v>
      </c>
      <c r="D420">
        <f t="shared" si="321"/>
        <v>0.12871799374824833</v>
      </c>
      <c r="F420">
        <f t="shared" si="322"/>
        <v>2.1309037493315861E-4</v>
      </c>
      <c r="G420">
        <f t="shared" si="323"/>
        <v>5.0202148769007944E-3</v>
      </c>
      <c r="H420">
        <f t="shared" si="324"/>
        <v>-3.1365724351230995</v>
      </c>
      <c r="J420">
        <f t="shared" si="325"/>
        <v>15</v>
      </c>
      <c r="M420">
        <f t="shared" si="326"/>
        <v>1.762053012353411E-3</v>
      </c>
      <c r="N420">
        <f t="shared" si="327"/>
        <v>-1.5707963250000001</v>
      </c>
      <c r="O420">
        <f t="shared" si="328"/>
        <v>122.92070228535238</v>
      </c>
      <c r="P420">
        <f t="shared" si="329"/>
        <v>1.562660910934714</v>
      </c>
      <c r="Q420">
        <f t="shared" si="330"/>
        <v>80.232035634431966</v>
      </c>
      <c r="R420">
        <f t="shared" si="331"/>
        <v>1.5583321547823212</v>
      </c>
      <c r="S420">
        <f t="shared" si="332"/>
        <v>0.99136402020039183</v>
      </c>
      <c r="T420">
        <f t="shared" si="333"/>
        <v>-0.13151759220180662</v>
      </c>
      <c r="U420">
        <f t="shared" si="334"/>
        <v>0.42886215700690755</v>
      </c>
      <c r="V420">
        <f t="shared" si="335"/>
        <v>-1.1275634807422783</v>
      </c>
      <c r="X420">
        <f t="shared" si="352"/>
        <v>-32.46388940547493</v>
      </c>
      <c r="Y420">
        <f t="shared" si="336"/>
        <v>-155.65766594480101</v>
      </c>
      <c r="Z420">
        <f t="shared" si="353"/>
        <v>24.34233405519899</v>
      </c>
      <c r="AC420">
        <v>1</v>
      </c>
      <c r="AD420">
        <f t="shared" si="337"/>
        <v>122.91663455498701</v>
      </c>
      <c r="AE420">
        <f t="shared" si="338"/>
        <v>-5.4092451714950099E-2</v>
      </c>
      <c r="AF420">
        <f t="shared" si="339"/>
        <v>2.5679629648512003E-2</v>
      </c>
      <c r="AG420">
        <f t="shared" si="315"/>
        <v>865.26731636851105</v>
      </c>
      <c r="AH420">
        <f t="shared" si="316"/>
        <v>-1861.5700921511591</v>
      </c>
      <c r="AJ420">
        <f t="shared" si="340"/>
        <v>22100</v>
      </c>
      <c r="AK420">
        <f t="shared" si="341"/>
        <v>2923.4135643509162</v>
      </c>
      <c r="AL420">
        <v>1</v>
      </c>
      <c r="AM420">
        <f t="shared" si="342"/>
        <v>80.225803467741969</v>
      </c>
      <c r="AN420">
        <f t="shared" si="317"/>
        <v>39.86733636872097</v>
      </c>
      <c r="AO420">
        <f t="shared" si="318"/>
        <v>-274.97552794845421</v>
      </c>
      <c r="AQ420">
        <f t="shared" si="343"/>
        <v>2.3564892175301118E-3</v>
      </c>
      <c r="AR420">
        <f t="shared" si="344"/>
        <v>-4.8543677881120306</v>
      </c>
      <c r="AT420">
        <f t="shared" si="365"/>
        <v>-9034.7068975500279</v>
      </c>
      <c r="AU420">
        <f t="shared" si="366"/>
        <v>-4204.7125585352724</v>
      </c>
      <c r="AV420">
        <f t="shared" si="354"/>
        <v>-2.7060097865422845</v>
      </c>
      <c r="AW420">
        <f t="shared" si="355"/>
        <v>-1056.0435265573287</v>
      </c>
      <c r="AX420">
        <f t="shared" si="356"/>
        <v>-2740.3239559984604</v>
      </c>
      <c r="AY420">
        <f t="shared" si="364"/>
        <v>-1.9386289171823641</v>
      </c>
      <c r="BA420">
        <f t="shared" si="345"/>
        <v>3.3932602245138783</v>
      </c>
      <c r="BB420">
        <f t="shared" si="357"/>
        <v>10.612343327514054</v>
      </c>
      <c r="BC420">
        <f t="shared" si="358"/>
        <v>-0.76738086935992045</v>
      </c>
      <c r="BD420">
        <f t="shared" si="346"/>
        <v>-223.96768514364385</v>
      </c>
      <c r="BF420">
        <f t="shared" si="347"/>
        <v>-39.222399934082148</v>
      </c>
      <c r="BG420">
        <f t="shared" si="348"/>
        <v>-216.30505022102685</v>
      </c>
      <c r="BH420">
        <f t="shared" si="359"/>
        <v>-36.305050221026846</v>
      </c>
      <c r="BI420">
        <f t="shared" si="360"/>
        <v>-36.305050221026846</v>
      </c>
      <c r="BJ420">
        <f t="shared" si="349"/>
        <v>0</v>
      </c>
      <c r="BK420">
        <f t="shared" si="361"/>
        <v>0</v>
      </c>
      <c r="BM420">
        <f t="shared" si="362"/>
        <v>-49.834743261596195</v>
      </c>
      <c r="BN420">
        <f t="shared" si="350"/>
        <v>-172.33736507738303</v>
      </c>
      <c r="BQ420" s="56">
        <f t="shared" si="363"/>
        <v>27.514304127799193</v>
      </c>
    </row>
    <row r="421" spans="1:69" x14ac:dyDescent="0.2">
      <c r="A421">
        <f t="shared" si="319"/>
        <v>1035000</v>
      </c>
      <c r="B421">
        <f t="shared" si="351"/>
        <v>1035</v>
      </c>
      <c r="C421">
        <f t="shared" si="320"/>
        <v>1.0084225836030409</v>
      </c>
      <c r="D421">
        <f t="shared" si="321"/>
        <v>0.12933590995780067</v>
      </c>
      <c r="F421">
        <f t="shared" si="322"/>
        <v>2.1103609435518261E-4</v>
      </c>
      <c r="G421">
        <f t="shared" si="323"/>
        <v>4.9959527361645752E-3</v>
      </c>
      <c r="H421">
        <f t="shared" si="324"/>
        <v>-3.1365966972638355</v>
      </c>
      <c r="J421">
        <f t="shared" si="325"/>
        <v>15</v>
      </c>
      <c r="M421">
        <f t="shared" si="326"/>
        <v>1.7535406789603995E-3</v>
      </c>
      <c r="N421">
        <f t="shared" si="327"/>
        <v>-1.5707963250000001</v>
      </c>
      <c r="O421">
        <f t="shared" si="328"/>
        <v>123.51736532714112</v>
      </c>
      <c r="P421">
        <f t="shared" si="329"/>
        <v>1.5627002107390624</v>
      </c>
      <c r="Q421">
        <f t="shared" si="330"/>
        <v>80.621451177569853</v>
      </c>
      <c r="R421">
        <f t="shared" si="331"/>
        <v>1.5583923619826667</v>
      </c>
      <c r="S421">
        <f t="shared" si="332"/>
        <v>0.99128106826365003</v>
      </c>
      <c r="T421">
        <f t="shared" si="333"/>
        <v>-0.13214863782279135</v>
      </c>
      <c r="U421">
        <f t="shared" si="334"/>
        <v>0.42716915682181006</v>
      </c>
      <c r="V421">
        <f t="shared" si="335"/>
        <v>-1.1294367428863619</v>
      </c>
      <c r="X421">
        <f t="shared" si="352"/>
        <v>-32.540365235843758</v>
      </c>
      <c r="Y421">
        <f t="shared" si="336"/>
        <v>-155.76143700642496</v>
      </c>
      <c r="Z421">
        <f t="shared" si="353"/>
        <v>24.238562993575044</v>
      </c>
      <c r="AC421">
        <v>1</v>
      </c>
      <c r="AD421">
        <f t="shared" si="337"/>
        <v>123.5133172470015</v>
      </c>
      <c r="AE421">
        <f t="shared" si="338"/>
        <v>-5.461889583216837E-2</v>
      </c>
      <c r="AF421">
        <f t="shared" si="339"/>
        <v>2.5804288044864003E-2</v>
      </c>
      <c r="AG421">
        <f t="shared" si="315"/>
        <v>858.44924558807952</v>
      </c>
      <c r="AH421">
        <f t="shared" si="316"/>
        <v>-1855.7981463670033</v>
      </c>
      <c r="AJ421">
        <f t="shared" si="340"/>
        <v>22100</v>
      </c>
      <c r="AK421">
        <f t="shared" si="341"/>
        <v>2937.6048923332023</v>
      </c>
      <c r="AL421">
        <v>1</v>
      </c>
      <c r="AM421">
        <f t="shared" si="342"/>
        <v>80.615249115643621</v>
      </c>
      <c r="AN421">
        <f t="shared" si="317"/>
        <v>39.834305308902579</v>
      </c>
      <c r="AO421">
        <f t="shared" si="318"/>
        <v>-273.64755349258428</v>
      </c>
      <c r="AQ421">
        <f t="shared" si="343"/>
        <v>2.3337762062647423E-3</v>
      </c>
      <c r="AR421">
        <f t="shared" si="344"/>
        <v>-4.8309167469680165</v>
      </c>
      <c r="AT421">
        <f t="shared" si="365"/>
        <v>-8963.2029158529185</v>
      </c>
      <c r="AU421">
        <f t="shared" si="366"/>
        <v>-4151.4278544911349</v>
      </c>
      <c r="AV421">
        <f t="shared" si="354"/>
        <v>-2.707846093987234</v>
      </c>
      <c r="AW421">
        <f t="shared" si="355"/>
        <v>-1045.1091333422994</v>
      </c>
      <c r="AX421">
        <f t="shared" si="356"/>
        <v>-2727.7817214800125</v>
      </c>
      <c r="AY421">
        <f t="shared" si="364"/>
        <v>-1.9366800625110445</v>
      </c>
      <c r="BA421">
        <f t="shared" si="345"/>
        <v>3.3815326153967602</v>
      </c>
      <c r="BB421">
        <f t="shared" si="357"/>
        <v>10.582271612358845</v>
      </c>
      <c r="BC421">
        <f t="shared" si="358"/>
        <v>-0.77116603147618945</v>
      </c>
      <c r="BD421">
        <f t="shared" si="346"/>
        <v>-224.18455895792667</v>
      </c>
      <c r="BF421">
        <f t="shared" si="347"/>
        <v>-39.33591712816002</v>
      </c>
      <c r="BG421">
        <f t="shared" si="348"/>
        <v>-216.48791016263684</v>
      </c>
      <c r="BH421">
        <f t="shared" si="359"/>
        <v>-36.487910162636837</v>
      </c>
      <c r="BI421">
        <f t="shared" si="360"/>
        <v>-36.487910162636837</v>
      </c>
      <c r="BJ421">
        <f t="shared" si="349"/>
        <v>0</v>
      </c>
      <c r="BK421">
        <f t="shared" si="361"/>
        <v>0</v>
      </c>
      <c r="BM421">
        <f t="shared" si="362"/>
        <v>-49.918188740518865</v>
      </c>
      <c r="BN421">
        <f t="shared" si="350"/>
        <v>-172.30335120471022</v>
      </c>
      <c r="BQ421" s="56">
        <f t="shared" si="363"/>
        <v>27.48423241264398</v>
      </c>
    </row>
    <row r="422" spans="1:69" x14ac:dyDescent="0.2">
      <c r="A422">
        <f t="shared" si="319"/>
        <v>1040000</v>
      </c>
      <c r="B422">
        <f t="shared" si="351"/>
        <v>1040</v>
      </c>
      <c r="C422">
        <f t="shared" si="320"/>
        <v>1.0085038138516462</v>
      </c>
      <c r="D422">
        <f t="shared" si="321"/>
        <v>0.12995372686271581</v>
      </c>
      <c r="F422">
        <f t="shared" si="322"/>
        <v>2.0901137934249564E-4</v>
      </c>
      <c r="G422">
        <f t="shared" si="323"/>
        <v>4.9719240269675809E-3</v>
      </c>
      <c r="H422">
        <f t="shared" si="324"/>
        <v>-3.1366207259730325</v>
      </c>
      <c r="J422">
        <f t="shared" si="325"/>
        <v>15</v>
      </c>
      <c r="M422">
        <f t="shared" si="326"/>
        <v>1.7451101949269357E-3</v>
      </c>
      <c r="N422">
        <f t="shared" si="327"/>
        <v>-1.5707963250000001</v>
      </c>
      <c r="O422">
        <f t="shared" si="328"/>
        <v>124.11402855786513</v>
      </c>
      <c r="P422">
        <f t="shared" si="329"/>
        <v>1.5627391326853266</v>
      </c>
      <c r="Q422">
        <f t="shared" si="330"/>
        <v>81.0108670101434</v>
      </c>
      <c r="R422">
        <f t="shared" si="331"/>
        <v>1.5584519903562639</v>
      </c>
      <c r="S422">
        <f t="shared" si="332"/>
        <v>0.99119773559348812</v>
      </c>
      <c r="T422">
        <f t="shared" si="333"/>
        <v>-0.1327795775964942</v>
      </c>
      <c r="U422">
        <f t="shared" si="334"/>
        <v>0.42548799532605658</v>
      </c>
      <c r="V422">
        <f t="shared" si="335"/>
        <v>-1.1312952667362224</v>
      </c>
      <c r="X422">
        <f t="shared" si="352"/>
        <v>-32.616532875230234</v>
      </c>
      <c r="Y422">
        <f t="shared" si="336"/>
        <v>-155.86440469048708</v>
      </c>
      <c r="Z422">
        <f t="shared" si="353"/>
        <v>24.135595309512922</v>
      </c>
      <c r="AC422">
        <v>1</v>
      </c>
      <c r="AD422">
        <f t="shared" si="337"/>
        <v>124.10999993901601</v>
      </c>
      <c r="AE422">
        <f t="shared" si="338"/>
        <v>-5.514788931557172E-2</v>
      </c>
      <c r="AF422">
        <f t="shared" si="339"/>
        <v>2.5928946441216003E-2</v>
      </c>
      <c r="AG422">
        <f t="shared" si="315"/>
        <v>851.70553813136792</v>
      </c>
      <c r="AH422">
        <f t="shared" si="316"/>
        <v>-1850.0467365722425</v>
      </c>
      <c r="AJ422">
        <f t="shared" si="340"/>
        <v>22100</v>
      </c>
      <c r="AK422">
        <f t="shared" si="341"/>
        <v>2951.7962203154884</v>
      </c>
      <c r="AL422">
        <v>1</v>
      </c>
      <c r="AM422">
        <f t="shared" si="342"/>
        <v>81.004694763545274</v>
      </c>
      <c r="AN422">
        <f t="shared" si="317"/>
        <v>39.801749415669711</v>
      </c>
      <c r="AO422">
        <f t="shared" si="318"/>
        <v>-272.33234215595286</v>
      </c>
      <c r="AQ422">
        <f t="shared" si="343"/>
        <v>2.3113899982918828E-3</v>
      </c>
      <c r="AR422">
        <f t="shared" si="344"/>
        <v>-4.8076911964471165</v>
      </c>
      <c r="AT422">
        <f t="shared" si="365"/>
        <v>-8892.484784771761</v>
      </c>
      <c r="AU422">
        <f t="shared" si="366"/>
        <v>-4099.0133971627174</v>
      </c>
      <c r="AV422">
        <f t="shared" si="354"/>
        <v>-2.709668018446961</v>
      </c>
      <c r="AW422">
        <f t="shared" si="355"/>
        <v>-1034.3383707186069</v>
      </c>
      <c r="AX422">
        <f t="shared" si="356"/>
        <v>-2715.353099576681</v>
      </c>
      <c r="AY422">
        <f t="shared" si="364"/>
        <v>-1.9347489573123964</v>
      </c>
      <c r="BA422">
        <f t="shared" si="345"/>
        <v>3.3698578120635276</v>
      </c>
      <c r="BB422">
        <f t="shared" si="357"/>
        <v>10.552231532329108</v>
      </c>
      <c r="BC422">
        <f t="shared" si="358"/>
        <v>-0.77491906113456466</v>
      </c>
      <c r="BD422">
        <f t="shared" si="346"/>
        <v>-224.39959171798472</v>
      </c>
      <c r="BF422">
        <f t="shared" si="347"/>
        <v>-39.448993761518274</v>
      </c>
      <c r="BG422">
        <f t="shared" si="348"/>
        <v>-216.66892136511669</v>
      </c>
      <c r="BH422">
        <f t="shared" si="359"/>
        <v>-36.668921365116688</v>
      </c>
      <c r="BI422">
        <f t="shared" si="360"/>
        <v>-36.668921365116688</v>
      </c>
      <c r="BJ422">
        <f t="shared" si="349"/>
        <v>0</v>
      </c>
      <c r="BK422">
        <f t="shared" si="361"/>
        <v>0</v>
      </c>
      <c r="BM422">
        <f t="shared" si="362"/>
        <v>-50.001225293847384</v>
      </c>
      <c r="BN422">
        <f t="shared" si="350"/>
        <v>-172.269329647132</v>
      </c>
      <c r="BQ422" s="56">
        <f t="shared" si="363"/>
        <v>27.454192332614245</v>
      </c>
    </row>
    <row r="423" spans="1:69" x14ac:dyDescent="0.2">
      <c r="A423">
        <f t="shared" si="319"/>
        <v>1045000</v>
      </c>
      <c r="B423">
        <f t="shared" si="351"/>
        <v>1045</v>
      </c>
      <c r="C423">
        <f t="shared" si="320"/>
        <v>1.0085854289817744</v>
      </c>
      <c r="D423">
        <f t="shared" si="321"/>
        <v>0.13057144401540594</v>
      </c>
      <c r="F423">
        <f t="shared" si="322"/>
        <v>2.0701566521798658E-4</v>
      </c>
      <c r="G423">
        <f t="shared" si="323"/>
        <v>4.9481253959240152E-3</v>
      </c>
      <c r="H423">
        <f t="shared" si="324"/>
        <v>-3.1366445246040762</v>
      </c>
      <c r="J423">
        <f t="shared" si="325"/>
        <v>15</v>
      </c>
      <c r="M423">
        <f t="shared" si="326"/>
        <v>1.736760385381831E-3</v>
      </c>
      <c r="N423">
        <f t="shared" si="327"/>
        <v>-1.5707963250000001</v>
      </c>
      <c r="O423">
        <f t="shared" si="328"/>
        <v>124.71069197481253</v>
      </c>
      <c r="P423">
        <f t="shared" si="329"/>
        <v>1.5627776821968384</v>
      </c>
      <c r="Q423">
        <f t="shared" si="330"/>
        <v>81.400283127998648</v>
      </c>
      <c r="R423">
        <f t="shared" si="331"/>
        <v>1.5585110482099467</v>
      </c>
      <c r="S423">
        <f t="shared" si="332"/>
        <v>0.99111402248493341</v>
      </c>
      <c r="T423">
        <f t="shared" si="333"/>
        <v>-0.13341041104733545</v>
      </c>
      <c r="U423">
        <f t="shared" si="334"/>
        <v>0.42381856792942713</v>
      </c>
      <c r="V423">
        <f t="shared" si="335"/>
        <v>-1.1331392128565025</v>
      </c>
      <c r="X423">
        <f t="shared" si="352"/>
        <v>-32.692394630511245</v>
      </c>
      <c r="Y423">
        <f t="shared" si="336"/>
        <v>-155.96657760051426</v>
      </c>
      <c r="Z423">
        <f t="shared" si="353"/>
        <v>24.033422399485744</v>
      </c>
      <c r="AC423">
        <v>1</v>
      </c>
      <c r="AD423">
        <f t="shared" si="337"/>
        <v>124.7066826310305</v>
      </c>
      <c r="AE423">
        <f t="shared" si="338"/>
        <v>-5.5679432165160136E-2</v>
      </c>
      <c r="AF423">
        <f t="shared" si="339"/>
        <v>2.6053604837568006E-2</v>
      </c>
      <c r="AG423">
        <f t="shared" si="315"/>
        <v>845.0352151249856</v>
      </c>
      <c r="AH423">
        <f t="shared" si="316"/>
        <v>-1844.3160260278405</v>
      </c>
      <c r="AJ423">
        <f t="shared" si="340"/>
        <v>22100</v>
      </c>
      <c r="AK423">
        <f t="shared" si="341"/>
        <v>2965.9875482977741</v>
      </c>
      <c r="AL423">
        <v>1</v>
      </c>
      <c r="AM423">
        <f t="shared" si="342"/>
        <v>81.394140411446941</v>
      </c>
      <c r="AN423">
        <f t="shared" si="317"/>
        <v>39.769659619009346</v>
      </c>
      <c r="AO423">
        <f t="shared" si="318"/>
        <v>-271.02971084732445</v>
      </c>
      <c r="AQ423">
        <f t="shared" si="343"/>
        <v>2.2893243539927307E-3</v>
      </c>
      <c r="AR423">
        <f t="shared" si="344"/>
        <v>-4.7846878998448066</v>
      </c>
      <c r="AT423">
        <f t="shared" si="365"/>
        <v>-8822.5420135272998</v>
      </c>
      <c r="AU423">
        <f t="shared" si="366"/>
        <v>-4047.4520063461164</v>
      </c>
      <c r="AV423">
        <f t="shared" si="354"/>
        <v>-2.7114757153864479</v>
      </c>
      <c r="AW423">
        <f t="shared" si="355"/>
        <v>-1023.7279976333572</v>
      </c>
      <c r="AX423">
        <f t="shared" si="356"/>
        <v>-2703.0365371197681</v>
      </c>
      <c r="AY423">
        <f t="shared" si="364"/>
        <v>-1.9328353722672902</v>
      </c>
      <c r="BA423">
        <f t="shared" si="345"/>
        <v>3.3582360150782344</v>
      </c>
      <c r="BB423">
        <f t="shared" si="357"/>
        <v>10.522224297292617</v>
      </c>
      <c r="BC423">
        <f t="shared" si="358"/>
        <v>-0.77864034311915775</v>
      </c>
      <c r="BD423">
        <f t="shared" si="346"/>
        <v>-224.61280547032359</v>
      </c>
      <c r="BF423">
        <f t="shared" si="347"/>
        <v>-39.561632519487674</v>
      </c>
      <c r="BG423">
        <f t="shared" si="348"/>
        <v>-216.84810609275169</v>
      </c>
      <c r="BH423">
        <f t="shared" si="359"/>
        <v>-36.848106092751692</v>
      </c>
      <c r="BI423">
        <f t="shared" si="360"/>
        <v>-36.848106092751692</v>
      </c>
      <c r="BJ423">
        <f t="shared" si="349"/>
        <v>0</v>
      </c>
      <c r="BK423">
        <f t="shared" si="361"/>
        <v>0</v>
      </c>
      <c r="BM423">
        <f t="shared" si="362"/>
        <v>-50.08385681678029</v>
      </c>
      <c r="BN423">
        <f t="shared" si="350"/>
        <v>-172.23530062242813</v>
      </c>
      <c r="BQ423" s="56">
        <f t="shared" si="363"/>
        <v>27.424185097577755</v>
      </c>
    </row>
    <row r="424" spans="1:69" x14ac:dyDescent="0.2">
      <c r="A424">
        <f t="shared" si="319"/>
        <v>1050000</v>
      </c>
      <c r="B424">
        <f t="shared" si="351"/>
        <v>1050</v>
      </c>
      <c r="C424">
        <f t="shared" si="320"/>
        <v>1.0086674288999988</v>
      </c>
      <c r="D424">
        <f t="shared" si="321"/>
        <v>0.13118906096873226</v>
      </c>
      <c r="F424">
        <f t="shared" si="322"/>
        <v>2.0504840072238186E-4</v>
      </c>
      <c r="G424">
        <f t="shared" si="323"/>
        <v>4.9245535535858021E-3</v>
      </c>
      <c r="H424">
        <f t="shared" si="324"/>
        <v>-3.1366680964464142</v>
      </c>
      <c r="J424">
        <f t="shared" si="325"/>
        <v>15</v>
      </c>
      <c r="M424">
        <f t="shared" si="326"/>
        <v>1.7284900978323937E-3</v>
      </c>
      <c r="N424">
        <f t="shared" si="327"/>
        <v>-1.5707963250000001</v>
      </c>
      <c r="O424">
        <f t="shared" si="328"/>
        <v>125.3073555753232</v>
      </c>
      <c r="P424">
        <f t="shared" si="329"/>
        <v>1.5628158645936394</v>
      </c>
      <c r="Q424">
        <f t="shared" si="330"/>
        <v>81.789699527060748</v>
      </c>
      <c r="R424">
        <f t="shared" si="331"/>
        <v>1.5585695436923634</v>
      </c>
      <c r="S424">
        <f t="shared" si="332"/>
        <v>0.99102992923422584</v>
      </c>
      <c r="T424">
        <f t="shared" si="333"/>
        <v>-0.13404113770023426</v>
      </c>
      <c r="U424">
        <f t="shared" si="334"/>
        <v>0.42216077091319087</v>
      </c>
      <c r="V424">
        <f t="shared" si="335"/>
        <v>-1.134968739699419</v>
      </c>
      <c r="X424">
        <f t="shared" si="352"/>
        <v>-32.767952784024338</v>
      </c>
      <c r="Y424">
        <f t="shared" si="336"/>
        <v>-156.06796423032117</v>
      </c>
      <c r="Z424">
        <f t="shared" si="353"/>
        <v>23.932035769678834</v>
      </c>
      <c r="AC424">
        <v>1</v>
      </c>
      <c r="AD424">
        <f t="shared" si="337"/>
        <v>125.30336532304501</v>
      </c>
      <c r="AE424">
        <f t="shared" si="338"/>
        <v>-5.621352438093364E-2</v>
      </c>
      <c r="AF424">
        <f t="shared" si="339"/>
        <v>2.6178263233920005E-2</v>
      </c>
      <c r="AG424">
        <f t="shared" ref="AG424:AG487" si="367">AC424*AE424/(AE424^2+AF424^2)+AD424*AF424/(AE424^2+AF424^2)</f>
        <v>838.43731163844905</v>
      </c>
      <c r="AH424">
        <f t="shared" ref="AH424:AH487" si="368">AD424*AE424/(AE424^2+AF424^2)-AC424*AF424/(AE424^2+AF424^2)</f>
        <v>-1838.6061683919077</v>
      </c>
      <c r="AJ424">
        <f t="shared" si="340"/>
        <v>22100</v>
      </c>
      <c r="AK424">
        <f t="shared" si="341"/>
        <v>2980.1788762800602</v>
      </c>
      <c r="AL424">
        <v>1</v>
      </c>
      <c r="AM424">
        <f t="shared" si="342"/>
        <v>81.783586059348607</v>
      </c>
      <c r="AN424">
        <f t="shared" ref="AN424:AN487" si="369">AJ424*AL424/(AL424^2+AM424^2)+AK424*AM424/(AL424^2+AM424^2)</f>
        <v>39.738027064280921</v>
      </c>
      <c r="AO424">
        <f t="shared" ref="AO424:AO487" si="370">AK424*AL424/(AL424^2+AM424^2)-AJ424*AM424/(AL424^2+AM424^2)</f>
        <v>-269.73947996028272</v>
      </c>
      <c r="AQ424">
        <f t="shared" si="343"/>
        <v>2.2675731819561946E-3</v>
      </c>
      <c r="AR424">
        <f t="shared" si="344"/>
        <v>-4.7619036821080085</v>
      </c>
      <c r="AT424">
        <f t="shared" si="365"/>
        <v>-8753.3642652492999</v>
      </c>
      <c r="AU424">
        <f t="shared" si="366"/>
        <v>-3996.7268955474947</v>
      </c>
      <c r="AV424">
        <f t="shared" si="354"/>
        <v>-2.7132693382553756</v>
      </c>
      <c r="AW424">
        <f t="shared" si="355"/>
        <v>-1013.274852477876</v>
      </c>
      <c r="AX424">
        <f t="shared" si="356"/>
        <v>-2690.8305098471455</v>
      </c>
      <c r="AY424">
        <f t="shared" si="364"/>
        <v>-1.9309390814960026</v>
      </c>
      <c r="BA424">
        <f t="shared" si="345"/>
        <v>3.346667403826368</v>
      </c>
      <c r="BB424">
        <f t="shared" si="357"/>
        <v>10.492251075000041</v>
      </c>
      <c r="BC424">
        <f t="shared" si="358"/>
        <v>-0.78233025675937307</v>
      </c>
      <c r="BD424">
        <f t="shared" si="346"/>
        <v>-224.82422194891726</v>
      </c>
      <c r="BF424">
        <f t="shared" si="347"/>
        <v>-39.673836073723081</v>
      </c>
      <c r="BG424">
        <f t="shared" si="348"/>
        <v>-217.02548629360649</v>
      </c>
      <c r="BH424">
        <f t="shared" si="359"/>
        <v>-37.025486293606491</v>
      </c>
      <c r="BI424">
        <f t="shared" si="360"/>
        <v>-37.025486293606491</v>
      </c>
      <c r="BJ424">
        <f t="shared" si="349"/>
        <v>0</v>
      </c>
      <c r="BK424">
        <f t="shared" si="361"/>
        <v>0</v>
      </c>
      <c r="BM424">
        <f t="shared" si="362"/>
        <v>-50.166087148723122</v>
      </c>
      <c r="BN424">
        <f t="shared" si="350"/>
        <v>-172.20126434468921</v>
      </c>
      <c r="BQ424" s="56">
        <f t="shared" si="363"/>
        <v>27.394211875285176</v>
      </c>
    </row>
    <row r="425" spans="1:69" x14ac:dyDescent="0.2">
      <c r="A425">
        <f t="shared" si="319"/>
        <v>1055000</v>
      </c>
      <c r="B425">
        <f t="shared" si="351"/>
        <v>1055</v>
      </c>
      <c r="C425">
        <f t="shared" si="320"/>
        <v>1.0087498135124826</v>
      </c>
      <c r="D425">
        <f t="shared" si="321"/>
        <v>0.13180657727600678</v>
      </c>
      <c r="F425">
        <f t="shared" si="322"/>
        <v>2.0310904763343071E-4</v>
      </c>
      <c r="G425">
        <f t="shared" si="323"/>
        <v>4.9012052729256756E-3</v>
      </c>
      <c r="H425">
        <f t="shared" si="324"/>
        <v>-3.1366914447270746</v>
      </c>
      <c r="J425">
        <f t="shared" si="325"/>
        <v>15</v>
      </c>
      <c r="M425">
        <f t="shared" si="326"/>
        <v>1.7202982016341359E-3</v>
      </c>
      <c r="N425">
        <f t="shared" si="327"/>
        <v>-1.5707963250000001</v>
      </c>
      <c r="O425">
        <f t="shared" si="328"/>
        <v>125.90401935678739</v>
      </c>
      <c r="P425">
        <f t="shared" si="329"/>
        <v>1.5628536850949277</v>
      </c>
      <c r="Q425">
        <f t="shared" si="330"/>
        <v>82.179116203332086</v>
      </c>
      <c r="R425">
        <f t="shared" si="331"/>
        <v>1.5586274847977239</v>
      </c>
      <c r="S425">
        <f t="shared" si="332"/>
        <v>0.99094545613881557</v>
      </c>
      <c r="T425">
        <f t="shared" si="333"/>
        <v>-0.13467175708061047</v>
      </c>
      <c r="U425">
        <f t="shared" si="334"/>
        <v>0.42051450143055463</v>
      </c>
      <c r="V425">
        <f t="shared" si="335"/>
        <v>-1.1367840036348706</v>
      </c>
      <c r="X425">
        <f t="shared" si="352"/>
        <v>-32.843209593914025</v>
      </c>
      <c r="Y425">
        <f t="shared" si="336"/>
        <v>-156.16857296546749</v>
      </c>
      <c r="Z425">
        <f t="shared" si="353"/>
        <v>23.83142703453251</v>
      </c>
      <c r="AC425">
        <v>1</v>
      </c>
      <c r="AD425">
        <f t="shared" si="337"/>
        <v>125.9000480150595</v>
      </c>
      <c r="AE425">
        <f t="shared" si="338"/>
        <v>-5.6750165962892209E-2</v>
      </c>
      <c r="AF425">
        <f t="shared" si="339"/>
        <v>2.6302921630272008E-2</v>
      </c>
      <c r="AG425">
        <f t="shared" si="367"/>
        <v>831.910876503498</v>
      </c>
      <c r="AH425">
        <f t="shared" si="368"/>
        <v>-1832.917308031004</v>
      </c>
      <c r="AJ425">
        <f t="shared" si="340"/>
        <v>22100</v>
      </c>
      <c r="AK425">
        <f t="shared" si="341"/>
        <v>2994.3702042623463</v>
      </c>
      <c r="AL425">
        <v>1</v>
      </c>
      <c r="AM425">
        <f t="shared" si="342"/>
        <v>82.173031707250274</v>
      </c>
      <c r="AN425">
        <f t="shared" si="369"/>
        <v>39.706843106108572</v>
      </c>
      <c r="AO425">
        <f t="shared" si="370"/>
        <v>-268.46147329072528</v>
      </c>
      <c r="AQ425">
        <f t="shared" si="343"/>
        <v>2.2461305347744806E-3</v>
      </c>
      <c r="AR425">
        <f t="shared" si="344"/>
        <v>-4.7393354283741544</v>
      </c>
      <c r="AT425">
        <f t="shared" si="365"/>
        <v>-8684.9413548095945</v>
      </c>
      <c r="AU425">
        <f t="shared" si="366"/>
        <v>-3946.8216617961089</v>
      </c>
      <c r="AV425">
        <f t="shared" si="354"/>
        <v>-2.7150490385159309</v>
      </c>
      <c r="AW425">
        <f t="shared" si="355"/>
        <v>-1002.9758507774583</v>
      </c>
      <c r="AX425">
        <f t="shared" si="356"/>
        <v>-2678.7335217108048</v>
      </c>
      <c r="AY425">
        <f t="shared" si="364"/>
        <v>-1.9290598625082183</v>
      </c>
      <c r="BA425">
        <f t="shared" si="345"/>
        <v>3.3351521373371518</v>
      </c>
      <c r="BB425">
        <f t="shared" si="357"/>
        <v>10.462312992331739</v>
      </c>
      <c r="BC425">
        <f t="shared" si="358"/>
        <v>-0.78598917600771268</v>
      </c>
      <c r="BD425">
        <f t="shared" si="346"/>
        <v>-225.03386257966585</v>
      </c>
      <c r="BF425">
        <f t="shared" si="347"/>
        <v>-39.785607082018032</v>
      </c>
      <c r="BG425">
        <f t="shared" si="348"/>
        <v>-217.20108360406957</v>
      </c>
      <c r="BH425">
        <f t="shared" si="359"/>
        <v>-37.201083604069566</v>
      </c>
      <c r="BI425">
        <f t="shared" si="360"/>
        <v>-37.201083604069566</v>
      </c>
      <c r="BJ425">
        <f t="shared" si="349"/>
        <v>0</v>
      </c>
      <c r="BK425">
        <f t="shared" si="361"/>
        <v>0</v>
      </c>
      <c r="BM425">
        <f t="shared" si="362"/>
        <v>-50.247920074349778</v>
      </c>
      <c r="BN425">
        <f t="shared" si="350"/>
        <v>-172.16722102440372</v>
      </c>
      <c r="BQ425" s="56">
        <f t="shared" si="363"/>
        <v>27.364273792616874</v>
      </c>
    </row>
    <row r="426" spans="1:69" x14ac:dyDescent="0.2">
      <c r="A426">
        <f t="shared" si="319"/>
        <v>1060000</v>
      </c>
      <c r="B426">
        <f t="shared" si="351"/>
        <v>1060</v>
      </c>
      <c r="C426">
        <f t="shared" si="320"/>
        <v>1.0088325827249798</v>
      </c>
      <c r="D426">
        <f t="shared" si="321"/>
        <v>0.13242399249099424</v>
      </c>
      <c r="F426">
        <f t="shared" si="322"/>
        <v>2.0119708039764087E-4</v>
      </c>
      <c r="G426">
        <f t="shared" si="323"/>
        <v>4.8780773878632552E-3</v>
      </c>
      <c r="H426">
        <f t="shared" si="324"/>
        <v>-3.1367145726121368</v>
      </c>
      <c r="J426">
        <f t="shared" si="325"/>
        <v>15</v>
      </c>
      <c r="M426">
        <f t="shared" si="326"/>
        <v>1.7121835874754844E-3</v>
      </c>
      <c r="N426">
        <f t="shared" si="327"/>
        <v>-1.5707963250000001</v>
      </c>
      <c r="O426">
        <f t="shared" si="328"/>
        <v>126.50068331664461</v>
      </c>
      <c r="P426">
        <f t="shared" si="329"/>
        <v>1.5628911488214365</v>
      </c>
      <c r="Q426">
        <f t="shared" si="330"/>
        <v>82.568533152890481</v>
      </c>
      <c r="R426">
        <f t="shared" si="331"/>
        <v>1.5586848793694414</v>
      </c>
      <c r="S426">
        <f t="shared" si="332"/>
        <v>0.99086060349735905</v>
      </c>
      <c r="T426">
        <f t="shared" si="333"/>
        <v>-0.13530226871438661</v>
      </c>
      <c r="U426">
        <f t="shared" si="334"/>
        <v>0.41887965750668998</v>
      </c>
      <c r="V426">
        <f t="shared" si="335"/>
        <v>-1.1385851589801561</v>
      </c>
      <c r="X426">
        <f t="shared" si="352"/>
        <v>-32.918167294471573</v>
      </c>
      <c r="Y426">
        <f t="shared" si="336"/>
        <v>-156.26841208470017</v>
      </c>
      <c r="Z426">
        <f t="shared" si="353"/>
        <v>23.731587915299826</v>
      </c>
      <c r="AC426">
        <v>1</v>
      </c>
      <c r="AD426">
        <f t="shared" si="337"/>
        <v>126.49673070707401</v>
      </c>
      <c r="AE426">
        <f t="shared" si="338"/>
        <v>-5.7289356911035864E-2</v>
      </c>
      <c r="AF426">
        <f t="shared" si="339"/>
        <v>2.6427580026624001E-2</v>
      </c>
      <c r="AG426">
        <f t="shared" si="367"/>
        <v>825.45497213414876</v>
      </c>
      <c r="AH426">
        <f t="shared" si="368"/>
        <v>-1827.2495803222889</v>
      </c>
      <c r="AJ426">
        <f t="shared" si="340"/>
        <v>22100</v>
      </c>
      <c r="AK426">
        <f t="shared" si="341"/>
        <v>3008.5615322446324</v>
      </c>
      <c r="AL426">
        <v>1</v>
      </c>
      <c r="AM426">
        <f t="shared" si="342"/>
        <v>82.562477355151927</v>
      </c>
      <c r="AN426">
        <f t="shared" si="369"/>
        <v>39.676099302474675</v>
      </c>
      <c r="AO426">
        <f t="shared" si="370"/>
        <v>-267.19551795669264</v>
      </c>
      <c r="AQ426">
        <f t="shared" si="343"/>
        <v>2.2249906049771704E-3</v>
      </c>
      <c r="AR426">
        <f t="shared" si="344"/>
        <v>-4.7169800825516015</v>
      </c>
      <c r="AT426">
        <f t="shared" si="365"/>
        <v>-8617.2632466731793</v>
      </c>
      <c r="AU426">
        <f t="shared" si="366"/>
        <v>-3897.7202757491323</v>
      </c>
      <c r="AV426">
        <f t="shared" si="354"/>
        <v>-2.7168149656702894</v>
      </c>
      <c r="AW426">
        <f t="shared" si="355"/>
        <v>-992.82798295858754</v>
      </c>
      <c r="AX426">
        <f t="shared" si="356"/>
        <v>-2666.7441042048922</v>
      </c>
      <c r="AY426">
        <f t="shared" si="364"/>
        <v>-1.9271974961533886</v>
      </c>
      <c r="BA426">
        <f t="shared" si="345"/>
        <v>3.3236903550778476</v>
      </c>
      <c r="BB426">
        <f t="shared" si="357"/>
        <v>10.432411136507477</v>
      </c>
      <c r="BC426">
        <f t="shared" si="358"/>
        <v>-0.78961746951690071</v>
      </c>
      <c r="BD426">
        <f t="shared" si="346"/>
        <v>-225.24174848481459</v>
      </c>
      <c r="BF426">
        <f t="shared" si="347"/>
        <v>-39.896948188131255</v>
      </c>
      <c r="BG426">
        <f t="shared" si="348"/>
        <v>-217.37491935335655</v>
      </c>
      <c r="BH426">
        <f t="shared" si="359"/>
        <v>-37.374919353356546</v>
      </c>
      <c r="BI426">
        <f t="shared" si="360"/>
        <v>-37.374919353356546</v>
      </c>
      <c r="BJ426">
        <f t="shared" si="349"/>
        <v>0</v>
      </c>
      <c r="BK426">
        <f t="shared" si="361"/>
        <v>0</v>
      </c>
      <c r="BM426">
        <f t="shared" si="362"/>
        <v>-50.32935932463873</v>
      </c>
      <c r="BN426">
        <f t="shared" si="350"/>
        <v>-172.13317086854198</v>
      </c>
      <c r="BQ426" s="56">
        <f t="shared" si="363"/>
        <v>27.334371936792614</v>
      </c>
    </row>
    <row r="427" spans="1:69" x14ac:dyDescent="0.2">
      <c r="A427">
        <f t="shared" si="319"/>
        <v>1065000</v>
      </c>
      <c r="B427">
        <f t="shared" si="351"/>
        <v>1065</v>
      </c>
      <c r="C427">
        <f t="shared" si="320"/>
        <v>1.0089157364428352</v>
      </c>
      <c r="D427">
        <f t="shared" si="321"/>
        <v>0.13304130616791363</v>
      </c>
      <c r="F427">
        <f t="shared" si="322"/>
        <v>1.9931198577409482E-4</v>
      </c>
      <c r="G427">
        <f t="shared" si="323"/>
        <v>4.8551667918327098E-3</v>
      </c>
      <c r="H427">
        <f t="shared" si="324"/>
        <v>-3.1367374832081674</v>
      </c>
      <c r="J427">
        <f t="shared" si="325"/>
        <v>15</v>
      </c>
      <c r="M427">
        <f t="shared" si="326"/>
        <v>1.7041451668770077E-3</v>
      </c>
      <c r="N427">
        <f t="shared" si="327"/>
        <v>-1.5707963250000001</v>
      </c>
      <c r="O427">
        <f t="shared" si="328"/>
        <v>127.09734745238241</v>
      </c>
      <c r="P427">
        <f t="shared" si="329"/>
        <v>1.5629282607977448</v>
      </c>
      <c r="Q427">
        <f t="shared" si="330"/>
        <v>82.957950371887392</v>
      </c>
      <c r="R427">
        <f t="shared" si="331"/>
        <v>1.558741735103671</v>
      </c>
      <c r="S427">
        <f t="shared" si="332"/>
        <v>0.99077537160971785</v>
      </c>
      <c r="T427">
        <f t="shared" si="333"/>
        <v>-0.13593267212798996</v>
      </c>
      <c r="U427">
        <f t="shared" si="334"/>
        <v>0.41725613803836298</v>
      </c>
      <c r="V427">
        <f t="shared" si="335"/>
        <v>-1.1403723580293006</v>
      </c>
      <c r="X427">
        <f t="shared" si="352"/>
        <v>-32.992828096468259</v>
      </c>
      <c r="Y427">
        <f t="shared" si="336"/>
        <v>-156.36748976138048</v>
      </c>
      <c r="Z427">
        <f t="shared" si="353"/>
        <v>23.632510238619517</v>
      </c>
      <c r="AC427">
        <v>1</v>
      </c>
      <c r="AD427">
        <f t="shared" si="337"/>
        <v>127.0934133990885</v>
      </c>
      <c r="AE427">
        <f t="shared" si="338"/>
        <v>-5.7831097225364586E-2</v>
      </c>
      <c r="AF427">
        <f t="shared" si="339"/>
        <v>2.6552238422976004E-2</v>
      </c>
      <c r="AG427">
        <f t="shared" si="367"/>
        <v>819.06867434758647</v>
      </c>
      <c r="AH427">
        <f t="shared" si="368"/>
        <v>-1821.6031119467727</v>
      </c>
      <c r="AJ427">
        <f t="shared" si="340"/>
        <v>22100</v>
      </c>
      <c r="AK427">
        <f t="shared" si="341"/>
        <v>3022.7528602269185</v>
      </c>
      <c r="AL427">
        <v>1</v>
      </c>
      <c r="AM427">
        <f t="shared" si="342"/>
        <v>82.951923003053594</v>
      </c>
      <c r="AN427">
        <f t="shared" si="369"/>
        <v>39.645787409006878</v>
      </c>
      <c r="AO427">
        <f t="shared" si="370"/>
        <v>-265.94144432045192</v>
      </c>
      <c r="AQ427">
        <f t="shared" si="343"/>
        <v>2.2041477210986088E-3</v>
      </c>
      <c r="AR427">
        <f t="shared" si="344"/>
        <v>-4.6948346459400367</v>
      </c>
      <c r="AT427">
        <f t="shared" si="365"/>
        <v>-8550.3200527679091</v>
      </c>
      <c r="AU427">
        <f t="shared" si="366"/>
        <v>-3849.4070720791697</v>
      </c>
      <c r="AV427">
        <f t="shared" si="354"/>
        <v>-2.7185672672877672</v>
      </c>
      <c r="AW427">
        <f t="shared" si="355"/>
        <v>-982.82831219067316</v>
      </c>
      <c r="AX427">
        <f t="shared" si="356"/>
        <v>-2654.8608157135009</v>
      </c>
      <c r="AY427">
        <f t="shared" si="364"/>
        <v>-1.9253517665714655</v>
      </c>
      <c r="BA427">
        <f t="shared" si="345"/>
        <v>3.3122821777209284</v>
      </c>
      <c r="BB427">
        <f t="shared" si="357"/>
        <v>10.402546556260134</v>
      </c>
      <c r="BC427">
        <f t="shared" si="358"/>
        <v>-0.79321550071630176</v>
      </c>
      <c r="BD427">
        <f t="shared" si="346"/>
        <v>-225.44790048733222</v>
      </c>
      <c r="BF427">
        <f t="shared" si="347"/>
        <v>-40.007862021624788</v>
      </c>
      <c r="BG427">
        <f t="shared" si="348"/>
        <v>-217.54701456797076</v>
      </c>
      <c r="BH427">
        <f t="shared" si="359"/>
        <v>-37.547014567970763</v>
      </c>
      <c r="BI427">
        <f t="shared" si="360"/>
        <v>-37.547014567970763</v>
      </c>
      <c r="BJ427">
        <f t="shared" si="349"/>
        <v>0</v>
      </c>
      <c r="BK427">
        <f t="shared" si="361"/>
        <v>0</v>
      </c>
      <c r="BM427">
        <f t="shared" si="362"/>
        <v>-50.410408577884915</v>
      </c>
      <c r="BN427">
        <f t="shared" si="350"/>
        <v>-172.09911408063857</v>
      </c>
      <c r="BQ427" s="56">
        <f t="shared" si="363"/>
        <v>27.304507356545273</v>
      </c>
    </row>
    <row r="428" spans="1:69" x14ac:dyDescent="0.2">
      <c r="A428">
        <f t="shared" ref="A428:A433" si="371">A427+5000</f>
        <v>1070000</v>
      </c>
      <c r="B428">
        <f t="shared" si="351"/>
        <v>1070</v>
      </c>
      <c r="C428">
        <f t="shared" si="320"/>
        <v>1.008999274570985</v>
      </c>
      <c r="D428">
        <f t="shared" si="321"/>
        <v>0.13365851786144012</v>
      </c>
      <c r="F428">
        <f t="shared" si="322"/>
        <v>1.974532624898951E-4</v>
      </c>
      <c r="G428">
        <f t="shared" si="323"/>
        <v>4.8324704363906139E-3</v>
      </c>
      <c r="H428">
        <f t="shared" si="324"/>
        <v>-3.1367601795636095</v>
      </c>
      <c r="J428">
        <f t="shared" si="325"/>
        <v>15</v>
      </c>
      <c r="M428">
        <f t="shared" si="326"/>
        <v>1.6961818717046854E-3</v>
      </c>
      <c r="N428">
        <f t="shared" si="327"/>
        <v>-1.5707963250000001</v>
      </c>
      <c r="O428">
        <f t="shared" si="328"/>
        <v>127.69401176153534</v>
      </c>
      <c r="P428">
        <f t="shared" si="329"/>
        <v>1.5629650259545245</v>
      </c>
      <c r="Q428">
        <f t="shared" si="330"/>
        <v>83.347367856546171</v>
      </c>
      <c r="R428">
        <f t="shared" si="331"/>
        <v>1.5587980595527489</v>
      </c>
      <c r="S428">
        <f t="shared" si="332"/>
        <v>0.99068976077695392</v>
      </c>
      <c r="T428">
        <f t="shared" si="333"/>
        <v>-0.13656296684835426</v>
      </c>
      <c r="U428">
        <f t="shared" si="334"/>
        <v>0.41564384279318356</v>
      </c>
      <c r="V428">
        <f t="shared" si="335"/>
        <v>-1.1421457510819932</v>
      </c>
      <c r="X428">
        <f t="shared" si="352"/>
        <v>-33.067194187482329</v>
      </c>
      <c r="Y428">
        <f t="shared" si="336"/>
        <v>-156.46581406489597</v>
      </c>
      <c r="Z428">
        <f t="shared" si="353"/>
        <v>23.534185935104034</v>
      </c>
      <c r="AC428">
        <v>1</v>
      </c>
      <c r="AD428">
        <f t="shared" si="337"/>
        <v>127.69009609110299</v>
      </c>
      <c r="AE428">
        <f t="shared" si="338"/>
        <v>-5.8375386905878394E-2</v>
      </c>
      <c r="AF428">
        <f t="shared" si="339"/>
        <v>2.6676896819328003E-2</v>
      </c>
      <c r="AG428">
        <f t="shared" si="367"/>
        <v>812.75107218598282</v>
      </c>
      <c r="AH428">
        <f t="shared" si="368"/>
        <v>-1815.9780211739253</v>
      </c>
      <c r="AJ428">
        <f t="shared" si="340"/>
        <v>22100</v>
      </c>
      <c r="AK428">
        <f t="shared" si="341"/>
        <v>3036.9441882092046</v>
      </c>
      <c r="AL428">
        <v>1</v>
      </c>
      <c r="AM428">
        <f t="shared" si="342"/>
        <v>83.341368650955246</v>
      </c>
      <c r="AN428">
        <f t="shared" si="369"/>
        <v>39.615899373451498</v>
      </c>
      <c r="AO428">
        <f t="shared" si="370"/>
        <v>-264.69908591276413</v>
      </c>
      <c r="AQ428">
        <f t="shared" si="343"/>
        <v>2.1835963438736256E-3</v>
      </c>
      <c r="AR428">
        <f t="shared" si="344"/>
        <v>-4.6728961758895586</v>
      </c>
      <c r="AT428">
        <f t="shared" si="365"/>
        <v>-8484.1020303734185</v>
      </c>
      <c r="AU428">
        <f t="shared" si="366"/>
        <v>-3801.8667401356083</v>
      </c>
      <c r="AV428">
        <f t="shared" si="354"/>
        <v>-2.7203060890316482</v>
      </c>
      <c r="AW428">
        <f t="shared" si="355"/>
        <v>-972.97397229951571</v>
      </c>
      <c r="AX428">
        <f t="shared" si="356"/>
        <v>-2643.0822408775407</v>
      </c>
      <c r="AY428">
        <f t="shared" si="364"/>
        <v>-1.9235224611440371</v>
      </c>
      <c r="BA428">
        <f t="shared" si="345"/>
        <v>3.3009277078849912</v>
      </c>
      <c r="BB428">
        <f t="shared" si="357"/>
        <v>10.372720262974443</v>
      </c>
      <c r="BC428">
        <f t="shared" si="358"/>
        <v>-0.79678362788761103</v>
      </c>
      <c r="BD428">
        <f t="shared" si="346"/>
        <v>-225.6523391152478</v>
      </c>
      <c r="BF428">
        <f t="shared" si="347"/>
        <v>-40.118351197713352</v>
      </c>
      <c r="BG428">
        <f t="shared" si="348"/>
        <v>-217.71738997611939</v>
      </c>
      <c r="BH428">
        <f t="shared" si="359"/>
        <v>-37.717389976119392</v>
      </c>
      <c r="BI428">
        <f t="shared" si="360"/>
        <v>-37.717389976119392</v>
      </c>
      <c r="BJ428">
        <f t="shared" si="349"/>
        <v>0</v>
      </c>
      <c r="BK428">
        <f t="shared" si="361"/>
        <v>0</v>
      </c>
      <c r="BM428">
        <f t="shared" si="362"/>
        <v>-50.491071460687792</v>
      </c>
      <c r="BN428">
        <f t="shared" si="350"/>
        <v>-172.06505086087165</v>
      </c>
      <c r="BQ428" s="56">
        <f t="shared" si="363"/>
        <v>27.274681063259582</v>
      </c>
    </row>
    <row r="429" spans="1:69" x14ac:dyDescent="0.2">
      <c r="A429">
        <f t="shared" si="371"/>
        <v>1075000</v>
      </c>
      <c r="B429">
        <f t="shared" si="351"/>
        <v>1075</v>
      </c>
      <c r="C429">
        <f t="shared" si="320"/>
        <v>1.0090831970139575</v>
      </c>
      <c r="D429">
        <f t="shared" si="321"/>
        <v>0.13427562712670688</v>
      </c>
      <c r="F429">
        <f t="shared" si="322"/>
        <v>1.956204209068074E-4</v>
      </c>
      <c r="G429">
        <f t="shared" si="323"/>
        <v>4.8099853298627284E-3</v>
      </c>
      <c r="H429">
        <f t="shared" si="324"/>
        <v>-3.1367826646701373</v>
      </c>
      <c r="J429">
        <f t="shared" si="325"/>
        <v>15</v>
      </c>
      <c r="M429">
        <f t="shared" si="326"/>
        <v>1.6882926536967568E-3</v>
      </c>
      <c r="N429">
        <f t="shared" si="327"/>
        <v>-1.5707963250000001</v>
      </c>
      <c r="O429">
        <f t="shared" si="328"/>
        <v>128.29067624168383</v>
      </c>
      <c r="P429">
        <f t="shared" si="329"/>
        <v>1.5630014491307225</v>
      </c>
      <c r="Q429">
        <f t="shared" si="330"/>
        <v>83.736785603160456</v>
      </c>
      <c r="R429">
        <f t="shared" si="331"/>
        <v>1.5588538601285367</v>
      </c>
      <c r="S429">
        <f t="shared" si="332"/>
        <v>0.9906037713013286</v>
      </c>
      <c r="T429">
        <f t="shared" si="333"/>
        <v>-0.13719315240292199</v>
      </c>
      <c r="U429">
        <f t="shared" si="334"/>
        <v>0.41404267240849757</v>
      </c>
      <c r="V429">
        <f t="shared" si="335"/>
        <v>-1.1439054864721405</v>
      </c>
      <c r="X429">
        <f t="shared" si="352"/>
        <v>-33.141267732219816</v>
      </c>
      <c r="Y429">
        <f t="shared" si="336"/>
        <v>-156.56339296205766</v>
      </c>
      <c r="Z429">
        <f t="shared" si="353"/>
        <v>23.436607037942338</v>
      </c>
      <c r="AC429">
        <v>1</v>
      </c>
      <c r="AD429">
        <f t="shared" si="337"/>
        <v>128.28677878311751</v>
      </c>
      <c r="AE429">
        <f t="shared" si="338"/>
        <v>-5.8922225952577269E-2</v>
      </c>
      <c r="AF429">
        <f t="shared" si="339"/>
        <v>2.6801555215680006E-2</v>
      </c>
      <c r="AG429">
        <f t="shared" si="367"/>
        <v>806.501267739333</v>
      </c>
      <c r="AH429">
        <f t="shared" si="368"/>
        <v>-1810.3744181378813</v>
      </c>
      <c r="AJ429">
        <f t="shared" si="340"/>
        <v>22100</v>
      </c>
      <c r="AK429">
        <f t="shared" si="341"/>
        <v>3051.1355161914903</v>
      </c>
      <c r="AL429">
        <v>1</v>
      </c>
      <c r="AM429">
        <f t="shared" si="342"/>
        <v>83.730814298856913</v>
      </c>
      <c r="AN429">
        <f t="shared" si="369"/>
        <v>39.586427330326373</v>
      </c>
      <c r="AO429">
        <f t="shared" si="370"/>
        <v>-263.46827935926143</v>
      </c>
      <c r="AQ429">
        <f t="shared" si="343"/>
        <v>2.1633310625568279E-3</v>
      </c>
      <c r="AR429">
        <f t="shared" si="344"/>
        <v>-4.6511617844971802</v>
      </c>
      <c r="AT429">
        <f t="shared" si="365"/>
        <v>-8418.5995800297405</v>
      </c>
      <c r="AU429">
        <f t="shared" si="366"/>
        <v>-3755.0843148713302</v>
      </c>
      <c r="AV429">
        <f t="shared" si="354"/>
        <v>-2.7220315746856816</v>
      </c>
      <c r="AW429">
        <f t="shared" si="355"/>
        <v>-963.26216574977946</v>
      </c>
      <c r="AX429">
        <f t="shared" si="356"/>
        <v>-2631.406989980012</v>
      </c>
      <c r="AY429">
        <f t="shared" si="364"/>
        <v>-1.9217093704458774</v>
      </c>
      <c r="BA429">
        <f t="shared" si="345"/>
        <v>3.2896270308502769</v>
      </c>
      <c r="BB429">
        <f t="shared" si="357"/>
        <v>10.342933231791946</v>
      </c>
      <c r="BC429">
        <f t="shared" si="358"/>
        <v>-0.80032220423980416</v>
      </c>
      <c r="BD429">
        <f t="shared" si="346"/>
        <v>-225.85508460594491</v>
      </c>
      <c r="BF429">
        <f t="shared" si="347"/>
        <v>-40.228418317124451</v>
      </c>
      <c r="BG429">
        <f t="shared" si="348"/>
        <v>-217.88606601208537</v>
      </c>
      <c r="BH429">
        <f t="shared" si="359"/>
        <v>-37.886066012085365</v>
      </c>
      <c r="BI429">
        <f t="shared" si="360"/>
        <v>-37.886066012085365</v>
      </c>
      <c r="BJ429">
        <f t="shared" si="349"/>
        <v>0</v>
      </c>
      <c r="BK429">
        <f t="shared" si="361"/>
        <v>0</v>
      </c>
      <c r="BM429">
        <f t="shared" si="362"/>
        <v>-50.571351548916397</v>
      </c>
      <c r="BN429">
        <f t="shared" si="350"/>
        <v>-172.03098140614043</v>
      </c>
      <c r="BQ429" s="56">
        <f t="shared" si="363"/>
        <v>27.244894032077084</v>
      </c>
    </row>
    <row r="430" spans="1:69" x14ac:dyDescent="0.2">
      <c r="A430">
        <f t="shared" si="371"/>
        <v>1080000</v>
      </c>
      <c r="B430">
        <f t="shared" si="351"/>
        <v>1080</v>
      </c>
      <c r="C430">
        <f t="shared" si="320"/>
        <v>1.009167503675874</v>
      </c>
      <c r="D430">
        <f t="shared" si="321"/>
        <v>0.13489263351930667</v>
      </c>
      <c r="F430">
        <f t="shared" si="322"/>
        <v>1.9381298269868685E-4</v>
      </c>
      <c r="G430">
        <f t="shared" si="323"/>
        <v>4.7877085360283995E-3</v>
      </c>
      <c r="H430">
        <f t="shared" si="324"/>
        <v>-3.1368049414639718</v>
      </c>
      <c r="J430">
        <f t="shared" si="325"/>
        <v>15</v>
      </c>
      <c r="M430">
        <f t="shared" si="326"/>
        <v>1.680476484003716E-3</v>
      </c>
      <c r="N430">
        <f t="shared" si="327"/>
        <v>-1.5707963250000001</v>
      </c>
      <c r="O430">
        <f t="shared" si="328"/>
        <v>128.88734089045303</v>
      </c>
      <c r="P430">
        <f t="shared" si="329"/>
        <v>1.5630375350756858</v>
      </c>
      <c r="Q430">
        <f t="shared" si="330"/>
        <v>84.126203608092482</v>
      </c>
      <c r="R430">
        <f t="shared" si="331"/>
        <v>1.5589091441056719</v>
      </c>
      <c r="S430">
        <f t="shared" si="332"/>
        <v>0.99051740348629802</v>
      </c>
      <c r="T430">
        <f t="shared" si="333"/>
        <v>-0.13782322831964597</v>
      </c>
      <c r="U430">
        <f t="shared" si="334"/>
        <v>0.41245252838993524</v>
      </c>
      <c r="V430">
        <f t="shared" si="335"/>
        <v>-1.1456517105960342</v>
      </c>
      <c r="X430">
        <f t="shared" si="352"/>
        <v>-33.215050872829401</v>
      </c>
      <c r="Y430">
        <f t="shared" si="336"/>
        <v>-156.66023431848103</v>
      </c>
      <c r="Z430">
        <f t="shared" si="353"/>
        <v>23.339765681518969</v>
      </c>
      <c r="AC430">
        <v>1</v>
      </c>
      <c r="AD430">
        <f t="shared" si="337"/>
        <v>128.88346147513201</v>
      </c>
      <c r="AE430">
        <f t="shared" si="338"/>
        <v>-5.9471614365461223E-2</v>
      </c>
      <c r="AF430">
        <f t="shared" si="339"/>
        <v>2.6926213612032006E-2</v>
      </c>
      <c r="AG430">
        <f t="shared" si="367"/>
        <v>800.31837596937692</v>
      </c>
      <c r="AH430">
        <f t="shared" si="368"/>
        <v>-1804.792405105474</v>
      </c>
      <c r="AJ430">
        <f t="shared" si="340"/>
        <v>22100</v>
      </c>
      <c r="AK430">
        <f t="shared" si="341"/>
        <v>3065.3268441737764</v>
      </c>
      <c r="AL430">
        <v>1</v>
      </c>
      <c r="AM430">
        <f t="shared" si="342"/>
        <v>84.120259946758566</v>
      </c>
      <c r="AN430">
        <f t="shared" si="369"/>
        <v>39.557363595746565</v>
      </c>
      <c r="AO430">
        <f t="shared" si="370"/>
        <v>-262.24886430886875</v>
      </c>
      <c r="AQ430">
        <f t="shared" si="343"/>
        <v>2.1433465913608986E-3</v>
      </c>
      <c r="AR430">
        <f t="shared" si="344"/>
        <v>-4.6296286373395414</v>
      </c>
      <c r="AT430">
        <f t="shared" si="365"/>
        <v>-8353.8032434660709</v>
      </c>
      <c r="AU430">
        <f t="shared" si="366"/>
        <v>-3709.0451680264982</v>
      </c>
      <c r="AV430">
        <f t="shared" si="354"/>
        <v>-2.7237438661802549</v>
      </c>
      <c r="AW430">
        <f t="shared" si="355"/>
        <v>-953.69016169392376</v>
      </c>
      <c r="AX430">
        <f t="shared" si="356"/>
        <v>-2619.8336983490426</v>
      </c>
      <c r="AY430">
        <f t="shared" si="364"/>
        <v>-1.9199122881969388</v>
      </c>
      <c r="BA430">
        <f t="shared" si="345"/>
        <v>3.2783802152495878</v>
      </c>
      <c r="BB430">
        <f t="shared" si="357"/>
        <v>10.313186402683044</v>
      </c>
      <c r="BC430">
        <f t="shared" si="358"/>
        <v>-0.80383157798331606</v>
      </c>
      <c r="BD430">
        <f t="shared" si="346"/>
        <v>-226.05615691041194</v>
      </c>
      <c r="BF430">
        <f t="shared" si="347"/>
        <v>-40.338065965968902</v>
      </c>
      <c r="BG430">
        <f t="shared" si="348"/>
        <v>-218.05306282055267</v>
      </c>
      <c r="BH430">
        <f t="shared" si="359"/>
        <v>-38.053062820552668</v>
      </c>
      <c r="BI430">
        <f t="shared" si="360"/>
        <v>-38.053062820552668</v>
      </c>
      <c r="BJ430">
        <f t="shared" si="349"/>
        <v>0</v>
      </c>
      <c r="BK430">
        <f t="shared" si="361"/>
        <v>0</v>
      </c>
      <c r="BM430">
        <f t="shared" si="362"/>
        <v>-50.651252368651939</v>
      </c>
      <c r="BN430">
        <f t="shared" si="350"/>
        <v>-171.99690591014075</v>
      </c>
      <c r="BQ430" s="56">
        <f t="shared" si="363"/>
        <v>27.215147202968183</v>
      </c>
    </row>
    <row r="431" spans="1:69" x14ac:dyDescent="0.2">
      <c r="A431">
        <f t="shared" si="371"/>
        <v>1085000</v>
      </c>
      <c r="B431">
        <f t="shared" si="351"/>
        <v>1085</v>
      </c>
      <c r="C431">
        <f t="shared" si="320"/>
        <v>1.0092521944604489</v>
      </c>
      <c r="D431">
        <f t="shared" si="321"/>
        <v>0.1355095365952938</v>
      </c>
      <c r="F431">
        <f t="shared" si="322"/>
        <v>1.9203048053929083E-4</v>
      </c>
      <c r="G431">
        <f t="shared" si="323"/>
        <v>4.7656371728414032E-3</v>
      </c>
      <c r="H431">
        <f t="shared" si="324"/>
        <v>-3.1368270128271587</v>
      </c>
      <c r="J431">
        <f t="shared" si="325"/>
        <v>15</v>
      </c>
      <c r="M431">
        <f t="shared" si="326"/>
        <v>1.6727323527410262E-3</v>
      </c>
      <c r="N431">
        <f t="shared" si="327"/>
        <v>-1.5707963250000001</v>
      </c>
      <c r="O431">
        <f t="shared" si="328"/>
        <v>129.48400570551195</v>
      </c>
      <c r="P431">
        <f t="shared" si="329"/>
        <v>1.5630732884512235</v>
      </c>
      <c r="Q431">
        <f t="shared" si="330"/>
        <v>84.515621867771557</v>
      </c>
      <c r="R431">
        <f t="shared" si="331"/>
        <v>1.5589639186247293</v>
      </c>
      <c r="S431">
        <f t="shared" si="332"/>
        <v>0.99043065763651084</v>
      </c>
      <c r="T431">
        <f t="shared" si="333"/>
        <v>-0.13845319412699159</v>
      </c>
      <c r="U431">
        <f t="shared" si="334"/>
        <v>0.41087331310963793</v>
      </c>
      <c r="V431">
        <f t="shared" si="335"/>
        <v>-1.1473845679401375</v>
      </c>
      <c r="X431">
        <f t="shared" si="352"/>
        <v>-33.288545729211464</v>
      </c>
      <c r="Y431">
        <f t="shared" si="336"/>
        <v>-156.75634589995215</v>
      </c>
      <c r="Z431">
        <f t="shared" si="353"/>
        <v>23.243654100047848</v>
      </c>
      <c r="AC431">
        <v>1</v>
      </c>
      <c r="AD431">
        <f t="shared" si="337"/>
        <v>129.48014416714651</v>
      </c>
      <c r="AE431">
        <f t="shared" si="338"/>
        <v>-6.002355214453025E-2</v>
      </c>
      <c r="AF431">
        <f t="shared" si="339"/>
        <v>2.7050872008384005E-2</v>
      </c>
      <c r="AG431">
        <f t="shared" si="367"/>
        <v>794.20152453469416</v>
      </c>
      <c r="AH431">
        <f t="shared" si="368"/>
        <v>-1799.2320767363383</v>
      </c>
      <c r="AJ431">
        <f t="shared" si="340"/>
        <v>22100</v>
      </c>
      <c r="AK431">
        <f t="shared" si="341"/>
        <v>3079.5181721560621</v>
      </c>
      <c r="AL431">
        <v>1</v>
      </c>
      <c r="AM431">
        <f t="shared" si="342"/>
        <v>84.509705594660218</v>
      </c>
      <c r="AN431">
        <f t="shared" si="369"/>
        <v>39.528700662416433</v>
      </c>
      <c r="AO431">
        <f t="shared" si="370"/>
        <v>-261.04068336420147</v>
      </c>
      <c r="AQ431">
        <f t="shared" si="343"/>
        <v>2.1236377660095213E-3</v>
      </c>
      <c r="AR431">
        <f t="shared" si="344"/>
        <v>-4.6082939522406612</v>
      </c>
      <c r="AT431">
        <f t="shared" si="365"/>
        <v>-8289.7037015501483</v>
      </c>
      <c r="AU431">
        <f t="shared" si="366"/>
        <v>-3663.7349995615173</v>
      </c>
      <c r="AV431">
        <f t="shared" si="354"/>
        <v>-2.7254431036182405</v>
      </c>
      <c r="AW431">
        <f t="shared" si="355"/>
        <v>-944.25529408509033</v>
      </c>
      <c r="AX431">
        <f t="shared" si="356"/>
        <v>-2608.3610257780865</v>
      </c>
      <c r="AY431">
        <f t="shared" si="364"/>
        <v>-1.9181310112147945</v>
      </c>
      <c r="BA431">
        <f t="shared" si="345"/>
        <v>3.2671873137354406</v>
      </c>
      <c r="BB431">
        <f t="shared" si="357"/>
        <v>10.283480681487262</v>
      </c>
      <c r="BC431">
        <f t="shared" si="358"/>
        <v>-0.80731209240344604</v>
      </c>
      <c r="BD431">
        <f t="shared" si="346"/>
        <v>-226.25557569744768</v>
      </c>
      <c r="BF431">
        <f t="shared" si="347"/>
        <v>-40.447296715621441</v>
      </c>
      <c r="BG431">
        <f t="shared" si="348"/>
        <v>-218.21840026088549</v>
      </c>
      <c r="BH431">
        <f t="shared" si="359"/>
        <v>-38.218400260885488</v>
      </c>
      <c r="BI431">
        <f t="shared" si="360"/>
        <v>-38.218400260885488</v>
      </c>
      <c r="BJ431">
        <f t="shared" si="349"/>
        <v>0</v>
      </c>
      <c r="BK431">
        <f t="shared" si="361"/>
        <v>0</v>
      </c>
      <c r="BM431">
        <f t="shared" si="362"/>
        <v>-50.730777397108696</v>
      </c>
      <c r="BN431">
        <f t="shared" si="350"/>
        <v>-171.96282456343781</v>
      </c>
      <c r="BQ431" s="56">
        <f t="shared" si="363"/>
        <v>27.185441481772401</v>
      </c>
    </row>
    <row r="432" spans="1:69" x14ac:dyDescent="0.2">
      <c r="A432">
        <f t="shared" si="371"/>
        <v>1090000</v>
      </c>
      <c r="B432">
        <f t="shared" si="351"/>
        <v>1090</v>
      </c>
      <c r="C432">
        <f t="shared" si="320"/>
        <v>1.0093372692709897</v>
      </c>
      <c r="D432">
        <f t="shared" si="321"/>
        <v>0.13612633591118578</v>
      </c>
      <c r="F432">
        <f t="shared" si="322"/>
        <v>1.902724578000983E-4</v>
      </c>
      <c r="G432">
        <f t="shared" si="323"/>
        <v>4.7437684111860216E-3</v>
      </c>
      <c r="H432">
        <f t="shared" si="324"/>
        <v>-3.136848881588814</v>
      </c>
      <c r="J432">
        <f t="shared" si="325"/>
        <v>15</v>
      </c>
      <c r="M432">
        <f t="shared" si="326"/>
        <v>1.6650592685541407E-3</v>
      </c>
      <c r="N432">
        <f t="shared" si="327"/>
        <v>-1.5707963250000001</v>
      </c>
      <c r="O432">
        <f t="shared" si="328"/>
        <v>130.08067068457234</v>
      </c>
      <c r="P432">
        <f t="shared" si="329"/>
        <v>1.5631087138336164</v>
      </c>
      <c r="Q432">
        <f t="shared" si="330"/>
        <v>84.905040378692462</v>
      </c>
      <c r="R432">
        <f t="shared" si="331"/>
        <v>1.5590181906952936</v>
      </c>
      <c r="S432">
        <f t="shared" si="332"/>
        <v>0.9903435340578064</v>
      </c>
      <c r="T432">
        <f t="shared" si="333"/>
        <v>-0.13908304935393848</v>
      </c>
      <c r="U432">
        <f t="shared" si="334"/>
        <v>0.4093049298041771</v>
      </c>
      <c r="V432">
        <f t="shared" si="335"/>
        <v>-1.149104201108494</v>
      </c>
      <c r="X432">
        <f t="shared" si="352"/>
        <v>-33.36175439932147</v>
      </c>
      <c r="Y432">
        <f t="shared" si="336"/>
        <v>-156.85173537377835</v>
      </c>
      <c r="Z432">
        <f t="shared" si="353"/>
        <v>23.148264626221646</v>
      </c>
      <c r="AC432">
        <v>1</v>
      </c>
      <c r="AD432">
        <f t="shared" si="337"/>
        <v>130.076826859161</v>
      </c>
      <c r="AE432">
        <f t="shared" si="338"/>
        <v>-6.0578039289784363E-2</v>
      </c>
      <c r="AF432">
        <f t="shared" si="339"/>
        <v>2.7175530404736001E-2</v>
      </c>
      <c r="AG432">
        <f t="shared" si="367"/>
        <v>788.14985361702372</v>
      </c>
      <c r="AH432">
        <f t="shared" si="368"/>
        <v>-1793.6935203352987</v>
      </c>
      <c r="AJ432">
        <f t="shared" si="340"/>
        <v>22100</v>
      </c>
      <c r="AK432">
        <f t="shared" si="341"/>
        <v>3093.7095001383482</v>
      </c>
      <c r="AL432">
        <v>1</v>
      </c>
      <c r="AM432">
        <f t="shared" si="342"/>
        <v>84.899151242561885</v>
      </c>
      <c r="AN432">
        <f t="shared" si="369"/>
        <v>39.500431194782223</v>
      </c>
      <c r="AO432">
        <f t="shared" si="370"/>
        <v>-259.84358201387744</v>
      </c>
      <c r="AQ432">
        <f t="shared" si="343"/>
        <v>2.1041995404007365E-3</v>
      </c>
      <c r="AR432">
        <f t="shared" si="344"/>
        <v>-4.5871549980736051</v>
      </c>
      <c r="AT432">
        <f t="shared" si="365"/>
        <v>-8226.2917722585571</v>
      </c>
      <c r="AU432">
        <f t="shared" si="366"/>
        <v>-3619.1398293314196</v>
      </c>
      <c r="AV432">
        <f t="shared" si="354"/>
        <v>-2.7271294253005149</v>
      </c>
      <c r="AW432">
        <f t="shared" si="355"/>
        <v>-934.95495985159903</v>
      </c>
      <c r="AX432">
        <f t="shared" si="356"/>
        <v>-2596.9876559626887</v>
      </c>
      <c r="AY432">
        <f t="shared" si="364"/>
        <v>-1.9163653393675502</v>
      </c>
      <c r="BA432">
        <f t="shared" si="345"/>
        <v>3.2560483636241773</v>
      </c>
      <c r="BB432">
        <f t="shared" si="357"/>
        <v>10.253816940922588</v>
      </c>
      <c r="BC432">
        <f t="shared" si="358"/>
        <v>-0.81076408593296478</v>
      </c>
      <c r="BD432">
        <f t="shared" si="346"/>
        <v>-226.45336035782157</v>
      </c>
      <c r="BF432">
        <f t="shared" si="347"/>
        <v>-40.556113122611023</v>
      </c>
      <c r="BG432">
        <f t="shared" si="348"/>
        <v>-218.38209791135927</v>
      </c>
      <c r="BH432">
        <f t="shared" si="359"/>
        <v>-38.382097911359267</v>
      </c>
      <c r="BI432">
        <f t="shared" si="360"/>
        <v>-38.382097911359267</v>
      </c>
      <c r="BJ432">
        <f t="shared" si="349"/>
        <v>0</v>
      </c>
      <c r="BK432">
        <f t="shared" si="361"/>
        <v>0</v>
      </c>
      <c r="BM432">
        <f t="shared" si="362"/>
        <v>-50.809930063533606</v>
      </c>
      <c r="BN432">
        <f t="shared" si="350"/>
        <v>-171.9287375535377</v>
      </c>
      <c r="BQ432" s="56">
        <f t="shared" si="363"/>
        <v>27.155777741207725</v>
      </c>
    </row>
    <row r="433" spans="1:69" x14ac:dyDescent="0.2">
      <c r="A433">
        <f t="shared" si="371"/>
        <v>1095000</v>
      </c>
      <c r="B433">
        <f t="shared" si="351"/>
        <v>1095</v>
      </c>
      <c r="C433">
        <f t="shared" si="320"/>
        <v>1.0094227280103985</v>
      </c>
      <c r="D433">
        <f t="shared" si="321"/>
        <v>0.13674303102396509</v>
      </c>
      <c r="F433">
        <f t="shared" si="322"/>
        <v>1.8853846825777013E-4</v>
      </c>
      <c r="G433">
        <f t="shared" si="323"/>
        <v>4.722099473667256E-3</v>
      </c>
      <c r="H433">
        <f t="shared" si="324"/>
        <v>-3.136870550526333</v>
      </c>
      <c r="J433">
        <f t="shared" si="325"/>
        <v>15</v>
      </c>
      <c r="M433">
        <f t="shared" si="326"/>
        <v>1.657456258195446E-3</v>
      </c>
      <c r="N433">
        <f t="shared" si="327"/>
        <v>-1.5707963250000001</v>
      </c>
      <c r="O433">
        <f t="shared" si="328"/>
        <v>130.67733582538773</v>
      </c>
      <c r="P433">
        <f t="shared" si="329"/>
        <v>1.5631438157155675</v>
      </c>
      <c r="Q433">
        <f t="shared" si="330"/>
        <v>85.294459137414023</v>
      </c>
      <c r="R433">
        <f t="shared" si="331"/>
        <v>1.559071967198951</v>
      </c>
      <c r="S433">
        <f t="shared" si="332"/>
        <v>0.99025603305720977</v>
      </c>
      <c r="T433">
        <f t="shared" si="333"/>
        <v>-0.13971279352998273</v>
      </c>
      <c r="U433">
        <f t="shared" si="334"/>
        <v>0.40774728257218379</v>
      </c>
      <c r="V433">
        <f t="shared" si="335"/>
        <v>-1.1508107508497585</v>
      </c>
      <c r="X433">
        <f t="shared" si="352"/>
        <v>-33.43467895946781</v>
      </c>
      <c r="Y433">
        <f t="shared" si="336"/>
        <v>-156.9464103101229</v>
      </c>
      <c r="Z433">
        <f t="shared" si="353"/>
        <v>23.0535896898771</v>
      </c>
      <c r="AC433">
        <v>1</v>
      </c>
      <c r="AD433">
        <f t="shared" si="337"/>
        <v>130.6735095511755</v>
      </c>
      <c r="AE433">
        <f t="shared" si="338"/>
        <v>-6.1135075801223529E-2</v>
      </c>
      <c r="AF433">
        <f t="shared" si="339"/>
        <v>2.7300188801088001E-2</v>
      </c>
      <c r="AG433">
        <f t="shared" si="367"/>
        <v>782.16251574888543</v>
      </c>
      <c r="AH433">
        <f t="shared" si="368"/>
        <v>-1788.1768160972667</v>
      </c>
      <c r="AJ433">
        <f t="shared" si="340"/>
        <v>22100</v>
      </c>
      <c r="AK433">
        <f t="shared" si="341"/>
        <v>3107.9008281206343</v>
      </c>
      <c r="AL433">
        <v>1</v>
      </c>
      <c r="AM433">
        <f t="shared" si="342"/>
        <v>85.288596890463538</v>
      </c>
      <c r="AN433">
        <f t="shared" si="369"/>
        <v>39.472548024339048</v>
      </c>
      <c r="AO433">
        <f t="shared" si="370"/>
        <v>-258.65740856668191</v>
      </c>
      <c r="AQ433">
        <f t="shared" si="343"/>
        <v>2.0850269833767054E-3</v>
      </c>
      <c r="AR433">
        <f t="shared" si="344"/>
        <v>-4.5662090935949848</v>
      </c>
      <c r="AT433">
        <f t="shared" si="365"/>
        <v>-8163.5584086683448</v>
      </c>
      <c r="AU433">
        <f t="shared" si="366"/>
        <v>-3575.2459889943025</v>
      </c>
      <c r="AV433">
        <f t="shared" si="354"/>
        <v>-2.7288029677511534</v>
      </c>
      <c r="AW433">
        <f t="shared" si="355"/>
        <v>-925.78661713076644</v>
      </c>
      <c r="AX433">
        <f t="shared" si="356"/>
        <v>-2585.7122959532562</v>
      </c>
      <c r="AY433">
        <f t="shared" si="364"/>
        <v>-1.9146150755272382</v>
      </c>
      <c r="BA433">
        <f t="shared" si="345"/>
        <v>3.244963387517835</v>
      </c>
      <c r="BB433">
        <f t="shared" si="357"/>
        <v>10.224196021564895</v>
      </c>
      <c r="BC433">
        <f t="shared" si="358"/>
        <v>-0.81418789222391519</v>
      </c>
      <c r="BD433">
        <f t="shared" si="346"/>
        <v>-226.64953000838753</v>
      </c>
      <c r="BF433">
        <f t="shared" si="347"/>
        <v>-40.664517728520423</v>
      </c>
      <c r="BG433">
        <f t="shared" si="348"/>
        <v>-218.54417507334404</v>
      </c>
      <c r="BH433">
        <f t="shared" si="359"/>
        <v>-38.544175073344036</v>
      </c>
      <c r="BI433">
        <f t="shared" si="360"/>
        <v>-38.544175073344036</v>
      </c>
      <c r="BJ433">
        <f t="shared" si="349"/>
        <v>0</v>
      </c>
      <c r="BK433">
        <f t="shared" si="361"/>
        <v>0</v>
      </c>
      <c r="BM433">
        <f t="shared" si="362"/>
        <v>-50.88871375008533</v>
      </c>
      <c r="BN433">
        <f t="shared" si="350"/>
        <v>-171.89464506495651</v>
      </c>
      <c r="BQ433" s="56">
        <f t="shared" si="363"/>
        <v>27.126156821850032</v>
      </c>
    </row>
    <row r="434" spans="1:69" x14ac:dyDescent="0.2">
      <c r="A434">
        <f>A433+5000</f>
        <v>1100000</v>
      </c>
      <c r="B434">
        <f t="shared" si="351"/>
        <v>1100</v>
      </c>
      <c r="C434">
        <f t="shared" si="320"/>
        <v>1.0095085705811724</v>
      </c>
      <c r="D434">
        <f t="shared" si="321"/>
        <v>0.13735962149108086</v>
      </c>
      <c r="F434">
        <f t="shared" si="322"/>
        <v>1.8682807581090038E-4</v>
      </c>
      <c r="G434">
        <f t="shared" si="323"/>
        <v>4.7006276334340714E-3</v>
      </c>
      <c r="H434">
        <f t="shared" si="324"/>
        <v>-3.1368920223665659</v>
      </c>
      <c r="J434">
        <f t="shared" si="325"/>
        <v>15</v>
      </c>
      <c r="M434">
        <f t="shared" si="326"/>
        <v>1.6499223661127394E-3</v>
      </c>
      <c r="N434">
        <f t="shared" si="327"/>
        <v>-1.5707963250000001</v>
      </c>
      <c r="O434">
        <f t="shared" si="328"/>
        <v>131.27400112575251</v>
      </c>
      <c r="P434">
        <f t="shared" si="329"/>
        <v>1.5631785985081033</v>
      </c>
      <c r="Q434">
        <f t="shared" si="330"/>
        <v>85.683878140557553</v>
      </c>
      <c r="R434">
        <f t="shared" si="331"/>
        <v>1.5591252548921961</v>
      </c>
      <c r="S434">
        <f t="shared" si="332"/>
        <v>0.99016815494293042</v>
      </c>
      <c r="T434">
        <f t="shared" si="333"/>
        <v>-0.14034242618513854</v>
      </c>
      <c r="U434">
        <f t="shared" si="334"/>
        <v>0.40620027637170336</v>
      </c>
      <c r="V434">
        <f t="shared" si="335"/>
        <v>-1.152504356083857</v>
      </c>
      <c r="X434">
        <f t="shared" si="352"/>
        <v>-33.507321464604352</v>
      </c>
      <c r="Y434">
        <f t="shared" si="336"/>
        <v>-157.04037818332446</v>
      </c>
      <c r="Z434">
        <f t="shared" si="353"/>
        <v>22.959621816675536</v>
      </c>
      <c r="AC434">
        <v>1</v>
      </c>
      <c r="AD434">
        <f t="shared" si="337"/>
        <v>131.27019224319</v>
      </c>
      <c r="AE434">
        <f t="shared" si="338"/>
        <v>-6.1694661678847795E-2</v>
      </c>
      <c r="AF434">
        <f t="shared" si="339"/>
        <v>2.7424847197440004E-2</v>
      </c>
      <c r="AG434">
        <f t="shared" si="367"/>
        <v>776.23867564254533</v>
      </c>
      <c r="AH434">
        <f t="shared" si="368"/>
        <v>-1782.6820373448559</v>
      </c>
      <c r="AJ434">
        <f t="shared" si="340"/>
        <v>22100</v>
      </c>
      <c r="AK434">
        <f t="shared" si="341"/>
        <v>3122.0921561029204</v>
      </c>
      <c r="AL434">
        <v>1</v>
      </c>
      <c r="AM434">
        <f t="shared" si="342"/>
        <v>85.678042538365204</v>
      </c>
      <c r="AN434">
        <f t="shared" si="369"/>
        <v>39.445044145086861</v>
      </c>
      <c r="AO434">
        <f t="shared" si="370"/>
        <v>-257.48201408752493</v>
      </c>
      <c r="AQ434">
        <f t="shared" si="343"/>
        <v>2.0661152755960172E-3</v>
      </c>
      <c r="AR434">
        <f t="shared" si="344"/>
        <v>-4.5454536063112387</v>
      </c>
      <c r="AT434">
        <f t="shared" si="365"/>
        <v>-8101.4946969701878</v>
      </c>
      <c r="AU434">
        <f t="shared" si="366"/>
        <v>-3532.0401141465563</v>
      </c>
      <c r="AV434">
        <f t="shared" si="354"/>
        <v>-2.7304638657423062</v>
      </c>
      <c r="AW434">
        <f t="shared" si="355"/>
        <v>-916.74778355986894</v>
      </c>
      <c r="AX434">
        <f t="shared" si="356"/>
        <v>-2574.5336756232828</v>
      </c>
      <c r="AY434">
        <f t="shared" si="364"/>
        <v>-1.9128800255237033</v>
      </c>
      <c r="BA434">
        <f t="shared" si="345"/>
        <v>3.2339323939044715</v>
      </c>
      <c r="BB434">
        <f t="shared" si="357"/>
        <v>10.194618732798324</v>
      </c>
      <c r="BC434">
        <f t="shared" si="358"/>
        <v>-0.81758384021860286</v>
      </c>
      <c r="BD434">
        <f t="shared" si="346"/>
        <v>-226.84410349615138</v>
      </c>
      <c r="BF434">
        <f t="shared" si="347"/>
        <v>-40.772513059894862</v>
      </c>
      <c r="BG434">
        <f t="shared" si="348"/>
        <v>-218.70465077543895</v>
      </c>
      <c r="BH434">
        <f t="shared" si="359"/>
        <v>-38.704650775438949</v>
      </c>
      <c r="BI434">
        <f t="shared" si="360"/>
        <v>-38.704650775438949</v>
      </c>
      <c r="BJ434">
        <f t="shared" si="349"/>
        <v>0</v>
      </c>
      <c r="BK434">
        <f t="shared" si="361"/>
        <v>0</v>
      </c>
      <c r="BM434">
        <f t="shared" si="362"/>
        <v>-50.967131792693188</v>
      </c>
      <c r="BN434">
        <f t="shared" si="350"/>
        <v>-171.86054727928757</v>
      </c>
      <c r="BQ434" s="56">
        <f t="shared" si="363"/>
        <v>27.09657953308346</v>
      </c>
    </row>
    <row r="435" spans="1:69" x14ac:dyDescent="0.2">
      <c r="A435">
        <f t="shared" ref="A435:A472" si="372">A434+5000</f>
        <v>1105000</v>
      </c>
      <c r="B435">
        <f t="shared" si="351"/>
        <v>1105</v>
      </c>
      <c r="C435">
        <f t="shared" si="320"/>
        <v>1.0095947968854035</v>
      </c>
      <c r="D435">
        <f t="shared" si="321"/>
        <v>0.13797610687045078</v>
      </c>
      <c r="F435">
        <f t="shared" si="322"/>
        <v>1.8514085420572398E-4</v>
      </c>
      <c r="G435">
        <f t="shared" si="323"/>
        <v>4.6793502130346304E-3</v>
      </c>
      <c r="H435">
        <f t="shared" si="324"/>
        <v>-3.1369132997869658</v>
      </c>
      <c r="J435">
        <f t="shared" si="325"/>
        <v>15</v>
      </c>
      <c r="M435">
        <f t="shared" si="326"/>
        <v>1.6424566540488808E-3</v>
      </c>
      <c r="N435">
        <f t="shared" si="327"/>
        <v>-1.5707963250000001</v>
      </c>
      <c r="O435">
        <f t="shared" si="328"/>
        <v>131.87066658350093</v>
      </c>
      <c r="P435">
        <f t="shared" si="329"/>
        <v>1.5632130665424195</v>
      </c>
      <c r="Q435">
        <f t="shared" si="330"/>
        <v>86.073297384805628</v>
      </c>
      <c r="R435">
        <f t="shared" si="331"/>
        <v>1.5591780604092622</v>
      </c>
      <c r="S435">
        <f t="shared" si="332"/>
        <v>0.99007990002435897</v>
      </c>
      <c r="T435">
        <f t="shared" si="333"/>
        <v>-0.14097194684994022</v>
      </c>
      <c r="U435">
        <f t="shared" si="334"/>
        <v>0.40466381701728937</v>
      </c>
      <c r="V435">
        <f t="shared" si="335"/>
        <v>-1.1541851539282746</v>
      </c>
      <c r="X435">
        <f t="shared" si="352"/>
        <v>-33.579683948617635</v>
      </c>
      <c r="Y435">
        <f t="shared" si="336"/>
        <v>-157.13364637320137</v>
      </c>
      <c r="Z435">
        <f t="shared" si="353"/>
        <v>22.866353626798627</v>
      </c>
      <c r="AC435">
        <v>1</v>
      </c>
      <c r="AD435">
        <f t="shared" si="337"/>
        <v>131.86687493520452</v>
      </c>
      <c r="AE435">
        <f t="shared" si="338"/>
        <v>-6.2256796922657134E-2</v>
      </c>
      <c r="AF435">
        <f t="shared" si="339"/>
        <v>2.7549505593792004E-2</v>
      </c>
      <c r="AG435">
        <f t="shared" si="367"/>
        <v>770.37751002039408</v>
      </c>
      <c r="AH435">
        <f t="shared" si="368"/>
        <v>-1777.2092507589264</v>
      </c>
      <c r="AJ435">
        <f t="shared" si="340"/>
        <v>22100</v>
      </c>
      <c r="AK435">
        <f t="shared" si="341"/>
        <v>3136.2834840852065</v>
      </c>
      <c r="AL435">
        <v>1</v>
      </c>
      <c r="AM435">
        <f t="shared" si="342"/>
        <v>86.067488186266857</v>
      </c>
      <c r="AN435">
        <f t="shared" si="369"/>
        <v>39.41791270913</v>
      </c>
      <c r="AO435">
        <f t="shared" si="370"/>
        <v>-256.31725233513799</v>
      </c>
      <c r="AQ435">
        <f t="shared" si="343"/>
        <v>2.0474597065048409E-3</v>
      </c>
      <c r="AR435">
        <f t="shared" si="344"/>
        <v>-4.5248859513756985</v>
      </c>
      <c r="AT435">
        <f t="shared" si="365"/>
        <v>-8040.0918545034328</v>
      </c>
      <c r="AU435">
        <f t="shared" si="366"/>
        <v>-3489.5091366780293</v>
      </c>
      <c r="AV435">
        <f t="shared" si="354"/>
        <v>-2.7321122523187471</v>
      </c>
      <c r="AW435">
        <f t="shared" si="355"/>
        <v>-907.83603462217138</v>
      </c>
      <c r="AX435">
        <f t="shared" si="356"/>
        <v>-2563.4505471525304</v>
      </c>
      <c r="AY435">
        <f t="shared" si="364"/>
        <v>-1.9111599980989959</v>
      </c>
      <c r="BA435">
        <f t="shared" si="345"/>
        <v>3.2229553777376503</v>
      </c>
      <c r="BB435">
        <f t="shared" si="357"/>
        <v>10.165085853737462</v>
      </c>
      <c r="BC435">
        <f t="shared" si="358"/>
        <v>-0.82095225421975115</v>
      </c>
      <c r="BD435">
        <f t="shared" si="346"/>
        <v>-227.03709940229049</v>
      </c>
      <c r="BF435">
        <f t="shared" si="347"/>
        <v>-40.880101628159238</v>
      </c>
      <c r="BG435">
        <f t="shared" si="348"/>
        <v>-218.86354377755748</v>
      </c>
      <c r="BH435">
        <f t="shared" si="359"/>
        <v>-38.863543777557481</v>
      </c>
      <c r="BI435">
        <f t="shared" si="360"/>
        <v>-38.863543777557481</v>
      </c>
      <c r="BJ435">
        <f t="shared" si="349"/>
        <v>0</v>
      </c>
      <c r="BK435">
        <f t="shared" si="361"/>
        <v>0</v>
      </c>
      <c r="BM435">
        <f t="shared" si="362"/>
        <v>-51.045187481896704</v>
      </c>
      <c r="BN435">
        <f t="shared" si="350"/>
        <v>-171.82644437526702</v>
      </c>
      <c r="BQ435" s="56">
        <f t="shared" si="363"/>
        <v>27.067046654022601</v>
      </c>
    </row>
    <row r="436" spans="1:69" x14ac:dyDescent="0.2">
      <c r="A436">
        <f t="shared" si="372"/>
        <v>1110000</v>
      </c>
      <c r="B436">
        <f t="shared" si="351"/>
        <v>1110</v>
      </c>
      <c r="C436">
        <f t="shared" si="320"/>
        <v>1.0096814068247799</v>
      </c>
      <c r="D436">
        <f t="shared" si="321"/>
        <v>0.13859248672046262</v>
      </c>
      <c r="F436">
        <f t="shared" si="322"/>
        <v>1.8347638677045661E-4</v>
      </c>
      <c r="G436">
        <f t="shared" si="323"/>
        <v>4.6582645833025084E-3</v>
      </c>
      <c r="H436">
        <f t="shared" si="324"/>
        <v>-3.1369343854166978</v>
      </c>
      <c r="J436">
        <f t="shared" si="325"/>
        <v>15</v>
      </c>
      <c r="M436">
        <f t="shared" si="326"/>
        <v>1.6350582006522643E-3</v>
      </c>
      <c r="N436">
        <f t="shared" si="327"/>
        <v>-1.5707963250000001</v>
      </c>
      <c r="O436">
        <f t="shared" si="328"/>
        <v>132.46733219650639</v>
      </c>
      <c r="P436">
        <f t="shared" si="329"/>
        <v>1.5632472240716806</v>
      </c>
      <c r="Q436">
        <f t="shared" si="330"/>
        <v>86.462716866900465</v>
      </c>
      <c r="R436">
        <f t="shared" si="331"/>
        <v>1.5592303902648736</v>
      </c>
      <c r="S436">
        <f t="shared" si="332"/>
        <v>0.98999126861206366</v>
      </c>
      <c r="T436">
        <f t="shared" si="333"/>
        <v>-0.14160135505544422</v>
      </c>
      <c r="U436">
        <f t="shared" si="334"/>
        <v>0.40313781117685382</v>
      </c>
      <c r="V436">
        <f t="shared" si="335"/>
        <v>-1.1558532797239758</v>
      </c>
      <c r="X436">
        <f t="shared" si="352"/>
        <v>-33.651768424609067</v>
      </c>
      <c r="Y436">
        <f t="shared" si="336"/>
        <v>-157.22622216633914</v>
      </c>
      <c r="Z436">
        <f t="shared" si="353"/>
        <v>22.773777833660859</v>
      </c>
      <c r="AC436">
        <v>1</v>
      </c>
      <c r="AD436">
        <f t="shared" si="337"/>
        <v>132.46355762721899</v>
      </c>
      <c r="AE436">
        <f t="shared" si="338"/>
        <v>-6.2821481532651546E-2</v>
      </c>
      <c r="AF436">
        <f t="shared" si="339"/>
        <v>2.7674163990144007E-2</v>
      </c>
      <c r="AG436">
        <f t="shared" si="367"/>
        <v>764.57820744677042</v>
      </c>
      <c r="AH436">
        <f t="shared" si="368"/>
        <v>-1771.7585166022559</v>
      </c>
      <c r="AJ436">
        <f t="shared" si="340"/>
        <v>22100</v>
      </c>
      <c r="AK436">
        <f t="shared" si="341"/>
        <v>3150.4748120674926</v>
      </c>
      <c r="AL436">
        <v>1</v>
      </c>
      <c r="AM436">
        <f t="shared" si="342"/>
        <v>86.456933834168524</v>
      </c>
      <c r="AN436">
        <f t="shared" si="369"/>
        <v>39.391147022415062</v>
      </c>
      <c r="AO436">
        <f t="shared" si="370"/>
        <v>-255.16297970145041</v>
      </c>
      <c r="AQ436">
        <f t="shared" si="343"/>
        <v>2.0290556714033618E-3</v>
      </c>
      <c r="AR436">
        <f t="shared" si="344"/>
        <v>-4.5045035905154629</v>
      </c>
      <c r="AT436">
        <f t="shared" si="365"/>
        <v>-7979.34122781316</v>
      </c>
      <c r="AU436">
        <f t="shared" si="366"/>
        <v>-3447.6402773403229</v>
      </c>
      <c r="AV436">
        <f t="shared" si="354"/>
        <v>-2.733748258822104</v>
      </c>
      <c r="AW436">
        <f t="shared" si="355"/>
        <v>-899.04900204599585</v>
      </c>
      <c r="AX436">
        <f t="shared" si="356"/>
        <v>-2552.4616845246255</v>
      </c>
      <c r="AY436">
        <f t="shared" si="364"/>
        <v>-1.9094548048622753</v>
      </c>
      <c r="BA436">
        <f t="shared" si="345"/>
        <v>3.2120323209958053</v>
      </c>
      <c r="BB436">
        <f t="shared" si="357"/>
        <v>10.135598134122311</v>
      </c>
      <c r="BC436">
        <f t="shared" si="358"/>
        <v>-0.82429345395982878</v>
      </c>
      <c r="BD436">
        <f t="shared" si="346"/>
        <v>-227.2285360461259</v>
      </c>
      <c r="BF436">
        <f t="shared" si="347"/>
        <v>-40.987285929543788</v>
      </c>
      <c r="BG436">
        <f t="shared" si="348"/>
        <v>-219.02087257496333</v>
      </c>
      <c r="BH436">
        <f t="shared" si="359"/>
        <v>-39.020872574963335</v>
      </c>
      <c r="BI436">
        <f t="shared" si="360"/>
        <v>-39.020872574963335</v>
      </c>
      <c r="BJ436">
        <f t="shared" si="349"/>
        <v>0</v>
      </c>
      <c r="BK436">
        <f t="shared" si="361"/>
        <v>0</v>
      </c>
      <c r="BM436">
        <f t="shared" si="362"/>
        <v>-51.122884063666099</v>
      </c>
      <c r="BN436">
        <f t="shared" si="350"/>
        <v>-171.79233652883747</v>
      </c>
      <c r="BQ436" s="56">
        <f t="shared" si="363"/>
        <v>27.037558934407446</v>
      </c>
    </row>
    <row r="437" spans="1:69" x14ac:dyDescent="0.2">
      <c r="A437">
        <f t="shared" si="372"/>
        <v>1115000</v>
      </c>
      <c r="B437">
        <f t="shared" si="351"/>
        <v>1115</v>
      </c>
      <c r="C437">
        <f t="shared" si="320"/>
        <v>1.009768400300586</v>
      </c>
      <c r="D437">
        <f t="shared" si="321"/>
        <v>0.13920876059997614</v>
      </c>
      <c r="F437">
        <f t="shared" si="322"/>
        <v>1.8183426615795979E-4</v>
      </c>
      <c r="G437">
        <f t="shared" si="323"/>
        <v>4.6373681622729045E-3</v>
      </c>
      <c r="H437">
        <f t="shared" si="324"/>
        <v>-3.1369552818377273</v>
      </c>
      <c r="J437">
        <f t="shared" si="325"/>
        <v>15</v>
      </c>
      <c r="M437">
        <f t="shared" si="326"/>
        <v>1.6277261010977698E-3</v>
      </c>
      <c r="N437">
        <f t="shared" si="327"/>
        <v>-1.5707963250000001</v>
      </c>
      <c r="O437">
        <f t="shared" si="328"/>
        <v>133.06399796268028</v>
      </c>
      <c r="P437">
        <f t="shared" si="329"/>
        <v>1.5632810752727677</v>
      </c>
      <c r="Q437">
        <f t="shared" si="330"/>
        <v>86.852136583642789</v>
      </c>
      <c r="R437">
        <f t="shared" si="331"/>
        <v>1.5592822508569242</v>
      </c>
      <c r="S437">
        <f t="shared" si="332"/>
        <v>0.989902261017788</v>
      </c>
      <c r="T437">
        <f t="shared" si="333"/>
        <v>-0.14223065033323085</v>
      </c>
      <c r="U437">
        <f t="shared" si="334"/>
        <v>0.40162216636828457</v>
      </c>
      <c r="V437">
        <f t="shared" si="335"/>
        <v>-1.1575088670609637</v>
      </c>
      <c r="X437">
        <f t="shared" si="352"/>
        <v>-33.723576885172065</v>
      </c>
      <c r="Y437">
        <f t="shared" si="336"/>
        <v>-157.31811275736391</v>
      </c>
      <c r="Z437">
        <f t="shared" si="353"/>
        <v>22.681887242636094</v>
      </c>
      <c r="AC437">
        <v>1</v>
      </c>
      <c r="AD437">
        <f t="shared" si="337"/>
        <v>133.06024031923349</v>
      </c>
      <c r="AE437">
        <f t="shared" si="338"/>
        <v>-6.3388715508831031E-2</v>
      </c>
      <c r="AF437">
        <f t="shared" si="339"/>
        <v>2.7798822386496006E-2</v>
      </c>
      <c r="AG437">
        <f t="shared" si="367"/>
        <v>758.83996816128627</v>
      </c>
      <c r="AH437">
        <f t="shared" si="368"/>
        <v>-1766.3298889365431</v>
      </c>
      <c r="AJ437">
        <f t="shared" si="340"/>
        <v>22100</v>
      </c>
      <c r="AK437">
        <f t="shared" si="341"/>
        <v>3164.6661400497787</v>
      </c>
      <c r="AL437">
        <v>1</v>
      </c>
      <c r="AM437">
        <f t="shared" si="342"/>
        <v>86.846379482070191</v>
      </c>
      <c r="AN437">
        <f t="shared" si="369"/>
        <v>39.364740540602256</v>
      </c>
      <c r="AO437">
        <f t="shared" si="370"/>
        <v>-254.01905515259747</v>
      </c>
      <c r="AQ437">
        <f t="shared" si="343"/>
        <v>2.0108986686041006E-3</v>
      </c>
      <c r="AR437">
        <f t="shared" si="344"/>
        <v>-4.4843040309871443</v>
      </c>
      <c r="AT437">
        <f t="shared" si="365"/>
        <v>-7919.2342907295561</v>
      </c>
      <c r="AU437">
        <f t="shared" si="366"/>
        <v>-3406.4210385217903</v>
      </c>
      <c r="AV437">
        <f t="shared" si="354"/>
        <v>-2.7353720149147738</v>
      </c>
      <c r="AW437">
        <f t="shared" si="355"/>
        <v>-890.38437225493112</v>
      </c>
      <c r="AX437">
        <f t="shared" si="356"/>
        <v>-2541.5658830386474</v>
      </c>
      <c r="AY437">
        <f t="shared" si="364"/>
        <v>-1.9077642602452369</v>
      </c>
      <c r="BA437">
        <f t="shared" si="345"/>
        <v>3.201163193222099</v>
      </c>
      <c r="BB437">
        <f t="shared" si="357"/>
        <v>10.106156295186663</v>
      </c>
      <c r="BC437">
        <f t="shared" si="358"/>
        <v>-0.82760775466953684</v>
      </c>
      <c r="BD437">
        <f t="shared" si="346"/>
        <v>-227.41843148904636</v>
      </c>
      <c r="BF437">
        <f t="shared" si="347"/>
        <v>-41.094068445017669</v>
      </c>
      <c r="BG437">
        <f t="shared" si="348"/>
        <v>-219.17665540225647</v>
      </c>
      <c r="BH437">
        <f t="shared" si="359"/>
        <v>-39.176655402256472</v>
      </c>
      <c r="BI437">
        <f t="shared" si="360"/>
        <v>-39.176655402256472</v>
      </c>
      <c r="BJ437">
        <f t="shared" si="349"/>
        <v>0</v>
      </c>
      <c r="BK437">
        <f t="shared" si="361"/>
        <v>0</v>
      </c>
      <c r="BM437">
        <f t="shared" si="362"/>
        <v>-51.200224740204334</v>
      </c>
      <c r="BN437">
        <f t="shared" si="350"/>
        <v>-171.75822391321012</v>
      </c>
      <c r="BQ437" s="56">
        <f t="shared" si="363"/>
        <v>27.0081170954718</v>
      </c>
    </row>
    <row r="438" spans="1:69" x14ac:dyDescent="0.2">
      <c r="A438">
        <f t="shared" si="372"/>
        <v>1120000</v>
      </c>
      <c r="B438">
        <f t="shared" si="351"/>
        <v>1120</v>
      </c>
      <c r="C438">
        <f t="shared" si="320"/>
        <v>1.0098557772137033</v>
      </c>
      <c r="D438">
        <f t="shared" si="321"/>
        <v>0.13982492806832475</v>
      </c>
      <c r="F438">
        <f t="shared" si="322"/>
        <v>1.8021409409643262E-4</v>
      </c>
      <c r="G438">
        <f t="shared" si="323"/>
        <v>4.6166584141279273E-3</v>
      </c>
      <c r="H438">
        <f t="shared" si="324"/>
        <v>-3.1369759915858721</v>
      </c>
      <c r="J438">
        <f t="shared" si="325"/>
        <v>15</v>
      </c>
      <c r="M438">
        <f t="shared" si="326"/>
        <v>1.6204594667178691E-3</v>
      </c>
      <c r="N438">
        <f t="shared" si="327"/>
        <v>-1.5707963250000001</v>
      </c>
      <c r="O438">
        <f t="shared" si="328"/>
        <v>133.66066387997139</v>
      </c>
      <c r="P438">
        <f t="shared" si="329"/>
        <v>1.5633146242479818</v>
      </c>
      <c r="Q438">
        <f t="shared" si="330"/>
        <v>87.241556531890396</v>
      </c>
      <c r="R438">
        <f t="shared" si="331"/>
        <v>1.5593336484690858</v>
      </c>
      <c r="S438">
        <f t="shared" si="332"/>
        <v>0.98981287755444758</v>
      </c>
      <c r="T438">
        <f t="shared" si="333"/>
        <v>-0.14285983221540632</v>
      </c>
      <c r="U438">
        <f t="shared" si="334"/>
        <v>0.40011679095584435</v>
      </c>
      <c r="V438">
        <f t="shared" si="335"/>
        <v>-1.1591520478034756</v>
      </c>
      <c r="X438">
        <f t="shared" si="352"/>
        <v>-33.795111302664374</v>
      </c>
      <c r="Y438">
        <f t="shared" si="336"/>
        <v>-157.40932525019912</v>
      </c>
      <c r="Z438">
        <f t="shared" si="353"/>
        <v>22.590674749800883</v>
      </c>
      <c r="AC438">
        <v>1</v>
      </c>
      <c r="AD438">
        <f t="shared" si="337"/>
        <v>133.65692301124801</v>
      </c>
      <c r="AE438">
        <f t="shared" si="338"/>
        <v>-6.3958498851195589E-2</v>
      </c>
      <c r="AF438">
        <f t="shared" si="339"/>
        <v>2.7923480782848006E-2</v>
      </c>
      <c r="AG438">
        <f t="shared" si="367"/>
        <v>753.16200391368352</v>
      </c>
      <c r="AH438">
        <f t="shared" si="368"/>
        <v>-1760.9234158329159</v>
      </c>
      <c r="AJ438">
        <f t="shared" si="340"/>
        <v>22100</v>
      </c>
      <c r="AK438">
        <f t="shared" si="341"/>
        <v>3178.8574680320644</v>
      </c>
      <c r="AL438">
        <v>1</v>
      </c>
      <c r="AM438">
        <f t="shared" si="342"/>
        <v>87.235825129971843</v>
      </c>
      <c r="AN438">
        <f t="shared" si="369"/>
        <v>39.338686865065455</v>
      </c>
      <c r="AO438">
        <f t="shared" si="370"/>
        <v>-252.88534017150593</v>
      </c>
      <c r="AQ438">
        <f t="shared" si="343"/>
        <v>1.992984296678831E-3</v>
      </c>
      <c r="AR438">
        <f t="shared" si="344"/>
        <v>-4.4642848245605817</v>
      </c>
      <c r="AT438">
        <f t="shared" si="365"/>
        <v>-7859.7626424696136</v>
      </c>
      <c r="AU438">
        <f t="shared" si="366"/>
        <v>-3365.8391972229037</v>
      </c>
      <c r="AV438">
        <f t="shared" si="354"/>
        <v>-2.7369836486035157</v>
      </c>
      <c r="AW438">
        <f t="shared" si="355"/>
        <v>-881.83988486731312</v>
      </c>
      <c r="AX438">
        <f t="shared" si="356"/>
        <v>-2530.7619588341754</v>
      </c>
      <c r="AY438">
        <f t="shared" si="364"/>
        <v>-1.9060881814580679</v>
      </c>
      <c r="BA438">
        <f t="shared" si="345"/>
        <v>3.1903479520454567</v>
      </c>
      <c r="BB438">
        <f t="shared" si="357"/>
        <v>10.076761030500869</v>
      </c>
      <c r="BC438">
        <f t="shared" si="358"/>
        <v>-0.83089546714544782</v>
      </c>
      <c r="BD438">
        <f t="shared" si="346"/>
        <v>-227.60680353838382</v>
      </c>
      <c r="BF438">
        <f t="shared" si="347"/>
        <v>-41.200451640230341</v>
      </c>
      <c r="BG438">
        <f t="shared" si="348"/>
        <v>-219.33091023730879</v>
      </c>
      <c r="BH438">
        <f t="shared" si="359"/>
        <v>-39.330910237308785</v>
      </c>
      <c r="BI438">
        <f t="shared" si="360"/>
        <v>-39.330910237308785</v>
      </c>
      <c r="BJ438">
        <f t="shared" si="349"/>
        <v>0</v>
      </c>
      <c r="BK438">
        <f t="shared" si="361"/>
        <v>0</v>
      </c>
      <c r="BM438">
        <f t="shared" si="362"/>
        <v>-51.27721267073121</v>
      </c>
      <c r="BN438">
        <f t="shared" si="350"/>
        <v>-171.72410669892497</v>
      </c>
      <c r="BQ438" s="56">
        <f t="shared" si="363"/>
        <v>26.978721830786007</v>
      </c>
    </row>
    <row r="439" spans="1:69" x14ac:dyDescent="0.2">
      <c r="A439">
        <f t="shared" si="372"/>
        <v>1125000</v>
      </c>
      <c r="B439">
        <f t="shared" si="351"/>
        <v>1125</v>
      </c>
      <c r="C439">
        <f t="shared" si="320"/>
        <v>1.0099435374646106</v>
      </c>
      <c r="D439">
        <f t="shared" si="321"/>
        <v>0.14044098868531721</v>
      </c>
      <c r="F439">
        <f t="shared" si="322"/>
        <v>1.7861548114784647E-4</v>
      </c>
      <c r="G439">
        <f t="shared" si="323"/>
        <v>4.5961328481700413E-3</v>
      </c>
      <c r="H439">
        <f t="shared" si="324"/>
        <v>-3.1369965171518301</v>
      </c>
      <c r="J439">
        <f t="shared" si="325"/>
        <v>15</v>
      </c>
      <c r="M439">
        <f t="shared" si="326"/>
        <v>1.6132574246435674E-3</v>
      </c>
      <c r="N439">
        <f t="shared" si="327"/>
        <v>-1.5707963250000001</v>
      </c>
      <c r="O439">
        <f t="shared" si="328"/>
        <v>134.25732994636488</v>
      </c>
      <c r="P439">
        <f t="shared" si="329"/>
        <v>1.5633478750267016</v>
      </c>
      <c r="Q439">
        <f t="shared" si="330"/>
        <v>87.630976708556972</v>
      </c>
      <c r="R439">
        <f t="shared" si="331"/>
        <v>1.5593845892733444</v>
      </c>
      <c r="S439">
        <f t="shared" si="332"/>
        <v>0.98972311853612693</v>
      </c>
      <c r="T439">
        <f t="shared" si="333"/>
        <v>-0.14348890023460448</v>
      </c>
      <c r="U439">
        <f t="shared" si="334"/>
        <v>0.39862159414636406</v>
      </c>
      <c r="V439">
        <f t="shared" si="335"/>
        <v>-1.1607829521148234</v>
      </c>
      <c r="X439">
        <f t="shared" si="352"/>
        <v>-33.866373629475646</v>
      </c>
      <c r="Y439">
        <f t="shared" si="336"/>
        <v>-157.49986665930766</v>
      </c>
      <c r="Z439">
        <f t="shared" si="353"/>
        <v>22.500133340692344</v>
      </c>
      <c r="AC439">
        <v>1</v>
      </c>
      <c r="AD439">
        <f t="shared" si="337"/>
        <v>134.25360570326251</v>
      </c>
      <c r="AE439">
        <f t="shared" si="338"/>
        <v>-6.4530831559745233E-2</v>
      </c>
      <c r="AF439">
        <f t="shared" si="339"/>
        <v>2.8048139179200002E-2</v>
      </c>
      <c r="AG439">
        <f t="shared" si="367"/>
        <v>747.54353780026702</v>
      </c>
      <c r="AH439">
        <f t="shared" si="368"/>
        <v>-1755.5391395761571</v>
      </c>
      <c r="AJ439">
        <f t="shared" si="340"/>
        <v>22100</v>
      </c>
      <c r="AK439">
        <f t="shared" si="341"/>
        <v>3193.04879601435</v>
      </c>
      <c r="AL439">
        <v>1</v>
      </c>
      <c r="AM439">
        <f t="shared" si="342"/>
        <v>87.62527077787351</v>
      </c>
      <c r="AN439">
        <f t="shared" si="369"/>
        <v>39.312979739016313</v>
      </c>
      <c r="AO439">
        <f t="shared" si="370"/>
        <v>-251.76169870200945</v>
      </c>
      <c r="AQ439">
        <f t="shared" si="343"/>
        <v>1.9753082517909625E-3</v>
      </c>
      <c r="AR439">
        <f t="shared" si="344"/>
        <v>-4.4444435665296655</v>
      </c>
      <c r="AT439">
        <f t="shared" si="365"/>
        <v>-7800.9180057614858</v>
      </c>
      <c r="AU439">
        <f t="shared" si="366"/>
        <v>-3325.8827982259695</v>
      </c>
      <c r="AV439">
        <f t="shared" si="354"/>
        <v>-2.7385832862627342</v>
      </c>
      <c r="AW439">
        <f t="shared" si="355"/>
        <v>-873.41333124322512</v>
      </c>
      <c r="AX439">
        <f t="shared" si="356"/>
        <v>-2520.0487484294185</v>
      </c>
      <c r="AY439">
        <f t="shared" si="364"/>
        <v>-1.9044263884459376</v>
      </c>
      <c r="BA439">
        <f t="shared" si="345"/>
        <v>3.1795865436833917</v>
      </c>
      <c r="BB439">
        <f t="shared" si="357"/>
        <v>10.047413006789725</v>
      </c>
      <c r="BC439">
        <f t="shared" si="358"/>
        <v>-0.83415689781679658</v>
      </c>
      <c r="BD439">
        <f t="shared" si="346"/>
        <v>-227.79366975124015</v>
      </c>
      <c r="BF439">
        <f t="shared" si="347"/>
        <v>-41.30643796546029</v>
      </c>
      <c r="BG439">
        <f t="shared" si="348"/>
        <v>-219.48365480514977</v>
      </c>
      <c r="BH439">
        <f t="shared" si="359"/>
        <v>-39.483654805149769</v>
      </c>
      <c r="BI439">
        <f t="shared" si="360"/>
        <v>-39.483654805149769</v>
      </c>
      <c r="BJ439">
        <f t="shared" si="349"/>
        <v>0</v>
      </c>
      <c r="BK439">
        <f t="shared" si="361"/>
        <v>0</v>
      </c>
      <c r="BM439">
        <f t="shared" si="362"/>
        <v>-51.353850972250015</v>
      </c>
      <c r="BN439">
        <f t="shared" si="350"/>
        <v>-171.68998505390962</v>
      </c>
      <c r="BQ439" s="56">
        <f t="shared" si="363"/>
        <v>26.94937380707486</v>
      </c>
    </row>
    <row r="440" spans="1:69" x14ac:dyDescent="0.2">
      <c r="A440">
        <f t="shared" si="372"/>
        <v>1130000</v>
      </c>
      <c r="B440">
        <f t="shared" si="351"/>
        <v>1130</v>
      </c>
      <c r="C440">
        <f t="shared" si="320"/>
        <v>1.0100316809533849</v>
      </c>
      <c r="D440">
        <f t="shared" si="321"/>
        <v>0.14105694201123933</v>
      </c>
      <c r="F440">
        <f t="shared" si="322"/>
        <v>1.7703804647384834E-4</v>
      </c>
      <c r="G440">
        <f t="shared" si="323"/>
        <v>4.5757890178227895E-3</v>
      </c>
      <c r="H440">
        <f t="shared" si="324"/>
        <v>-3.1370168609821776</v>
      </c>
      <c r="J440">
        <f t="shared" si="325"/>
        <v>15</v>
      </c>
      <c r="M440">
        <f t="shared" si="326"/>
        <v>1.6061191174548792E-3</v>
      </c>
      <c r="N440">
        <f t="shared" si="327"/>
        <v>-1.5707963250000001</v>
      </c>
      <c r="O440">
        <f t="shared" si="328"/>
        <v>134.85399615988169</v>
      </c>
      <c r="P440">
        <f t="shared" si="329"/>
        <v>1.5633808315669953</v>
      </c>
      <c r="Q440">
        <f t="shared" si="330"/>
        <v>88.020397110610773</v>
      </c>
      <c r="R440">
        <f t="shared" si="331"/>
        <v>1.5594350793324709</v>
      </c>
      <c r="S440">
        <f t="shared" si="332"/>
        <v>0.98963298427807678</v>
      </c>
      <c r="T440">
        <f t="shared" si="333"/>
        <v>-0.1441178539239889</v>
      </c>
      <c r="U440">
        <f t="shared" si="334"/>
        <v>0.39713648598524326</v>
      </c>
      <c r="V440">
        <f t="shared" si="335"/>
        <v>-1.1624017084818783</v>
      </c>
      <c r="X440">
        <f t="shared" si="352"/>
        <v>-33.937365798290351</v>
      </c>
      <c r="Y440">
        <f t="shared" si="336"/>
        <v>-157.58974391091763</v>
      </c>
      <c r="Z440">
        <f t="shared" si="353"/>
        <v>22.410256089082367</v>
      </c>
      <c r="AC440">
        <v>1</v>
      </c>
      <c r="AD440">
        <f t="shared" si="337"/>
        <v>134.850288395277</v>
      </c>
      <c r="AE440">
        <f t="shared" si="338"/>
        <v>-6.5105713634479964E-2</v>
      </c>
      <c r="AF440">
        <f t="shared" si="339"/>
        <v>2.8172797575552005E-2</v>
      </c>
      <c r="AG440">
        <f t="shared" si="367"/>
        <v>741.98380410193977</v>
      </c>
      <c r="AH440">
        <f t="shared" si="368"/>
        <v>-1750.1770968628009</v>
      </c>
      <c r="AJ440">
        <f t="shared" si="340"/>
        <v>22100</v>
      </c>
      <c r="AK440">
        <f t="shared" si="341"/>
        <v>3207.2401239966362</v>
      </c>
      <c r="AL440">
        <v>1</v>
      </c>
      <c r="AM440">
        <f t="shared" si="342"/>
        <v>88.014716425775163</v>
      </c>
      <c r="AN440">
        <f t="shared" si="369"/>
        <v>39.287613043748195</v>
      </c>
      <c r="AO440">
        <f t="shared" si="370"/>
        <v>-250.64799709444679</v>
      </c>
      <c r="AQ440">
        <f t="shared" si="343"/>
        <v>1.95786632511036E-3</v>
      </c>
      <c r="AR440">
        <f t="shared" si="344"/>
        <v>-4.4247778947494139</v>
      </c>
      <c r="AT440">
        <f t="shared" si="365"/>
        <v>-7742.6922249913969</v>
      </c>
      <c r="AU440">
        <f t="shared" si="366"/>
        <v>-3286.5401474532696</v>
      </c>
      <c r="AV440">
        <f t="shared" si="354"/>
        <v>-2.7401710526574474</v>
      </c>
      <c r="AW440">
        <f t="shared" si="355"/>
        <v>-865.10255307730154</v>
      </c>
      <c r="AX440">
        <f t="shared" si="356"/>
        <v>-2509.4251082719475</v>
      </c>
      <c r="AY440">
        <f t="shared" si="364"/>
        <v>-1.9027787038460271</v>
      </c>
      <c r="BA440">
        <f t="shared" si="345"/>
        <v>3.1688789034272014</v>
      </c>
      <c r="BB440">
        <f t="shared" si="357"/>
        <v>10.018112864726131</v>
      </c>
      <c r="BC440">
        <f t="shared" si="358"/>
        <v>-0.83739234881142033</v>
      </c>
      <c r="BD440">
        <f t="shared" si="346"/>
        <v>-227.9790474382653</v>
      </c>
      <c r="BF440">
        <f t="shared" si="347"/>
        <v>-41.412029855570935</v>
      </c>
      <c r="BG440">
        <f t="shared" si="348"/>
        <v>-219.63490658180157</v>
      </c>
      <c r="BH440">
        <f t="shared" si="359"/>
        <v>-39.634906581801573</v>
      </c>
      <c r="BI440">
        <f t="shared" si="360"/>
        <v>-39.634906581801573</v>
      </c>
      <c r="BJ440">
        <f t="shared" si="349"/>
        <v>0</v>
      </c>
      <c r="BK440">
        <f t="shared" si="361"/>
        <v>0</v>
      </c>
      <c r="BM440">
        <f t="shared" si="362"/>
        <v>-51.43014272029707</v>
      </c>
      <c r="BN440">
        <f t="shared" si="350"/>
        <v>-171.65585914353625</v>
      </c>
      <c r="BQ440" s="56">
        <f t="shared" si="363"/>
        <v>26.920073665011266</v>
      </c>
    </row>
    <row r="441" spans="1:69" x14ac:dyDescent="0.2">
      <c r="A441">
        <f t="shared" si="372"/>
        <v>1135000</v>
      </c>
      <c r="B441">
        <f t="shared" si="351"/>
        <v>1135</v>
      </c>
      <c r="C441">
        <f t="shared" si="320"/>
        <v>1.0101202075797013</v>
      </c>
      <c r="D441">
        <f t="shared" si="321"/>
        <v>0.14167278760685578</v>
      </c>
      <c r="F441">
        <f t="shared" si="322"/>
        <v>1.754814176088701E-4</v>
      </c>
      <c r="G441">
        <f t="shared" si="323"/>
        <v>4.5556245196579706E-3</v>
      </c>
      <c r="H441">
        <f t="shared" si="324"/>
        <v>-3.1370370254803421</v>
      </c>
      <c r="J441">
        <f t="shared" si="325"/>
        <v>15</v>
      </c>
      <c r="M441">
        <f t="shared" si="326"/>
        <v>1.5990437028405406E-3</v>
      </c>
      <c r="N441">
        <f t="shared" si="327"/>
        <v>-1.5707963250000001</v>
      </c>
      <c r="O441">
        <f t="shared" si="328"/>
        <v>135.45066251857753</v>
      </c>
      <c r="P441">
        <f t="shared" si="329"/>
        <v>1.5634134977571916</v>
      </c>
      <c r="Q441">
        <f t="shared" si="330"/>
        <v>88.409817735073517</v>
      </c>
      <c r="R441">
        <f t="shared" si="331"/>
        <v>1.5594851246024271</v>
      </c>
      <c r="S441">
        <f t="shared" si="332"/>
        <v>0.98954247509671134</v>
      </c>
      <c r="T441">
        <f t="shared" si="333"/>
        <v>-0.14474669281725452</v>
      </c>
      <c r="U441">
        <f t="shared" si="334"/>
        <v>0.39566137735226625</v>
      </c>
      <c r="V441">
        <f t="shared" si="335"/>
        <v>-1.1640084437392075</v>
      </c>
      <c r="X441">
        <f t="shared" si="352"/>
        <v>-34.008089722346256</v>
      </c>
      <c r="Y441">
        <f t="shared" si="336"/>
        <v>-157.67896384423338</v>
      </c>
      <c r="Z441">
        <f t="shared" si="353"/>
        <v>22.32103615576662</v>
      </c>
      <c r="AC441">
        <v>1</v>
      </c>
      <c r="AD441">
        <f t="shared" si="337"/>
        <v>135.4469710872915</v>
      </c>
      <c r="AE441">
        <f t="shared" si="338"/>
        <v>-6.5683145075399754E-2</v>
      </c>
      <c r="AF441">
        <f t="shared" si="339"/>
        <v>2.8297455971904004E-2</v>
      </c>
      <c r="AG441">
        <f t="shared" si="367"/>
        <v>736.48204812387371</v>
      </c>
      <c r="AH441">
        <f t="shared" si="368"/>
        <v>-1744.8373189933004</v>
      </c>
      <c r="AJ441">
        <f t="shared" si="340"/>
        <v>22100</v>
      </c>
      <c r="AK441">
        <f t="shared" si="341"/>
        <v>3221.4314519789227</v>
      </c>
      <c r="AL441">
        <v>1</v>
      </c>
      <c r="AM441">
        <f t="shared" si="342"/>
        <v>88.404162073676829</v>
      </c>
      <c r="AN441">
        <f t="shared" si="369"/>
        <v>39.262580794995564</v>
      </c>
      <c r="AO441">
        <f t="shared" si="370"/>
        <v>-249.5441040526959</v>
      </c>
      <c r="AQ441">
        <f t="shared" si="343"/>
        <v>1.9406544003077101E-3</v>
      </c>
      <c r="AR441">
        <f t="shared" si="344"/>
        <v>-4.4052854886985022</v>
      </c>
      <c r="AT441">
        <f t="shared" si="365"/>
        <v>-7685.0772643733471</v>
      </c>
      <c r="AU441">
        <f t="shared" si="366"/>
        <v>-3247.7998055079779</v>
      </c>
      <c r="AV441">
        <f t="shared" si="354"/>
        <v>-2.7417470709659448</v>
      </c>
      <c r="AW441">
        <f t="shared" si="355"/>
        <v>-856.90544103570971</v>
      </c>
      <c r="AX441">
        <f t="shared" si="356"/>
        <v>-2498.8899143016506</v>
      </c>
      <c r="AY441">
        <f t="shared" si="364"/>
        <v>-1.9011449529451045</v>
      </c>
      <c r="BA441">
        <f t="shared" si="345"/>
        <v>3.1582249561101552</v>
      </c>
      <c r="BB441">
        <f t="shared" si="357"/>
        <v>9.9888612197014197</v>
      </c>
      <c r="BC441">
        <f t="shared" si="358"/>
        <v>-0.84060211802084028</v>
      </c>
      <c r="BD441">
        <f t="shared" si="346"/>
        <v>-228.16295366738626</v>
      </c>
      <c r="BF441">
        <f t="shared" si="347"/>
        <v>-41.51722972997338</v>
      </c>
      <c r="BG441">
        <f t="shared" si="348"/>
        <v>-219.78468279806381</v>
      </c>
      <c r="BH441">
        <f t="shared" si="359"/>
        <v>-39.784682798063812</v>
      </c>
      <c r="BI441">
        <f t="shared" si="360"/>
        <v>-39.784682798063812</v>
      </c>
      <c r="BJ441">
        <f t="shared" si="349"/>
        <v>0</v>
      </c>
      <c r="BK441">
        <f t="shared" si="361"/>
        <v>0</v>
      </c>
      <c r="BM441">
        <f t="shared" si="362"/>
        <v>-51.506090949674793</v>
      </c>
      <c r="BN441">
        <f t="shared" si="350"/>
        <v>-171.62172913067755</v>
      </c>
      <c r="BQ441" s="56">
        <f t="shared" si="363"/>
        <v>26.890822019986555</v>
      </c>
    </row>
    <row r="442" spans="1:69" x14ac:dyDescent="0.2">
      <c r="A442">
        <f t="shared" si="372"/>
        <v>1140000</v>
      </c>
      <c r="B442">
        <f t="shared" si="351"/>
        <v>1140</v>
      </c>
      <c r="C442">
        <f t="shared" si="320"/>
        <v>1.0102091172428354</v>
      </c>
      <c r="D442">
        <f t="shared" si="321"/>
        <v>0.14228852503341169</v>
      </c>
      <c r="F442">
        <f t="shared" si="322"/>
        <v>1.7394523024019207E-4</v>
      </c>
      <c r="G442">
        <f t="shared" si="323"/>
        <v>4.5356369924484446E-3</v>
      </c>
      <c r="H442">
        <f t="shared" si="324"/>
        <v>-3.1370570130075519</v>
      </c>
      <c r="J442">
        <f t="shared" si="325"/>
        <v>15</v>
      </c>
      <c r="M442">
        <f t="shared" si="326"/>
        <v>1.5920303532666784E-3</v>
      </c>
      <c r="N442">
        <f t="shared" si="327"/>
        <v>-1.5707963250000001</v>
      </c>
      <c r="O442">
        <f t="shared" si="328"/>
        <v>136.04732902054229</v>
      </c>
      <c r="P442">
        <f t="shared" si="329"/>
        <v>1.56344587741741</v>
      </c>
      <c r="Q442">
        <f t="shared" si="330"/>
        <v>88.799238579019146</v>
      </c>
      <c r="R442">
        <f t="shared" si="331"/>
        <v>1.5595347309347052</v>
      </c>
      <c r="S442">
        <f t="shared" si="332"/>
        <v>0.98945159130960469</v>
      </c>
      <c r="T442">
        <f t="shared" si="333"/>
        <v>-0.14537541644862978</v>
      </c>
      <c r="U442">
        <f t="shared" si="334"/>
        <v>0.39419617995724981</v>
      </c>
      <c r="V442">
        <f t="shared" si="335"/>
        <v>-1.1656032830928622</v>
      </c>
      <c r="X442">
        <f t="shared" si="352"/>
        <v>-34.078547295688367</v>
      </c>
      <c r="Y442">
        <f t="shared" si="336"/>
        <v>-157.76753321263121</v>
      </c>
      <c r="Z442">
        <f t="shared" si="353"/>
        <v>22.232466787368793</v>
      </c>
      <c r="AC442">
        <v>1</v>
      </c>
      <c r="AD442">
        <f t="shared" si="337"/>
        <v>136.043653779306</v>
      </c>
      <c r="AE442">
        <f t="shared" si="338"/>
        <v>-6.6263125882504631E-2</v>
      </c>
      <c r="AF442">
        <f t="shared" si="339"/>
        <v>2.8422114368256004E-2</v>
      </c>
      <c r="AG442">
        <f t="shared" si="367"/>
        <v>731.0375260368379</v>
      </c>
      <c r="AH442">
        <f t="shared" si="368"/>
        <v>-1739.5198320584147</v>
      </c>
      <c r="AJ442">
        <f t="shared" si="340"/>
        <v>22100</v>
      </c>
      <c r="AK442">
        <f t="shared" si="341"/>
        <v>3235.6227799612084</v>
      </c>
      <c r="AL442">
        <v>1</v>
      </c>
      <c r="AM442">
        <f t="shared" si="342"/>
        <v>88.793607721578482</v>
      </c>
      <c r="AN442">
        <f t="shared" si="369"/>
        <v>39.237877139404887</v>
      </c>
      <c r="AO442">
        <f t="shared" si="370"/>
        <v>-248.44989058260131</v>
      </c>
      <c r="AQ442">
        <f t="shared" si="343"/>
        <v>1.9236684511256441E-3</v>
      </c>
      <c r="AR442">
        <f t="shared" si="344"/>
        <v>-4.3859640685664685</v>
      </c>
      <c r="AT442">
        <f t="shared" si="365"/>
        <v>-7628.0652061415585</v>
      </c>
      <c r="AU442">
        <f t="shared" si="366"/>
        <v>-3209.6505813923336</v>
      </c>
      <c r="AV442">
        <f t="shared" si="354"/>
        <v>-2.7433114628021413</v>
      </c>
      <c r="AW442">
        <f t="shared" si="355"/>
        <v>-848.8199334357422</v>
      </c>
      <c r="AX442">
        <f t="shared" si="356"/>
        <v>-2488.4420615254949</v>
      </c>
      <c r="AY442">
        <f t="shared" si="364"/>
        <v>-1.8995249636376474</v>
      </c>
      <c r="BA442">
        <f t="shared" si="345"/>
        <v>3.1476246165592161</v>
      </c>
      <c r="BB442">
        <f t="shared" si="357"/>
        <v>9.9596586625729238</v>
      </c>
      <c r="BC442">
        <f t="shared" si="358"/>
        <v>-0.84378649916449389</v>
      </c>
      <c r="BD442">
        <f t="shared" si="346"/>
        <v>-228.34540526748714</v>
      </c>
      <c r="BF442">
        <f t="shared" si="347"/>
        <v>-41.622039992595681</v>
      </c>
      <c r="BG442">
        <f t="shared" si="348"/>
        <v>-219.93300044324781</v>
      </c>
      <c r="BH442">
        <f t="shared" si="359"/>
        <v>-39.933000443247806</v>
      </c>
      <c r="BI442">
        <f t="shared" si="360"/>
        <v>-39.933000443247806</v>
      </c>
      <c r="BJ442">
        <f t="shared" si="349"/>
        <v>0</v>
      </c>
      <c r="BK442">
        <f t="shared" si="361"/>
        <v>0</v>
      </c>
      <c r="BM442">
        <f t="shared" si="362"/>
        <v>-51.581698655168609</v>
      </c>
      <c r="BN442">
        <f t="shared" si="350"/>
        <v>-171.5875951757607</v>
      </c>
      <c r="BQ442" s="56">
        <f t="shared" si="363"/>
        <v>26.861619462858059</v>
      </c>
    </row>
    <row r="443" spans="1:69" x14ac:dyDescent="0.2">
      <c r="A443">
        <f t="shared" si="372"/>
        <v>1145000</v>
      </c>
      <c r="B443">
        <f t="shared" si="351"/>
        <v>1145</v>
      </c>
      <c r="C443">
        <f t="shared" si="320"/>
        <v>1.0102984098416607</v>
      </c>
      <c r="D443">
        <f t="shared" si="321"/>
        <v>0.14290415385263433</v>
      </c>
      <c r="F443">
        <f t="shared" si="322"/>
        <v>1.7242912799471683E-4</v>
      </c>
      <c r="G443">
        <f t="shared" si="323"/>
        <v>4.5158241162457802E-3</v>
      </c>
      <c r="H443">
        <f t="shared" si="324"/>
        <v>-3.1370768258837542</v>
      </c>
      <c r="J443">
        <f t="shared" si="325"/>
        <v>15</v>
      </c>
      <c r="M443">
        <f t="shared" si="326"/>
        <v>1.5850782556541601E-3</v>
      </c>
      <c r="N443">
        <f t="shared" si="327"/>
        <v>-1.5707963250000001</v>
      </c>
      <c r="O443">
        <f t="shared" si="328"/>
        <v>136.64399566389912</v>
      </c>
      <c r="P443">
        <f t="shared" si="329"/>
        <v>1.5634779743010481</v>
      </c>
      <c r="Q443">
        <f t="shared" si="330"/>
        <v>89.188659639572705</v>
      </c>
      <c r="R443">
        <f t="shared" si="331"/>
        <v>1.5595839040786106</v>
      </c>
      <c r="S443">
        <f t="shared" si="332"/>
        <v>0.98936033323548811</v>
      </c>
      <c r="T443">
        <f t="shared" si="333"/>
        <v>-0.14600402435287821</v>
      </c>
      <c r="U443">
        <f t="shared" si="334"/>
        <v>0.39274080633552849</v>
      </c>
      <c r="V443">
        <f t="shared" si="335"/>
        <v>-1.167186350143824</v>
      </c>
      <c r="X443">
        <f t="shared" si="352"/>
        <v>-34.148740393418706</v>
      </c>
      <c r="Y443">
        <f t="shared" si="336"/>
        <v>-157.85545868483916</v>
      </c>
      <c r="Z443">
        <f t="shared" si="353"/>
        <v>22.144541315160836</v>
      </c>
      <c r="AC443">
        <v>1</v>
      </c>
      <c r="AD443">
        <f t="shared" si="337"/>
        <v>136.6403364713205</v>
      </c>
      <c r="AE443">
        <f t="shared" si="338"/>
        <v>-6.6845656055794567E-2</v>
      </c>
      <c r="AF443">
        <f t="shared" si="339"/>
        <v>2.8546772764608007E-2</v>
      </c>
      <c r="AG443">
        <f t="shared" si="367"/>
        <v>725.64950472021349</v>
      </c>
      <c r="AH443">
        <f t="shared" si="368"/>
        <v>-1734.2246571200064</v>
      </c>
      <c r="AJ443">
        <f t="shared" si="340"/>
        <v>22100</v>
      </c>
      <c r="AK443">
        <f t="shared" si="341"/>
        <v>3249.814107943494</v>
      </c>
      <c r="AL443">
        <v>1</v>
      </c>
      <c r="AM443">
        <f t="shared" si="342"/>
        <v>89.183053369480149</v>
      </c>
      <c r="AN443">
        <f t="shared" si="369"/>
        <v>39.213496351113214</v>
      </c>
      <c r="AO443">
        <f t="shared" si="370"/>
        <v>-247.36522994175078</v>
      </c>
      <c r="AQ443">
        <f t="shared" si="343"/>
        <v>1.9069045390239434E-3</v>
      </c>
      <c r="AR443">
        <f t="shared" si="344"/>
        <v>-4.3668113943648299</v>
      </c>
      <c r="AT443">
        <f t="shared" si="365"/>
        <v>-7571.6482487657922</v>
      </c>
      <c r="AU443">
        <f t="shared" si="366"/>
        <v>-3172.0815263977729</v>
      </c>
      <c r="AV443">
        <f t="shared" si="354"/>
        <v>-2.7448643482376185</v>
      </c>
      <c r="AW443">
        <f t="shared" si="355"/>
        <v>-840.84401496650628</v>
      </c>
      <c r="AX443">
        <f t="shared" si="356"/>
        <v>-2478.0804636037287</v>
      </c>
      <c r="AY443">
        <f t="shared" si="364"/>
        <v>-1.8979185663845131</v>
      </c>
      <c r="BA443">
        <f t="shared" si="345"/>
        <v>3.1370777900308622</v>
      </c>
      <c r="BB443">
        <f t="shared" si="357"/>
        <v>9.930505760389579</v>
      </c>
      <c r="BC443">
        <f t="shared" si="358"/>
        <v>-0.84694578185310543</v>
      </c>
      <c r="BD443">
        <f t="shared" si="346"/>
        <v>-228.52641883204018</v>
      </c>
      <c r="BF443">
        <f t="shared" si="347"/>
        <v>-41.726463031858543</v>
      </c>
      <c r="BG443">
        <f t="shared" si="348"/>
        <v>-220.07987626886015</v>
      </c>
      <c r="BH443">
        <f t="shared" si="359"/>
        <v>-40.079876268860147</v>
      </c>
      <c r="BI443">
        <f t="shared" si="360"/>
        <v>-40.079876268860147</v>
      </c>
      <c r="BJ443">
        <f t="shared" si="349"/>
        <v>0</v>
      </c>
      <c r="BK443">
        <f t="shared" si="361"/>
        <v>0</v>
      </c>
      <c r="BM443">
        <f t="shared" si="362"/>
        <v>-51.656968792248122</v>
      </c>
      <c r="BN443">
        <f t="shared" si="350"/>
        <v>-171.55345743682</v>
      </c>
      <c r="BQ443" s="56">
        <f t="shared" si="363"/>
        <v>26.832466560674714</v>
      </c>
    </row>
    <row r="444" spans="1:69" x14ac:dyDescent="0.2">
      <c r="A444">
        <f t="shared" si="372"/>
        <v>1150000</v>
      </c>
      <c r="B444">
        <f t="shared" si="351"/>
        <v>1150</v>
      </c>
      <c r="C444">
        <f t="shared" si="320"/>
        <v>1.0103880852746523</v>
      </c>
      <c r="D444">
        <f t="shared" si="321"/>
        <v>0.14351967362673501</v>
      </c>
      <c r="F444">
        <f t="shared" si="322"/>
        <v>1.7093276223222221E-4</v>
      </c>
      <c r="G444">
        <f t="shared" si="323"/>
        <v>4.4961836114819987E-3</v>
      </c>
      <c r="H444">
        <f t="shared" si="324"/>
        <v>-3.1370964663885181</v>
      </c>
      <c r="J444">
        <f t="shared" si="325"/>
        <v>15</v>
      </c>
      <c r="M444">
        <f t="shared" si="326"/>
        <v>1.5781866110643594E-3</v>
      </c>
      <c r="N444">
        <f t="shared" si="327"/>
        <v>-1.5707963250000001</v>
      </c>
      <c r="O444">
        <f t="shared" si="328"/>
        <v>137.24066244680395</v>
      </c>
      <c r="P444">
        <f t="shared" si="329"/>
        <v>1.5635097920962335</v>
      </c>
      <c r="Q444">
        <f t="shared" si="330"/>
        <v>89.578080913909218</v>
      </c>
      <c r="R444">
        <f t="shared" si="331"/>
        <v>1.5596326496834811</v>
      </c>
      <c r="S444">
        <f t="shared" si="332"/>
        <v>0.98926870119424704</v>
      </c>
      <c r="T444">
        <f t="shared" si="333"/>
        <v>-0.14663251606530051</v>
      </c>
      <c r="U444">
        <f t="shared" si="334"/>
        <v>0.3912951698432906</v>
      </c>
      <c r="V444">
        <f t="shared" si="335"/>
        <v>-1.1687577669111109</v>
      </c>
      <c r="X444">
        <f t="shared" si="352"/>
        <v>-34.218670871941768</v>
      </c>
      <c r="Y444">
        <f t="shared" si="336"/>
        <v>-157.94274684610249</v>
      </c>
      <c r="Z444">
        <f t="shared" si="353"/>
        <v>22.057253153897506</v>
      </c>
      <c r="AC444">
        <v>1</v>
      </c>
      <c r="AD444">
        <f t="shared" si="337"/>
        <v>137.23701916333502</v>
      </c>
      <c r="AE444">
        <f t="shared" si="338"/>
        <v>-6.7430735595269603E-2</v>
      </c>
      <c r="AF444">
        <f t="shared" si="339"/>
        <v>2.8671431160960006E-2</v>
      </c>
      <c r="AG444">
        <f t="shared" si="367"/>
        <v>720.31726160670621</v>
      </c>
      <c r="AH444">
        <f t="shared" si="368"/>
        <v>-1728.9518103863859</v>
      </c>
      <c r="AJ444">
        <f t="shared" si="340"/>
        <v>22100</v>
      </c>
      <c r="AK444">
        <f t="shared" si="341"/>
        <v>3264.0054359257806</v>
      </c>
      <c r="AL444">
        <v>1</v>
      </c>
      <c r="AM444">
        <f t="shared" si="342"/>
        <v>89.572499017381801</v>
      </c>
      <c r="AN444">
        <f t="shared" si="369"/>
        <v>39.189432828430512</v>
      </c>
      <c r="AO444">
        <f t="shared" si="370"/>
        <v>-246.28999759056188</v>
      </c>
      <c r="AQ444">
        <f t="shared" si="343"/>
        <v>1.8903588108962551E-3</v>
      </c>
      <c r="AR444">
        <f t="shared" si="344"/>
        <v>-4.3478252650613864</v>
      </c>
      <c r="AT444">
        <f t="shared" si="365"/>
        <v>-7515.8187051894329</v>
      </c>
      <c r="AU444">
        <f t="shared" si="366"/>
        <v>-3135.0819281618487</v>
      </c>
      <c r="AV444">
        <f t="shared" si="354"/>
        <v>-2.7464058458233711</v>
      </c>
      <c r="AW444">
        <f t="shared" si="355"/>
        <v>-832.97571544927564</v>
      </c>
      <c r="AX444">
        <f t="shared" si="356"/>
        <v>-2467.8040524471448</v>
      </c>
      <c r="AY444">
        <f t="shared" si="364"/>
        <v>-1.8963255941721657</v>
      </c>
      <c r="BA444">
        <f t="shared" si="345"/>
        <v>3.1265843726315143</v>
      </c>
      <c r="BB444">
        <f t="shared" si="357"/>
        <v>9.9014030570961058</v>
      </c>
      <c r="BC444">
        <f t="shared" si="358"/>
        <v>-0.85008025165120538</v>
      </c>
      <c r="BD444">
        <f t="shared" si="346"/>
        <v>-228.70601072268772</v>
      </c>
      <c r="BF444">
        <f t="shared" si="347"/>
        <v>-41.83050122065697</v>
      </c>
      <c r="BG444">
        <f t="shared" si="348"/>
        <v>-220.22532679223639</v>
      </c>
      <c r="BH444">
        <f t="shared" si="359"/>
        <v>-40.225326792236388</v>
      </c>
      <c r="BI444">
        <f t="shared" si="360"/>
        <v>-40.225326792236388</v>
      </c>
      <c r="BJ444">
        <f t="shared" si="349"/>
        <v>0</v>
      </c>
      <c r="BK444">
        <f t="shared" si="361"/>
        <v>0</v>
      </c>
      <c r="BM444">
        <f t="shared" si="362"/>
        <v>-51.731904277753074</v>
      </c>
      <c r="BN444">
        <f t="shared" si="350"/>
        <v>-171.51931606954867</v>
      </c>
      <c r="BQ444" s="56">
        <f t="shared" si="363"/>
        <v>26.803363857381242</v>
      </c>
    </row>
    <row r="445" spans="1:69" x14ac:dyDescent="0.2">
      <c r="A445">
        <f t="shared" si="372"/>
        <v>1155000</v>
      </c>
      <c r="B445">
        <f t="shared" si="351"/>
        <v>1155</v>
      </c>
      <c r="C445">
        <f t="shared" si="320"/>
        <v>1.0104781434398857</v>
      </c>
      <c r="D445">
        <f t="shared" si="321"/>
        <v>0.14413508391841051</v>
      </c>
      <c r="F445">
        <f t="shared" si="322"/>
        <v>1.6945579184486742E-4</v>
      </c>
      <c r="G445">
        <f t="shared" si="323"/>
        <v>4.4767132380946709E-3</v>
      </c>
      <c r="H445">
        <f t="shared" si="324"/>
        <v>-3.1371159367619055</v>
      </c>
      <c r="J445">
        <f t="shared" si="325"/>
        <v>15</v>
      </c>
      <c r="M445">
        <f t="shared" si="326"/>
        <v>1.5713546343930852E-3</v>
      </c>
      <c r="N445">
        <f t="shared" si="327"/>
        <v>-1.5707963250000001</v>
      </c>
      <c r="O445">
        <f t="shared" si="328"/>
        <v>137.83732936744454</v>
      </c>
      <c r="P445">
        <f t="shared" si="329"/>
        <v>1.5635413344272358</v>
      </c>
      <c r="Q445">
        <f t="shared" si="330"/>
        <v>89.967502399252609</v>
      </c>
      <c r="R445">
        <f t="shared" si="331"/>
        <v>1.5596809733008516</v>
      </c>
      <c r="S445">
        <f t="shared" si="332"/>
        <v>0.989176695506918</v>
      </c>
      <c r="T445">
        <f t="shared" si="333"/>
        <v>-0.14726089112173629</v>
      </c>
      <c r="U445">
        <f t="shared" si="334"/>
        <v>0.38985918465277369</v>
      </c>
      <c r="V445">
        <f t="shared" si="335"/>
        <v>-1.1703176538545481</v>
      </c>
      <c r="X445">
        <f t="shared" si="352"/>
        <v>-34.288340569205921</v>
      </c>
      <c r="Y445">
        <f t="shared" si="336"/>
        <v>-158.0294041993333</v>
      </c>
      <c r="Z445">
        <f t="shared" si="353"/>
        <v>21.9705958006667</v>
      </c>
      <c r="AC445">
        <v>1</v>
      </c>
      <c r="AD445">
        <f t="shared" si="337"/>
        <v>137.83370185534952</v>
      </c>
      <c r="AE445">
        <f t="shared" si="338"/>
        <v>-6.8018364500929698E-2</v>
      </c>
      <c r="AF445">
        <f t="shared" si="339"/>
        <v>2.8796089557312003E-2</v>
      </c>
      <c r="AG445">
        <f t="shared" si="367"/>
        <v>715.04008452878634</v>
      </c>
      <c r="AH445">
        <f t="shared" si="368"/>
        <v>-1723.7013033823846</v>
      </c>
      <c r="AJ445">
        <f t="shared" si="340"/>
        <v>22100</v>
      </c>
      <c r="AK445">
        <f t="shared" si="341"/>
        <v>3278.1967639080663</v>
      </c>
      <c r="AL445">
        <v>1</v>
      </c>
      <c r="AM445">
        <f t="shared" si="342"/>
        <v>89.961944665283468</v>
      </c>
      <c r="AN445">
        <f t="shared" si="369"/>
        <v>39.165681090622314</v>
      </c>
      <c r="AO445">
        <f t="shared" si="370"/>
        <v>-245.22407114463709</v>
      </c>
      <c r="AQ445">
        <f t="shared" si="343"/>
        <v>1.8740274968558504E-3</v>
      </c>
      <c r="AR445">
        <f t="shared" si="344"/>
        <v>-4.3290035177370143</v>
      </c>
      <c r="AT445">
        <f t="shared" si="365"/>
        <v>-7460.5690010904582</v>
      </c>
      <c r="AU445">
        <f t="shared" si="366"/>
        <v>-3098.6413048869931</v>
      </c>
      <c r="AV445">
        <f t="shared" si="354"/>
        <v>-2.7479360726112474</v>
      </c>
      <c r="AW445">
        <f t="shared" si="355"/>
        <v>-825.21310863609835</v>
      </c>
      <c r="AX445">
        <f t="shared" si="356"/>
        <v>-2457.611777825065</v>
      </c>
      <c r="AY445">
        <f t="shared" si="364"/>
        <v>-1.8947458824724501</v>
      </c>
      <c r="BA445">
        <f t="shared" si="345"/>
        <v>3.1161442517231186</v>
      </c>
      <c r="BB445">
        <f t="shared" si="357"/>
        <v>9.8723510742165512</v>
      </c>
      <c r="BC445">
        <f t="shared" si="358"/>
        <v>-0.85319019013879727</v>
      </c>
      <c r="BD445">
        <f t="shared" si="346"/>
        <v>-228.88419707277563</v>
      </c>
      <c r="BF445">
        <f t="shared" si="347"/>
        <v>-41.934156916347767</v>
      </c>
      <c r="BG445">
        <f t="shared" si="348"/>
        <v>-220.36936830012399</v>
      </c>
      <c r="BH445">
        <f t="shared" si="359"/>
        <v>-40.369368300123995</v>
      </c>
      <c r="BI445">
        <f t="shared" si="360"/>
        <v>-40.369368300123995</v>
      </c>
      <c r="BJ445">
        <f t="shared" si="349"/>
        <v>0</v>
      </c>
      <c r="BK445">
        <f t="shared" si="361"/>
        <v>0</v>
      </c>
      <c r="BM445">
        <f t="shared" si="362"/>
        <v>-51.806507990564313</v>
      </c>
      <c r="BN445">
        <f t="shared" si="350"/>
        <v>-171.48517122734836</v>
      </c>
      <c r="BQ445" s="56">
        <f t="shared" si="363"/>
        <v>26.774311874501691</v>
      </c>
    </row>
    <row r="446" spans="1:69" x14ac:dyDescent="0.2">
      <c r="A446">
        <f t="shared" si="372"/>
        <v>1160000</v>
      </c>
      <c r="B446">
        <f t="shared" si="351"/>
        <v>1160</v>
      </c>
      <c r="C446">
        <f t="shared" si="320"/>
        <v>1.0105685842350378</v>
      </c>
      <c r="D446">
        <f t="shared" si="321"/>
        <v>0.14475038429084489</v>
      </c>
      <c r="F446">
        <f t="shared" si="322"/>
        <v>1.6799788306273895E-4</v>
      </c>
      <c r="G446">
        <f t="shared" si="323"/>
        <v>4.45741079467467E-3</v>
      </c>
      <c r="H446">
        <f t="shared" si="324"/>
        <v>-3.1371352392053256</v>
      </c>
      <c r="J446">
        <f t="shared" si="325"/>
        <v>15</v>
      </c>
      <c r="M446">
        <f t="shared" si="326"/>
        <v>1.5645815540724255E-3</v>
      </c>
      <c r="N446">
        <f t="shared" si="327"/>
        <v>-1.5707963250000001</v>
      </c>
      <c r="O446">
        <f t="shared" si="328"/>
        <v>138.43399642403986</v>
      </c>
      <c r="P446">
        <f t="shared" si="329"/>
        <v>1.5635726048558416</v>
      </c>
      <c r="Q446">
        <f t="shared" si="330"/>
        <v>90.356924092874721</v>
      </c>
      <c r="R446">
        <f t="shared" si="331"/>
        <v>1.5597288803865597</v>
      </c>
      <c r="S446">
        <f t="shared" si="332"/>
        <v>0.98908431649568551</v>
      </c>
      <c r="T446">
        <f t="shared" si="333"/>
        <v>-0.14788914905856596</v>
      </c>
      <c r="U446">
        <f t="shared" si="334"/>
        <v>0.38843276574732821</v>
      </c>
      <c r="V446">
        <f t="shared" si="335"/>
        <v>-1.1718661298972073</v>
      </c>
      <c r="X446">
        <f t="shared" si="352"/>
        <v>-34.357751304940784</v>
      </c>
      <c r="Y446">
        <f t="shared" si="336"/>
        <v>-158.11543716624541</v>
      </c>
      <c r="Z446">
        <f t="shared" si="353"/>
        <v>21.884562833754586</v>
      </c>
      <c r="AC446">
        <v>1</v>
      </c>
      <c r="AD446">
        <f t="shared" si="337"/>
        <v>138.43038454736399</v>
      </c>
      <c r="AE446">
        <f t="shared" si="338"/>
        <v>-6.860854277277488E-2</v>
      </c>
      <c r="AF446">
        <f t="shared" si="339"/>
        <v>2.8920747953664002E-2</v>
      </c>
      <c r="AG446">
        <f t="shared" si="367"/>
        <v>709.81727156685679</v>
      </c>
      <c r="AH446">
        <f t="shared" si="368"/>
        <v>-1718.473143114287</v>
      </c>
      <c r="AJ446">
        <f t="shared" si="340"/>
        <v>22100</v>
      </c>
      <c r="AK446">
        <f t="shared" si="341"/>
        <v>3292.3880918903528</v>
      </c>
      <c r="AL446">
        <v>1</v>
      </c>
      <c r="AM446">
        <f t="shared" si="342"/>
        <v>90.351390313185121</v>
      </c>
      <c r="AN446">
        <f t="shared" si="369"/>
        <v>39.142235774789278</v>
      </c>
      <c r="AO446">
        <f t="shared" si="370"/>
        <v>-244.16733032835063</v>
      </c>
      <c r="AQ446">
        <f t="shared" si="343"/>
        <v>1.8579069080880447E-3</v>
      </c>
      <c r="AR446">
        <f t="shared" si="344"/>
        <v>-4.3103440267642634</v>
      </c>
      <c r="AT446">
        <f t="shared" si="365"/>
        <v>-7405.8916731651525</v>
      </c>
      <c r="AU446">
        <f t="shared" si="366"/>
        <v>-3062.7493997162642</v>
      </c>
      <c r="AV446">
        <f t="shared" si="354"/>
        <v>-2.7494551441750943</v>
      </c>
      <c r="AW446">
        <f t="shared" si="355"/>
        <v>-817.55431104534216</v>
      </c>
      <c r="AX446">
        <f t="shared" si="356"/>
        <v>-2447.5026069836858</v>
      </c>
      <c r="AY446">
        <f t="shared" si="364"/>
        <v>-1.8931792692029252</v>
      </c>
      <c r="BA446">
        <f t="shared" si="345"/>
        <v>3.1057573063143491</v>
      </c>
      <c r="BB446">
        <f t="shared" si="357"/>
        <v>9.843350311517705</v>
      </c>
      <c r="BC446">
        <f t="shared" si="358"/>
        <v>-0.85627587497216906</v>
      </c>
      <c r="BD446">
        <f t="shared" si="346"/>
        <v>-229.06099379083741</v>
      </c>
      <c r="BF446">
        <f t="shared" si="347"/>
        <v>-42.037432460742622</v>
      </c>
      <c r="BG446">
        <f t="shared" si="348"/>
        <v>-220.51201685221565</v>
      </c>
      <c r="BH446">
        <f t="shared" si="359"/>
        <v>-40.512016852215652</v>
      </c>
      <c r="BI446">
        <f t="shared" si="360"/>
        <v>-40.512016852215652</v>
      </c>
      <c r="BJ446">
        <f t="shared" si="349"/>
        <v>0</v>
      </c>
      <c r="BK446">
        <f t="shared" si="361"/>
        <v>0</v>
      </c>
      <c r="BM446">
        <f t="shared" si="362"/>
        <v>-51.880782772260332</v>
      </c>
      <c r="BN446">
        <f t="shared" si="350"/>
        <v>-171.45102306137827</v>
      </c>
      <c r="BQ446" s="56">
        <f t="shared" si="363"/>
        <v>26.745311111802842</v>
      </c>
    </row>
    <row r="447" spans="1:69" x14ac:dyDescent="0.2">
      <c r="A447">
        <f t="shared" si="372"/>
        <v>1165000</v>
      </c>
      <c r="B447">
        <f t="shared" si="351"/>
        <v>1165</v>
      </c>
      <c r="C447">
        <f t="shared" si="320"/>
        <v>1.0106594075573874</v>
      </c>
      <c r="D447">
        <f t="shared" si="321"/>
        <v>0.14536557430771119</v>
      </c>
      <c r="F447">
        <f t="shared" si="322"/>
        <v>1.6655870926522766E-4</v>
      </c>
      <c r="G447">
        <f t="shared" si="323"/>
        <v>4.4382741176358922E-3</v>
      </c>
      <c r="H447">
        <f t="shared" si="324"/>
        <v>-3.1371543758823641</v>
      </c>
      <c r="J447">
        <f t="shared" si="325"/>
        <v>15</v>
      </c>
      <c r="M447">
        <f t="shared" si="326"/>
        <v>1.557866611780269E-3</v>
      </c>
      <c r="N447">
        <f t="shared" si="327"/>
        <v>-1.5707963250000001</v>
      </c>
      <c r="O447">
        <f t="shared" si="328"/>
        <v>139.0306636148396</v>
      </c>
      <c r="P447">
        <f t="shared" si="329"/>
        <v>1.5636036068826979</v>
      </c>
      <c r="Q447">
        <f t="shared" si="330"/>
        <v>90.746345992094135</v>
      </c>
      <c r="R447">
        <f t="shared" si="331"/>
        <v>1.5597763763027999</v>
      </c>
      <c r="S447">
        <f t="shared" si="332"/>
        <v>0.98899156448387937</v>
      </c>
      <c r="T447">
        <f t="shared" si="333"/>
        <v>-0.14851728941271261</v>
      </c>
      <c r="U447">
        <f t="shared" si="334"/>
        <v>0.38701582891636016</v>
      </c>
      <c r="V447">
        <f t="shared" si="335"/>
        <v>-1.1734033124475169</v>
      </c>
      <c r="X447">
        <f t="shared" si="352"/>
        <v>-34.426904880890689</v>
      </c>
      <c r="Y447">
        <f t="shared" si="336"/>
        <v>-158.2008520884747</v>
      </c>
      <c r="Z447">
        <f t="shared" si="353"/>
        <v>21.799147911525296</v>
      </c>
      <c r="AC447">
        <v>1</v>
      </c>
      <c r="AD447">
        <f t="shared" si="337"/>
        <v>139.02706723937851</v>
      </c>
      <c r="AE447">
        <f t="shared" si="338"/>
        <v>-6.9201270410805135E-2</v>
      </c>
      <c r="AF447">
        <f t="shared" si="339"/>
        <v>2.9045406350016005E-2</v>
      </c>
      <c r="AG447">
        <f t="shared" si="367"/>
        <v>704.64813089917527</v>
      </c>
      <c r="AH447">
        <f t="shared" si="368"/>
        <v>-1713.2673322297942</v>
      </c>
      <c r="AJ447">
        <f t="shared" si="340"/>
        <v>22100</v>
      </c>
      <c r="AK447">
        <f t="shared" si="341"/>
        <v>3306.5794198726385</v>
      </c>
      <c r="AL447">
        <v>1</v>
      </c>
      <c r="AM447">
        <f t="shared" si="342"/>
        <v>90.740835961086788</v>
      </c>
      <c r="AN447">
        <f t="shared" si="369"/>
        <v>39.11909163284011</v>
      </c>
      <c r="AO447">
        <f t="shared" si="370"/>
        <v>-243.11965692962897</v>
      </c>
      <c r="AQ447">
        <f t="shared" si="343"/>
        <v>1.8419934347669998E-3</v>
      </c>
      <c r="AR447">
        <f t="shared" si="344"/>
        <v>-4.2918447030071096</v>
      </c>
      <c r="AT447">
        <f t="shared" si="365"/>
        <v>-7351.7793674346276</v>
      </c>
      <c r="AU447">
        <f t="shared" si="366"/>
        <v>-3027.3961752614541</v>
      </c>
      <c r="AV447">
        <f t="shared" si="354"/>
        <v>-2.7509631746316079</v>
      </c>
      <c r="AW447">
        <f t="shared" si="355"/>
        <v>-809.99748083287795</v>
      </c>
      <c r="AX447">
        <f t="shared" si="356"/>
        <v>-2437.4755242744882</v>
      </c>
      <c r="AY447">
        <f t="shared" si="364"/>
        <v>-1.8916255946877456</v>
      </c>
      <c r="BA447">
        <f t="shared" si="345"/>
        <v>3.0954234074379396</v>
      </c>
      <c r="BB447">
        <f t="shared" si="357"/>
        <v>9.814401247653068</v>
      </c>
      <c r="BC447">
        <f t="shared" si="358"/>
        <v>-0.85933757994386228</v>
      </c>
      <c r="BD447">
        <f t="shared" si="346"/>
        <v>-229.23641656403009</v>
      </c>
      <c r="BF447">
        <f t="shared" si="347"/>
        <v>-42.140330180106567</v>
      </c>
      <c r="BG447">
        <f t="shared" si="348"/>
        <v>-220.65328828463254</v>
      </c>
      <c r="BH447">
        <f t="shared" si="359"/>
        <v>-40.653288284632538</v>
      </c>
      <c r="BI447">
        <f t="shared" si="360"/>
        <v>-40.653288284632538</v>
      </c>
      <c r="BJ447">
        <f t="shared" si="349"/>
        <v>0</v>
      </c>
      <c r="BK447">
        <f t="shared" si="361"/>
        <v>0</v>
      </c>
      <c r="BM447">
        <f t="shared" si="362"/>
        <v>-51.954731427759633</v>
      </c>
      <c r="BN447">
        <f t="shared" si="350"/>
        <v>-171.41687172060244</v>
      </c>
      <c r="BQ447" s="56">
        <f t="shared" si="363"/>
        <v>26.716362047938205</v>
      </c>
    </row>
    <row r="448" spans="1:69" x14ac:dyDescent="0.2">
      <c r="A448">
        <f t="shared" si="372"/>
        <v>1170000</v>
      </c>
      <c r="B448">
        <f t="shared" si="351"/>
        <v>1170</v>
      </c>
      <c r="C448">
        <f t="shared" si="320"/>
        <v>1.010750613303816</v>
      </c>
      <c r="D448">
        <f t="shared" si="321"/>
        <v>0.14598065353317297</v>
      </c>
      <c r="F448">
        <f t="shared" si="322"/>
        <v>1.6513795079803908E-4</v>
      </c>
      <c r="G448">
        <f t="shared" si="323"/>
        <v>4.4193010804062967E-3</v>
      </c>
      <c r="H448">
        <f t="shared" si="324"/>
        <v>-3.1371733489195939</v>
      </c>
      <c r="J448">
        <f t="shared" si="325"/>
        <v>15</v>
      </c>
      <c r="M448">
        <f t="shared" si="326"/>
        <v>1.5512090621572765E-3</v>
      </c>
      <c r="N448">
        <f t="shared" si="327"/>
        <v>-1.5707963250000001</v>
      </c>
      <c r="O448">
        <f t="shared" si="328"/>
        <v>139.62733093812321</v>
      </c>
      <c r="P448">
        <f t="shared" si="329"/>
        <v>1.5636343439486153</v>
      </c>
      <c r="Q448">
        <f t="shared" si="330"/>
        <v>91.135768094275363</v>
      </c>
      <c r="R448">
        <f t="shared" si="331"/>
        <v>1.559823466320124</v>
      </c>
      <c r="S448">
        <f t="shared" si="332"/>
        <v>0.98889843979597147</v>
      </c>
      <c r="T448">
        <f t="shared" si="333"/>
        <v>-0.14914531172164369</v>
      </c>
      <c r="U448">
        <f t="shared" si="334"/>
        <v>0.38560829075015873</v>
      </c>
      <c r="V448">
        <f t="shared" si="335"/>
        <v>-1.1749293174210493</v>
      </c>
      <c r="X448">
        <f t="shared" si="352"/>
        <v>-34.495803081044208</v>
      </c>
      <c r="Y448">
        <f t="shared" si="336"/>
        <v>-158.28565522868391</v>
      </c>
      <c r="Z448">
        <f t="shared" si="353"/>
        <v>21.714344771316092</v>
      </c>
      <c r="AC448">
        <v>1</v>
      </c>
      <c r="AD448">
        <f t="shared" si="337"/>
        <v>139.62374993139301</v>
      </c>
      <c r="AE448">
        <f t="shared" si="338"/>
        <v>-6.9796547415020463E-2</v>
      </c>
      <c r="AF448">
        <f t="shared" si="339"/>
        <v>2.9170064746368005E-2</v>
      </c>
      <c r="AG448">
        <f t="shared" si="367"/>
        <v>699.53198065352876</v>
      </c>
      <c r="AH448">
        <f t="shared" si="368"/>
        <v>-1708.0838691731378</v>
      </c>
      <c r="AJ448">
        <f t="shared" si="340"/>
        <v>22100</v>
      </c>
      <c r="AK448">
        <f t="shared" si="341"/>
        <v>3320.7707478549246</v>
      </c>
      <c r="AL448">
        <v>1</v>
      </c>
      <c r="AM448">
        <f t="shared" si="342"/>
        <v>91.13028160898844</v>
      </c>
      <c r="AN448">
        <f t="shared" si="369"/>
        <v>39.096243528555071</v>
      </c>
      <c r="AO448">
        <f t="shared" si="370"/>
        <v>-242.08093475589035</v>
      </c>
      <c r="AQ448">
        <f t="shared" si="343"/>
        <v>1.8262835440347096E-3</v>
      </c>
      <c r="AR448">
        <f t="shared" si="344"/>
        <v>-4.2735034930412201</v>
      </c>
      <c r="AT448">
        <f t="shared" si="365"/>
        <v>-7298.2248375739737</v>
      </c>
      <c r="AU448">
        <f t="shared" si="366"/>
        <v>-2992.5718082790008</v>
      </c>
      <c r="AV448">
        <f t="shared" si="354"/>
        <v>-2.7524602766608921</v>
      </c>
      <c r="AW448">
        <f t="shared" si="355"/>
        <v>-802.54081669768027</v>
      </c>
      <c r="AX448">
        <f t="shared" si="356"/>
        <v>-2427.5295307923511</v>
      </c>
      <c r="AY448">
        <f t="shared" si="364"/>
        <v>-1.8900847016191007</v>
      </c>
      <c r="BA448">
        <f t="shared" si="345"/>
        <v>3.0851424185145935</v>
      </c>
      <c r="BB448">
        <f t="shared" si="357"/>
        <v>9.7855043407879254</v>
      </c>
      <c r="BC448">
        <f t="shared" si="358"/>
        <v>-0.86237557504179141</v>
      </c>
      <c r="BD448">
        <f t="shared" si="346"/>
        <v>-229.41048086152176</v>
      </c>
      <c r="BF448">
        <f t="shared" si="347"/>
        <v>-42.242852385161413</v>
      </c>
      <c r="BG448">
        <f t="shared" si="348"/>
        <v>-220.79319821335784</v>
      </c>
      <c r="BH448">
        <f t="shared" si="359"/>
        <v>-40.79319821335784</v>
      </c>
      <c r="BI448">
        <f t="shared" si="360"/>
        <v>-40.79319821335784</v>
      </c>
      <c r="BJ448">
        <f t="shared" si="349"/>
        <v>0</v>
      </c>
      <c r="BK448">
        <f t="shared" si="361"/>
        <v>0</v>
      </c>
      <c r="BM448">
        <f t="shared" si="362"/>
        <v>-52.028356725949337</v>
      </c>
      <c r="BN448">
        <f t="shared" si="350"/>
        <v>-171.38271735183608</v>
      </c>
      <c r="BQ448" s="56">
        <f t="shared" si="363"/>
        <v>26.687465141073062</v>
      </c>
    </row>
    <row r="449" spans="1:69" x14ac:dyDescent="0.2">
      <c r="A449">
        <f t="shared" si="372"/>
        <v>1175000</v>
      </c>
      <c r="B449">
        <f t="shared" si="351"/>
        <v>1175</v>
      </c>
      <c r="C449">
        <f t="shared" si="320"/>
        <v>1.0108422013708083</v>
      </c>
      <c r="D449">
        <f t="shared" si="321"/>
        <v>0.14659562153188621</v>
      </c>
      <c r="F449">
        <f t="shared" si="322"/>
        <v>1.6373529479564498E-4</v>
      </c>
      <c r="G449">
        <f t="shared" si="323"/>
        <v>4.4004895926396176E-3</v>
      </c>
      <c r="H449">
        <f t="shared" si="324"/>
        <v>-3.1371921604073605</v>
      </c>
      <c r="J449">
        <f t="shared" si="325"/>
        <v>15</v>
      </c>
      <c r="M449">
        <f t="shared" si="326"/>
        <v>1.5446081725310752E-3</v>
      </c>
      <c r="N449">
        <f t="shared" si="327"/>
        <v>-1.5707963250000001</v>
      </c>
      <c r="O449">
        <f t="shared" si="328"/>
        <v>140.22399839219952</v>
      </c>
      <c r="P449">
        <f t="shared" si="329"/>
        <v>1.5636648194358433</v>
      </c>
      <c r="Q449">
        <f t="shared" si="330"/>
        <v>91.525190396827668</v>
      </c>
      <c r="R449">
        <f t="shared" si="331"/>
        <v>1.5598701556193904</v>
      </c>
      <c r="S449">
        <f t="shared" si="332"/>
        <v>0.98880494275757214</v>
      </c>
      <c r="T449">
        <f t="shared" si="333"/>
        <v>-0.14977321552337303</v>
      </c>
      <c r="U449">
        <f t="shared" si="334"/>
        <v>0.38421006863461948</v>
      </c>
      <c r="V449">
        <f t="shared" si="335"/>
        <v>-1.1764442592619859</v>
      </c>
      <c r="X449">
        <f t="shared" si="352"/>
        <v>-34.56444767186013</v>
      </c>
      <c r="Y449">
        <f t="shared" si="336"/>
        <v>-158.36985277165317</v>
      </c>
      <c r="Z449">
        <f t="shared" si="353"/>
        <v>21.630147228346829</v>
      </c>
      <c r="AC449">
        <v>1</v>
      </c>
      <c r="AD449">
        <f t="shared" si="337"/>
        <v>140.2204326234075</v>
      </c>
      <c r="AE449">
        <f t="shared" si="338"/>
        <v>-7.039437378542085E-2</v>
      </c>
      <c r="AF449">
        <f t="shared" si="339"/>
        <v>2.9294723142720004E-2</v>
      </c>
      <c r="AG449">
        <f t="shared" si="367"/>
        <v>694.46814876068095</v>
      </c>
      <c r="AH449">
        <f t="shared" si="368"/>
        <v>-1702.9227483355101</v>
      </c>
      <c r="AJ449">
        <f t="shared" si="340"/>
        <v>22100</v>
      </c>
      <c r="AK449">
        <f t="shared" si="341"/>
        <v>3334.9620758372103</v>
      </c>
      <c r="AL449">
        <v>1</v>
      </c>
      <c r="AM449">
        <f t="shared" si="342"/>
        <v>91.519727256890107</v>
      </c>
      <c r="AN449">
        <f t="shared" si="369"/>
        <v>39.073686434736352</v>
      </c>
      <c r="AO449">
        <f t="shared" si="370"/>
        <v>-241.05104959110764</v>
      </c>
      <c r="AQ449">
        <f t="shared" si="343"/>
        <v>1.8107737780400583E-3</v>
      </c>
      <c r="AR449">
        <f t="shared" si="344"/>
        <v>-4.2553183783941373</v>
      </c>
      <c r="AT449">
        <f t="shared" si="365"/>
        <v>-7245.2209432640902</v>
      </c>
      <c r="AU449">
        <f t="shared" si="366"/>
        <v>-2958.2666844893934</v>
      </c>
      <c r="AV449">
        <f t="shared" si="354"/>
        <v>-2.7539465615267265</v>
      </c>
      <c r="AW449">
        <f t="shared" si="355"/>
        <v>-795.18255682064512</v>
      </c>
      <c r="AX449">
        <f t="shared" si="356"/>
        <v>-2417.6636440231186</v>
      </c>
      <c r="AY449">
        <f t="shared" si="364"/>
        <v>-1.8885564350192015</v>
      </c>
      <c r="BA449">
        <f t="shared" si="345"/>
        <v>3.0749141957039337</v>
      </c>
      <c r="BB449">
        <f t="shared" si="357"/>
        <v>9.7566600292061167</v>
      </c>
      <c r="BC449">
        <f t="shared" si="358"/>
        <v>-0.865390126507525</v>
      </c>
      <c r="BD449">
        <f t="shared" si="346"/>
        <v>-229.58320193783064</v>
      </c>
      <c r="BF449">
        <f t="shared" si="347"/>
        <v>-42.34500137109427</v>
      </c>
      <c r="BG449">
        <f t="shared" si="348"/>
        <v>-220.93176203762118</v>
      </c>
      <c r="BH449">
        <f t="shared" si="359"/>
        <v>-40.931762037621183</v>
      </c>
      <c r="BI449">
        <f t="shared" si="360"/>
        <v>-40.931762037621183</v>
      </c>
      <c r="BJ449">
        <f t="shared" si="349"/>
        <v>0</v>
      </c>
      <c r="BK449">
        <f t="shared" si="361"/>
        <v>0</v>
      </c>
      <c r="BM449">
        <f t="shared" si="362"/>
        <v>-52.101661400300387</v>
      </c>
      <c r="BN449">
        <f t="shared" si="350"/>
        <v>-171.34856009979057</v>
      </c>
      <c r="BQ449" s="56">
        <f t="shared" si="363"/>
        <v>26.658620829491255</v>
      </c>
    </row>
    <row r="450" spans="1:69" x14ac:dyDescent="0.2">
      <c r="A450">
        <f t="shared" si="372"/>
        <v>1180000</v>
      </c>
      <c r="B450">
        <f t="shared" si="351"/>
        <v>1180</v>
      </c>
      <c r="C450">
        <f t="shared" si="320"/>
        <v>1.0109341716544522</v>
      </c>
      <c r="D450">
        <f t="shared" si="321"/>
        <v>0.14721047786900079</v>
      </c>
      <c r="F450">
        <f t="shared" si="322"/>
        <v>1.6235043500899217E-4</v>
      </c>
      <c r="G450">
        <f t="shared" si="323"/>
        <v>4.3818375994471347E-3</v>
      </c>
      <c r="H450">
        <f t="shared" si="324"/>
        <v>-3.1372108124005531</v>
      </c>
      <c r="J450">
        <f t="shared" si="325"/>
        <v>15</v>
      </c>
      <c r="M450">
        <f t="shared" si="326"/>
        <v>1.5380632226474689E-3</v>
      </c>
      <c r="N450">
        <f t="shared" si="327"/>
        <v>-1.5707963250000001</v>
      </c>
      <c r="O450">
        <f t="shared" si="328"/>
        <v>140.82066597540597</v>
      </c>
      <c r="P450">
        <f t="shared" si="329"/>
        <v>1.5636950366693099</v>
      </c>
      <c r="Q450">
        <f t="shared" si="330"/>
        <v>91.914612897204279</v>
      </c>
      <c r="R450">
        <f t="shared" si="331"/>
        <v>1.5599164492936632</v>
      </c>
      <c r="S450">
        <f t="shared" si="332"/>
        <v>0.98871107369542799</v>
      </c>
      <c r="T450">
        <f t="shared" si="333"/>
        <v>-0.15040100035646253</v>
      </c>
      <c r="U450">
        <f t="shared" si="334"/>
        <v>0.38282108074586879</v>
      </c>
      <c r="V450">
        <f t="shared" si="335"/>
        <v>-1.1779482509642676</v>
      </c>
      <c r="X450">
        <f t="shared" si="352"/>
        <v>-34.632840402489535</v>
      </c>
      <c r="Y450">
        <f t="shared" si="336"/>
        <v>-158.4534508253563</v>
      </c>
      <c r="Z450">
        <f t="shared" si="353"/>
        <v>21.546549174643701</v>
      </c>
      <c r="AC450">
        <v>1</v>
      </c>
      <c r="AD450">
        <f t="shared" si="337"/>
        <v>140.817115315422</v>
      </c>
      <c r="AE450">
        <f t="shared" si="338"/>
        <v>-7.0994749522006337E-2</v>
      </c>
      <c r="AF450">
        <f t="shared" si="339"/>
        <v>2.9419381539072007E-2</v>
      </c>
      <c r="AG450">
        <f t="shared" si="367"/>
        <v>689.45597280958509</v>
      </c>
      <c r="AH450">
        <f t="shared" si="368"/>
        <v>-1697.7839602009267</v>
      </c>
      <c r="AJ450">
        <f t="shared" si="340"/>
        <v>22100</v>
      </c>
      <c r="AK450">
        <f t="shared" si="341"/>
        <v>3349.1534038194959</v>
      </c>
      <c r="AL450">
        <v>1</v>
      </c>
      <c r="AM450">
        <f t="shared" si="342"/>
        <v>91.909172904791774</v>
      </c>
      <c r="AN450">
        <f t="shared" si="369"/>
        <v>39.051415430443207</v>
      </c>
      <c r="AO450">
        <f t="shared" si="370"/>
        <v>-240.02988915396267</v>
      </c>
      <c r="AQ450">
        <f t="shared" si="343"/>
        <v>1.7954607520359179E-3</v>
      </c>
      <c r="AR450">
        <f t="shared" si="344"/>
        <v>-4.2372873748047661</v>
      </c>
      <c r="AT450">
        <f t="shared" si="365"/>
        <v>-7192.760648565988</v>
      </c>
      <c r="AU450">
        <f t="shared" si="366"/>
        <v>-2924.4713935357699</v>
      </c>
      <c r="AV450">
        <f t="shared" si="354"/>
        <v>-2.755422139096551</v>
      </c>
      <c r="AW450">
        <f t="shared" si="355"/>
        <v>-787.92097783549866</v>
      </c>
      <c r="AX450">
        <f t="shared" si="356"/>
        <v>-2407.8768975002777</v>
      </c>
      <c r="AY450">
        <f t="shared" si="364"/>
        <v>-1.8870406422028199</v>
      </c>
      <c r="BA450">
        <f t="shared" si="345"/>
        <v>3.064738588242915</v>
      </c>
      <c r="BB450">
        <f t="shared" si="357"/>
        <v>9.7278687318990098</v>
      </c>
      <c r="BC450">
        <f t="shared" si="358"/>
        <v>-0.86838149689373112</v>
      </c>
      <c r="BD450">
        <f t="shared" si="346"/>
        <v>-229.7545948361165</v>
      </c>
      <c r="BF450">
        <f t="shared" si="347"/>
        <v>-42.446779417570639</v>
      </c>
      <c r="BG450">
        <f t="shared" si="348"/>
        <v>-221.06899494323397</v>
      </c>
      <c r="BH450">
        <f t="shared" si="359"/>
        <v>-41.068994943233974</v>
      </c>
      <c r="BI450">
        <f t="shared" si="360"/>
        <v>-41.068994943233974</v>
      </c>
      <c r="BJ450">
        <f t="shared" si="349"/>
        <v>0</v>
      </c>
      <c r="BK450">
        <f t="shared" si="361"/>
        <v>0</v>
      </c>
      <c r="BM450">
        <f t="shared" si="362"/>
        <v>-52.174648149469647</v>
      </c>
      <c r="BN450">
        <f t="shared" si="350"/>
        <v>-171.31440010711745</v>
      </c>
      <c r="BQ450" s="56">
        <f t="shared" si="363"/>
        <v>26.629829532184147</v>
      </c>
    </row>
    <row r="451" spans="1:69" x14ac:dyDescent="0.2">
      <c r="A451">
        <f t="shared" si="372"/>
        <v>1185000</v>
      </c>
      <c r="B451">
        <f t="shared" si="351"/>
        <v>1185</v>
      </c>
      <c r="C451">
        <f t="shared" si="320"/>
        <v>1.0110265240504401</v>
      </c>
      <c r="D451">
        <f t="shared" si="321"/>
        <v>0.14782522211016219</v>
      </c>
      <c r="F451">
        <f t="shared" si="322"/>
        <v>1.6098307163829131E-4</v>
      </c>
      <c r="G451">
        <f t="shared" si="323"/>
        <v>4.3633430806489307E-3</v>
      </c>
      <c r="H451">
        <f t="shared" si="324"/>
        <v>-3.1372293069193513</v>
      </c>
      <c r="J451">
        <f t="shared" si="325"/>
        <v>15</v>
      </c>
      <c r="M451">
        <f t="shared" si="326"/>
        <v>1.53157350440845E-3</v>
      </c>
      <c r="N451">
        <f t="shared" si="327"/>
        <v>-1.5707963250000001</v>
      </c>
      <c r="O451">
        <f t="shared" si="328"/>
        <v>141.41733368610815</v>
      </c>
      <c r="P451">
        <f t="shared" si="329"/>
        <v>1.5637249989178306</v>
      </c>
      <c r="Q451">
        <f t="shared" si="330"/>
        <v>92.304035592901371</v>
      </c>
      <c r="R451">
        <f t="shared" si="331"/>
        <v>1.5599623523500656</v>
      </c>
      <c r="S451">
        <f t="shared" si="332"/>
        <v>0.98861683293741831</v>
      </c>
      <c r="T451">
        <f t="shared" si="333"/>
        <v>-0.15102866576002411</v>
      </c>
      <c r="U451">
        <f t="shared" si="334"/>
        <v>0.38144124604479951</v>
      </c>
      <c r="V451">
        <f t="shared" si="335"/>
        <v>-1.1794414040924301</v>
      </c>
      <c r="X451">
        <f t="shared" si="352"/>
        <v>-34.700983004994427</v>
      </c>
      <c r="Y451">
        <f t="shared" si="336"/>
        <v>-158.53645542202119</v>
      </c>
      <c r="Z451">
        <f t="shared" si="353"/>
        <v>21.463544577978809</v>
      </c>
      <c r="AC451">
        <v>1</v>
      </c>
      <c r="AD451">
        <f t="shared" si="337"/>
        <v>141.4137980074365</v>
      </c>
      <c r="AE451">
        <f t="shared" si="338"/>
        <v>-7.1597674624776897E-2</v>
      </c>
      <c r="AF451">
        <f t="shared" si="339"/>
        <v>2.9544039935424007E-2</v>
      </c>
      <c r="AG451">
        <f t="shared" si="367"/>
        <v>684.49479990438113</v>
      </c>
      <c r="AH451">
        <f t="shared" si="368"/>
        <v>-1692.6674914876685</v>
      </c>
      <c r="AJ451">
        <f t="shared" si="340"/>
        <v>22100</v>
      </c>
      <c r="AK451">
        <f t="shared" si="341"/>
        <v>3363.3447318017825</v>
      </c>
      <c r="AL451">
        <v>1</v>
      </c>
      <c r="AM451">
        <f t="shared" si="342"/>
        <v>92.298618552693426</v>
      </c>
      <c r="AN451">
        <f t="shared" si="369"/>
        <v>39.029425698308224</v>
      </c>
      <c r="AO451">
        <f t="shared" si="370"/>
        <v>-239.0173430570583</v>
      </c>
      <c r="AQ451">
        <f t="shared" si="343"/>
        <v>1.7803411525323305E-3</v>
      </c>
      <c r="AR451">
        <f t="shared" si="344"/>
        <v>-4.2194085315016236</v>
      </c>
      <c r="AT451">
        <f t="shared" si="365"/>
        <v>-7140.8370203175564</v>
      </c>
      <c r="AU451">
        <f t="shared" si="366"/>
        <v>-2891.1767240776917</v>
      </c>
      <c r="AV451">
        <f t="shared" si="354"/>
        <v>-2.7568871178611625</v>
      </c>
      <c r="AW451">
        <f t="shared" si="355"/>
        <v>-780.75439383068408</v>
      </c>
      <c r="AX451">
        <f t="shared" si="356"/>
        <v>-2398.1683404704991</v>
      </c>
      <c r="AY451">
        <f t="shared" si="364"/>
        <v>-1.8855371727403745</v>
      </c>
      <c r="BA451">
        <f t="shared" si="345"/>
        <v>3.0546154387721485</v>
      </c>
      <c r="BB451">
        <f t="shared" si="357"/>
        <v>9.6991308491372905</v>
      </c>
      <c r="BC451">
        <f t="shared" si="358"/>
        <v>-0.87134994512078801</v>
      </c>
      <c r="BD451">
        <f t="shared" si="346"/>
        <v>-229.9246743914243</v>
      </c>
      <c r="BF451">
        <f t="shared" si="347"/>
        <v>-42.548188788752014</v>
      </c>
      <c r="BG451">
        <f t="shared" si="348"/>
        <v>-221.20491190587543</v>
      </c>
      <c r="BH451">
        <f t="shared" si="359"/>
        <v>-41.204911905875434</v>
      </c>
      <c r="BI451">
        <f t="shared" si="360"/>
        <v>-41.204911905875434</v>
      </c>
      <c r="BJ451">
        <f t="shared" si="349"/>
        <v>0</v>
      </c>
      <c r="BK451">
        <f t="shared" si="361"/>
        <v>0</v>
      </c>
      <c r="BM451">
        <f t="shared" si="362"/>
        <v>-52.247319637889305</v>
      </c>
      <c r="BN451">
        <f t="shared" si="350"/>
        <v>-171.28023751445116</v>
      </c>
      <c r="BQ451" s="56">
        <f t="shared" si="363"/>
        <v>26.601091649422429</v>
      </c>
    </row>
    <row r="452" spans="1:69" x14ac:dyDescent="0.2">
      <c r="A452">
        <f t="shared" si="372"/>
        <v>1190000</v>
      </c>
      <c r="B452">
        <f t="shared" si="351"/>
        <v>1190</v>
      </c>
      <c r="C452">
        <f t="shared" si="320"/>
        <v>1.0111192584540694</v>
      </c>
      <c r="D452">
        <f t="shared" si="321"/>
        <v>0.14843985382151309</v>
      </c>
      <c r="F452">
        <f t="shared" si="322"/>
        <v>1.5963291117071561E-4</v>
      </c>
      <c r="G452">
        <f t="shared" si="323"/>
        <v>4.3450040500440284E-3</v>
      </c>
      <c r="H452">
        <f t="shared" si="324"/>
        <v>-3.1372476459499561</v>
      </c>
      <c r="J452">
        <f t="shared" si="325"/>
        <v>15</v>
      </c>
      <c r="M452">
        <f t="shared" si="326"/>
        <v>1.5251383216168179E-3</v>
      </c>
      <c r="N452">
        <f t="shared" si="327"/>
        <v>-1.5707963250000001</v>
      </c>
      <c r="O452">
        <f t="shared" si="328"/>
        <v>142.014001522699</v>
      </c>
      <c r="P452">
        <f t="shared" si="329"/>
        <v>1.563754709395287</v>
      </c>
      <c r="Q452">
        <f t="shared" si="330"/>
        <v>92.693458481457242</v>
      </c>
      <c r="R452">
        <f t="shared" si="331"/>
        <v>1.5600078697115829</v>
      </c>
      <c r="S452">
        <f t="shared" si="332"/>
        <v>0.98852222081255225</v>
      </c>
      <c r="T452">
        <f t="shared" si="333"/>
        <v>-0.15165621127372128</v>
      </c>
      <c r="U452">
        <f t="shared" si="334"/>
        <v>0.38007048427152174</v>
      </c>
      <c r="V452">
        <f t="shared" si="335"/>
        <v>-1.1809238288021331</v>
      </c>
      <c r="X452">
        <f t="shared" si="352"/>
        <v>-34.768877194562798</v>
      </c>
      <c r="Y452">
        <f t="shared" si="336"/>
        <v>-158.6188725191781</v>
      </c>
      <c r="Z452">
        <f t="shared" si="353"/>
        <v>21.381127480821903</v>
      </c>
      <c r="AC452">
        <v>1</v>
      </c>
      <c r="AD452">
        <f t="shared" si="337"/>
        <v>142.01048069945099</v>
      </c>
      <c r="AE452">
        <f t="shared" si="338"/>
        <v>-7.220314909373253E-2</v>
      </c>
      <c r="AF452">
        <f t="shared" si="339"/>
        <v>2.9668698331776003E-2</v>
      </c>
      <c r="AG452">
        <f t="shared" si="367"/>
        <v>679.5839865231668</v>
      </c>
      <c r="AH452">
        <f t="shared" si="368"/>
        <v>-1687.5733252854236</v>
      </c>
      <c r="AJ452">
        <f t="shared" si="340"/>
        <v>22100</v>
      </c>
      <c r="AK452">
        <f t="shared" si="341"/>
        <v>3377.5360597840681</v>
      </c>
      <c r="AL452">
        <v>1</v>
      </c>
      <c r="AM452">
        <f t="shared" si="342"/>
        <v>92.688064200595093</v>
      </c>
      <c r="AN452">
        <f t="shared" si="369"/>
        <v>39.007712521932383</v>
      </c>
      <c r="AO452">
        <f t="shared" si="370"/>
        <v>-238.01330276715851</v>
      </c>
      <c r="AQ452">
        <f t="shared" si="343"/>
        <v>1.7654117355038954E-3</v>
      </c>
      <c r="AR452">
        <f t="shared" si="344"/>
        <v>-4.2016799304992709</v>
      </c>
      <c r="AT452">
        <f t="shared" si="365"/>
        <v>-7089.4432265526139</v>
      </c>
      <c r="AU452">
        <f t="shared" si="366"/>
        <v>-2858.3736590160593</v>
      </c>
      <c r="AV452">
        <f t="shared" si="354"/>
        <v>-2.7583416049541376</v>
      </c>
      <c r="AW452">
        <f t="shared" si="355"/>
        <v>-773.681155381184</v>
      </c>
      <c r="AX452">
        <f t="shared" si="356"/>
        <v>-2388.5370375677458</v>
      </c>
      <c r="AY452">
        <f t="shared" si="364"/>
        <v>-1.8840458784215623</v>
      </c>
      <c r="BA452">
        <f t="shared" si="345"/>
        <v>3.0445445836505214</v>
      </c>
      <c r="BB452">
        <f t="shared" si="357"/>
        <v>9.67044676302603</v>
      </c>
      <c r="BC452">
        <f t="shared" si="358"/>
        <v>-0.87429572653257526</v>
      </c>
      <c r="BD452">
        <f t="shared" si="346"/>
        <v>-230.09345523388066</v>
      </c>
      <c r="BF452">
        <f t="shared" si="347"/>
        <v>-42.64923173331777</v>
      </c>
      <c r="BG452">
        <f t="shared" si="348"/>
        <v>-221.33952769433145</v>
      </c>
      <c r="BH452">
        <f t="shared" si="359"/>
        <v>-41.339527694331451</v>
      </c>
      <c r="BI452">
        <f t="shared" si="360"/>
        <v>-41.339527694331451</v>
      </c>
      <c r="BJ452">
        <f t="shared" si="349"/>
        <v>0</v>
      </c>
      <c r="BK452">
        <f t="shared" si="361"/>
        <v>0</v>
      </c>
      <c r="BM452">
        <f t="shared" si="362"/>
        <v>-52.319678496343805</v>
      </c>
      <c r="BN452">
        <f t="shared" si="350"/>
        <v>-171.24607246045082</v>
      </c>
      <c r="BQ452" s="56">
        <f t="shared" si="363"/>
        <v>26.572407563311167</v>
      </c>
    </row>
    <row r="453" spans="1:69" x14ac:dyDescent="0.2">
      <c r="A453">
        <f t="shared" si="372"/>
        <v>1195000</v>
      </c>
      <c r="B453">
        <f t="shared" si="351"/>
        <v>1195</v>
      </c>
      <c r="C453">
        <f t="shared" si="320"/>
        <v>1.0112123747602428</v>
      </c>
      <c r="D453">
        <f t="shared" si="321"/>
        <v>0.1490543725696952</v>
      </c>
      <c r="F453">
        <f t="shared" si="322"/>
        <v>1.5829966622284467E-4</v>
      </c>
      <c r="G453">
        <f t="shared" si="323"/>
        <v>4.3268185546988785E-3</v>
      </c>
      <c r="H453">
        <f t="shared" si="324"/>
        <v>-3.1372658314453012</v>
      </c>
      <c r="J453">
        <f t="shared" si="325"/>
        <v>15</v>
      </c>
      <c r="M453">
        <f t="shared" si="326"/>
        <v>1.518756989727208E-3</v>
      </c>
      <c r="N453">
        <f t="shared" si="327"/>
        <v>-1.5707963250000001</v>
      </c>
      <c r="O453">
        <f t="shared" si="328"/>
        <v>142.6106694835984</v>
      </c>
      <c r="P453">
        <f t="shared" si="329"/>
        <v>1.5637841712617777</v>
      </c>
      <c r="Q453">
        <f t="shared" si="330"/>
        <v>93.082881560451327</v>
      </c>
      <c r="R453">
        <f t="shared" si="331"/>
        <v>1.560053006218824</v>
      </c>
      <c r="S453">
        <f t="shared" si="332"/>
        <v>0.98842723765096541</v>
      </c>
      <c r="T453">
        <f t="shared" si="333"/>
        <v>-0.15228363643777132</v>
      </c>
      <c r="U453">
        <f t="shared" si="334"/>
        <v>0.37870871593973909</v>
      </c>
      <c r="V453">
        <f t="shared" si="335"/>
        <v>-1.1823956338603816</v>
      </c>
      <c r="X453">
        <f t="shared" si="352"/>
        <v>-34.836524669720262</v>
      </c>
      <c r="Y453">
        <f t="shared" si="336"/>
        <v>-158.70070800069141</v>
      </c>
      <c r="Z453">
        <f t="shared" si="353"/>
        <v>21.299291999308593</v>
      </c>
      <c r="AC453">
        <v>1</v>
      </c>
      <c r="AD453">
        <f t="shared" si="337"/>
        <v>142.60716339146552</v>
      </c>
      <c r="AE453">
        <f t="shared" si="338"/>
        <v>-7.281117292887325E-2</v>
      </c>
      <c r="AF453">
        <f t="shared" si="339"/>
        <v>2.9793356728128002E-2</v>
      </c>
      <c r="AG453">
        <f t="shared" si="367"/>
        <v>674.7228983785518</v>
      </c>
      <c r="AH453">
        <f t="shared" si="368"/>
        <v>-1682.5014411882598</v>
      </c>
      <c r="AJ453">
        <f t="shared" si="340"/>
        <v>22100</v>
      </c>
      <c r="AK453">
        <f t="shared" si="341"/>
        <v>3391.7273877663547</v>
      </c>
      <c r="AL453">
        <v>1</v>
      </c>
      <c r="AM453">
        <f t="shared" si="342"/>
        <v>93.077509848496746</v>
      </c>
      <c r="AN453">
        <f t="shared" si="369"/>
        <v>38.986271283356494</v>
      </c>
      <c r="AO453">
        <f t="shared" si="370"/>
        <v>-237.01766156642555</v>
      </c>
      <c r="AQ453">
        <f t="shared" si="343"/>
        <v>1.7506693246495467E-3</v>
      </c>
      <c r="AR453">
        <f t="shared" si="344"/>
        <v>-4.1840996859124164</v>
      </c>
      <c r="AT453">
        <f t="shared" si="365"/>
        <v>-7038.5725349421555</v>
      </c>
      <c r="AU453">
        <f t="shared" si="366"/>
        <v>-2826.0533708453809</v>
      </c>
      <c r="AV453">
        <f t="shared" si="354"/>
        <v>-2.7597857061709727</v>
      </c>
      <c r="AW453">
        <f t="shared" si="355"/>
        <v>-766.6996486092562</v>
      </c>
      <c r="AX453">
        <f t="shared" si="356"/>
        <v>-2378.9820684957085</v>
      </c>
      <c r="AY453">
        <f t="shared" si="364"/>
        <v>-1.8825666132195329</v>
      </c>
      <c r="BA453">
        <f t="shared" si="345"/>
        <v>3.034525853258514</v>
      </c>
      <c r="BB453">
        <f t="shared" si="357"/>
        <v>9.6418168380435247</v>
      </c>
      <c r="BC453">
        <f t="shared" si="358"/>
        <v>-0.87721909295143985</v>
      </c>
      <c r="BD453">
        <f t="shared" si="346"/>
        <v>-230.26095179184327</v>
      </c>
      <c r="BF453">
        <f t="shared" si="347"/>
        <v>-42.74991048449116</v>
      </c>
      <c r="BG453">
        <f t="shared" si="348"/>
        <v>-221.47285687368418</v>
      </c>
      <c r="BH453">
        <f t="shared" si="359"/>
        <v>-41.472856873684179</v>
      </c>
      <c r="BI453">
        <f t="shared" si="360"/>
        <v>-41.472856873684179</v>
      </c>
      <c r="BJ453">
        <f t="shared" si="349"/>
        <v>0</v>
      </c>
      <c r="BK453">
        <f t="shared" si="361"/>
        <v>0</v>
      </c>
      <c r="BM453">
        <f t="shared" si="362"/>
        <v>-52.391727322534685</v>
      </c>
      <c r="BN453">
        <f t="shared" si="350"/>
        <v>-171.21190508184091</v>
      </c>
      <c r="BQ453" s="56">
        <f t="shared" si="363"/>
        <v>26.54377763832866</v>
      </c>
    </row>
    <row r="454" spans="1:69" x14ac:dyDescent="0.2">
      <c r="A454">
        <f t="shared" si="372"/>
        <v>1200000</v>
      </c>
      <c r="B454">
        <f t="shared" si="351"/>
        <v>1200</v>
      </c>
      <c r="C454">
        <f t="shared" si="320"/>
        <v>1.0113058728634687</v>
      </c>
      <c r="D454">
        <f t="shared" si="321"/>
        <v>0.14966877792185065</v>
      </c>
      <c r="F454">
        <f t="shared" si="322"/>
        <v>1.5698305538769614E-4</v>
      </c>
      <c r="G454">
        <f t="shared" si="323"/>
        <v>4.3087846742536533E-3</v>
      </c>
      <c r="H454">
        <f t="shared" si="324"/>
        <v>-3.1372838653257467</v>
      </c>
      <c r="J454">
        <f t="shared" si="325"/>
        <v>15</v>
      </c>
      <c r="M454">
        <f t="shared" si="326"/>
        <v>1.5124288356033445E-3</v>
      </c>
      <c r="N454">
        <f t="shared" si="327"/>
        <v>-1.5707963250000001</v>
      </c>
      <c r="O454">
        <f t="shared" si="328"/>
        <v>143.20733756725261</v>
      </c>
      <c r="P454">
        <f t="shared" si="329"/>
        <v>1.5638133876247358</v>
      </c>
      <c r="Q454">
        <f t="shared" si="330"/>
        <v>93.472304827503436</v>
      </c>
      <c r="R454">
        <f t="shared" si="331"/>
        <v>1.5600977666317359</v>
      </c>
      <c r="S454">
        <f t="shared" si="332"/>
        <v>0.98833188378391712</v>
      </c>
      <c r="T454">
        <f t="shared" si="333"/>
        <v>-0.1529109407929467</v>
      </c>
      <c r="U454">
        <f t="shared" si="334"/>
        <v>0.3773558623310535</v>
      </c>
      <c r="V454">
        <f t="shared" si="335"/>
        <v>-1.1838569266654493</v>
      </c>
      <c r="X454">
        <f t="shared" si="352"/>
        <v>-34.903927112538327</v>
      </c>
      <c r="Y454">
        <f t="shared" si="336"/>
        <v>-158.78196767777888</v>
      </c>
      <c r="Z454">
        <f t="shared" si="353"/>
        <v>21.21803232222112</v>
      </c>
      <c r="AC454">
        <v>1</v>
      </c>
      <c r="AD454">
        <f t="shared" si="337"/>
        <v>143.20384608348002</v>
      </c>
      <c r="AE454">
        <f t="shared" si="338"/>
        <v>-7.3421746130199028E-2</v>
      </c>
      <c r="AF454">
        <f t="shared" si="339"/>
        <v>2.9918015124480005E-2</v>
      </c>
      <c r="AG454">
        <f t="shared" si="367"/>
        <v>669.91091027999175</v>
      </c>
      <c r="AH454">
        <f t="shared" si="368"/>
        <v>-1677.4518154235459</v>
      </c>
      <c r="AJ454">
        <f t="shared" si="340"/>
        <v>22100</v>
      </c>
      <c r="AK454">
        <f t="shared" si="341"/>
        <v>3405.9187157486404</v>
      </c>
      <c r="AL454">
        <v>1</v>
      </c>
      <c r="AM454">
        <f t="shared" si="342"/>
        <v>93.466955496398413</v>
      </c>
      <c r="AN454">
        <f t="shared" si="369"/>
        <v>38.965097460605762</v>
      </c>
      <c r="AO454">
        <f t="shared" si="370"/>
        <v>-236.03031451462519</v>
      </c>
      <c r="AQ454">
        <f t="shared" si="343"/>
        <v>1.7361108097029845E-3</v>
      </c>
      <c r="AR454">
        <f t="shared" si="344"/>
        <v>-4.1666659432871622</v>
      </c>
      <c r="AT454">
        <f t="shared" si="365"/>
        <v>-6988.2183112576367</v>
      </c>
      <c r="AU454">
        <f t="shared" si="366"/>
        <v>-2794.2072171296559</v>
      </c>
      <c r="AV454">
        <f t="shared" si="354"/>
        <v>-2.7612195259879524</v>
      </c>
      <c r="AW454">
        <f t="shared" si="355"/>
        <v>-759.80829427310482</v>
      </c>
      <c r="AX454">
        <f t="shared" si="356"/>
        <v>-2369.5025277182899</v>
      </c>
      <c r="AY454">
        <f t="shared" si="364"/>
        <v>-1.8810992332556007</v>
      </c>
      <c r="BA454">
        <f t="shared" si="345"/>
        <v>3.0245590722906113</v>
      </c>
      <c r="BB454">
        <f t="shared" si="357"/>
        <v>9.6132414215644584</v>
      </c>
      <c r="BC454">
        <f t="shared" si="358"/>
        <v>-0.88012029273235171</v>
      </c>
      <c r="BD454">
        <f t="shared" si="346"/>
        <v>-230.42717829500376</v>
      </c>
      <c r="BF454">
        <f t="shared" si="347"/>
        <v>-42.850227260069218</v>
      </c>
      <c r="BG454">
        <f t="shared" si="348"/>
        <v>-221.6049138084546</v>
      </c>
      <c r="BH454">
        <f t="shared" si="359"/>
        <v>-41.604913808454597</v>
      </c>
      <c r="BI454">
        <f t="shared" si="360"/>
        <v>-41.604913808454597</v>
      </c>
      <c r="BJ454">
        <f t="shared" si="349"/>
        <v>0</v>
      </c>
      <c r="BK454">
        <f t="shared" si="361"/>
        <v>0</v>
      </c>
      <c r="BM454">
        <f t="shared" si="362"/>
        <v>-52.463468681633678</v>
      </c>
      <c r="BN454">
        <f t="shared" si="350"/>
        <v>-171.1777355134509</v>
      </c>
      <c r="BQ454" s="56">
        <f t="shared" si="363"/>
        <v>26.515202221849595</v>
      </c>
    </row>
    <row r="455" spans="1:69" x14ac:dyDescent="0.2">
      <c r="A455">
        <f t="shared" si="372"/>
        <v>1205000</v>
      </c>
      <c r="B455">
        <f t="shared" si="351"/>
        <v>1205</v>
      </c>
      <c r="C455">
        <f t="shared" si="320"/>
        <v>1.0113997526578624</v>
      </c>
      <c r="D455">
        <f t="shared" si="321"/>
        <v>0.15028306944562386</v>
      </c>
      <c r="F455">
        <f t="shared" si="322"/>
        <v>1.556828030861929E-4</v>
      </c>
      <c r="G455">
        <f t="shared" si="323"/>
        <v>4.2909005202458267E-3</v>
      </c>
      <c r="H455">
        <f t="shared" si="324"/>
        <v>-3.1373017494797546</v>
      </c>
      <c r="J455">
        <f t="shared" si="325"/>
        <v>15</v>
      </c>
      <c r="M455">
        <f t="shared" si="326"/>
        <v>1.5061531972813389E-3</v>
      </c>
      <c r="N455">
        <f t="shared" si="327"/>
        <v>-1.5707963250000001</v>
      </c>
      <c r="O455">
        <f t="shared" si="328"/>
        <v>143.80400577213359</v>
      </c>
      <c r="P455">
        <f t="shared" si="329"/>
        <v>1.5638423615400239</v>
      </c>
      <c r="Q455">
        <f t="shared" si="330"/>
        <v>93.861728280272843</v>
      </c>
      <c r="R455">
        <f t="shared" si="331"/>
        <v>1.5601421556312782</v>
      </c>
      <c r="S455">
        <f t="shared" si="332"/>
        <v>0.98823615954378663</v>
      </c>
      <c r="T455">
        <f t="shared" si="333"/>
        <v>-0.15353812388057703</v>
      </c>
      <c r="U455">
        <f t="shared" si="334"/>
        <v>0.3760118454892083</v>
      </c>
      <c r="V455">
        <f t="shared" si="335"/>
        <v>-1.1853078132665007</v>
      </c>
      <c r="X455">
        <f t="shared" si="352"/>
        <v>-34.971086188839351</v>
      </c>
      <c r="Y455">
        <f t="shared" si="336"/>
        <v>-158.86265729001599</v>
      </c>
      <c r="Z455">
        <f t="shared" si="353"/>
        <v>21.137342709984011</v>
      </c>
      <c r="AC455">
        <v>1</v>
      </c>
      <c r="AD455">
        <f t="shared" si="337"/>
        <v>143.80052877549448</v>
      </c>
      <c r="AE455">
        <f t="shared" si="338"/>
        <v>-7.4034868697709894E-2</v>
      </c>
      <c r="AF455">
        <f t="shared" si="339"/>
        <v>3.0042673520832005E-2</v>
      </c>
      <c r="AG455">
        <f t="shared" si="367"/>
        <v>665.14740599789832</v>
      </c>
      <c r="AH455">
        <f t="shared" si="368"/>
        <v>-1672.4244209769408</v>
      </c>
      <c r="AJ455">
        <f t="shared" si="340"/>
        <v>22100</v>
      </c>
      <c r="AK455">
        <f t="shared" si="341"/>
        <v>3420.1100437309269</v>
      </c>
      <c r="AL455">
        <v>1</v>
      </c>
      <c r="AM455">
        <f t="shared" si="342"/>
        <v>93.856401144300065</v>
      </c>
      <c r="AN455">
        <f t="shared" si="369"/>
        <v>38.944186625305946</v>
      </c>
      <c r="AO455">
        <f t="shared" si="370"/>
        <v>-235.05115841227277</v>
      </c>
      <c r="AQ455">
        <f t="shared" si="343"/>
        <v>1.7217331447920757E-3</v>
      </c>
      <c r="AR455">
        <f t="shared" si="344"/>
        <v>-4.1493768789489023</v>
      </c>
      <c r="AT455">
        <f t="shared" si="365"/>
        <v>-6938.3740178561447</v>
      </c>
      <c r="AU455">
        <f t="shared" si="366"/>
        <v>-2762.8267360982736</v>
      </c>
      <c r="AV455">
        <f t="shared" si="354"/>
        <v>-2.7626431675807472</v>
      </c>
      <c r="AW455">
        <f t="shared" si="355"/>
        <v>-753.00554688255261</v>
      </c>
      <c r="AX455">
        <f t="shared" si="356"/>
        <v>-2360.0975241579126</v>
      </c>
      <c r="AY455">
        <f t="shared" si="364"/>
        <v>-1.8796435967644956</v>
      </c>
      <c r="BA455">
        <f t="shared" si="345"/>
        <v>3.014644060037154</v>
      </c>
      <c r="BB455">
        <f t="shared" si="357"/>
        <v>9.5847208443677729</v>
      </c>
      <c r="BC455">
        <f t="shared" si="358"/>
        <v>-0.88299957081625169</v>
      </c>
      <c r="BD455">
        <f t="shared" si="346"/>
        <v>-230.59214877744424</v>
      </c>
      <c r="BF455">
        <f t="shared" si="347"/>
        <v>-42.950184262456403</v>
      </c>
      <c r="BG455">
        <f t="shared" si="348"/>
        <v>-221.735712665698</v>
      </c>
      <c r="BH455">
        <f t="shared" si="359"/>
        <v>-41.735712665698003</v>
      </c>
      <c r="BI455">
        <f t="shared" si="360"/>
        <v>-41.735712665698003</v>
      </c>
      <c r="BJ455">
        <f t="shared" si="349"/>
        <v>0</v>
      </c>
      <c r="BK455">
        <f t="shared" si="361"/>
        <v>0</v>
      </c>
      <c r="BM455">
        <f t="shared" si="362"/>
        <v>-52.534905106824176</v>
      </c>
      <c r="BN455">
        <f t="shared" si="350"/>
        <v>-171.14356388825377</v>
      </c>
      <c r="BQ455" s="56">
        <f t="shared" si="363"/>
        <v>26.486681644652911</v>
      </c>
    </row>
    <row r="456" spans="1:69" x14ac:dyDescent="0.2">
      <c r="A456">
        <f t="shared" si="372"/>
        <v>1210000</v>
      </c>
      <c r="B456">
        <f t="shared" si="351"/>
        <v>1210</v>
      </c>
      <c r="C456">
        <f t="shared" si="320"/>
        <v>1.0114940140371462</v>
      </c>
      <c r="D456">
        <f t="shared" si="321"/>
        <v>0.15089724670916302</v>
      </c>
      <c r="F456">
        <f t="shared" si="322"/>
        <v>1.543986394229196E-4</v>
      </c>
      <c r="G456">
        <f t="shared" si="323"/>
        <v>4.2731642354505474E-3</v>
      </c>
      <c r="H456">
        <f t="shared" si="324"/>
        <v>-3.1373194857645497</v>
      </c>
      <c r="J456">
        <f t="shared" si="325"/>
        <v>15</v>
      </c>
      <c r="M456">
        <f t="shared" si="326"/>
        <v>1.499929423738854E-3</v>
      </c>
      <c r="N456">
        <f t="shared" si="327"/>
        <v>-1.5707963250000001</v>
      </c>
      <c r="O456">
        <f t="shared" si="328"/>
        <v>144.40067409673864</v>
      </c>
      <c r="P456">
        <f t="shared" si="329"/>
        <v>1.5638710960129982</v>
      </c>
      <c r="Q456">
        <f t="shared" si="330"/>
        <v>94.251151916457559</v>
      </c>
      <c r="R456">
        <f t="shared" si="331"/>
        <v>1.5601861778210531</v>
      </c>
      <c r="S456">
        <f t="shared" si="332"/>
        <v>0.98814006526407139</v>
      </c>
      <c r="T456">
        <f t="shared" si="333"/>
        <v>-0.15416518524255096</v>
      </c>
      <c r="U456">
        <f t="shared" si="334"/>
        <v>0.37467658821427208</v>
      </c>
      <c r="V456">
        <f t="shared" si="335"/>
        <v>-1.1867483983829235</v>
      </c>
      <c r="X456">
        <f t="shared" si="352"/>
        <v>-35.038003548398294</v>
      </c>
      <c r="Y456">
        <f t="shared" si="336"/>
        <v>-158.94278250632709</v>
      </c>
      <c r="Z456">
        <f t="shared" si="353"/>
        <v>21.057217493672908</v>
      </c>
      <c r="AC456">
        <v>1</v>
      </c>
      <c r="AD456">
        <f t="shared" si="337"/>
        <v>144.39721146750901</v>
      </c>
      <c r="AE456">
        <f t="shared" si="338"/>
        <v>-7.4650540631405832E-2</v>
      </c>
      <c r="AF456">
        <f t="shared" si="339"/>
        <v>3.0167331917184004E-2</v>
      </c>
      <c r="AG456">
        <f t="shared" si="367"/>
        <v>660.43177812952899</v>
      </c>
      <c r="AH456">
        <f t="shared" si="368"/>
        <v>-1667.4192277135739</v>
      </c>
      <c r="AJ456">
        <f t="shared" si="340"/>
        <v>22100</v>
      </c>
      <c r="AK456">
        <f t="shared" si="341"/>
        <v>3434.3013717132126</v>
      </c>
      <c r="AL456">
        <v>1</v>
      </c>
      <c r="AM456">
        <f t="shared" si="342"/>
        <v>94.245846792201732</v>
      </c>
      <c r="AN456">
        <f t="shared" si="369"/>
        <v>38.923534440367931</v>
      </c>
      <c r="AO456">
        <f t="shared" si="370"/>
        <v>-234.08009176469142</v>
      </c>
      <c r="AQ456">
        <f t="shared" si="343"/>
        <v>1.7075333468456139E-3</v>
      </c>
      <c r="AR456">
        <f t="shared" si="344"/>
        <v>-4.132230699366386</v>
      </c>
      <c r="AT456">
        <f t="shared" si="365"/>
        <v>-6889.033212187348</v>
      </c>
      <c r="AU456">
        <f t="shared" si="366"/>
        <v>-2731.9036423584616</v>
      </c>
      <c r="AV456">
        <f t="shared" si="354"/>
        <v>-2.7640567328427421</v>
      </c>
      <c r="AW456">
        <f t="shared" si="355"/>
        <v>-746.28989384080046</v>
      </c>
      <c r="AX456">
        <f t="shared" si="356"/>
        <v>-2350.7661809014121</v>
      </c>
      <c r="AY456">
        <f t="shared" si="364"/>
        <v>-1.8781995640601412</v>
      </c>
      <c r="BA456">
        <f t="shared" si="345"/>
        <v>3.0047806306560219</v>
      </c>
      <c r="BB456">
        <f t="shared" si="357"/>
        <v>9.5562554211298139</v>
      </c>
      <c r="BC456">
        <f t="shared" si="358"/>
        <v>-0.8858571687826009</v>
      </c>
      <c r="BD456">
        <f t="shared" si="346"/>
        <v>-230.7558770806483</v>
      </c>
      <c r="BF456">
        <f t="shared" si="347"/>
        <v>-43.0497836787018</v>
      </c>
      <c r="BG456">
        <f t="shared" si="348"/>
        <v>-221.86526741805233</v>
      </c>
      <c r="BH456">
        <f t="shared" si="359"/>
        <v>-41.865267418052326</v>
      </c>
      <c r="BI456">
        <f t="shared" si="360"/>
        <v>-41.865267418052326</v>
      </c>
      <c r="BJ456">
        <f t="shared" si="349"/>
        <v>0</v>
      </c>
      <c r="BK456">
        <f t="shared" si="361"/>
        <v>0</v>
      </c>
      <c r="BM456">
        <f t="shared" si="362"/>
        <v>-52.606039099831612</v>
      </c>
      <c r="BN456">
        <f t="shared" si="350"/>
        <v>-171.10939033740405</v>
      </c>
      <c r="BQ456" s="56">
        <f t="shared" si="363"/>
        <v>26.458216221414951</v>
      </c>
    </row>
    <row r="457" spans="1:69" x14ac:dyDescent="0.2">
      <c r="A457">
        <f t="shared" si="372"/>
        <v>1215000</v>
      </c>
      <c r="B457">
        <f t="shared" si="351"/>
        <v>1215</v>
      </c>
      <c r="C457">
        <f t="shared" ref="C457:C520" si="373">SQRT((A457/Fesr)^2+1)</f>
        <v>1.0115886568946502</v>
      </c>
      <c r="D457">
        <f t="shared" ref="D457:D520" si="374">ATAN(A457/Fesr)</f>
        <v>0.15151130928112175</v>
      </c>
      <c r="F457">
        <f t="shared" ref="F457:F520" si="375">(Ro/(Ro+Rdcr))/SQRT((A457/(Q*Fo))^2+(1-(A457^2/Fo^2))^2)</f>
        <v>1.5313030004602697E-4</v>
      </c>
      <c r="G457">
        <f t="shared" ref="G457:G520" si="376">-ATAN(A457*Fo/(Q*(Fo^2-A457^2)))</f>
        <v>4.2555739932373113E-3</v>
      </c>
      <c r="H457">
        <f t="shared" ref="H457:H520" si="377">IF(G457&gt;0,G457-Pi,G457)</f>
        <v>-3.1373370760067627</v>
      </c>
      <c r="J457">
        <f t="shared" ref="J457:J520" si="378">Vin/Vramp</f>
        <v>15</v>
      </c>
      <c r="M457">
        <f t="shared" ref="M457:M520" si="379">1/(2*Pi*_Rfb1*(Cc1ea_u+Cc2ea_u)*A457)</f>
        <v>1.4937568746699699E-3</v>
      </c>
      <c r="N457">
        <f t="shared" ref="N457:N520" si="380">-Pi/2</f>
        <v>-1.5707963250000001</v>
      </c>
      <c r="O457">
        <f t="shared" ref="O457:O520" si="381">SQRT(1+(A457/Fz1_u)^2)</f>
        <v>144.99734253958971</v>
      </c>
      <c r="P457">
        <f t="shared" ref="P457:P520" si="382">ATAN2(Fz1_u,A457)</f>
        <v>1.5638995939995479</v>
      </c>
      <c r="Q457">
        <f t="shared" ref="Q457:Q520" si="383">SQRT(1+(A457/Fz2_u)^2)</f>
        <v>94.640575733793426</v>
      </c>
      <c r="R457">
        <f t="shared" ref="R457:R520" si="384">ATAN2(Fz2_u,A457)</f>
        <v>1.5602298377288981</v>
      </c>
      <c r="S457">
        <f t="shared" ref="S457:S520" si="385">1/SQRT(1+(A457/Fp1_u)^2)</f>
        <v>0.9880436012793824</v>
      </c>
      <c r="T457">
        <f t="shared" ref="T457:T520" si="386">-ATAN2(Fp1_u,A457)</f>
        <v>-0.15479212442131776</v>
      </c>
      <c r="U457">
        <f t="shared" ref="U457:U520" si="387">1/SQRT(1+(A457/Fp2_u)^2)</f>
        <v>0.37335001405677148</v>
      </c>
      <c r="V457">
        <f t="shared" ref="V457:V520" si="388">-ATAN2(Fp2_u,A457)</f>
        <v>-1.1881787854233694</v>
      </c>
      <c r="X457">
        <f t="shared" si="352"/>
        <v>-35.104680825141315</v>
      </c>
      <c r="Y457">
        <f t="shared" ref="Y457:Y520" si="389">(180/Pi)*(D457+H457+N457+P457+R457+T457+V457)</f>
        <v>-159.02234892596238</v>
      </c>
      <c r="Z457">
        <f t="shared" si="353"/>
        <v>20.977651074037624</v>
      </c>
      <c r="AC457">
        <v>1</v>
      </c>
      <c r="AD457">
        <f t="shared" ref="AD457:AD520" si="390">Rcea1_u*Cc1ea_u*A457*2*Pi</f>
        <v>144.99389415952351</v>
      </c>
      <c r="AE457">
        <f t="shared" ref="AE457:AE520" si="391">-Rcea1_u*Cc1ea_u*Cc2ea_u*(A457*2*Pi)^2</f>
        <v>-7.5268761931286843E-2</v>
      </c>
      <c r="AF457">
        <f t="shared" ref="AF457:AF520" si="392">(Cc2ea_u+Cc1ea_u)*A457*2*Pi</f>
        <v>3.0291990313536007E-2</v>
      </c>
      <c r="AG457">
        <f t="shared" si="367"/>
        <v>655.76342796663869</v>
      </c>
      <c r="AH457">
        <f t="shared" si="368"/>
        <v>-1662.4362024955076</v>
      </c>
      <c r="AJ457">
        <f t="shared" ref="AJ457:AJ520" si="393">_Rfb1</f>
        <v>22100</v>
      </c>
      <c r="AK457">
        <f t="shared" ref="AK457:AK520" si="394">_Rfb1*Rcea2_u*Cc3ea_u*A457*2*Pi</f>
        <v>3448.4926996954987</v>
      </c>
      <c r="AL457">
        <v>1</v>
      </c>
      <c r="AM457">
        <f t="shared" ref="AM457:AM520" si="395">(_Rfb1+Rcea2_u)*Cc3ea_u*A457*2*Pi</f>
        <v>94.635292440103385</v>
      </c>
      <c r="AN457">
        <f t="shared" si="369"/>
        <v>38.903136657739218</v>
      </c>
      <c r="AO457">
        <f t="shared" si="370"/>
        <v>-233.11701474695801</v>
      </c>
      <c r="AQ457">
        <f t="shared" ref="AQ457:AQ520" si="396">Eadcg/(1+(Eadcg*A457/GBP)^2)</f>
        <v>1.6935084940458782E-3</v>
      </c>
      <c r="AR457">
        <f t="shared" ref="AR457:AR520" si="397">-(A457*Eadcg*Eadcg/GBP)/(1+(Eadcg*A457/GBP)^2)</f>
        <v>-4.1152256405314835</v>
      </c>
      <c r="AT457">
        <f t="shared" si="365"/>
        <v>-6840.1895453219568</v>
      </c>
      <c r="AU457">
        <f t="shared" si="366"/>
        <v>-2701.4298227208678</v>
      </c>
      <c r="AV457">
        <f t="shared" si="354"/>
        <v>-2.7654603224031002</v>
      </c>
      <c r="AW457">
        <f t="shared" si="355"/>
        <v>-739.65985461141338</v>
      </c>
      <c r="AX457">
        <f t="shared" si="356"/>
        <v>-2341.5076349132714</v>
      </c>
      <c r="AY457">
        <f t="shared" si="364"/>
        <v>-1.8767669975019663</v>
      </c>
      <c r="BA457">
        <f t="shared" ref="BA457:BA520" si="398">SQRT(AT457^2+AU457^2)/SQRT(AW457^2+AX457^2)</f>
        <v>2.9949685934344479</v>
      </c>
      <c r="BB457">
        <f t="shared" si="357"/>
        <v>9.5278454509030617</v>
      </c>
      <c r="BC457">
        <f t="shared" si="358"/>
        <v>-0.88869332490113395</v>
      </c>
      <c r="BD457">
        <f t="shared" ref="BD457:BD520" si="399">BC457*180/Pi-180</f>
        <v>-230.91837685646612</v>
      </c>
      <c r="BF457">
        <f t="shared" ref="BF457:BF520" si="400">20*LOG(BA457*J457*F457*C457)</f>
        <v>-43.149027680539731</v>
      </c>
      <c r="BG457">
        <f t="shared" ref="BG457:BG520" si="401">(180/Pi)*(D457+H457+BC457)</f>
        <v>-221.99359184674034</v>
      </c>
      <c r="BH457">
        <f t="shared" si="359"/>
        <v>-41.993591846740344</v>
      </c>
      <c r="BI457">
        <f t="shared" si="360"/>
        <v>-41.993591846740344</v>
      </c>
      <c r="BJ457">
        <f t="shared" ref="BJ457:BJ520" si="402">SUM((BF458&lt;0)*(BF457&gt;0))*A457</f>
        <v>0</v>
      </c>
      <c r="BK457">
        <f t="shared" si="361"/>
        <v>0</v>
      </c>
      <c r="BM457">
        <f t="shared" si="362"/>
        <v>-52.676873131442797</v>
      </c>
      <c r="BN457">
        <f t="shared" ref="BN457:BN520" si="403">(H457+D457)*180/Pi</f>
        <v>-171.07521499027422</v>
      </c>
      <c r="BQ457" s="56">
        <f t="shared" si="363"/>
        <v>26.4298062511882</v>
      </c>
    </row>
    <row r="458" spans="1:69" x14ac:dyDescent="0.2">
      <c r="A458">
        <f t="shared" si="372"/>
        <v>1220000</v>
      </c>
      <c r="B458">
        <f t="shared" ref="B458:B521" si="404">A458/1000</f>
        <v>1220</v>
      </c>
      <c r="C458">
        <f t="shared" si="373"/>
        <v>1.0116836811233123</v>
      </c>
      <c r="D458">
        <f t="shared" si="374"/>
        <v>0.15212525673066074</v>
      </c>
      <c r="F458">
        <f t="shared" si="375"/>
        <v>1.5187752601114916E-4</v>
      </c>
      <c r="G458">
        <f t="shared" si="376"/>
        <v>4.2381279969424751E-3</v>
      </c>
      <c r="H458">
        <f t="shared" si="377"/>
        <v>-3.1373545220030579</v>
      </c>
      <c r="J458">
        <f t="shared" si="378"/>
        <v>15</v>
      </c>
      <c r="M458">
        <f t="shared" si="379"/>
        <v>1.4876349202655849E-3</v>
      </c>
      <c r="N458">
        <f t="shared" si="380"/>
        <v>-1.5707963250000001</v>
      </c>
      <c r="O458">
        <f t="shared" si="381"/>
        <v>145.59401109923306</v>
      </c>
      <c r="P458">
        <f t="shared" si="382"/>
        <v>1.563927858407109</v>
      </c>
      <c r="Q458">
        <f t="shared" si="383"/>
        <v>95.029999730053447</v>
      </c>
      <c r="R458">
        <f t="shared" si="384"/>
        <v>1.5602731398084375</v>
      </c>
      <c r="S458">
        <f t="shared" si="385"/>
        <v>0.98794676792544167</v>
      </c>
      <c r="T458">
        <f t="shared" si="386"/>
        <v>-0.15541894095988926</v>
      </c>
      <c r="U458">
        <f t="shared" si="387"/>
        <v>0.37203204731177769</v>
      </c>
      <c r="V458">
        <f t="shared" si="388"/>
        <v>-1.1895990765045095</v>
      </c>
      <c r="X458">
        <f t="shared" ref="X458:X521" si="405">20*LOG(C458*J458*O458*Q458*F458*M458*S458*U458)</f>
        <v>-35.171119637341228</v>
      </c>
      <c r="Y458">
        <f t="shared" si="389"/>
        <v>-159.10136207946144</v>
      </c>
      <c r="Z458">
        <f t="shared" ref="Z458:Z521" si="406">Y458+180</f>
        <v>20.898637920538562</v>
      </c>
      <c r="AC458">
        <v>1</v>
      </c>
      <c r="AD458">
        <f t="shared" si="390"/>
        <v>145.590576851538</v>
      </c>
      <c r="AE458">
        <f t="shared" si="391"/>
        <v>-7.5889532597352941E-2</v>
      </c>
      <c r="AF458">
        <f t="shared" si="392"/>
        <v>3.0416648709888004E-2</v>
      </c>
      <c r="AG458">
        <f t="shared" si="367"/>
        <v>651.14176536490322</v>
      </c>
      <c r="AH458">
        <f t="shared" si="368"/>
        <v>-1657.4753092956175</v>
      </c>
      <c r="AJ458">
        <f t="shared" si="393"/>
        <v>22100</v>
      </c>
      <c r="AK458">
        <f t="shared" si="394"/>
        <v>3462.6840276777843</v>
      </c>
      <c r="AL458">
        <v>1</v>
      </c>
      <c r="AM458">
        <f t="shared" si="395"/>
        <v>95.024738088005037</v>
      </c>
      <c r="AN458">
        <f t="shared" si="369"/>
        <v>38.882989116219342</v>
      </c>
      <c r="AO458">
        <f t="shared" si="370"/>
        <v>-232.16182916970914</v>
      </c>
      <c r="AQ458">
        <f t="shared" si="396"/>
        <v>1.6796557243254965E-3</v>
      </c>
      <c r="AR458">
        <f t="shared" si="397"/>
        <v>-4.0983599673542113</v>
      </c>
      <c r="AT458">
        <f t="shared" si="365"/>
        <v>-6791.8367605016556</v>
      </c>
      <c r="AU458">
        <f t="shared" si="366"/>
        <v>-2671.3973321350545</v>
      </c>
      <c r="AV458">
        <f t="shared" ref="AV458:AV521" si="407">ATAN2(AT458,AU458)</f>
        <v>-2.7668540356445659</v>
      </c>
      <c r="AW458">
        <f t="shared" ref="AW458:AW521" si="408">AG458-AH458*AO458/_Rfb2+AG458*AN458/_Rfb2+AN458-AO458*AR458+AQ458*AN458</f>
        <v>-733.11397990968339</v>
      </c>
      <c r="AX458">
        <f t="shared" ref="AX458:AX521" si="409">AH458+AH458*AN458/_Rfb2+AG458*AO458/_Rfb2+AO458+AO458*AQ458+AN458*AR458</f>
        <v>-2332.3210367560037</v>
      </c>
      <c r="AY458">
        <f t="shared" si="364"/>
        <v>-1.875345761461733</v>
      </c>
      <c r="BA458">
        <f t="shared" si="398"/>
        <v>2.9852077530413523</v>
      </c>
      <c r="BB458">
        <f t="shared" ref="BB458:BB521" si="410">20*LOG(BA458)</f>
        <v>9.4994912175810136</v>
      </c>
      <c r="BC458">
        <f t="shared" ref="BC458:BC521" si="411">AV458-AY458</f>
        <v>-0.89150827418283285</v>
      </c>
      <c r="BD458">
        <f t="shared" si="399"/>
        <v>-231.07966157003517</v>
      </c>
      <c r="BF458">
        <f t="shared" si="400"/>
        <v>-43.247918424433593</v>
      </c>
      <c r="BG458">
        <f t="shared" si="401"/>
        <v>-222.12069954452605</v>
      </c>
      <c r="BH458">
        <f t="shared" ref="BH458:BH521" si="412">IF(BG458&gt;180,BG458-180,BG458+180)</f>
        <v>-42.120699544526047</v>
      </c>
      <c r="BI458">
        <f t="shared" ref="BI458:BI521" si="413">IF(BH458&gt;180,BH458-360,BH458)</f>
        <v>-42.120699544526047</v>
      </c>
      <c r="BJ458">
        <f t="shared" si="402"/>
        <v>0</v>
      </c>
      <c r="BK458">
        <f t="shared" ref="BK458:BK521" si="414">IF(BJ458&gt;0,BI458,0)</f>
        <v>0</v>
      </c>
      <c r="BM458">
        <f t="shared" ref="BM458:BM521" si="415">20*LOG(J458*F458*C458)</f>
        <v>-52.747409642014595</v>
      </c>
      <c r="BN458">
        <f t="shared" si="403"/>
        <v>-171.04103797449091</v>
      </c>
      <c r="BQ458" s="56">
        <f t="shared" ref="BQ458:BQ521" si="416">20*LOG(BA458*7)</f>
        <v>26.401452017866156</v>
      </c>
    </row>
    <row r="459" spans="1:69" x14ac:dyDescent="0.2">
      <c r="A459">
        <f t="shared" si="372"/>
        <v>1225000</v>
      </c>
      <c r="B459">
        <f t="shared" si="404"/>
        <v>1225</v>
      </c>
      <c r="C459">
        <f t="shared" si="373"/>
        <v>1.0117790866156804</v>
      </c>
      <c r="D459">
        <f t="shared" si="374"/>
        <v>0.15273908862744937</v>
      </c>
      <c r="F459">
        <f t="shared" si="375"/>
        <v>1.5064006364920197E-4</v>
      </c>
      <c r="G459">
        <f t="shared" si="376"/>
        <v>4.2208244792571467E-3</v>
      </c>
      <c r="H459">
        <f t="shared" si="377"/>
        <v>-3.1373718255207432</v>
      </c>
      <c r="J459">
        <f t="shared" si="378"/>
        <v>15</v>
      </c>
      <c r="M459">
        <f t="shared" si="379"/>
        <v>1.4815629409991944E-3</v>
      </c>
      <c r="N459">
        <f t="shared" si="380"/>
        <v>-1.5707963250000001</v>
      </c>
      <c r="O459">
        <f t="shared" si="381"/>
        <v>146.19067977423865</v>
      </c>
      <c r="P459">
        <f t="shared" si="382"/>
        <v>1.5639558920956529</v>
      </c>
      <c r="Q459">
        <f t="shared" si="383"/>
        <v>95.419423903046919</v>
      </c>
      <c r="R459">
        <f t="shared" si="384"/>
        <v>1.5603160884405969</v>
      </c>
      <c r="S459">
        <f t="shared" si="385"/>
        <v>0.98784956553907921</v>
      </c>
      <c r="T459">
        <f t="shared" si="386"/>
        <v>-0.15604563440184144</v>
      </c>
      <c r="U459">
        <f t="shared" si="387"/>
        <v>0.37072261301295073</v>
      </c>
      <c r="V459">
        <f t="shared" si="388"/>
        <v>-1.1910093724695081</v>
      </c>
      <c r="X459">
        <f t="shared" si="405"/>
        <v>-35.237321587810008</v>
      </c>
      <c r="Y459">
        <f t="shared" si="389"/>
        <v>-159.17982742960356</v>
      </c>
      <c r="Z459">
        <f t="shared" si="406"/>
        <v>20.820172570396437</v>
      </c>
      <c r="AC459">
        <v>1</v>
      </c>
      <c r="AD459">
        <f t="shared" si="390"/>
        <v>146.1872595435525</v>
      </c>
      <c r="AE459">
        <f t="shared" si="391"/>
        <v>-7.6512852629604111E-2</v>
      </c>
      <c r="AF459">
        <f t="shared" si="392"/>
        <v>3.0541307106240003E-2</v>
      </c>
      <c r="AG459">
        <f t="shared" si="367"/>
        <v>646.56620861509646</v>
      </c>
      <c r="AH459">
        <f t="shared" si="368"/>
        <v>-1652.5365093079765</v>
      </c>
      <c r="AJ459">
        <f t="shared" si="393"/>
        <v>22100</v>
      </c>
      <c r="AK459">
        <f t="shared" si="394"/>
        <v>3476.87535566007</v>
      </c>
      <c r="AL459">
        <v>1</v>
      </c>
      <c r="AM459">
        <f t="shared" si="395"/>
        <v>95.414183735906704</v>
      </c>
      <c r="AN459">
        <f t="shared" si="369"/>
        <v>38.863087739337971</v>
      </c>
      <c r="AO459">
        <f t="shared" si="370"/>
        <v>-231.21443844578545</v>
      </c>
      <c r="AQ459">
        <f t="shared" si="396"/>
        <v>1.6659722339071664E-3</v>
      </c>
      <c r="AR459">
        <f t="shared" si="397"/>
        <v>-4.0816319730725574</v>
      </c>
      <c r="AT459">
        <f t="shared" si="365"/>
        <v>-6743.9686917102181</v>
      </c>
      <c r="AU459">
        <f t="shared" si="366"/>
        <v>-2641.798389731704</v>
      </c>
      <c r="AV459">
        <f t="shared" si="407"/>
        <v>-2.7682379707210085</v>
      </c>
      <c r="AW459">
        <f t="shared" si="408"/>
        <v>-726.65085091757089</v>
      </c>
      <c r="AX459">
        <f t="shared" si="409"/>
        <v>-2323.2055503174524</v>
      </c>
      <c r="AY459">
        <f t="shared" ref="AY459:AY522" si="417">ATAN2(AW459,AX459)</f>
        <v>-1.8739357222908899</v>
      </c>
      <c r="BA459">
        <f t="shared" si="398"/>
        <v>2.9754979097704752</v>
      </c>
      <c r="BB459">
        <f t="shared" si="410"/>
        <v>9.4711929903495378</v>
      </c>
      <c r="BC459">
        <f t="shared" si="411"/>
        <v>-0.89430224843011863</v>
      </c>
      <c r="BD459">
        <f t="shared" si="399"/>
        <v>-231.23974450265578</v>
      </c>
      <c r="BF459">
        <f t="shared" si="400"/>
        <v>-43.34645805162274</v>
      </c>
      <c r="BG459">
        <f t="shared" si="401"/>
        <v>-222.2466039186252</v>
      </c>
      <c r="BH459">
        <f t="shared" si="412"/>
        <v>-42.246603918625198</v>
      </c>
      <c r="BI459">
        <f t="shared" si="413"/>
        <v>-42.246603918625198</v>
      </c>
      <c r="BJ459">
        <f t="shared" si="402"/>
        <v>0</v>
      </c>
      <c r="BK459">
        <f t="shared" si="414"/>
        <v>0</v>
      </c>
      <c r="BM459">
        <f t="shared" si="415"/>
        <v>-52.817651041972276</v>
      </c>
      <c r="BN459">
        <f t="shared" si="403"/>
        <v>-171.00685941596942</v>
      </c>
      <c r="BQ459" s="56">
        <f t="shared" si="416"/>
        <v>26.373153790634674</v>
      </c>
    </row>
    <row r="460" spans="1:69" x14ac:dyDescent="0.2">
      <c r="A460">
        <f t="shared" si="372"/>
        <v>1230000</v>
      </c>
      <c r="B460">
        <f t="shared" si="404"/>
        <v>1230</v>
      </c>
      <c r="C460">
        <f t="shared" si="373"/>
        <v>1.0118748732639102</v>
      </c>
      <c r="D460">
        <f t="shared" si="374"/>
        <v>0.15335280454166722</v>
      </c>
      <c r="F460">
        <f t="shared" si="375"/>
        <v>1.4941766443793739E-4</v>
      </c>
      <c r="G460">
        <f t="shared" si="376"/>
        <v>4.2036617016300232E-3</v>
      </c>
      <c r="H460">
        <f t="shared" si="377"/>
        <v>-3.1373889882983703</v>
      </c>
      <c r="J460">
        <f t="shared" si="378"/>
        <v>15</v>
      </c>
      <c r="M460">
        <f t="shared" si="379"/>
        <v>1.4755403274178971E-3</v>
      </c>
      <c r="N460">
        <f t="shared" si="380"/>
        <v>-1.5707963250000001</v>
      </c>
      <c r="O460">
        <f t="shared" si="381"/>
        <v>146.78734856319969</v>
      </c>
      <c r="P460">
        <f t="shared" si="382"/>
        <v>1.563983697878651</v>
      </c>
      <c r="Q460">
        <f t="shared" si="383"/>
        <v>95.808848250618851</v>
      </c>
      <c r="R460">
        <f t="shared" si="384"/>
        <v>1.5603586879350799</v>
      </c>
      <c r="S460">
        <f t="shared" si="385"/>
        <v>0.9877519944582307</v>
      </c>
      <c r="T460">
        <f t="shared" si="386"/>
        <v>-0.15667220429131645</v>
      </c>
      <c r="U460">
        <f t="shared" si="387"/>
        <v>0.36942163692654834</v>
      </c>
      <c r="V460">
        <f t="shared" si="388"/>
        <v>-1.1924097729062184</v>
      </c>
      <c r="X460">
        <f t="shared" si="405"/>
        <v>-35.303288264088195</v>
      </c>
      <c r="Y460">
        <f t="shared" si="389"/>
        <v>-159.25775037234413</v>
      </c>
      <c r="Z460">
        <f t="shared" si="406"/>
        <v>20.742249627655866</v>
      </c>
      <c r="AC460">
        <v>1</v>
      </c>
      <c r="AD460">
        <f t="shared" si="390"/>
        <v>146.783942235567</v>
      </c>
      <c r="AE460">
        <f t="shared" si="391"/>
        <v>-7.7138722028040355E-2</v>
      </c>
      <c r="AF460">
        <f t="shared" si="392"/>
        <v>3.0665965502592003E-2</v>
      </c>
      <c r="AG460">
        <f t="shared" si="367"/>
        <v>642.03618431601637</v>
      </c>
      <c r="AH460">
        <f t="shared" si="368"/>
        <v>-1647.6197610548486</v>
      </c>
      <c r="AJ460">
        <f t="shared" si="393"/>
        <v>22100</v>
      </c>
      <c r="AK460">
        <f t="shared" si="394"/>
        <v>3491.0666836423566</v>
      </c>
      <c r="AL460">
        <v>1</v>
      </c>
      <c r="AM460">
        <f t="shared" si="395"/>
        <v>95.803629383808357</v>
      </c>
      <c r="AN460">
        <f t="shared" si="369"/>
        <v>38.843428533292943</v>
      </c>
      <c r="AO460">
        <f t="shared" si="370"/>
        <v>-230.27474755768736</v>
      </c>
      <c r="AQ460">
        <f t="shared" si="396"/>
        <v>1.6524552758848444E-3</v>
      </c>
      <c r="AR460">
        <f t="shared" si="397"/>
        <v>-4.0650399786767171</v>
      </c>
      <c r="AT460">
        <f t="shared" si="365"/>
        <v>-6696.5792622656572</v>
      </c>
      <c r="AU460">
        <f t="shared" si="366"/>
        <v>-2612.6253749684674</v>
      </c>
      <c r="AV460">
        <f t="shared" si="407"/>
        <v>-2.7696122245747108</v>
      </c>
      <c r="AW460">
        <f t="shared" si="408"/>
        <v>-720.26907852143859</v>
      </c>
      <c r="AX460">
        <f t="shared" si="409"/>
        <v>-2314.1603525448008</v>
      </c>
      <c r="AY460">
        <f t="shared" si="417"/>
        <v>-1.8725367482884343</v>
      </c>
      <c r="BA460">
        <f t="shared" si="398"/>
        <v>2.9658388597746486</v>
      </c>
      <c r="BB460">
        <f t="shared" si="410"/>
        <v>9.44295102412514</v>
      </c>
      <c r="BC460">
        <f t="shared" si="411"/>
        <v>-0.89707547628627649</v>
      </c>
      <c r="BD460">
        <f t="shared" si="399"/>
        <v>-231.39863875462331</v>
      </c>
      <c r="BF460">
        <f t="shared" si="400"/>
        <v>-43.444648688172421</v>
      </c>
      <c r="BG460">
        <f t="shared" si="401"/>
        <v>-222.37131819357171</v>
      </c>
      <c r="BH460">
        <f t="shared" si="412"/>
        <v>-42.37131819357171</v>
      </c>
      <c r="BI460">
        <f t="shared" si="413"/>
        <v>-42.37131819357171</v>
      </c>
      <c r="BJ460">
        <f t="shared" si="402"/>
        <v>0</v>
      </c>
      <c r="BK460">
        <f t="shared" si="414"/>
        <v>0</v>
      </c>
      <c r="BM460">
        <f t="shared" si="415"/>
        <v>-52.887599712297558</v>
      </c>
      <c r="BN460">
        <f t="shared" si="403"/>
        <v>-170.9726794389484</v>
      </c>
      <c r="BQ460" s="56">
        <f t="shared" si="416"/>
        <v>26.344911824410278</v>
      </c>
    </row>
    <row r="461" spans="1:69" x14ac:dyDescent="0.2">
      <c r="A461">
        <f t="shared" si="372"/>
        <v>1235000</v>
      </c>
      <c r="B461">
        <f t="shared" si="404"/>
        <v>1235</v>
      </c>
      <c r="C461">
        <f t="shared" si="373"/>
        <v>1.0119710409597693</v>
      </c>
      <c r="D461">
        <f t="shared" si="374"/>
        <v>0.15396640404400594</v>
      </c>
      <c r="F461">
        <f t="shared" si="375"/>
        <v>1.4821008487713168E-4</v>
      </c>
      <c r="G461">
        <f t="shared" si="376"/>
        <v>4.1866379536847518E-3</v>
      </c>
      <c r="H461">
        <f t="shared" si="377"/>
        <v>-3.1374060120463154</v>
      </c>
      <c r="J461">
        <f t="shared" si="378"/>
        <v>15</v>
      </c>
      <c r="M461">
        <f t="shared" si="379"/>
        <v>1.4695664799384723E-3</v>
      </c>
      <c r="N461">
        <f t="shared" si="380"/>
        <v>-1.5707963250000001</v>
      </c>
      <c r="O461">
        <f t="shared" si="381"/>
        <v>147.38401746473212</v>
      </c>
      <c r="P461">
        <f t="shared" si="382"/>
        <v>1.5640112785240159</v>
      </c>
      <c r="Q461">
        <f t="shared" si="383"/>
        <v>96.198272770649027</v>
      </c>
      <c r="R461">
        <f t="shared" si="384"/>
        <v>1.5604009425318106</v>
      </c>
      <c r="S461">
        <f t="shared" si="385"/>
        <v>0.98765405502193193</v>
      </c>
      <c r="T461">
        <f t="shared" si="386"/>
        <v>-0.15729865017302402</v>
      </c>
      <c r="U461">
        <f t="shared" si="387"/>
        <v>0.36812904554540238</v>
      </c>
      <c r="V461">
        <f t="shared" si="388"/>
        <v>-1.1938003761651033</v>
      </c>
      <c r="X461">
        <f t="shared" si="405"/>
        <v>-35.369021238631575</v>
      </c>
      <c r="Y461">
        <f t="shared" si="389"/>
        <v>-159.33513623773908</v>
      </c>
      <c r="Z461">
        <f t="shared" si="406"/>
        <v>20.664863762260921</v>
      </c>
      <c r="AC461">
        <v>1</v>
      </c>
      <c r="AD461">
        <f t="shared" si="390"/>
        <v>147.38062492758149</v>
      </c>
      <c r="AE461">
        <f t="shared" si="391"/>
        <v>-7.7767140792661685E-2</v>
      </c>
      <c r="AF461">
        <f t="shared" si="392"/>
        <v>3.0790623898944006E-2</v>
      </c>
      <c r="AG461">
        <f t="shared" si="367"/>
        <v>637.5511272491525</v>
      </c>
      <c r="AH461">
        <f t="shared" si="368"/>
        <v>-1642.7250204904008</v>
      </c>
      <c r="AJ461">
        <f t="shared" si="393"/>
        <v>22100</v>
      </c>
      <c r="AK461">
        <f t="shared" si="394"/>
        <v>3505.2580116246422</v>
      </c>
      <c r="AL461">
        <v>1</v>
      </c>
      <c r="AM461">
        <f t="shared" si="395"/>
        <v>96.193075031710023</v>
      </c>
      <c r="AN461">
        <f t="shared" si="369"/>
        <v>38.82400758494677</v>
      </c>
      <c r="AO461">
        <f t="shared" si="370"/>
        <v>-229.34266302582165</v>
      </c>
      <c r="AQ461">
        <f t="shared" si="396"/>
        <v>1.6391021588450625E-3</v>
      </c>
      <c r="AR461">
        <f t="shared" si="397"/>
        <v>-4.048582332347304</v>
      </c>
      <c r="AT461">
        <f t="shared" si="365"/>
        <v>-6649.6624834332515</v>
      </c>
      <c r="AU461">
        <f t="shared" si="366"/>
        <v>-2583.8708238765012</v>
      </c>
      <c r="AV461">
        <f t="shared" si="407"/>
        <v>-2.7709768929534055</v>
      </c>
      <c r="AW461">
        <f t="shared" si="408"/>
        <v>-713.96730257183617</v>
      </c>
      <c r="AX461">
        <f t="shared" si="409"/>
        <v>-2305.1846331851184</v>
      </c>
      <c r="AY461">
        <f t="shared" si="417"/>
        <v>-1.8711487096692863</v>
      </c>
      <c r="BA461">
        <f t="shared" si="398"/>
        <v>2.956230395291493</v>
      </c>
      <c r="BB461">
        <f t="shared" si="410"/>
        <v>9.4147655599805304</v>
      </c>
      <c r="BC461">
        <f t="shared" si="411"/>
        <v>-0.89982818328411929</v>
      </c>
      <c r="BD461">
        <f t="shared" si="399"/>
        <v>-231.55635724801607</v>
      </c>
      <c r="BF461">
        <f t="shared" si="400"/>
        <v>-43.542492445026362</v>
      </c>
      <c r="BG461">
        <f t="shared" si="401"/>
        <v>-222.49485541403882</v>
      </c>
      <c r="BH461">
        <f t="shared" si="412"/>
        <v>-42.494855414038824</v>
      </c>
      <c r="BI461">
        <f t="shared" si="413"/>
        <v>-42.494855414038824</v>
      </c>
      <c r="BJ461">
        <f t="shared" si="402"/>
        <v>0</v>
      </c>
      <c r="BK461">
        <f t="shared" si="414"/>
        <v>0</v>
      </c>
      <c r="BM461">
        <f t="shared" si="415"/>
        <v>-52.957258005006899</v>
      </c>
      <c r="BN461">
        <f t="shared" si="403"/>
        <v>-170.93849816602278</v>
      </c>
      <c r="BQ461" s="56">
        <f t="shared" si="416"/>
        <v>26.316726360265669</v>
      </c>
    </row>
    <row r="462" spans="1:69" x14ac:dyDescent="0.2">
      <c r="A462">
        <f t="shared" si="372"/>
        <v>1240000</v>
      </c>
      <c r="B462">
        <f t="shared" si="404"/>
        <v>1240</v>
      </c>
      <c r="C462">
        <f t="shared" si="373"/>
        <v>1.0120675895946349</v>
      </c>
      <c r="D462">
        <f t="shared" si="374"/>
        <v>0.15457988670567049</v>
      </c>
      <c r="F462">
        <f t="shared" si="375"/>
        <v>1.4701708636729094E-4</v>
      </c>
      <c r="G462">
        <f t="shared" si="376"/>
        <v>4.1697515526514014E-3</v>
      </c>
      <c r="H462">
        <f t="shared" si="377"/>
        <v>-3.1374228984473489</v>
      </c>
      <c r="J462">
        <f t="shared" si="378"/>
        <v>15</v>
      </c>
      <c r="M462">
        <f t="shared" si="379"/>
        <v>1.4636408086483978E-3</v>
      </c>
      <c r="N462">
        <f t="shared" si="380"/>
        <v>-1.5707963250000001</v>
      </c>
      <c r="O462">
        <f t="shared" si="381"/>
        <v>147.98068647747434</v>
      </c>
      <c r="P462">
        <f t="shared" si="382"/>
        <v>1.5640386367550196</v>
      </c>
      <c r="Q462">
        <f t="shared" si="383"/>
        <v>96.587697461051519</v>
      </c>
      <c r="R462">
        <f t="shared" si="384"/>
        <v>1.5604428564023392</v>
      </c>
      <c r="S462">
        <f t="shared" si="385"/>
        <v>0.98755574757031828</v>
      </c>
      <c r="T462">
        <f t="shared" si="386"/>
        <v>-0.15792497159224356</v>
      </c>
      <c r="U462">
        <f t="shared" si="387"/>
        <v>0.36684476608286853</v>
      </c>
      <c r="V462">
        <f t="shared" si="388"/>
        <v>-1.1951812793768859</v>
      </c>
      <c r="X462">
        <f t="shared" si="405"/>
        <v>-35.434522068994802</v>
      </c>
      <c r="Y462">
        <f t="shared" si="389"/>
        <v>-159.41199029085479</v>
      </c>
      <c r="Z462">
        <f t="shared" si="406"/>
        <v>20.588009709145211</v>
      </c>
      <c r="AC462">
        <v>1</v>
      </c>
      <c r="AD462">
        <f t="shared" si="390"/>
        <v>147.97730761959602</v>
      </c>
      <c r="AE462">
        <f t="shared" si="391"/>
        <v>-7.8398108923468088E-2</v>
      </c>
      <c r="AF462">
        <f t="shared" si="392"/>
        <v>3.0915282295296005E-2</v>
      </c>
      <c r="AG462">
        <f t="shared" si="367"/>
        <v>633.11048025508535</v>
      </c>
      <c r="AH462">
        <f t="shared" si="368"/>
        <v>-1637.8522411012182</v>
      </c>
      <c r="AJ462">
        <f t="shared" si="393"/>
        <v>22100</v>
      </c>
      <c r="AK462">
        <f t="shared" si="394"/>
        <v>3519.4493396069288</v>
      </c>
      <c r="AL462">
        <v>1</v>
      </c>
      <c r="AM462">
        <f t="shared" si="395"/>
        <v>96.58252067961169</v>
      </c>
      <c r="AN462">
        <f t="shared" si="369"/>
        <v>38.804821059879522</v>
      </c>
      <c r="AO462">
        <f t="shared" si="370"/>
        <v>-228.4180928775157</v>
      </c>
      <c r="AQ462">
        <f t="shared" si="396"/>
        <v>1.6259102455270802E-3</v>
      </c>
      <c r="AR462">
        <f t="shared" si="397"/>
        <v>-4.0322574089071592</v>
      </c>
      <c r="AT462">
        <f t="shared" si="365"/>
        <v>-6603.2124530591846</v>
      </c>
      <c r="AU462">
        <f t="shared" si="366"/>
        <v>-2555.5274254048036</v>
      </c>
      <c r="AV462">
        <f t="shared" si="407"/>
        <v>-2.7723320704270615</v>
      </c>
      <c r="AW462">
        <f t="shared" si="408"/>
        <v>-707.74419116460922</v>
      </c>
      <c r="AX462">
        <f t="shared" si="409"/>
        <v>-2296.2775945322237</v>
      </c>
      <c r="AY462">
        <f t="shared" si="417"/>
        <v>-1.8697714785331661</v>
      </c>
      <c r="BA462">
        <f t="shared" si="398"/>
        <v>2.9466723048608445</v>
      </c>
      <c r="BB462">
        <f t="shared" si="410"/>
        <v>9.3866368255578738</v>
      </c>
      <c r="BC462">
        <f t="shared" si="411"/>
        <v>-0.90256059189389548</v>
      </c>
      <c r="BD462">
        <f t="shared" si="399"/>
        <v>-231.71291272944035</v>
      </c>
      <c r="BF462">
        <f t="shared" si="400"/>
        <v>-43.63999141806211</v>
      </c>
      <c r="BG462">
        <f t="shared" si="401"/>
        <v>-222.61722844761658</v>
      </c>
      <c r="BH462">
        <f t="shared" si="412"/>
        <v>-42.617228447616583</v>
      </c>
      <c r="BI462">
        <f t="shared" si="413"/>
        <v>-42.617228447616583</v>
      </c>
      <c r="BJ462">
        <f t="shared" si="402"/>
        <v>0</v>
      </c>
      <c r="BK462">
        <f t="shared" si="414"/>
        <v>0</v>
      </c>
      <c r="BM462">
        <f t="shared" si="415"/>
        <v>-53.026628243619982</v>
      </c>
      <c r="BN462">
        <f t="shared" si="403"/>
        <v>-170.90431571817626</v>
      </c>
      <c r="BQ462" s="56">
        <f t="shared" si="416"/>
        <v>26.288597625843014</v>
      </c>
    </row>
    <row r="463" spans="1:69" x14ac:dyDescent="0.2">
      <c r="A463">
        <f t="shared" si="372"/>
        <v>1245000</v>
      </c>
      <c r="B463">
        <f t="shared" si="404"/>
        <v>1245</v>
      </c>
      <c r="C463">
        <f t="shared" si="373"/>
        <v>1.0121645190594954</v>
      </c>
      <c r="D463">
        <f t="shared" si="374"/>
        <v>0.155193252098381</v>
      </c>
      <c r="F463">
        <f t="shared" si="375"/>
        <v>1.4583843509176076E-4</v>
      </c>
      <c r="G463">
        <f t="shared" si="376"/>
        <v>4.1530008428116326E-3</v>
      </c>
      <c r="H463">
        <f t="shared" si="377"/>
        <v>-3.1374396491571885</v>
      </c>
      <c r="J463">
        <f t="shared" si="378"/>
        <v>15</v>
      </c>
      <c r="M463">
        <f t="shared" si="379"/>
        <v>1.4577627331116574E-3</v>
      </c>
      <c r="N463">
        <f t="shared" si="380"/>
        <v>-1.5707963250000001</v>
      </c>
      <c r="O463">
        <f t="shared" si="381"/>
        <v>148.57735560008646</v>
      </c>
      <c r="P463">
        <f t="shared" si="382"/>
        <v>1.5640657752511906</v>
      </c>
      <c r="Q463">
        <f t="shared" si="383"/>
        <v>96.977122319773855</v>
      </c>
      <c r="R463">
        <f t="shared" si="384"/>
        <v>1.5604844336512151</v>
      </c>
      <c r="S463">
        <f t="shared" si="385"/>
        <v>0.98745707244462011</v>
      </c>
      <c r="T463">
        <f t="shared" si="386"/>
        <v>-0.15855116809482567</v>
      </c>
      <c r="U463">
        <f t="shared" si="387"/>
        <v>0.36556872646675259</v>
      </c>
      <c r="V463">
        <f t="shared" si="388"/>
        <v>-1.1965525784699349</v>
      </c>
      <c r="X463">
        <f t="shared" si="405"/>
        <v>-35.499792298012395</v>
      </c>
      <c r="Y463">
        <f t="shared" si="389"/>
        <v>-159.48831773266636</v>
      </c>
      <c r="Z463">
        <f t="shared" si="406"/>
        <v>20.51168226733364</v>
      </c>
      <c r="AC463">
        <v>1</v>
      </c>
      <c r="AD463">
        <f t="shared" si="390"/>
        <v>148.57399031161052</v>
      </c>
      <c r="AE463">
        <f t="shared" si="391"/>
        <v>-7.9031626420459564E-2</v>
      </c>
      <c r="AF463">
        <f t="shared" si="392"/>
        <v>3.1039940691648008E-2</v>
      </c>
      <c r="AG463">
        <f t="shared" si="367"/>
        <v>628.71369411160288</v>
      </c>
      <c r="AH463">
        <f t="shared" si="368"/>
        <v>-1633.0013740037234</v>
      </c>
      <c r="AJ463">
        <f t="shared" si="393"/>
        <v>22100</v>
      </c>
      <c r="AK463">
        <f t="shared" si="394"/>
        <v>3533.6406675892144</v>
      </c>
      <c r="AL463">
        <v>1</v>
      </c>
      <c r="AM463">
        <f t="shared" si="395"/>
        <v>96.971966327513343</v>
      </c>
      <c r="AN463">
        <f t="shared" si="369"/>
        <v>38.785865200496225</v>
      </c>
      <c r="AO463">
        <f t="shared" si="370"/>
        <v>-227.50094661677699</v>
      </c>
      <c r="AQ463">
        <f t="shared" si="396"/>
        <v>1.6128769515206284E-3</v>
      </c>
      <c r="AR463">
        <f t="shared" si="397"/>
        <v>-4.0160636092863644</v>
      </c>
      <c r="AT463">
        <f t="shared" si="365"/>
        <v>-6557.2233542246477</v>
      </c>
      <c r="AU463">
        <f t="shared" si="366"/>
        <v>-2527.5880178595394</v>
      </c>
      <c r="AV463">
        <f t="shared" si="407"/>
        <v>-2.7736778504044257</v>
      </c>
      <c r="AW463">
        <f t="shared" si="408"/>
        <v>-701.59843994263292</v>
      </c>
      <c r="AX463">
        <f t="shared" si="409"/>
        <v>-2287.4384511796929</v>
      </c>
      <c r="AY463">
        <f t="shared" si="417"/>
        <v>-1.8684049288339672</v>
      </c>
      <c r="BA463">
        <f t="shared" si="398"/>
        <v>2.937164373534193</v>
      </c>
      <c r="BB463">
        <f t="shared" si="410"/>
        <v>9.3585650354700984</v>
      </c>
      <c r="BC463">
        <f t="shared" si="411"/>
        <v>-0.90527292157045847</v>
      </c>
      <c r="BD463">
        <f t="shared" si="399"/>
        <v>-231.86831777273306</v>
      </c>
      <c r="BF463">
        <f t="shared" si="400"/>
        <v>-43.737147688148781</v>
      </c>
      <c r="BG463">
        <f t="shared" si="401"/>
        <v>-222.73844998754623</v>
      </c>
      <c r="BH463">
        <f t="shared" si="412"/>
        <v>-42.738449987546232</v>
      </c>
      <c r="BI463">
        <f t="shared" si="413"/>
        <v>-42.738449987546232</v>
      </c>
      <c r="BJ463">
        <f t="shared" si="402"/>
        <v>0</v>
      </c>
      <c r="BK463">
        <f t="shared" si="414"/>
        <v>0</v>
      </c>
      <c r="BM463">
        <f t="shared" si="415"/>
        <v>-53.095712723618874</v>
      </c>
      <c r="BN463">
        <f t="shared" si="403"/>
        <v>-170.8701322148132</v>
      </c>
      <c r="BQ463" s="56">
        <f t="shared" si="416"/>
        <v>26.260525835755235</v>
      </c>
    </row>
    <row r="464" spans="1:69" x14ac:dyDescent="0.2">
      <c r="A464">
        <f t="shared" si="372"/>
        <v>1250000</v>
      </c>
      <c r="B464">
        <f t="shared" si="404"/>
        <v>1250</v>
      </c>
      <c r="C464">
        <f t="shared" si="373"/>
        <v>1.0122618292449514</v>
      </c>
      <c r="D464">
        <f t="shared" si="374"/>
        <v>0.15580649979437422</v>
      </c>
      <c r="F464">
        <f t="shared" si="375"/>
        <v>1.4467390190213151E-4</v>
      </c>
      <c r="G464">
        <f t="shared" si="376"/>
        <v>4.1363841949572273E-3</v>
      </c>
      <c r="H464">
        <f t="shared" si="377"/>
        <v>-3.1374562658050431</v>
      </c>
      <c r="J464">
        <f t="shared" si="378"/>
        <v>15</v>
      </c>
      <c r="M464">
        <f t="shared" si="379"/>
        <v>1.4519316821792107E-3</v>
      </c>
      <c r="N464">
        <f t="shared" si="380"/>
        <v>-1.5707963250000001</v>
      </c>
      <c r="O464">
        <f t="shared" si="381"/>
        <v>149.17402483125011</v>
      </c>
      <c r="P464">
        <f t="shared" si="382"/>
        <v>1.5640926966491879</v>
      </c>
      <c r="Q464">
        <f t="shared" si="383"/>
        <v>97.36654734479643</v>
      </c>
      <c r="R464">
        <f t="shared" si="384"/>
        <v>1.5605256783173269</v>
      </c>
      <c r="S464">
        <f t="shared" si="385"/>
        <v>0.98735802998715949</v>
      </c>
      <c r="T464">
        <f t="shared" si="386"/>
        <v>-0.1591772392271939</v>
      </c>
      <c r="U464">
        <f t="shared" si="387"/>
        <v>0.36430085533321843</v>
      </c>
      <c r="V464">
        <f t="shared" si="388"/>
        <v>-1.1979143681873834</v>
      </c>
      <c r="X464">
        <f t="shared" si="405"/>
        <v>-35.56483345397686</v>
      </c>
      <c r="Y464">
        <f t="shared" si="389"/>
        <v>-159.56412370094247</v>
      </c>
      <c r="Z464">
        <f t="shared" si="406"/>
        <v>20.435876299057526</v>
      </c>
      <c r="AC464">
        <v>1</v>
      </c>
      <c r="AD464">
        <f t="shared" si="390"/>
        <v>149.17067300362498</v>
      </c>
      <c r="AE464">
        <f t="shared" si="391"/>
        <v>-7.9667693283636112E-2</v>
      </c>
      <c r="AF464">
        <f t="shared" si="392"/>
        <v>3.1164599088000008E-2</v>
      </c>
      <c r="AG464">
        <f t="shared" si="367"/>
        <v>624.36022741352815</v>
      </c>
      <c r="AH464">
        <f t="shared" si="368"/>
        <v>-1628.1723680385901</v>
      </c>
      <c r="AJ464">
        <f t="shared" si="393"/>
        <v>22100</v>
      </c>
      <c r="AK464">
        <f t="shared" si="394"/>
        <v>3547.8319955715006</v>
      </c>
      <c r="AL464">
        <v>1</v>
      </c>
      <c r="AM464">
        <f t="shared" si="395"/>
        <v>97.36141197541501</v>
      </c>
      <c r="AN464">
        <f t="shared" si="369"/>
        <v>38.767136324187341</v>
      </c>
      <c r="AO464">
        <f t="shared" si="370"/>
        <v>-226.59113519477876</v>
      </c>
      <c r="AQ464">
        <f t="shared" si="396"/>
        <v>1.599999744000041E-3</v>
      </c>
      <c r="AR464">
        <f t="shared" si="397"/>
        <v>-3.9999993600001025</v>
      </c>
      <c r="AT464">
        <f t="shared" si="365"/>
        <v>-6511.6894539201858</v>
      </c>
      <c r="AU464">
        <f t="shared" si="366"/>
        <v>-2500.0455854356806</v>
      </c>
      <c r="AV464">
        <f t="shared" si="407"/>
        <v>-2.7750143251493218</v>
      </c>
      <c r="AW464">
        <f t="shared" si="408"/>
        <v>-695.52877141751435</v>
      </c>
      <c r="AX464">
        <f t="shared" si="409"/>
        <v>-2278.6664297798452</v>
      </c>
      <c r="AY464">
        <f t="shared" si="417"/>
        <v>-1.8670489363496274</v>
      </c>
      <c r="BA464">
        <f t="shared" si="398"/>
        <v>2.9277063830763899</v>
      </c>
      <c r="BB464">
        <f t="shared" si="410"/>
        <v>9.3305503916905828</v>
      </c>
      <c r="BC464">
        <f t="shared" si="411"/>
        <v>-0.90796538879969435</v>
      </c>
      <c r="BD464">
        <f t="shared" si="399"/>
        <v>-232.02258478162182</v>
      </c>
      <c r="BF464">
        <f t="shared" si="400"/>
        <v>-43.833963321207335</v>
      </c>
      <c r="BG464">
        <f t="shared" si="401"/>
        <v>-222.85853255541116</v>
      </c>
      <c r="BH464">
        <f t="shared" si="412"/>
        <v>-42.858532555411159</v>
      </c>
      <c r="BI464">
        <f t="shared" si="413"/>
        <v>-42.858532555411159</v>
      </c>
      <c r="BJ464">
        <f t="shared" si="402"/>
        <v>0</v>
      </c>
      <c r="BK464">
        <f t="shared" si="414"/>
        <v>0</v>
      </c>
      <c r="BM464">
        <f t="shared" si="415"/>
        <v>-53.164513712897929</v>
      </c>
      <c r="BN464">
        <f t="shared" si="403"/>
        <v>-170.83594777378931</v>
      </c>
      <c r="BQ464" s="56">
        <f t="shared" si="416"/>
        <v>26.232511191975721</v>
      </c>
    </row>
    <row r="465" spans="1:69" x14ac:dyDescent="0.2">
      <c r="A465">
        <f t="shared" si="372"/>
        <v>1255000</v>
      </c>
      <c r="B465">
        <f t="shared" si="404"/>
        <v>1255</v>
      </c>
      <c r="C465">
        <f t="shared" si="373"/>
        <v>1.0123595200412159</v>
      </c>
      <c r="D465">
        <f t="shared" si="374"/>
        <v>0.15641962936640516</v>
      </c>
      <c r="F465">
        <f t="shared" si="375"/>
        <v>1.435232622068341E-4</v>
      </c>
      <c r="G465">
        <f t="shared" si="376"/>
        <v>4.1199000058615405E-3</v>
      </c>
      <c r="H465">
        <f t="shared" si="377"/>
        <v>-3.1374727499941386</v>
      </c>
      <c r="J465">
        <f t="shared" si="378"/>
        <v>15</v>
      </c>
      <c r="M465">
        <f t="shared" si="379"/>
        <v>1.4461470938039948E-3</v>
      </c>
      <c r="N465">
        <f t="shared" si="380"/>
        <v>-1.5707963250000001</v>
      </c>
      <c r="O465">
        <f t="shared" si="381"/>
        <v>149.77069416966796</v>
      </c>
      <c r="P465">
        <f t="shared" si="382"/>
        <v>1.5641194035436554</v>
      </c>
      <c r="Q465">
        <f t="shared" si="383"/>
        <v>97.755972534131786</v>
      </c>
      <c r="R465">
        <f t="shared" si="384"/>
        <v>1.5605665943752089</v>
      </c>
      <c r="S465">
        <f t="shared" si="385"/>
        <v>0.9872586205413485</v>
      </c>
      <c r="T465">
        <f t="shared" si="386"/>
        <v>-0.15980318453634668</v>
      </c>
      <c r="U465">
        <f t="shared" si="387"/>
        <v>0.36304108202068014</v>
      </c>
      <c r="V465">
        <f t="shared" si="388"/>
        <v>-1.1992667421039918</v>
      </c>
      <c r="X465">
        <f t="shared" si="405"/>
        <v>-35.629647050814228</v>
      </c>
      <c r="Y465">
        <f t="shared" si="389"/>
        <v>-159.63941327111817</v>
      </c>
      <c r="Z465">
        <f t="shared" si="406"/>
        <v>20.360586728881827</v>
      </c>
      <c r="AC465">
        <v>1</v>
      </c>
      <c r="AD465">
        <f t="shared" si="390"/>
        <v>149.76735569563951</v>
      </c>
      <c r="AE465">
        <f t="shared" si="391"/>
        <v>-8.030630951299772E-2</v>
      </c>
      <c r="AF465">
        <f t="shared" si="392"/>
        <v>3.1289257484352004E-2</v>
      </c>
      <c r="AG465">
        <f t="shared" si="367"/>
        <v>620.04954645424414</v>
      </c>
      <c r="AH465">
        <f t="shared" si="368"/>
        <v>-1623.3651698622377</v>
      </c>
      <c r="AJ465">
        <f t="shared" si="393"/>
        <v>22100</v>
      </c>
      <c r="AK465">
        <f t="shared" si="394"/>
        <v>3562.0233235537867</v>
      </c>
      <c r="AL465">
        <v>1</v>
      </c>
      <c r="AM465">
        <f t="shared" si="395"/>
        <v>97.750857623316662</v>
      </c>
      <c r="AN465">
        <f t="shared" si="369"/>
        <v>38.74863082154021</v>
      </c>
      <c r="AO465">
        <f t="shared" si="370"/>
        <v>-225.68857098105047</v>
      </c>
      <c r="AQ465">
        <f t="shared" si="396"/>
        <v>1.5872761404936207E-3</v>
      </c>
      <c r="AR465">
        <f t="shared" si="397"/>
        <v>-3.9840631126389878</v>
      </c>
      <c r="AT465">
        <f t="shared" si="365"/>
        <v>-6466.6051017400559</v>
      </c>
      <c r="AU465">
        <f t="shared" si="366"/>
        <v>-2472.8932548383195</v>
      </c>
      <c r="AV465">
        <f t="shared" si="407"/>
        <v>-2.7763415857967066</v>
      </c>
      <c r="AW465">
        <f t="shared" si="408"/>
        <v>-689.53393431060022</v>
      </c>
      <c r="AX465">
        <f t="shared" si="409"/>
        <v>-2269.9607688085134</v>
      </c>
      <c r="AY465">
        <f t="shared" si="417"/>
        <v>-1.8657033786524826</v>
      </c>
      <c r="BA465">
        <f t="shared" si="398"/>
        <v>2.9182981121599134</v>
      </c>
      <c r="BB465">
        <f t="shared" si="410"/>
        <v>9.3025930839316153</v>
      </c>
      <c r="BC465">
        <f t="shared" si="411"/>
        <v>-0.91063820714422405</v>
      </c>
      <c r="BD465">
        <f t="shared" si="399"/>
        <v>-232.1757259923435</v>
      </c>
      <c r="BF465">
        <f t="shared" si="400"/>
        <v>-43.930440368273011</v>
      </c>
      <c r="BG465">
        <f t="shared" si="401"/>
        <v>-222.97748850378557</v>
      </c>
      <c r="BH465">
        <f t="shared" si="412"/>
        <v>-42.977488503785565</v>
      </c>
      <c r="BI465">
        <f t="shared" si="413"/>
        <v>-42.977488503785565</v>
      </c>
      <c r="BJ465">
        <f t="shared" si="402"/>
        <v>0</v>
      </c>
      <c r="BK465">
        <f t="shared" si="414"/>
        <v>0</v>
      </c>
      <c r="BM465">
        <f t="shared" si="415"/>
        <v>-53.233033452204623</v>
      </c>
      <c r="BN465">
        <f t="shared" si="403"/>
        <v>-170.80176251144206</v>
      </c>
      <c r="BQ465" s="56">
        <f t="shared" si="416"/>
        <v>26.204553884216754</v>
      </c>
    </row>
    <row r="466" spans="1:69" x14ac:dyDescent="0.2">
      <c r="A466">
        <f t="shared" si="372"/>
        <v>1260000</v>
      </c>
      <c r="B466">
        <f t="shared" si="404"/>
        <v>1260</v>
      </c>
      <c r="C466">
        <f t="shared" si="373"/>
        <v>1.0124575913381149</v>
      </c>
      <c r="D466">
        <f t="shared" si="374"/>
        <v>0.15703264038774867</v>
      </c>
      <c r="F466">
        <f t="shared" si="375"/>
        <v>1.4238629586282552E-4</v>
      </c>
      <c r="G466">
        <f t="shared" si="376"/>
        <v>4.1035466977635696E-3</v>
      </c>
      <c r="H466">
        <f t="shared" si="377"/>
        <v>-3.1374891033022365</v>
      </c>
      <c r="J466">
        <f t="shared" si="378"/>
        <v>15</v>
      </c>
      <c r="M466">
        <f t="shared" si="379"/>
        <v>1.440408414860328E-3</v>
      </c>
      <c r="N466">
        <f t="shared" si="380"/>
        <v>-1.5707963250000001</v>
      </c>
      <c r="O466">
        <f t="shared" si="381"/>
        <v>150.36736361406321</v>
      </c>
      <c r="P466">
        <f t="shared" si="382"/>
        <v>1.5641458984880547</v>
      </c>
      <c r="Q466">
        <f t="shared" si="383"/>
        <v>98.145397885824011</v>
      </c>
      <c r="R466">
        <f t="shared" si="384"/>
        <v>1.5606071857363195</v>
      </c>
      <c r="S466">
        <f t="shared" si="385"/>
        <v>0.98715884445168367</v>
      </c>
      <c r="T466">
        <f t="shared" si="386"/>
        <v>-0.16042900356985867</v>
      </c>
      <c r="U466">
        <f t="shared" si="387"/>
        <v>0.36178933656368378</v>
      </c>
      <c r="V466">
        <f t="shared" si="388"/>
        <v>-1.200609792642753</v>
      </c>
      <c r="X466">
        <f t="shared" si="405"/>
        <v>-35.694234588256883</v>
      </c>
      <c r="Y466">
        <f t="shared" si="389"/>
        <v>-159.7141914571549</v>
      </c>
      <c r="Z466">
        <f t="shared" si="406"/>
        <v>20.285808542845103</v>
      </c>
      <c r="AC466">
        <v>1</v>
      </c>
      <c r="AD466">
        <f t="shared" si="390"/>
        <v>150.36403838765401</v>
      </c>
      <c r="AE466">
        <f t="shared" si="391"/>
        <v>-8.0947475108544428E-2</v>
      </c>
      <c r="AF466">
        <f t="shared" si="392"/>
        <v>3.1413915880704003E-2</v>
      </c>
      <c r="AG466">
        <f t="shared" si="367"/>
        <v>615.78112510889889</v>
      </c>
      <c r="AH466">
        <f t="shared" si="368"/>
        <v>-1618.5797240354932</v>
      </c>
      <c r="AJ466">
        <f t="shared" si="393"/>
        <v>22100</v>
      </c>
      <c r="AK466">
        <f t="shared" si="394"/>
        <v>3576.2146515360723</v>
      </c>
      <c r="AL466">
        <v>1</v>
      </c>
      <c r="AM466">
        <f t="shared" si="395"/>
        <v>98.140303271218329</v>
      </c>
      <c r="AN466">
        <f t="shared" si="369"/>
        <v>38.730345154600201</v>
      </c>
      <c r="AO466">
        <f t="shared" si="370"/>
        <v>-224.79316773535305</v>
      </c>
      <c r="AQ466">
        <f t="shared" si="396"/>
        <v>1.5747037076871209E-3</v>
      </c>
      <c r="AR466">
        <f t="shared" si="397"/>
        <v>-3.9682533433715448</v>
      </c>
      <c r="AT466">
        <f t="shared" si="365"/>
        <v>-6421.9647285964056</v>
      </c>
      <c r="AU466">
        <f t="shared" si="366"/>
        <v>-2446.1242919911051</v>
      </c>
      <c r="AV466">
        <f t="shared" si="407"/>
        <v>-2.7776597223684956</v>
      </c>
      <c r="AW466">
        <f t="shared" si="408"/>
        <v>-683.61270291267908</v>
      </c>
      <c r="AX466">
        <f t="shared" si="409"/>
        <v>-2261.3207183354457</v>
      </c>
      <c r="AY466">
        <f t="shared" si="417"/>
        <v>-1.8643681350801051</v>
      </c>
      <c r="BA466">
        <f t="shared" si="398"/>
        <v>2.908939336551926</v>
      </c>
      <c r="BB466">
        <f t="shared" si="410"/>
        <v>9.2746932900119337</v>
      </c>
      <c r="BC466">
        <f t="shared" si="411"/>
        <v>-0.91329158728839044</v>
      </c>
      <c r="BD466">
        <f t="shared" si="399"/>
        <v>-232.32775347622177</v>
      </c>
      <c r="BF466">
        <f t="shared" si="400"/>
        <v>-44.026580865559893</v>
      </c>
      <c r="BG466">
        <f t="shared" si="401"/>
        <v>-223.09533001884188</v>
      </c>
      <c r="BH466">
        <f t="shared" si="412"/>
        <v>-43.095330018841878</v>
      </c>
      <c r="BI466">
        <f t="shared" si="413"/>
        <v>-43.095330018841878</v>
      </c>
      <c r="BJ466">
        <f t="shared" si="402"/>
        <v>0</v>
      </c>
      <c r="BK466">
        <f t="shared" si="414"/>
        <v>0</v>
      </c>
      <c r="BM466">
        <f t="shared" si="415"/>
        <v>-53.301274155571832</v>
      </c>
      <c r="BN466">
        <f t="shared" si="403"/>
        <v>-170.76757654262011</v>
      </c>
      <c r="BQ466" s="56">
        <f t="shared" si="416"/>
        <v>26.17665409029707</v>
      </c>
    </row>
    <row r="467" spans="1:69" x14ac:dyDescent="0.2">
      <c r="A467">
        <f t="shared" si="372"/>
        <v>1265000</v>
      </c>
      <c r="B467">
        <f t="shared" si="404"/>
        <v>1265</v>
      </c>
      <c r="C467">
        <f t="shared" si="373"/>
        <v>1.0125560430250877</v>
      </c>
      <c r="D467">
        <f t="shared" si="374"/>
        <v>0.15764553243220103</v>
      </c>
      <c r="F467">
        <f t="shared" si="375"/>
        <v>1.412627870702661E-4</v>
      </c>
      <c r="G467">
        <f t="shared" si="376"/>
        <v>4.0873227178642698E-3</v>
      </c>
      <c r="H467">
        <f t="shared" si="377"/>
        <v>-3.137505327282136</v>
      </c>
      <c r="J467">
        <f t="shared" si="378"/>
        <v>15</v>
      </c>
      <c r="M467">
        <f t="shared" si="379"/>
        <v>1.4347151009675996E-3</v>
      </c>
      <c r="N467">
        <f t="shared" si="380"/>
        <v>-1.5707963250000001</v>
      </c>
      <c r="O467">
        <f t="shared" si="381"/>
        <v>150.96403316317924</v>
      </c>
      <c r="P467">
        <f t="shared" si="382"/>
        <v>1.5641721839954801</v>
      </c>
      <c r="Q467">
        <f t="shared" si="383"/>
        <v>98.534823397948145</v>
      </c>
      <c r="R467">
        <f t="shared" si="384"/>
        <v>1.5606474562502861</v>
      </c>
      <c r="S467">
        <f t="shared" si="385"/>
        <v>0.98705870206374502</v>
      </c>
      <c r="T467">
        <f t="shared" si="386"/>
        <v>-0.16105469587588295</v>
      </c>
      <c r="U467">
        <f t="shared" si="387"/>
        <v>0.36054554968678026</v>
      </c>
      <c r="V467">
        <f t="shared" si="388"/>
        <v>-1.2019436110912467</v>
      </c>
      <c r="X467">
        <f t="shared" si="405"/>
        <v>-35.758597552013867</v>
      </c>
      <c r="Y467">
        <f t="shared" si="389"/>
        <v>-159.78846321238802</v>
      </c>
      <c r="Z467">
        <f t="shared" si="406"/>
        <v>20.211536787611976</v>
      </c>
      <c r="AC467">
        <v>1</v>
      </c>
      <c r="AD467">
        <f t="shared" si="390"/>
        <v>150.9607210796685</v>
      </c>
      <c r="AE467">
        <f t="shared" si="391"/>
        <v>-8.1591190070276209E-2</v>
      </c>
      <c r="AF467">
        <f t="shared" si="392"/>
        <v>3.1538574277056003E-2</v>
      </c>
      <c r="AG467">
        <f t="shared" si="367"/>
        <v>611.55444471928729</v>
      </c>
      <c r="AH467">
        <f t="shared" si="368"/>
        <v>-1613.815973109507</v>
      </c>
      <c r="AJ467">
        <f t="shared" si="393"/>
        <v>22100</v>
      </c>
      <c r="AK467">
        <f t="shared" si="394"/>
        <v>3590.4059795183584</v>
      </c>
      <c r="AL467">
        <v>1</v>
      </c>
      <c r="AM467">
        <f t="shared" si="395"/>
        <v>98.529748919119982</v>
      </c>
      <c r="AN467">
        <f t="shared" si="369"/>
        <v>38.71227585517984</v>
      </c>
      <c r="AO467">
        <f t="shared" si="370"/>
        <v>-223.90484058022159</v>
      </c>
      <c r="AQ467">
        <f t="shared" si="396"/>
        <v>1.5622800602602665E-3</v>
      </c>
      <c r="AR467">
        <f t="shared" si="397"/>
        <v>-3.9525685524584744</v>
      </c>
      <c r="AT467">
        <f t="shared" si="365"/>
        <v>-6377.7628454530595</v>
      </c>
      <c r="AU467">
        <f t="shared" si="366"/>
        <v>-2419.7320988293782</v>
      </c>
      <c r="AV467">
        <f t="shared" si="407"/>
        <v>-2.778968823789147</v>
      </c>
      <c r="AW467">
        <f t="shared" si="408"/>
        <v>-677.76387646177318</v>
      </c>
      <c r="AX467">
        <f t="shared" si="409"/>
        <v>-2252.7455398001816</v>
      </c>
      <c r="AY467">
        <f t="shared" si="417"/>
        <v>-1.8630430867066168</v>
      </c>
      <c r="BA467">
        <f t="shared" si="398"/>
        <v>2.899629829294383</v>
      </c>
      <c r="BB467">
        <f t="shared" si="410"/>
        <v>9.2468511762136512</v>
      </c>
      <c r="BC467">
        <f t="shared" si="411"/>
        <v>-0.91592573708253022</v>
      </c>
      <c r="BD467">
        <f t="shared" si="399"/>
        <v>-232.4786791422037</v>
      </c>
      <c r="BF467">
        <f t="shared" si="400"/>
        <v>-44.122386834527632</v>
      </c>
      <c r="BG467">
        <f t="shared" si="401"/>
        <v>-223.21206912291561</v>
      </c>
      <c r="BH467">
        <f t="shared" si="412"/>
        <v>-43.212069122915608</v>
      </c>
      <c r="BI467">
        <f t="shared" si="413"/>
        <v>-43.212069122915608</v>
      </c>
      <c r="BJ467">
        <f t="shared" si="402"/>
        <v>0</v>
      </c>
      <c r="BK467">
        <f t="shared" si="414"/>
        <v>0</v>
      </c>
      <c r="BM467">
        <f t="shared" si="415"/>
        <v>-53.369238010741284</v>
      </c>
      <c r="BN467">
        <f t="shared" si="403"/>
        <v>-170.73338998071196</v>
      </c>
      <c r="BQ467" s="56">
        <f t="shared" si="416"/>
        <v>26.148811976498788</v>
      </c>
    </row>
    <row r="468" spans="1:69" x14ac:dyDescent="0.2">
      <c r="A468">
        <f t="shared" si="372"/>
        <v>1270000</v>
      </c>
      <c r="B468">
        <f t="shared" si="404"/>
        <v>1270</v>
      </c>
      <c r="C468">
        <f t="shared" si="373"/>
        <v>1.0126548749911888</v>
      </c>
      <c r="D468">
        <f t="shared" si="374"/>
        <v>0.1582583050740814</v>
      </c>
      <c r="F468">
        <f t="shared" si="375"/>
        <v>1.4015252427009478E-4</v>
      </c>
      <c r="G468">
        <f t="shared" si="376"/>
        <v>4.0712265378347696E-3</v>
      </c>
      <c r="H468">
        <f t="shared" si="377"/>
        <v>-3.1375214234621653</v>
      </c>
      <c r="J468">
        <f t="shared" si="378"/>
        <v>15</v>
      </c>
      <c r="M468">
        <f t="shared" si="379"/>
        <v>1.429066616318121E-3</v>
      </c>
      <c r="N468">
        <f t="shared" si="380"/>
        <v>-1.5707963250000001</v>
      </c>
      <c r="O468">
        <f t="shared" si="381"/>
        <v>151.56070281577925</v>
      </c>
      <c r="P468">
        <f t="shared" si="382"/>
        <v>1.5641982625394522</v>
      </c>
      <c r="Q468">
        <f t="shared" si="383"/>
        <v>98.924249068609484</v>
      </c>
      <c r="R468">
        <f t="shared" si="384"/>
        <v>1.5606874097061223</v>
      </c>
      <c r="S468">
        <f t="shared" si="385"/>
        <v>0.98695819372419158</v>
      </c>
      <c r="T468">
        <f t="shared" si="386"/>
        <v>-0.16168026100315225</v>
      </c>
      <c r="U468">
        <f t="shared" si="387"/>
        <v>0.35930965279839455</v>
      </c>
      <c r="V468">
        <f t="shared" si="388"/>
        <v>-1.2032682876177445</v>
      </c>
      <c r="X468">
        <f t="shared" si="405"/>
        <v>-35.822737413938562</v>
      </c>
      <c r="Y468">
        <f t="shared" si="389"/>
        <v>-159.86223343036312</v>
      </c>
      <c r="Z468">
        <f t="shared" si="406"/>
        <v>20.137766569636881</v>
      </c>
      <c r="AC468">
        <v>1</v>
      </c>
      <c r="AD468">
        <f t="shared" si="390"/>
        <v>151.557403771683</v>
      </c>
      <c r="AE468">
        <f t="shared" si="391"/>
        <v>-8.2237454398193063E-2</v>
      </c>
      <c r="AF468">
        <f t="shared" si="392"/>
        <v>3.1663232673408002E-2</v>
      </c>
      <c r="AG468">
        <f t="shared" si="367"/>
        <v>607.36899398038395</v>
      </c>
      <c r="AH468">
        <f t="shared" si="368"/>
        <v>-1609.0738577089987</v>
      </c>
      <c r="AJ468">
        <f t="shared" si="393"/>
        <v>22100</v>
      </c>
      <c r="AK468">
        <f t="shared" si="394"/>
        <v>3604.5973075006441</v>
      </c>
      <c r="AL468">
        <v>1</v>
      </c>
      <c r="AM468">
        <f t="shared" si="395"/>
        <v>98.919194567021648</v>
      </c>
      <c r="AN468">
        <f t="shared" si="369"/>
        <v>38.694419523214329</v>
      </c>
      <c r="AO468">
        <f t="shared" si="370"/>
        <v>-223.02350597415531</v>
      </c>
      <c r="AQ468">
        <f t="shared" si="396"/>
        <v>1.5500028597552763E-3</v>
      </c>
      <c r="AR468">
        <f t="shared" si="397"/>
        <v>-3.9370072637784017</v>
      </c>
      <c r="AT468">
        <f t="shared" si="365"/>
        <v>-6333.9940420786661</v>
      </c>
      <c r="AU468">
        <f t="shared" si="366"/>
        <v>-2393.7102101755581</v>
      </c>
      <c r="AV468">
        <f t="shared" si="407"/>
        <v>-2.7802689779010255</v>
      </c>
      <c r="AW468">
        <f t="shared" si="408"/>
        <v>-671.98627853844221</v>
      </c>
      <c r="AX468">
        <f t="shared" si="409"/>
        <v>-2244.2345057932275</v>
      </c>
      <c r="AY468">
        <f t="shared" si="417"/>
        <v>-1.8617281163144728</v>
      </c>
      <c r="BA468">
        <f t="shared" si="398"/>
        <v>2.8903693608774352</v>
      </c>
      <c r="BB468">
        <f t="shared" si="410"/>
        <v>9.2190668976289682</v>
      </c>
      <c r="BC468">
        <f t="shared" si="411"/>
        <v>-0.91854086158655268</v>
      </c>
      <c r="BD468">
        <f t="shared" si="399"/>
        <v>-232.62851473935663</v>
      </c>
      <c r="BF468">
        <f t="shared" si="400"/>
        <v>-44.217860281949868</v>
      </c>
      <c r="BG468">
        <f t="shared" si="401"/>
        <v>-223.32771767703062</v>
      </c>
      <c r="BH468">
        <f t="shared" si="412"/>
        <v>-43.32771767703062</v>
      </c>
      <c r="BI468">
        <f t="shared" si="413"/>
        <v>-43.32771767703062</v>
      </c>
      <c r="BJ468">
        <f t="shared" si="402"/>
        <v>0</v>
      </c>
      <c r="BK468">
        <f t="shared" si="414"/>
        <v>0</v>
      </c>
      <c r="BM468">
        <f t="shared" si="415"/>
        <v>-53.436927179578845</v>
      </c>
      <c r="BN468">
        <f t="shared" si="403"/>
        <v>-170.69920293767402</v>
      </c>
      <c r="BQ468" s="56">
        <f t="shared" si="416"/>
        <v>26.121027697914101</v>
      </c>
    </row>
    <row r="469" spans="1:69" x14ac:dyDescent="0.2">
      <c r="A469">
        <f t="shared" si="372"/>
        <v>1275000</v>
      </c>
      <c r="B469">
        <f t="shared" si="404"/>
        <v>1275</v>
      </c>
      <c r="C469">
        <f t="shared" si="373"/>
        <v>1.0127540871250864</v>
      </c>
      <c r="D469">
        <f t="shared" si="374"/>
        <v>0.15887095788823349</v>
      </c>
      <c r="F469">
        <f t="shared" si="375"/>
        <v>1.3905530004441156E-4</v>
      </c>
      <c r="G469">
        <f t="shared" si="376"/>
        <v>4.0552566533361735E-3</v>
      </c>
      <c r="H469">
        <f t="shared" si="377"/>
        <v>-3.1375373933466641</v>
      </c>
      <c r="J469">
        <f t="shared" si="378"/>
        <v>15</v>
      </c>
      <c r="M469">
        <f t="shared" si="379"/>
        <v>1.42346243350903E-3</v>
      </c>
      <c r="N469">
        <f t="shared" si="380"/>
        <v>-1.5707963250000001</v>
      </c>
      <c r="O469">
        <f t="shared" si="381"/>
        <v>152.15737257064589</v>
      </c>
      <c r="P469">
        <f t="shared" si="382"/>
        <v>1.5642241365546938</v>
      </c>
      <c r="Q469">
        <f t="shared" si="383"/>
        <v>99.313674895943123</v>
      </c>
      <c r="R469">
        <f t="shared" si="384"/>
        <v>1.5607270498334165</v>
      </c>
      <c r="S469">
        <f t="shared" si="385"/>
        <v>0.98685731978075852</v>
      </c>
      <c r="T469">
        <f t="shared" si="386"/>
        <v>-0.16230569850098103</v>
      </c>
      <c r="U469">
        <f t="shared" si="387"/>
        <v>0.35808157798469298</v>
      </c>
      <c r="V469">
        <f t="shared" si="388"/>
        <v>-1.2045839112870702</v>
      </c>
      <c r="X469">
        <f t="shared" si="405"/>
        <v>-35.886655632193992</v>
      </c>
      <c r="Y469">
        <f t="shared" si="389"/>
        <v>-159.93550694565917</v>
      </c>
      <c r="Z469">
        <f t="shared" si="406"/>
        <v>20.064493054340829</v>
      </c>
      <c r="AC469">
        <v>1</v>
      </c>
      <c r="AD469">
        <f t="shared" si="390"/>
        <v>152.15408646369752</v>
      </c>
      <c r="AE469">
        <f t="shared" si="391"/>
        <v>-8.288626809229499E-2</v>
      </c>
      <c r="AF469">
        <f t="shared" si="392"/>
        <v>3.1787891069760009E-2</v>
      </c>
      <c r="AG469">
        <f t="shared" si="367"/>
        <v>603.22426882852301</v>
      </c>
      <c r="AH469">
        <f t="shared" si="368"/>
        <v>-1604.3533166129166</v>
      </c>
      <c r="AJ469">
        <f t="shared" si="393"/>
        <v>22100</v>
      </c>
      <c r="AK469">
        <f t="shared" si="394"/>
        <v>3618.7886354829307</v>
      </c>
      <c r="AL469">
        <v>1</v>
      </c>
      <c r="AM469">
        <f t="shared" si="395"/>
        <v>99.308640214923301</v>
      </c>
      <c r="AN469">
        <f t="shared" si="369"/>
        <v>38.676772825162331</v>
      </c>
      <c r="AO469">
        <f t="shared" si="370"/>
        <v>-222.14908168543866</v>
      </c>
      <c r="AQ469">
        <f t="shared" si="396"/>
        <v>1.537869813476384E-3</v>
      </c>
      <c r="AR469">
        <f t="shared" si="397"/>
        <v>-3.9215680243647792</v>
      </c>
      <c r="AT469">
        <f t="shared" si="365"/>
        <v>-6290.6529858190088</v>
      </c>
      <c r="AU469">
        <f t="shared" si="366"/>
        <v>-2368.0522906945293</v>
      </c>
      <c r="AV469">
        <f t="shared" si="407"/>
        <v>-2.7815602714795271</v>
      </c>
      <c r="AW469">
        <f t="shared" si="408"/>
        <v>-666.2787564780408</v>
      </c>
      <c r="AX469">
        <f t="shared" si="409"/>
        <v>-2235.7868998424115</v>
      </c>
      <c r="AY469">
        <f t="shared" si="417"/>
        <v>-1.86042310836671</v>
      </c>
      <c r="BA469">
        <f t="shared" si="398"/>
        <v>2.8811576994063279</v>
      </c>
      <c r="BB469">
        <f t="shared" si="410"/>
        <v>9.1913405984968239</v>
      </c>
      <c r="BC469">
        <f t="shared" si="411"/>
        <v>-0.92113716311281713</v>
      </c>
      <c r="BD469">
        <f t="shared" si="399"/>
        <v>-232.77727185932494</v>
      </c>
      <c r="BF469">
        <f t="shared" si="400"/>
        <v>-44.313003199984706</v>
      </c>
      <c r="BG469">
        <f t="shared" si="401"/>
        <v>-223.44228738338325</v>
      </c>
      <c r="BH469">
        <f t="shared" si="412"/>
        <v>-43.442287383383245</v>
      </c>
      <c r="BI469">
        <f t="shared" si="413"/>
        <v>-43.442287383383245</v>
      </c>
      <c r="BJ469">
        <f t="shared" si="402"/>
        <v>0</v>
      </c>
      <c r="BK469">
        <f t="shared" si="414"/>
        <v>0</v>
      </c>
      <c r="BM469">
        <f t="shared" si="415"/>
        <v>-53.504343798481528</v>
      </c>
      <c r="BN469">
        <f t="shared" si="403"/>
        <v>-170.6650155240583</v>
      </c>
      <c r="BQ469" s="56">
        <f t="shared" si="416"/>
        <v>26.093301398781961</v>
      </c>
    </row>
    <row r="470" spans="1:69" x14ac:dyDescent="0.2">
      <c r="A470">
        <f t="shared" si="372"/>
        <v>1280000</v>
      </c>
      <c r="B470">
        <f t="shared" si="404"/>
        <v>1280</v>
      </c>
      <c r="C470">
        <f t="shared" si="373"/>
        <v>1.0128536793150649</v>
      </c>
      <c r="D470">
        <f t="shared" si="374"/>
        <v>0.15948349045002713</v>
      </c>
      <c r="F470">
        <f t="shared" si="375"/>
        <v>1.3797091101957942E-4</v>
      </c>
      <c r="G470">
        <f t="shared" si="376"/>
        <v>4.0394115835506363E-3</v>
      </c>
      <c r="H470">
        <f t="shared" si="377"/>
        <v>-3.1375532384164497</v>
      </c>
      <c r="J470">
        <f t="shared" si="378"/>
        <v>15</v>
      </c>
      <c r="M470">
        <f t="shared" si="379"/>
        <v>1.4179020333781355E-3</v>
      </c>
      <c r="N470">
        <f t="shared" si="380"/>
        <v>-1.5707963250000001</v>
      </c>
      <c r="O470">
        <f t="shared" si="381"/>
        <v>152.75404242658075</v>
      </c>
      <c r="P470">
        <f t="shared" si="382"/>
        <v>1.5642498084378884</v>
      </c>
      <c r="Q470">
        <f t="shared" si="383"/>
        <v>99.703100878113219</v>
      </c>
      <c r="R470">
        <f t="shared" si="384"/>
        <v>1.5607663803034924</v>
      </c>
      <c r="S470">
        <f t="shared" si="385"/>
        <v>0.98675608058225395</v>
      </c>
      <c r="T470">
        <f t="shared" si="386"/>
        <v>-0.16293100791926696</v>
      </c>
      <c r="U470">
        <f t="shared" si="387"/>
        <v>0.35686125800345242</v>
      </c>
      <c r="V470">
        <f t="shared" si="388"/>
        <v>-1.2058905700762195</v>
      </c>
      <c r="X470">
        <f t="shared" si="405"/>
        <v>-35.950353651415583</v>
      </c>
      <c r="Y470">
        <f t="shared" si="389"/>
        <v>-160.00828853470068</v>
      </c>
      <c r="Z470">
        <f t="shared" si="406"/>
        <v>19.991711465299318</v>
      </c>
      <c r="AC470">
        <v>1</v>
      </c>
      <c r="AD470">
        <f t="shared" si="390"/>
        <v>152.75076915571199</v>
      </c>
      <c r="AE470">
        <f t="shared" si="391"/>
        <v>-8.3537631152582004E-2</v>
      </c>
      <c r="AF470">
        <f t="shared" si="392"/>
        <v>3.1912549466112008E-2</v>
      </c>
      <c r="AG470">
        <f t="shared" si="367"/>
        <v>599.11977233120194</v>
      </c>
      <c r="AH470">
        <f t="shared" si="368"/>
        <v>-1599.6542868325807</v>
      </c>
      <c r="AJ470">
        <f t="shared" si="393"/>
        <v>22100</v>
      </c>
      <c r="AK470">
        <f t="shared" si="394"/>
        <v>3632.9799634652163</v>
      </c>
      <c r="AL470">
        <v>1</v>
      </c>
      <c r="AM470">
        <f t="shared" si="395"/>
        <v>99.698085862824968</v>
      </c>
      <c r="AN470">
        <f t="shared" si="369"/>
        <v>38.659332492450119</v>
      </c>
      <c r="AO470">
        <f t="shared" si="370"/>
        <v>-221.28148676657489</v>
      </c>
      <c r="AQ470">
        <f t="shared" si="396"/>
        <v>1.5258786734193919E-3</v>
      </c>
      <c r="AR470">
        <f t="shared" si="397"/>
        <v>-3.9062494039536433</v>
      </c>
      <c r="AT470">
        <f t="shared" ref="AT470:AT533" si="418">-AR470*AH470+AG470*AQ470</f>
        <v>-6247.734420388234</v>
      </c>
      <c r="AU470">
        <f t="shared" ref="AU470:AU533" si="419">AQ470*AH470+AG470*AR470</f>
        <v>-2342.7521319267216</v>
      </c>
      <c r="AV470">
        <f t="shared" si="407"/>
        <v>-2.7828427902479924</v>
      </c>
      <c r="AW470">
        <f t="shared" si="408"/>
        <v>-660.64018079939046</v>
      </c>
      <c r="AX470">
        <f t="shared" si="409"/>
        <v>-2227.402016204238</v>
      </c>
      <c r="AY470">
        <f t="shared" si="417"/>
        <v>-1.8591279489796533</v>
      </c>
      <c r="BA470">
        <f t="shared" si="398"/>
        <v>2.8719946107620622</v>
      </c>
      <c r="BB470">
        <f t="shared" si="410"/>
        <v>9.163672412529948</v>
      </c>
      <c r="BC470">
        <f t="shared" si="411"/>
        <v>-0.92371484126833914</v>
      </c>
      <c r="BD470">
        <f t="shared" si="399"/>
        <v>-232.9249619387482</v>
      </c>
      <c r="BF470">
        <f t="shared" si="400"/>
        <v>-44.407817566246692</v>
      </c>
      <c r="BG470">
        <f t="shared" si="401"/>
        <v>-223.55578978778709</v>
      </c>
      <c r="BH470">
        <f t="shared" si="412"/>
        <v>-43.555789787787091</v>
      </c>
      <c r="BI470">
        <f t="shared" si="413"/>
        <v>-43.555789787787091</v>
      </c>
      <c r="BJ470">
        <f t="shared" si="402"/>
        <v>0</v>
      </c>
      <c r="BK470">
        <f t="shared" si="414"/>
        <v>0</v>
      </c>
      <c r="BM470">
        <f t="shared" si="415"/>
        <v>-53.57148997877664</v>
      </c>
      <c r="BN470">
        <f t="shared" si="403"/>
        <v>-170.63082784903895</v>
      </c>
      <c r="BQ470" s="56">
        <f t="shared" si="416"/>
        <v>26.065633212815086</v>
      </c>
    </row>
    <row r="471" spans="1:69" x14ac:dyDescent="0.2">
      <c r="A471">
        <f t="shared" si="372"/>
        <v>1285000</v>
      </c>
      <c r="B471">
        <f t="shared" si="404"/>
        <v>1285</v>
      </c>
      <c r="C471">
        <f t="shared" si="373"/>
        <v>1.0129536514490245</v>
      </c>
      <c r="D471">
        <f t="shared" si="374"/>
        <v>0.1600959023353597</v>
      </c>
      <c r="F471">
        <f t="shared" si="375"/>
        <v>1.3689915777196108E-4</v>
      </c>
      <c r="G471">
        <f t="shared" si="376"/>
        <v>4.0236898707233862E-3</v>
      </c>
      <c r="H471">
        <f t="shared" si="377"/>
        <v>-3.1375689601292769</v>
      </c>
      <c r="J471">
        <f t="shared" si="378"/>
        <v>15</v>
      </c>
      <c r="M471">
        <f t="shared" si="379"/>
        <v>1.4123849048435901E-3</v>
      </c>
      <c r="N471">
        <f t="shared" si="380"/>
        <v>-1.5707963250000001</v>
      </c>
      <c r="O471">
        <f t="shared" si="381"/>
        <v>153.35071238240405</v>
      </c>
      <c r="P471">
        <f t="shared" si="382"/>
        <v>1.5642752805484197</v>
      </c>
      <c r="Q471">
        <f t="shared" si="383"/>
        <v>100.09252701331252</v>
      </c>
      <c r="R471">
        <f t="shared" si="384"/>
        <v>1.5608054047305415</v>
      </c>
      <c r="S471">
        <f t="shared" si="385"/>
        <v>0.98665447647855542</v>
      </c>
      <c r="T471">
        <f t="shared" si="386"/>
        <v>-0.16355618880849274</v>
      </c>
      <c r="U471">
        <f t="shared" si="387"/>
        <v>0.35564862627793414</v>
      </c>
      <c r="V471">
        <f t="shared" si="388"/>
        <v>-1.207188350889741</v>
      </c>
      <c r="X471">
        <f t="shared" si="405"/>
        <v>-36.013832902871606</v>
      </c>
      <c r="Y471">
        <f t="shared" si="389"/>
        <v>-160.08058291655797</v>
      </c>
      <c r="Z471">
        <f t="shared" si="406"/>
        <v>19.919417083442028</v>
      </c>
      <c r="AC471">
        <v>1</v>
      </c>
      <c r="AD471">
        <f t="shared" si="390"/>
        <v>153.34745184772652</v>
      </c>
      <c r="AE471">
        <f t="shared" si="391"/>
        <v>-8.4191543579054104E-2</v>
      </c>
      <c r="AF471">
        <f t="shared" si="392"/>
        <v>3.2037207862464001E-2</v>
      </c>
      <c r="AG471">
        <f t="shared" si="367"/>
        <v>595.05501457850346</v>
      </c>
      <c r="AH471">
        <f t="shared" si="368"/>
        <v>-1594.9767036873959</v>
      </c>
      <c r="AJ471">
        <f t="shared" si="393"/>
        <v>22100</v>
      </c>
      <c r="AK471">
        <f t="shared" si="394"/>
        <v>3647.1712914475029</v>
      </c>
      <c r="AL471">
        <v>1</v>
      </c>
      <c r="AM471">
        <f t="shared" si="395"/>
        <v>100.08753151072662</v>
      </c>
      <c r="AN471">
        <f t="shared" si="369"/>
        <v>38.642095319958209</v>
      </c>
      <c r="AO471">
        <f t="shared" si="370"/>
        <v>-220.42064152931647</v>
      </c>
      <c r="AQ471">
        <f t="shared" si="396"/>
        <v>1.5140272352303238E-3</v>
      </c>
      <c r="AR471">
        <f t="shared" si="397"/>
        <v>-3.8910499945419317</v>
      </c>
      <c r="AT471">
        <f t="shared" si="418"/>
        <v>-6205.233164678817</v>
      </c>
      <c r="AU471">
        <f t="shared" si="419"/>
        <v>-2317.8036493967757</v>
      </c>
      <c r="AV471">
        <f t="shared" si="407"/>
        <v>-2.7841166188923863</v>
      </c>
      <c r="AW471">
        <f t="shared" si="408"/>
        <v>-655.06944464934782</v>
      </c>
      <c r="AX471">
        <f t="shared" si="409"/>
        <v>-2219.0791596601343</v>
      </c>
      <c r="AY471">
        <f t="shared" si="417"/>
        <v>-1.8578425258960736</v>
      </c>
      <c r="BA471">
        <f t="shared" si="398"/>
        <v>2.8628798587560018</v>
      </c>
      <c r="BB471">
        <f t="shared" si="410"/>
        <v>9.1360624632325056</v>
      </c>
      <c r="BC471">
        <f t="shared" si="411"/>
        <v>-0.92627409299631269</v>
      </c>
      <c r="BD471">
        <f t="shared" si="399"/>
        <v>-233.0715962616402</v>
      </c>
      <c r="BF471">
        <f t="shared" si="400"/>
        <v>-44.502305343880479</v>
      </c>
      <c r="BG471">
        <f t="shared" si="401"/>
        <v>-223.66823628207854</v>
      </c>
      <c r="BH471">
        <f t="shared" si="412"/>
        <v>-43.668236282078539</v>
      </c>
      <c r="BI471">
        <f t="shared" si="413"/>
        <v>-43.668236282078539</v>
      </c>
      <c r="BJ471">
        <f t="shared" si="402"/>
        <v>0</v>
      </c>
      <c r="BK471">
        <f t="shared" si="414"/>
        <v>0</v>
      </c>
      <c r="BM471">
        <f t="shared" si="415"/>
        <v>-53.638367807112985</v>
      </c>
      <c r="BN471">
        <f t="shared" si="403"/>
        <v>-170.59664002043834</v>
      </c>
      <c r="BQ471" s="56">
        <f t="shared" si="416"/>
        <v>26.038023263517644</v>
      </c>
    </row>
    <row r="472" spans="1:69" x14ac:dyDescent="0.2">
      <c r="A472">
        <f t="shared" si="372"/>
        <v>1290000</v>
      </c>
      <c r="B472">
        <f t="shared" si="404"/>
        <v>1290</v>
      </c>
      <c r="C472">
        <f t="shared" si="373"/>
        <v>1.0130540034144822</v>
      </c>
      <c r="D472">
        <f t="shared" si="374"/>
        <v>0.16070819312065779</v>
      </c>
      <c r="F472">
        <f t="shared" si="375"/>
        <v>1.358398447362096E-4</v>
      </c>
      <c r="G472">
        <f t="shared" si="376"/>
        <v>4.0080900797154059E-3</v>
      </c>
      <c r="H472">
        <f t="shared" si="377"/>
        <v>-3.1375845599202847</v>
      </c>
      <c r="J472">
        <f t="shared" si="378"/>
        <v>15</v>
      </c>
      <c r="M472">
        <f t="shared" si="379"/>
        <v>1.4069105447472971E-3</v>
      </c>
      <c r="N472">
        <f t="shared" si="380"/>
        <v>-1.5707963250000001</v>
      </c>
      <c r="O472">
        <f t="shared" si="381"/>
        <v>153.94738243695437</v>
      </c>
      <c r="P472">
        <f t="shared" si="382"/>
        <v>1.5643005552090936</v>
      </c>
      <c r="Q472">
        <f t="shared" si="383"/>
        <v>100.4819532997618</v>
      </c>
      <c r="R472">
        <f t="shared" si="384"/>
        <v>1.5608441266727313</v>
      </c>
      <c r="S472">
        <f t="shared" si="385"/>
        <v>0.98655250782060755</v>
      </c>
      <c r="T472">
        <f t="shared" si="386"/>
        <v>-0.16418124071972767</v>
      </c>
      <c r="U472">
        <f t="shared" si="387"/>
        <v>0.35444361689076431</v>
      </c>
      <c r="V472">
        <f t="shared" si="388"/>
        <v>-1.2084773395748842</v>
      </c>
      <c r="X472">
        <f t="shared" si="405"/>
        <v>-36.077094804621225</v>
      </c>
      <c r="Y472">
        <f t="shared" si="389"/>
        <v>-160.15239475373562</v>
      </c>
      <c r="Z472">
        <f t="shared" si="406"/>
        <v>19.847605246264379</v>
      </c>
      <c r="AC472">
        <v>1</v>
      </c>
      <c r="AD472">
        <f t="shared" si="390"/>
        <v>153.94413453974101</v>
      </c>
      <c r="AE472">
        <f t="shared" si="391"/>
        <v>-8.4848005371711249E-2</v>
      </c>
      <c r="AF472">
        <f t="shared" si="392"/>
        <v>3.2161866258816001E-2</v>
      </c>
      <c r="AG472">
        <f t="shared" si="367"/>
        <v>591.02951257610869</v>
      </c>
      <c r="AH472">
        <f t="shared" si="368"/>
        <v>-1590.3205008781879</v>
      </c>
      <c r="AJ472">
        <f t="shared" si="393"/>
        <v>22100</v>
      </c>
      <c r="AK472">
        <f t="shared" si="394"/>
        <v>3661.3626194297885</v>
      </c>
      <c r="AL472">
        <v>1</v>
      </c>
      <c r="AM472">
        <f t="shared" si="395"/>
        <v>100.47697715862829</v>
      </c>
      <c r="AN472">
        <f t="shared" si="369"/>
        <v>38.625058164548861</v>
      </c>
      <c r="AO472">
        <f t="shared" si="370"/>
        <v>-219.56646752027581</v>
      </c>
      <c r="AQ472">
        <f t="shared" si="396"/>
        <v>1.5023133371922755E-3</v>
      </c>
      <c r="AR472">
        <f t="shared" si="397"/>
        <v>-3.8759684099560707</v>
      </c>
      <c r="AT472">
        <f t="shared" si="418"/>
        <v>-6163.1441115899543</v>
      </c>
      <c r="AU472">
        <f t="shared" si="419"/>
        <v>-2293.2008797956109</v>
      </c>
      <c r="AV472">
        <f t="shared" si="407"/>
        <v>-2.7853818410757687</v>
      </c>
      <c r="AW472">
        <f t="shared" si="408"/>
        <v>-649.56546326276771</v>
      </c>
      <c r="AX472">
        <f t="shared" si="409"/>
        <v>-2210.817645317426</v>
      </c>
      <c r="AY472">
        <f t="shared" si="417"/>
        <v>-1.856566728458793</v>
      </c>
      <c r="BA472">
        <f t="shared" si="398"/>
        <v>2.8538132052786342</v>
      </c>
      <c r="BB472">
        <f t="shared" si="410"/>
        <v>9.1085108642085846</v>
      </c>
      <c r="BC472">
        <f t="shared" si="411"/>
        <v>-0.92881511261697569</v>
      </c>
      <c r="BD472">
        <f t="shared" si="399"/>
        <v>-233.21718596173048</v>
      </c>
      <c r="BF472">
        <f t="shared" si="400"/>
        <v>-44.596468481636023</v>
      </c>
      <c r="BG472">
        <f t="shared" si="401"/>
        <v>-223.77963810648345</v>
      </c>
      <c r="BH472">
        <f t="shared" si="412"/>
        <v>-43.779638106483446</v>
      </c>
      <c r="BI472">
        <f t="shared" si="413"/>
        <v>-43.779638106483446</v>
      </c>
      <c r="BJ472">
        <f t="shared" si="402"/>
        <v>0</v>
      </c>
      <c r="BK472">
        <f t="shared" si="414"/>
        <v>0</v>
      </c>
      <c r="BM472">
        <f t="shared" si="415"/>
        <v>-53.704979345844606</v>
      </c>
      <c r="BN472">
        <f t="shared" si="403"/>
        <v>-170.562452144753</v>
      </c>
      <c r="BQ472" s="56">
        <f t="shared" si="416"/>
        <v>26.010471664493721</v>
      </c>
    </row>
    <row r="473" spans="1:69" x14ac:dyDescent="0.2">
      <c r="A473">
        <f>A472+5000</f>
        <v>1295000</v>
      </c>
      <c r="B473">
        <f t="shared" si="404"/>
        <v>1295</v>
      </c>
      <c r="C473">
        <f t="shared" si="373"/>
        <v>1.0131547350985721</v>
      </c>
      <c r="D473">
        <f t="shared" si="374"/>
        <v>0.16132036238287872</v>
      </c>
      <c r="F473">
        <f t="shared" si="375"/>
        <v>1.3479278011603333E-4</v>
      </c>
      <c r="G473">
        <f t="shared" si="376"/>
        <v>3.9926107975665004E-3</v>
      </c>
      <c r="H473">
        <f t="shared" si="377"/>
        <v>-3.1376000392024337</v>
      </c>
      <c r="J473">
        <f t="shared" si="378"/>
        <v>15</v>
      </c>
      <c r="M473">
        <f t="shared" si="379"/>
        <v>1.4014784577019406E-3</v>
      </c>
      <c r="N473">
        <f t="shared" si="380"/>
        <v>-1.5707963250000001</v>
      </c>
      <c r="O473">
        <f t="shared" si="381"/>
        <v>154.54405258908824</v>
      </c>
      <c r="P473">
        <f t="shared" si="382"/>
        <v>1.5643256347068464</v>
      </c>
      <c r="Q473">
        <f t="shared" si="383"/>
        <v>100.8713797357093</v>
      </c>
      <c r="R473">
        <f t="shared" si="384"/>
        <v>1.5608825496332854</v>
      </c>
      <c r="S473">
        <f t="shared" si="385"/>
        <v>0.98645017496041754</v>
      </c>
      <c r="T473">
        <f t="shared" si="386"/>
        <v>-0.16480616320462943</v>
      </c>
      <c r="U473">
        <f t="shared" si="387"/>
        <v>0.35324616457782471</v>
      </c>
      <c r="V473">
        <f t="shared" si="388"/>
        <v>-1.2097576209365153</v>
      </c>
      <c r="X473">
        <f t="shared" si="405"/>
        <v>-36.140140761670224</v>
      </c>
      <c r="Y473">
        <f t="shared" si="389"/>
        <v>-160.22372865295</v>
      </c>
      <c r="Z473">
        <f t="shared" si="406"/>
        <v>19.776271347049999</v>
      </c>
      <c r="AC473">
        <v>1</v>
      </c>
      <c r="AD473">
        <f t="shared" si="390"/>
        <v>154.54081723175551</v>
      </c>
      <c r="AE473">
        <f t="shared" si="391"/>
        <v>-8.5507016530553495E-2</v>
      </c>
      <c r="AF473">
        <f t="shared" si="392"/>
        <v>3.2286524655168007E-2</v>
      </c>
      <c r="AG473">
        <f t="shared" si="367"/>
        <v>587.04279013989344</v>
      </c>
      <c r="AH473">
        <f t="shared" si="368"/>
        <v>-1585.6856105582517</v>
      </c>
      <c r="AJ473">
        <f t="shared" si="393"/>
        <v>22100</v>
      </c>
      <c r="AK473">
        <f t="shared" si="394"/>
        <v>3675.5539474120742</v>
      </c>
      <c r="AL473">
        <v>1</v>
      </c>
      <c r="AM473">
        <f t="shared" si="395"/>
        <v>100.86642280652995</v>
      </c>
      <c r="AN473">
        <f t="shared" si="369"/>
        <v>38.608217943633313</v>
      </c>
      <c r="AO473">
        <f t="shared" si="370"/>
        <v>-218.71888749710018</v>
      </c>
      <c r="AQ473">
        <f t="shared" si="396"/>
        <v>1.4907348592395971E-3</v>
      </c>
      <c r="AR473">
        <f t="shared" si="397"/>
        <v>-3.8610032854305563</v>
      </c>
      <c r="AT473">
        <f t="shared" si="418"/>
        <v>-6121.4622268742405</v>
      </c>
      <c r="AU473">
        <f t="shared" si="419"/>
        <v>-2268.9379782339029</v>
      </c>
      <c r="AV473">
        <f t="shared" si="407"/>
        <v>-2.7866385394525475</v>
      </c>
      <c r="AW473">
        <f t="shared" si="408"/>
        <v>-644.12717343737938</v>
      </c>
      <c r="AX473">
        <f t="shared" si="409"/>
        <v>-2202.6167984149256</v>
      </c>
      <c r="AY473">
        <f t="shared" si="417"/>
        <v>-1.8553004475847312</v>
      </c>
      <c r="BA473">
        <f t="shared" si="398"/>
        <v>2.8447944104427139</v>
      </c>
      <c r="BB473">
        <f t="shared" si="410"/>
        <v>9.0810177194619097</v>
      </c>
      <c r="BC473">
        <f t="shared" si="411"/>
        <v>-0.93133809186781624</v>
      </c>
      <c r="BD473">
        <f t="shared" si="399"/>
        <v>-233.36174202476789</v>
      </c>
      <c r="BF473">
        <f t="shared" si="400"/>
        <v>-44.690308913945145</v>
      </c>
      <c r="BG473">
        <f t="shared" si="401"/>
        <v>-223.89000635194597</v>
      </c>
      <c r="BH473">
        <f t="shared" si="412"/>
        <v>-43.890006351945971</v>
      </c>
      <c r="BI473">
        <f t="shared" si="413"/>
        <v>-43.890006351945971</v>
      </c>
      <c r="BJ473">
        <f t="shared" si="402"/>
        <v>0</v>
      </c>
      <c r="BK473">
        <f t="shared" si="414"/>
        <v>0</v>
      </c>
      <c r="BM473">
        <f t="shared" si="415"/>
        <v>-53.771326633407057</v>
      </c>
      <c r="BN473">
        <f t="shared" si="403"/>
        <v>-170.52826432717808</v>
      </c>
      <c r="BQ473" s="56">
        <f t="shared" si="416"/>
        <v>25.982978519747046</v>
      </c>
    </row>
    <row r="474" spans="1:69" x14ac:dyDescent="0.2">
      <c r="A474">
        <f t="shared" ref="A474:A537" si="420">A473+5000</f>
        <v>1300000</v>
      </c>
      <c r="B474">
        <f t="shared" si="404"/>
        <v>1300</v>
      </c>
      <c r="C474">
        <f t="shared" si="373"/>
        <v>1.0132558463880463</v>
      </c>
      <c r="D474">
        <f t="shared" si="374"/>
        <v>0.16193240969951198</v>
      </c>
      <c r="F474">
        <f t="shared" si="375"/>
        <v>1.3375777579735954E-4</v>
      </c>
      <c r="G474">
        <f t="shared" si="376"/>
        <v>3.9772506330684474E-3</v>
      </c>
      <c r="H474">
        <f t="shared" si="377"/>
        <v>-3.1376153993669318</v>
      </c>
      <c r="J474">
        <f t="shared" si="378"/>
        <v>15</v>
      </c>
      <c r="M474">
        <f t="shared" si="379"/>
        <v>1.3960881559415487E-3</v>
      </c>
      <c r="N474">
        <f t="shared" si="380"/>
        <v>-1.5707963250000001</v>
      </c>
      <c r="O474">
        <f t="shared" si="381"/>
        <v>155.1407228376797</v>
      </c>
      <c r="P474">
        <f t="shared" si="382"/>
        <v>1.5643505212934319</v>
      </c>
      <c r="Q474">
        <f t="shared" si="383"/>
        <v>101.26080631943022</v>
      </c>
      <c r="R474">
        <f t="shared" si="384"/>
        <v>1.5609206770615407</v>
      </c>
      <c r="S474">
        <f t="shared" si="385"/>
        <v>0.98634747825105307</v>
      </c>
      <c r="T474">
        <f t="shared" si="386"/>
        <v>-0.16543095581544567</v>
      </c>
      <c r="U474">
        <f t="shared" si="387"/>
        <v>0.35205620472215565</v>
      </c>
      <c r="V474">
        <f t="shared" si="388"/>
        <v>-1.2110292787518062</v>
      </c>
      <c r="X474">
        <f t="shared" si="405"/>
        <v>-36.202972166124525</v>
      </c>
      <c r="Y474">
        <f t="shared" si="389"/>
        <v>-160.29458916589513</v>
      </c>
      <c r="Z474">
        <f t="shared" si="406"/>
        <v>19.705410834104867</v>
      </c>
      <c r="AC474">
        <v>1</v>
      </c>
      <c r="AD474">
        <f t="shared" si="390"/>
        <v>155.13749992377001</v>
      </c>
      <c r="AE474">
        <f t="shared" si="391"/>
        <v>-8.6168577055580814E-2</v>
      </c>
      <c r="AF474">
        <f t="shared" si="392"/>
        <v>3.2411183051520007E-2</v>
      </c>
      <c r="AG474">
        <f t="shared" si="367"/>
        <v>583.09437779209259</v>
      </c>
      <c r="AH474">
        <f t="shared" si="368"/>
        <v>-1581.07196340217</v>
      </c>
      <c r="AJ474">
        <f t="shared" si="393"/>
        <v>22100</v>
      </c>
      <c r="AK474">
        <f t="shared" si="394"/>
        <v>3689.7452753943608</v>
      </c>
      <c r="AL474">
        <v>1</v>
      </c>
      <c r="AM474">
        <f t="shared" si="395"/>
        <v>101.25586845443161</v>
      </c>
      <c r="AN474">
        <f t="shared" si="369"/>
        <v>38.59157163377759</v>
      </c>
      <c r="AO474">
        <f t="shared" si="370"/>
        <v>-217.8778254051968</v>
      </c>
      <c r="AQ474">
        <f t="shared" si="396"/>
        <v>1.4792897219985618E-3</v>
      </c>
      <c r="AR474">
        <f t="shared" si="397"/>
        <v>-3.8461532771962608</v>
      </c>
      <c r="AT474">
        <f t="shared" si="418"/>
        <v>-6080.1825480023599</v>
      </c>
      <c r="AU474">
        <f t="shared" si="419"/>
        <v>-2245.0092155649727</v>
      </c>
      <c r="AV474">
        <f t="shared" si="407"/>
        <v>-2.7878867956825171</v>
      </c>
      <c r="AW474">
        <f t="shared" si="408"/>
        <v>-638.75353302310566</v>
      </c>
      <c r="AX474">
        <f t="shared" si="409"/>
        <v>-2194.4759541330077</v>
      </c>
      <c r="AY474">
        <f t="shared" si="417"/>
        <v>-1.8540435757393834</v>
      </c>
      <c r="BA474">
        <f t="shared" si="398"/>
        <v>2.8358232327209518</v>
      </c>
      <c r="BB474">
        <f t="shared" si="410"/>
        <v>9.053583123686936</v>
      </c>
      <c r="BC474">
        <f t="shared" si="411"/>
        <v>-0.93384321994313368</v>
      </c>
      <c r="BD474">
        <f t="shared" si="399"/>
        <v>-233.50527529078732</v>
      </c>
      <c r="BF474">
        <f t="shared" si="400"/>
        <v>-44.783828560999439</v>
      </c>
      <c r="BG474">
        <f t="shared" si="401"/>
        <v>-223.9993519624193</v>
      </c>
      <c r="BH474">
        <f t="shared" si="412"/>
        <v>-43.999351962419297</v>
      </c>
      <c r="BI474">
        <f t="shared" si="413"/>
        <v>-43.999351962419297</v>
      </c>
      <c r="BJ474">
        <f t="shared" si="402"/>
        <v>0</v>
      </c>
      <c r="BK474">
        <f t="shared" si="414"/>
        <v>0</v>
      </c>
      <c r="BM474">
        <f t="shared" si="415"/>
        <v>-53.837411684686373</v>
      </c>
      <c r="BN474">
        <f t="shared" si="403"/>
        <v>-170.494076671632</v>
      </c>
      <c r="BQ474" s="56">
        <f t="shared" si="416"/>
        <v>25.955543923972073</v>
      </c>
    </row>
    <row r="475" spans="1:69" x14ac:dyDescent="0.2">
      <c r="A475">
        <f t="shared" si="420"/>
        <v>1305000</v>
      </c>
      <c r="B475">
        <f t="shared" si="404"/>
        <v>1305</v>
      </c>
      <c r="C475">
        <f t="shared" si="373"/>
        <v>1.0133573371692755</v>
      </c>
      <c r="D475">
        <f t="shared" si="374"/>
        <v>0.16254433464858087</v>
      </c>
      <c r="F475">
        <f t="shared" si="375"/>
        <v>1.3273464726382356E-4</v>
      </c>
      <c r="G475">
        <f t="shared" si="376"/>
        <v>3.9620082163479616E-3</v>
      </c>
      <c r="H475">
        <f t="shared" si="377"/>
        <v>-3.1376306417836521</v>
      </c>
      <c r="J475">
        <f t="shared" si="378"/>
        <v>15</v>
      </c>
      <c r="M475">
        <f t="shared" si="379"/>
        <v>1.3907391591754892E-3</v>
      </c>
      <c r="N475">
        <f t="shared" si="380"/>
        <v>-1.5707963250000001</v>
      </c>
      <c r="O475">
        <f t="shared" si="381"/>
        <v>155.73739318162009</v>
      </c>
      <c r="P475">
        <f t="shared" si="382"/>
        <v>1.5643752171860976</v>
      </c>
      <c r="Q475">
        <f t="shared" si="383"/>
        <v>101.65023304922617</v>
      </c>
      <c r="R475">
        <f t="shared" si="384"/>
        <v>1.5609585123539793</v>
      </c>
      <c r="S475">
        <f t="shared" si="385"/>
        <v>0.98624441804663843</v>
      </c>
      <c r="T475">
        <f t="shared" si="386"/>
        <v>-0.16605561810501576</v>
      </c>
      <c r="U475">
        <f t="shared" si="387"/>
        <v>0.35087367334787328</v>
      </c>
      <c r="V475">
        <f t="shared" si="388"/>
        <v>-1.2122923957847</v>
      </c>
      <c r="X475">
        <f t="shared" si="405"/>
        <v>-36.265590397341427</v>
      </c>
      <c r="Y475">
        <f t="shared" si="389"/>
        <v>-160.36498078999762</v>
      </c>
      <c r="Z475">
        <f t="shared" si="406"/>
        <v>19.635019210002383</v>
      </c>
      <c r="AC475">
        <v>1</v>
      </c>
      <c r="AD475">
        <f t="shared" si="390"/>
        <v>155.7341826157845</v>
      </c>
      <c r="AE475">
        <f t="shared" si="391"/>
        <v>-8.6832686946793206E-2</v>
      </c>
      <c r="AF475">
        <f t="shared" si="392"/>
        <v>3.2535841447872006E-2</v>
      </c>
      <c r="AG475">
        <f t="shared" si="367"/>
        <v>579.1838126590078</v>
      </c>
      <c r="AH475">
        <f t="shared" si="368"/>
        <v>-1576.4794886724676</v>
      </c>
      <c r="AJ475">
        <f t="shared" si="393"/>
        <v>22100</v>
      </c>
      <c r="AK475">
        <f t="shared" si="394"/>
        <v>3703.9366033766464</v>
      </c>
      <c r="AL475">
        <v>1</v>
      </c>
      <c r="AM475">
        <f t="shared" si="395"/>
        <v>101.64531410233326</v>
      </c>
      <c r="AN475">
        <f t="shared" si="369"/>
        <v>38.575116269345394</v>
      </c>
      <c r="AO475">
        <f t="shared" si="370"/>
        <v>-217.04320635499161</v>
      </c>
      <c r="AQ475">
        <f t="shared" si="396"/>
        <v>1.4679758858537183E-3</v>
      </c>
      <c r="AR475">
        <f t="shared" si="397"/>
        <v>-3.8314170620782049</v>
      </c>
      <c r="AT475">
        <f t="shared" si="418"/>
        <v>-6039.3001830455569</v>
      </c>
      <c r="AU475">
        <f t="shared" si="419"/>
        <v>-2221.4089757751431</v>
      </c>
      <c r="AV475">
        <f t="shared" si="407"/>
        <v>-2.7891266904446916</v>
      </c>
      <c r="AW475">
        <f t="shared" si="408"/>
        <v>-633.44352042537787</v>
      </c>
      <c r="AX475">
        <f t="shared" si="409"/>
        <v>-2186.3944574080342</v>
      </c>
      <c r="AY475">
        <f t="shared" si="417"/>
        <v>-1.8527960069117284</v>
      </c>
      <c r="BA475">
        <f t="shared" si="398"/>
        <v>2.8268994290784515</v>
      </c>
      <c r="BB475">
        <f t="shared" si="410"/>
        <v>9.0262071625516107</v>
      </c>
      <c r="BC475">
        <f t="shared" si="411"/>
        <v>-0.93633068353296323</v>
      </c>
      <c r="BD475">
        <f t="shared" si="399"/>
        <v>-233.64779645633985</v>
      </c>
      <c r="BF475">
        <f t="shared" si="400"/>
        <v>-44.87702932882938</v>
      </c>
      <c r="BG475">
        <f t="shared" si="401"/>
        <v>-224.10768573712005</v>
      </c>
      <c r="BH475">
        <f t="shared" si="412"/>
        <v>-44.10768573712005</v>
      </c>
      <c r="BI475">
        <f t="shared" si="413"/>
        <v>-44.10768573712005</v>
      </c>
      <c r="BJ475">
        <f t="shared" si="402"/>
        <v>0</v>
      </c>
      <c r="BK475">
        <f t="shared" si="414"/>
        <v>0</v>
      </c>
      <c r="BM475">
        <f t="shared" si="415"/>
        <v>-53.903236491380994</v>
      </c>
      <c r="BN475">
        <f t="shared" si="403"/>
        <v>-170.45988928078017</v>
      </c>
      <c r="BQ475" s="56">
        <f t="shared" si="416"/>
        <v>25.928167962836746</v>
      </c>
    </row>
    <row r="476" spans="1:69" x14ac:dyDescent="0.2">
      <c r="A476">
        <f t="shared" si="420"/>
        <v>1310000</v>
      </c>
      <c r="B476">
        <f t="shared" si="404"/>
        <v>1310</v>
      </c>
      <c r="C476">
        <f t="shared" si="373"/>
        <v>1.0134592073282493</v>
      </c>
      <c r="D476">
        <f t="shared" si="374"/>
        <v>0.16315613680864391</v>
      </c>
      <c r="F476">
        <f t="shared" si="375"/>
        <v>1.3172321351451191E-4</v>
      </c>
      <c r="G476">
        <f t="shared" si="376"/>
        <v>3.9468821984592331E-3</v>
      </c>
      <c r="H476">
        <f t="shared" si="377"/>
        <v>-3.137645767801541</v>
      </c>
      <c r="J476">
        <f t="shared" si="378"/>
        <v>15</v>
      </c>
      <c r="M476">
        <f t="shared" si="379"/>
        <v>1.3854309944458117E-3</v>
      </c>
      <c r="N476">
        <f t="shared" si="380"/>
        <v>-1.5707963250000001</v>
      </c>
      <c r="O476">
        <f t="shared" si="381"/>
        <v>156.33406361981767</v>
      </c>
      <c r="P476">
        <f t="shared" si="382"/>
        <v>1.5643997245682415</v>
      </c>
      <c r="Q476">
        <f t="shared" si="383"/>
        <v>102.03965992342468</v>
      </c>
      <c r="R476">
        <f t="shared" si="384"/>
        <v>1.560996058855237</v>
      </c>
      <c r="S476">
        <f t="shared" si="385"/>
        <v>0.98614099470235084</v>
      </c>
      <c r="T476">
        <f t="shared" si="386"/>
        <v>-0.16668014962677238</v>
      </c>
      <c r="U476">
        <f t="shared" si="387"/>
        <v>0.34969850711410327</v>
      </c>
      <c r="V476">
        <f t="shared" si="388"/>
        <v>-1.2135470538001558</v>
      </c>
      <c r="X476">
        <f t="shared" si="405"/>
        <v>-36.327996822078717</v>
      </c>
      <c r="Y476">
        <f t="shared" si="389"/>
        <v>-160.43490796916092</v>
      </c>
      <c r="Z476">
        <f t="shared" si="406"/>
        <v>19.565092030839082</v>
      </c>
      <c r="AC476">
        <v>1</v>
      </c>
      <c r="AD476">
        <f t="shared" si="390"/>
        <v>156.330865307799</v>
      </c>
      <c r="AE476">
        <f t="shared" si="391"/>
        <v>-8.749934620419067E-2</v>
      </c>
      <c r="AF476">
        <f t="shared" si="392"/>
        <v>3.2660499844224006E-2</v>
      </c>
      <c r="AG476">
        <f t="shared" si="367"/>
        <v>575.31063837025101</v>
      </c>
      <c r="AH476">
        <f t="shared" si="368"/>
        <v>-1571.9081142841685</v>
      </c>
      <c r="AJ476">
        <f t="shared" si="393"/>
        <v>22100</v>
      </c>
      <c r="AK476">
        <f t="shared" si="394"/>
        <v>3718.1279313589325</v>
      </c>
      <c r="AL476">
        <v>1</v>
      </c>
      <c r="AM476">
        <f t="shared" si="395"/>
        <v>102.03475975023493</v>
      </c>
      <c r="AN476">
        <f t="shared" si="369"/>
        <v>38.558848941177452</v>
      </c>
      <c r="AO476">
        <f t="shared" si="370"/>
        <v>-216.21495659970944</v>
      </c>
      <c r="AQ476">
        <f t="shared" si="396"/>
        <v>1.4567913500391366E-3</v>
      </c>
      <c r="AR476">
        <f t="shared" si="397"/>
        <v>-3.816793337102538</v>
      </c>
      <c r="AT476">
        <f t="shared" si="418"/>
        <v>-5998.810309575666</v>
      </c>
      <c r="AU476">
        <f t="shared" si="419"/>
        <v>-2198.1317534397276</v>
      </c>
      <c r="AV476">
        <f t="shared" si="407"/>
        <v>-2.7903583034509287</v>
      </c>
      <c r="AW476">
        <f t="shared" si="408"/>
        <v>-628.19613412201124</v>
      </c>
      <c r="AX476">
        <f t="shared" si="409"/>
        <v>-2178.3716627510239</v>
      </c>
      <c r="AY476">
        <f t="shared" si="417"/>
        <v>-1.8515576365895572</v>
      </c>
      <c r="BA476">
        <f t="shared" si="398"/>
        <v>2.8180227551000838</v>
      </c>
      <c r="BB476">
        <f t="shared" si="410"/>
        <v>8.9988899129720892</v>
      </c>
      <c r="BC476">
        <f t="shared" si="411"/>
        <v>-0.93880066686137154</v>
      </c>
      <c r="BD476">
        <f t="shared" si="399"/>
        <v>-233.78931607668704</v>
      </c>
      <c r="BF476">
        <f t="shared" si="400"/>
        <v>-44.969913109384692</v>
      </c>
      <c r="BG476">
        <f t="shared" si="401"/>
        <v>-224.21501833274542</v>
      </c>
      <c r="BH476">
        <f t="shared" si="412"/>
        <v>-44.215018332745416</v>
      </c>
      <c r="BI476">
        <f t="shared" si="413"/>
        <v>-44.215018332745416</v>
      </c>
      <c r="BJ476">
        <f t="shared" si="402"/>
        <v>0</v>
      </c>
      <c r="BK476">
        <f t="shared" si="414"/>
        <v>0</v>
      </c>
      <c r="BM476">
        <f t="shared" si="415"/>
        <v>-53.968803022356781</v>
      </c>
      <c r="BN476">
        <f t="shared" si="403"/>
        <v>-170.4257022560584</v>
      </c>
      <c r="BQ476" s="56">
        <f t="shared" si="416"/>
        <v>25.900850713257224</v>
      </c>
    </row>
    <row r="477" spans="1:69" x14ac:dyDescent="0.2">
      <c r="A477">
        <f t="shared" si="420"/>
        <v>1315000</v>
      </c>
      <c r="B477">
        <f t="shared" si="404"/>
        <v>1315</v>
      </c>
      <c r="C477">
        <f t="shared" si="373"/>
        <v>1.0135614567505775</v>
      </c>
      <c r="D477">
        <f t="shared" si="374"/>
        <v>0.16376781575879651</v>
      </c>
      <c r="F477">
        <f t="shared" si="375"/>
        <v>1.3072329698389176E-4</v>
      </c>
      <c r="G477">
        <f t="shared" si="376"/>
        <v>3.931871250985766E-3</v>
      </c>
      <c r="H477">
        <f t="shared" si="377"/>
        <v>-3.1376607787490145</v>
      </c>
      <c r="J477">
        <f t="shared" si="378"/>
        <v>15</v>
      </c>
      <c r="M477">
        <f t="shared" si="379"/>
        <v>1.3801631959878429E-3</v>
      </c>
      <c r="N477">
        <f t="shared" si="380"/>
        <v>-1.5707963250000001</v>
      </c>
      <c r="O477">
        <f t="shared" si="381"/>
        <v>156.93073415119736</v>
      </c>
      <c r="P477">
        <f t="shared" si="382"/>
        <v>1.5644240455900571</v>
      </c>
      <c r="Q477">
        <f t="shared" si="383"/>
        <v>102.42908694037877</v>
      </c>
      <c r="R477">
        <f t="shared" si="384"/>
        <v>1.5610333198590887</v>
      </c>
      <c r="S477">
        <f t="shared" si="385"/>
        <v>0.98603720857441812</v>
      </c>
      <c r="T477">
        <f t="shared" si="386"/>
        <v>-0.16730454993474314</v>
      </c>
      <c r="U477">
        <f t="shared" si="387"/>
        <v>0.34853064330893391</v>
      </c>
      <c r="V477">
        <f t="shared" si="388"/>
        <v>-1.2147933335781738</v>
      </c>
      <c r="X477">
        <f t="shared" si="405"/>
        <v>-36.390192794641536</v>
      </c>
      <c r="Y477">
        <f t="shared" si="389"/>
        <v>-160.50437509449804</v>
      </c>
      <c r="Z477">
        <f t="shared" si="406"/>
        <v>19.495624905501955</v>
      </c>
      <c r="AC477">
        <v>1</v>
      </c>
      <c r="AD477">
        <f t="shared" si="390"/>
        <v>156.9275479998135</v>
      </c>
      <c r="AE477">
        <f t="shared" si="391"/>
        <v>-8.8168554827773207E-2</v>
      </c>
      <c r="AF477">
        <f t="shared" si="392"/>
        <v>3.2785158240576005E-2</v>
      </c>
      <c r="AG477">
        <f t="shared" si="367"/>
        <v>571.47440495950093</v>
      </c>
      <c r="AH477">
        <f t="shared" si="368"/>
        <v>-1567.3577668673172</v>
      </c>
      <c r="AJ477">
        <f t="shared" si="393"/>
        <v>22100</v>
      </c>
      <c r="AK477">
        <f t="shared" si="394"/>
        <v>3732.3192593412182</v>
      </c>
      <c r="AL477">
        <v>1</v>
      </c>
      <c r="AM477">
        <f t="shared" si="395"/>
        <v>102.42420539813658</v>
      </c>
      <c r="AN477">
        <f t="shared" si="369"/>
        <v>38.542766795305781</v>
      </c>
      <c r="AO477">
        <f t="shared" si="370"/>
        <v>-215.39300351366026</v>
      </c>
      <c r="AQ477">
        <f t="shared" si="396"/>
        <v>1.4457341517537985E-3</v>
      </c>
      <c r="AR477">
        <f t="shared" si="397"/>
        <v>-3.8022808191124899</v>
      </c>
      <c r="AT477">
        <f t="shared" si="418"/>
        <v>-5958.7081735824822</v>
      </c>
      <c r="AU477">
        <f t="shared" si="419"/>
        <v>-2175.1721512428103</v>
      </c>
      <c r="AV477">
        <f t="shared" si="407"/>
        <v>-2.7915817134593515</v>
      </c>
      <c r="AW477">
        <f t="shared" si="408"/>
        <v>-623.01039219322354</v>
      </c>
      <c r="AX477">
        <f t="shared" si="409"/>
        <v>-2170.4069340704468</v>
      </c>
      <c r="AY477">
        <f t="shared" si="417"/>
        <v>-1.8503283617352198</v>
      </c>
      <c r="BA477">
        <f t="shared" si="398"/>
        <v>2.8091929651129468</v>
      </c>
      <c r="BB477">
        <f t="shared" si="410"/>
        <v>8.9716314433795468</v>
      </c>
      <c r="BC477">
        <f t="shared" si="411"/>
        <v>-0.94125335172413171</v>
      </c>
      <c r="BD477">
        <f t="shared" si="399"/>
        <v>-233.92984456795941</v>
      </c>
      <c r="BF477">
        <f t="shared" si="400"/>
        <v>-45.06248178061567</v>
      </c>
      <c r="BG477">
        <f t="shared" si="401"/>
        <v>-224.3213602656547</v>
      </c>
      <c r="BH477">
        <f t="shared" si="412"/>
        <v>-44.321360265654704</v>
      </c>
      <c r="BI477">
        <f t="shared" si="413"/>
        <v>-44.321360265654704</v>
      </c>
      <c r="BJ477">
        <f t="shared" si="402"/>
        <v>0</v>
      </c>
      <c r="BK477">
        <f t="shared" si="414"/>
        <v>0</v>
      </c>
      <c r="BM477">
        <f t="shared" si="415"/>
        <v>-54.034113223995213</v>
      </c>
      <c r="BN477">
        <f t="shared" si="403"/>
        <v>-170.3915156976953</v>
      </c>
      <c r="BQ477" s="56">
        <f t="shared" si="416"/>
        <v>25.873592243664689</v>
      </c>
    </row>
    <row r="478" spans="1:69" x14ac:dyDescent="0.2">
      <c r="A478">
        <f t="shared" si="420"/>
        <v>1320000</v>
      </c>
      <c r="B478">
        <f t="shared" si="404"/>
        <v>1320</v>
      </c>
      <c r="C478">
        <f t="shared" si="373"/>
        <v>1.0136640853214895</v>
      </c>
      <c r="D478">
        <f t="shared" si="374"/>
        <v>0.16437937107867232</v>
      </c>
      <c r="F478">
        <f t="shared" si="375"/>
        <v>1.2973472346385957E-4</v>
      </c>
      <c r="G478">
        <f t="shared" si="376"/>
        <v>3.9169740656512632E-3</v>
      </c>
      <c r="H478">
        <f t="shared" si="377"/>
        <v>-3.1376756759343492</v>
      </c>
      <c r="J478">
        <f t="shared" si="378"/>
        <v>15</v>
      </c>
      <c r="M478">
        <f t="shared" si="379"/>
        <v>1.3749353050939495E-3</v>
      </c>
      <c r="N478">
        <f t="shared" si="380"/>
        <v>-1.5707963250000001</v>
      </c>
      <c r="O478">
        <f t="shared" si="381"/>
        <v>157.52740477470024</v>
      </c>
      <c r="P478">
        <f t="shared" si="382"/>
        <v>1.5644481823691605</v>
      </c>
      <c r="Q478">
        <f t="shared" si="383"/>
        <v>102.81851409846634</v>
      </c>
      <c r="R478">
        <f t="shared" si="384"/>
        <v>1.5610702986094116</v>
      </c>
      <c r="S478">
        <f t="shared" si="385"/>
        <v>0.98593306002011494</v>
      </c>
      <c r="T478">
        <f t="shared" si="386"/>
        <v>-0.16792881858355244</v>
      </c>
      <c r="U478">
        <f t="shared" si="387"/>
        <v>0.34737001984338944</v>
      </c>
      <c r="V478">
        <f t="shared" si="388"/>
        <v>-1.2160313149276101</v>
      </c>
      <c r="X478">
        <f t="shared" si="405"/>
        <v>-36.452179657027301</v>
      </c>
      <c r="Y478">
        <f t="shared" si="389"/>
        <v>-160.5733865050544</v>
      </c>
      <c r="Z478">
        <f t="shared" si="406"/>
        <v>19.426613494945599</v>
      </c>
      <c r="AC478">
        <v>1</v>
      </c>
      <c r="AD478">
        <f t="shared" si="390"/>
        <v>157.52423069182802</v>
      </c>
      <c r="AE478">
        <f t="shared" si="391"/>
        <v>-8.8840312817540831E-2</v>
      </c>
      <c r="AF478">
        <f t="shared" si="392"/>
        <v>3.2909816636928005E-2</v>
      </c>
      <c r="AG478">
        <f t="shared" si="367"/>
        <v>567.67466876675667</v>
      </c>
      <c r="AH478">
        <f t="shared" si="368"/>
        <v>-1562.8283718275236</v>
      </c>
      <c r="AJ478">
        <f t="shared" si="393"/>
        <v>22100</v>
      </c>
      <c r="AK478">
        <f t="shared" si="394"/>
        <v>3746.5105873235048</v>
      </c>
      <c r="AL478">
        <v>1</v>
      </c>
      <c r="AM478">
        <f t="shared" si="395"/>
        <v>102.81365104603826</v>
      </c>
      <c r="AN478">
        <f t="shared" si="369"/>
        <v>38.526867031701975</v>
      </c>
      <c r="AO478">
        <f t="shared" si="370"/>
        <v>-214.57727557101862</v>
      </c>
      <c r="AQ478">
        <f t="shared" si="396"/>
        <v>1.4348023653003952E-3</v>
      </c>
      <c r="AR478">
        <f t="shared" si="397"/>
        <v>-3.7878782443930437</v>
      </c>
      <c r="AT478">
        <f t="shared" si="418"/>
        <v>-5918.9890884082115</v>
      </c>
      <c r="AU478">
        <f t="shared" si="419"/>
        <v>-2152.5248775590817</v>
      </c>
      <c r="AV478">
        <f t="shared" si="407"/>
        <v>-2.7927969982875709</v>
      </c>
      <c r="AW478">
        <f t="shared" si="408"/>
        <v>-617.88533186438622</v>
      </c>
      <c r="AX478">
        <f t="shared" si="409"/>
        <v>-2162.4996444990252</v>
      </c>
      <c r="AY478">
        <f t="shared" si="417"/>
        <v>-1.8491080807617788</v>
      </c>
      <c r="BA478">
        <f t="shared" si="398"/>
        <v>2.8004098123041143</v>
      </c>
      <c r="BB478">
        <f t="shared" si="410"/>
        <v>8.9444318139794365</v>
      </c>
      <c r="BC478">
        <f t="shared" si="411"/>
        <v>-0.94368891752579209</v>
      </c>
      <c r="BD478">
        <f t="shared" si="399"/>
        <v>-234.06939220928041</v>
      </c>
      <c r="BF478">
        <f t="shared" si="400"/>
        <v>-45.154737206555581</v>
      </c>
      <c r="BG478">
        <f t="shared" si="401"/>
        <v>-224.42672191401527</v>
      </c>
      <c r="BH478">
        <f t="shared" si="412"/>
        <v>-44.426721914015275</v>
      </c>
      <c r="BI478">
        <f t="shared" si="413"/>
        <v>-44.426721914015275</v>
      </c>
      <c r="BJ478">
        <f t="shared" si="402"/>
        <v>0</v>
      </c>
      <c r="BK478">
        <f t="shared" si="414"/>
        <v>0</v>
      </c>
      <c r="BM478">
        <f t="shared" si="415"/>
        <v>-54.099169020535022</v>
      </c>
      <c r="BN478">
        <f t="shared" si="403"/>
        <v>-170.35732970473489</v>
      </c>
      <c r="BQ478" s="56">
        <f t="shared" si="416"/>
        <v>25.846392614264573</v>
      </c>
    </row>
    <row r="479" spans="1:69" x14ac:dyDescent="0.2">
      <c r="A479">
        <f t="shared" si="420"/>
        <v>1325000</v>
      </c>
      <c r="B479">
        <f t="shared" si="404"/>
        <v>1325</v>
      </c>
      <c r="C479">
        <f t="shared" si="373"/>
        <v>1.0137670929258367</v>
      </c>
      <c r="D479">
        <f t="shared" si="374"/>
        <v>0.16499080234844482</v>
      </c>
      <c r="F479">
        <f t="shared" si="375"/>
        <v>1.2875732202784619E-4</v>
      </c>
      <c r="G479">
        <f t="shared" si="376"/>
        <v>3.9021893539393409E-3</v>
      </c>
      <c r="H479">
        <f t="shared" si="377"/>
        <v>-3.1376904606460609</v>
      </c>
      <c r="J479">
        <f t="shared" si="378"/>
        <v>15</v>
      </c>
      <c r="M479">
        <f t="shared" si="379"/>
        <v>1.3697468699803875E-3</v>
      </c>
      <c r="N479">
        <f t="shared" si="380"/>
        <v>-1.5707963250000001</v>
      </c>
      <c r="O479">
        <f t="shared" si="381"/>
        <v>158.12407548928354</v>
      </c>
      <c r="P479">
        <f t="shared" si="382"/>
        <v>1.5644721369912067</v>
      </c>
      <c r="Q479">
        <f t="shared" si="383"/>
        <v>103.20794139608982</v>
      </c>
      <c r="R479">
        <f t="shared" si="384"/>
        <v>1.5611069983011265</v>
      </c>
      <c r="S479">
        <f t="shared" si="385"/>
        <v>0.98582854939775999</v>
      </c>
      <c r="T479">
        <f t="shared" si="386"/>
        <v>-0.16855295512842278</v>
      </c>
      <c r="U479">
        <f t="shared" si="387"/>
        <v>0.34621657524542593</v>
      </c>
      <c r="V479">
        <f t="shared" si="388"/>
        <v>-1.2172610766997787</v>
      </c>
      <c r="X479">
        <f t="shared" si="405"/>
        <v>-36.513958739068379</v>
      </c>
      <c r="Y479">
        <f t="shared" si="389"/>
        <v>-160.64194648851978</v>
      </c>
      <c r="Z479">
        <f t="shared" si="406"/>
        <v>19.358053511480222</v>
      </c>
      <c r="AC479">
        <v>1</v>
      </c>
      <c r="AD479">
        <f t="shared" si="390"/>
        <v>158.12091338384249</v>
      </c>
      <c r="AE479">
        <f t="shared" si="391"/>
        <v>-8.9514620173493528E-2</v>
      </c>
      <c r="AF479">
        <f t="shared" si="392"/>
        <v>3.3034475033280004E-2</v>
      </c>
      <c r="AG479">
        <f t="shared" si="367"/>
        <v>563.91099234207354</v>
      </c>
      <c r="AH479">
        <f t="shared" si="368"/>
        <v>-1558.3198534045912</v>
      </c>
      <c r="AJ479">
        <f t="shared" si="393"/>
        <v>22100</v>
      </c>
      <c r="AK479">
        <f t="shared" si="394"/>
        <v>3760.7019153057904</v>
      </c>
      <c r="AL479">
        <v>1</v>
      </c>
      <c r="AM479">
        <f t="shared" si="395"/>
        <v>103.20309669393991</v>
      </c>
      <c r="AN479">
        <f t="shared" si="369"/>
        <v>38.511146903058531</v>
      </c>
      <c r="AO479">
        <f t="shared" si="370"/>
        <v>-213.76770232508338</v>
      </c>
      <c r="AQ479">
        <f t="shared" si="396"/>
        <v>1.423994101246835E-3</v>
      </c>
      <c r="AR479">
        <f t="shared" si="397"/>
        <v>-3.7735843683041126</v>
      </c>
      <c r="AT479">
        <f t="shared" si="418"/>
        <v>-5879.6484336987987</v>
      </c>
      <c r="AU479">
        <f t="shared" si="419"/>
        <v>-2130.1847440960128</v>
      </c>
      <c r="AV479">
        <f t="shared" si="407"/>
        <v>-2.794004234825711</v>
      </c>
      <c r="AW479">
        <f t="shared" si="408"/>
        <v>-612.82000906112262</v>
      </c>
      <c r="AX479">
        <f t="shared" si="409"/>
        <v>-2154.6491762244432</v>
      </c>
      <c r="AY479">
        <f t="shared" si="417"/>
        <v>-1.8478966935095686</v>
      </c>
      <c r="BA479">
        <f t="shared" si="398"/>
        <v>2.7916730488338124</v>
      </c>
      <c r="BB479">
        <f t="shared" si="410"/>
        <v>8.9172910770033145</v>
      </c>
      <c r="BC479">
        <f t="shared" si="411"/>
        <v>-0.94610754131614239</v>
      </c>
      <c r="BD479">
        <f t="shared" si="399"/>
        <v>-234.20796914485575</v>
      </c>
      <c r="BF479">
        <f t="shared" si="400"/>
        <v>-45.246681237404005</v>
      </c>
      <c r="BG479">
        <f t="shared" si="401"/>
        <v>-224.53111351991367</v>
      </c>
      <c r="BH479">
        <f t="shared" si="412"/>
        <v>-44.531113519913674</v>
      </c>
      <c r="BI479">
        <f t="shared" si="413"/>
        <v>-44.531113519913674</v>
      </c>
      <c r="BJ479">
        <f t="shared" si="402"/>
        <v>0</v>
      </c>
      <c r="BK479">
        <f t="shared" si="414"/>
        <v>0</v>
      </c>
      <c r="BM479">
        <f t="shared" si="415"/>
        <v>-54.163972314407317</v>
      </c>
      <c r="BN479">
        <f t="shared" si="403"/>
        <v>-170.32314437505795</v>
      </c>
      <c r="BQ479" s="56">
        <f t="shared" si="416"/>
        <v>25.819251877288455</v>
      </c>
    </row>
    <row r="480" spans="1:69" x14ac:dyDescent="0.2">
      <c r="A480">
        <f t="shared" si="420"/>
        <v>1330000</v>
      </c>
      <c r="B480">
        <f t="shared" si="404"/>
        <v>1330</v>
      </c>
      <c r="C480">
        <f t="shared" si="373"/>
        <v>1.0138704794480911</v>
      </c>
      <c r="D480">
        <f t="shared" si="374"/>
        <v>0.16560210914882881</v>
      </c>
      <c r="F480">
        <f t="shared" si="375"/>
        <v>1.2779092495691574E-4</v>
      </c>
      <c r="G480">
        <f t="shared" si="376"/>
        <v>3.8875158467218283E-3</v>
      </c>
      <c r="H480">
        <f t="shared" si="377"/>
        <v>-3.1377051341532782</v>
      </c>
      <c r="J480">
        <f t="shared" si="378"/>
        <v>15</v>
      </c>
      <c r="M480">
        <f t="shared" si="379"/>
        <v>1.3645974456571531E-3</v>
      </c>
      <c r="N480">
        <f t="shared" si="380"/>
        <v>-1.5707963250000001</v>
      </c>
      <c r="O480">
        <f t="shared" si="381"/>
        <v>158.72074629391997</v>
      </c>
      <c r="P480">
        <f t="shared" si="382"/>
        <v>1.5644959115104893</v>
      </c>
      <c r="Q480">
        <f t="shared" si="383"/>
        <v>103.59736883167562</v>
      </c>
      <c r="R480">
        <f t="shared" si="384"/>
        <v>1.5611434220811176</v>
      </c>
      <c r="S480">
        <f t="shared" si="385"/>
        <v>0.98572367706671149</v>
      </c>
      <c r="T480">
        <f t="shared" si="386"/>
        <v>-0.16917695912517669</v>
      </c>
      <c r="U480">
        <f t="shared" si="387"/>
        <v>0.34507024865395169</v>
      </c>
      <c r="V480">
        <f t="shared" si="388"/>
        <v>-1.2184826968018447</v>
      </c>
      <c r="X480">
        <f t="shared" si="405"/>
        <v>-36.575531358572867</v>
      </c>
      <c r="Y480">
        <f t="shared" si="389"/>
        <v>-160.71005928192997</v>
      </c>
      <c r="Z480">
        <f t="shared" si="406"/>
        <v>19.289940718070028</v>
      </c>
      <c r="AC480">
        <v>1</v>
      </c>
      <c r="AD480">
        <f t="shared" si="390"/>
        <v>158.71759607585702</v>
      </c>
      <c r="AE480">
        <f t="shared" si="391"/>
        <v>-9.0191476895631298E-2</v>
      </c>
      <c r="AF480">
        <f t="shared" si="392"/>
        <v>3.3159133429632004E-2</v>
      </c>
      <c r="AG480">
        <f t="shared" si="367"/>
        <v>560.1829443507612</v>
      </c>
      <c r="AH480">
        <f t="shared" si="368"/>
        <v>-1553.8321347292879</v>
      </c>
      <c r="AJ480">
        <f t="shared" si="393"/>
        <v>22100</v>
      </c>
      <c r="AK480">
        <f t="shared" si="394"/>
        <v>3774.8932432880761</v>
      </c>
      <c r="AL480">
        <v>1</v>
      </c>
      <c r="AM480">
        <f t="shared" si="395"/>
        <v>103.59254234184156</v>
      </c>
      <c r="AN480">
        <f t="shared" si="369"/>
        <v>38.495603713602122</v>
      </c>
      <c r="AO480">
        <f t="shared" si="370"/>
        <v>-212.96421438800471</v>
      </c>
      <c r="AQ480">
        <f t="shared" si="396"/>
        <v>1.4133075056097708E-3</v>
      </c>
      <c r="AR480">
        <f t="shared" si="397"/>
        <v>-3.7593979649219902</v>
      </c>
      <c r="AT480">
        <f t="shared" si="418"/>
        <v>-5840.6816543719106</v>
      </c>
      <c r="AU480">
        <f t="shared" si="419"/>
        <v>-2108.1466635947309</v>
      </c>
      <c r="AV480">
        <f t="shared" si="407"/>
        <v>-2.7952034990492352</v>
      </c>
      <c r="AW480">
        <f t="shared" si="408"/>
        <v>-607.81349797637301</v>
      </c>
      <c r="AX480">
        <f t="shared" si="409"/>
        <v>-2146.8549203238576</v>
      </c>
      <c r="AY480">
        <f t="shared" si="417"/>
        <v>-1.8466941012231517</v>
      </c>
      <c r="BA480">
        <f t="shared" si="398"/>
        <v>2.7829824259441911</v>
      </c>
      <c r="BB480">
        <f t="shared" si="410"/>
        <v>8.8902092769535095</v>
      </c>
      <c r="BC480">
        <f t="shared" si="411"/>
        <v>-0.94850939782608346</v>
      </c>
      <c r="BD480">
        <f t="shared" si="399"/>
        <v>-234.34558538602866</v>
      </c>
      <c r="BF480">
        <f t="shared" si="400"/>
        <v>-45.338315709610924</v>
      </c>
      <c r="BG480">
        <f t="shared" si="401"/>
        <v>-224.63454519143204</v>
      </c>
      <c r="BH480">
        <f t="shared" si="412"/>
        <v>-44.634545191432039</v>
      </c>
      <c r="BI480">
        <f t="shared" si="413"/>
        <v>-44.634545191432039</v>
      </c>
      <c r="BJ480">
        <f t="shared" si="402"/>
        <v>0</v>
      </c>
      <c r="BK480">
        <f t="shared" si="414"/>
        <v>0</v>
      </c>
      <c r="BM480">
        <f t="shared" si="415"/>
        <v>-54.228524986564437</v>
      </c>
      <c r="BN480">
        <f t="shared" si="403"/>
        <v>-170.28895980540344</v>
      </c>
      <c r="BQ480" s="56">
        <f t="shared" si="416"/>
        <v>25.792170077238644</v>
      </c>
    </row>
    <row r="481" spans="1:69" x14ac:dyDescent="0.2">
      <c r="A481">
        <f t="shared" si="420"/>
        <v>1335000</v>
      </c>
      <c r="B481">
        <f t="shared" si="404"/>
        <v>1335</v>
      </c>
      <c r="C481">
        <f t="shared" si="373"/>
        <v>1.0139742447723474</v>
      </c>
      <c r="D481">
        <f t="shared" si="374"/>
        <v>0.16621329106108182</v>
      </c>
      <c r="F481">
        <f t="shared" si="375"/>
        <v>1.2683536766779899E-4</v>
      </c>
      <c r="G481">
        <f t="shared" si="376"/>
        <v>3.8729522938954165E-3</v>
      </c>
      <c r="H481">
        <f t="shared" si="377"/>
        <v>-3.1377196977061046</v>
      </c>
      <c r="J481">
        <f t="shared" si="378"/>
        <v>15</v>
      </c>
      <c r="M481">
        <f t="shared" si="379"/>
        <v>1.359486593800759E-3</v>
      </c>
      <c r="N481">
        <f t="shared" si="380"/>
        <v>-1.5707963250000001</v>
      </c>
      <c r="O481">
        <f t="shared" si="381"/>
        <v>159.31741718759781</v>
      </c>
      <c r="P481">
        <f t="shared" si="382"/>
        <v>1.5645195079505276</v>
      </c>
      <c r="Q481">
        <f t="shared" si="383"/>
        <v>103.98679640367379</v>
      </c>
      <c r="R481">
        <f t="shared" si="384"/>
        <v>1.5611795730491322</v>
      </c>
      <c r="S481">
        <f t="shared" si="385"/>
        <v>0.98561844338736537</v>
      </c>
      <c r="T481">
        <f t="shared" si="386"/>
        <v>-0.16980083013023817</v>
      </c>
      <c r="U481">
        <f t="shared" si="387"/>
        <v>0.34393097981287313</v>
      </c>
      <c r="V481">
        <f t="shared" si="388"/>
        <v>-1.2196962522100154</v>
      </c>
      <c r="X481">
        <f t="shared" si="405"/>
        <v>-36.636898821463312</v>
      </c>
      <c r="Y481">
        <f t="shared" si="389"/>
        <v>-160.77772907235791</v>
      </c>
      <c r="Z481">
        <f t="shared" si="406"/>
        <v>19.222270927642086</v>
      </c>
      <c r="AC481">
        <v>1</v>
      </c>
      <c r="AD481">
        <f t="shared" si="390"/>
        <v>159.31427876787151</v>
      </c>
      <c r="AE481">
        <f t="shared" si="391"/>
        <v>-9.0870882983954154E-2</v>
      </c>
      <c r="AF481">
        <f t="shared" si="392"/>
        <v>3.3283791825984003E-2</v>
      </c>
      <c r="AG481">
        <f t="shared" si="367"/>
        <v>556.49009948002572</v>
      </c>
      <c r="AH481">
        <f t="shared" si="368"/>
        <v>-1549.3651378783024</v>
      </c>
      <c r="AJ481">
        <f t="shared" si="393"/>
        <v>22100</v>
      </c>
      <c r="AK481">
        <f t="shared" si="394"/>
        <v>3789.0845712703626</v>
      </c>
      <c r="AL481">
        <v>1</v>
      </c>
      <c r="AM481">
        <f t="shared" si="395"/>
        <v>103.98198798974322</v>
      </c>
      <c r="AN481">
        <f t="shared" si="369"/>
        <v>38.480234817938019</v>
      </c>
      <c r="AO481">
        <f t="shared" si="370"/>
        <v>-212.16674341096666</v>
      </c>
      <c r="AQ481">
        <f t="shared" si="396"/>
        <v>1.402740759059496E-3</v>
      </c>
      <c r="AR481">
        <f t="shared" si="397"/>
        <v>-3.7453178266888543</v>
      </c>
      <c r="AT481">
        <f t="shared" si="418"/>
        <v>-5802.0842596012872</v>
      </c>
      <c r="AU481">
        <f t="shared" si="419"/>
        <v>-2086.405647587962</v>
      </c>
      <c r="AV481">
        <f t="shared" si="407"/>
        <v>-2.7963948660315872</v>
      </c>
      <c r="AW481">
        <f t="shared" si="408"/>
        <v>-602.8648906490622</v>
      </c>
      <c r="AX481">
        <f t="shared" si="409"/>
        <v>-2139.1162766020939</v>
      </c>
      <c r="AY481">
        <f t="shared" si="417"/>
        <v>-1.845500206528667</v>
      </c>
      <c r="BA481">
        <f t="shared" si="398"/>
        <v>2.7743376940638456</v>
      </c>
      <c r="BB481">
        <f t="shared" si="410"/>
        <v>8.8631864508408249</v>
      </c>
      <c r="BC481">
        <f t="shared" si="411"/>
        <v>-0.95089465950292018</v>
      </c>
      <c r="BD481">
        <f t="shared" si="399"/>
        <v>-234.48225081330185</v>
      </c>
      <c r="BF481">
        <f t="shared" si="400"/>
        <v>-45.429642445961768</v>
      </c>
      <c r="BG481">
        <f t="shared" si="401"/>
        <v>-224.73702690469105</v>
      </c>
      <c r="BH481">
        <f t="shared" si="412"/>
        <v>-44.737026904691049</v>
      </c>
      <c r="BI481">
        <f t="shared" si="413"/>
        <v>-44.737026904691049</v>
      </c>
      <c r="BJ481">
        <f t="shared" si="402"/>
        <v>0</v>
      </c>
      <c r="BK481">
        <f t="shared" si="414"/>
        <v>0</v>
      </c>
      <c r="BM481">
        <f t="shared" si="415"/>
        <v>-54.292828896802597</v>
      </c>
      <c r="BN481">
        <f t="shared" si="403"/>
        <v>-170.2547760913892</v>
      </c>
      <c r="BQ481" s="56">
        <f t="shared" si="416"/>
        <v>25.76514725112596</v>
      </c>
    </row>
    <row r="482" spans="1:69" x14ac:dyDescent="0.2">
      <c r="A482">
        <f t="shared" si="420"/>
        <v>1340000</v>
      </c>
      <c r="B482">
        <f t="shared" si="404"/>
        <v>1340</v>
      </c>
      <c r="C482">
        <f t="shared" si="373"/>
        <v>1.0140783887823235</v>
      </c>
      <c r="D482">
        <f t="shared" si="374"/>
        <v>0.1668243476670058</v>
      </c>
      <c r="F482">
        <f t="shared" si="375"/>
        <v>1.2589048864280355E-4</v>
      </c>
      <c r="G482">
        <f t="shared" si="376"/>
        <v>3.8584974640264611E-3</v>
      </c>
      <c r="H482">
        <f t="shared" si="377"/>
        <v>-3.1377341525359737</v>
      </c>
      <c r="J482">
        <f t="shared" si="378"/>
        <v>15</v>
      </c>
      <c r="M482">
        <f t="shared" si="379"/>
        <v>1.3544138826298607E-3</v>
      </c>
      <c r="N482">
        <f t="shared" si="380"/>
        <v>-1.5707963250000001</v>
      </c>
      <c r="O482">
        <f t="shared" si="381"/>
        <v>159.91408816932034</v>
      </c>
      <c r="P482">
        <f t="shared" si="382"/>
        <v>1.5645429283046417</v>
      </c>
      <c r="Q482">
        <f t="shared" si="383"/>
        <v>104.37622411055743</v>
      </c>
      <c r="R482">
        <f t="shared" si="384"/>
        <v>1.5612154542586598</v>
      </c>
      <c r="S482">
        <f t="shared" si="385"/>
        <v>0.98551284872115119</v>
      </c>
      <c r="T482">
        <f t="shared" si="386"/>
        <v>-0.17042456770063433</v>
      </c>
      <c r="U482">
        <f t="shared" si="387"/>
        <v>0.34279870906516863</v>
      </c>
      <c r="V482">
        <f t="shared" si="388"/>
        <v>-1.2209018189825285</v>
      </c>
      <c r="X482">
        <f t="shared" si="405"/>
        <v>-36.698062421913477</v>
      </c>
      <c r="Y482">
        <f t="shared" si="389"/>
        <v>-160.84495999759525</v>
      </c>
      <c r="Z482">
        <f t="shared" si="406"/>
        <v>19.155040002404746</v>
      </c>
      <c r="AC482">
        <v>1</v>
      </c>
      <c r="AD482">
        <f t="shared" si="390"/>
        <v>159.91096145988601</v>
      </c>
      <c r="AE482">
        <f t="shared" si="391"/>
        <v>-9.1552838438462084E-2</v>
      </c>
      <c r="AF482">
        <f t="shared" si="392"/>
        <v>3.340845022233601E-2</v>
      </c>
      <c r="AG482">
        <f t="shared" si="367"/>
        <v>552.83203834704295</v>
      </c>
      <c r="AH482">
        <f t="shared" si="368"/>
        <v>-1544.9187839274621</v>
      </c>
      <c r="AJ482">
        <f t="shared" si="393"/>
        <v>22100</v>
      </c>
      <c r="AK482">
        <f t="shared" si="394"/>
        <v>3803.2758992526483</v>
      </c>
      <c r="AL482">
        <v>1</v>
      </c>
      <c r="AM482">
        <f t="shared" si="395"/>
        <v>104.3714336376449</v>
      </c>
      <c r="AN482">
        <f t="shared" si="369"/>
        <v>38.465037619924473</v>
      </c>
      <c r="AO482">
        <f t="shared" si="370"/>
        <v>-211.37522206481293</v>
      </c>
      <c r="AQ482">
        <f t="shared" si="396"/>
        <v>1.3922920761455676E-3</v>
      </c>
      <c r="AR482">
        <f t="shared" si="397"/>
        <v>-3.7313427640701207</v>
      </c>
      <c r="AT482">
        <f t="shared" si="418"/>
        <v>-5763.8518218173158</v>
      </c>
      <c r="AU482">
        <f t="shared" si="419"/>
        <v>-2064.9568042135247</v>
      </c>
      <c r="AV482">
        <f t="shared" si="407"/>
        <v>-2.797578409956639</v>
      </c>
      <c r="AW482">
        <f t="shared" si="408"/>
        <v>-597.97329655401643</v>
      </c>
      <c r="AX482">
        <f t="shared" si="409"/>
        <v>-2131.4326534334577</v>
      </c>
      <c r="AY482">
        <f t="shared" si="417"/>
        <v>-1.8443149134115624</v>
      </c>
      <c r="BA482">
        <f t="shared" si="398"/>
        <v>2.7657386029082263</v>
      </c>
      <c r="BB482">
        <f t="shared" si="410"/>
        <v>8.8362226284154772</v>
      </c>
      <c r="BC482">
        <f t="shared" si="411"/>
        <v>-0.95326349654507658</v>
      </c>
      <c r="BD482">
        <f t="shared" si="399"/>
        <v>-234.61797517832676</v>
      </c>
      <c r="BF482">
        <f t="shared" si="400"/>
        <v>-45.520663255663038</v>
      </c>
      <c r="BG482">
        <f t="shared" si="401"/>
        <v>-224.83856850585894</v>
      </c>
      <c r="BH482">
        <f t="shared" si="412"/>
        <v>-44.838568505858944</v>
      </c>
      <c r="BI482">
        <f t="shared" si="413"/>
        <v>-44.838568505858944</v>
      </c>
      <c r="BJ482">
        <f t="shared" si="402"/>
        <v>0</v>
      </c>
      <c r="BK482">
        <f t="shared" si="414"/>
        <v>0</v>
      </c>
      <c r="BM482">
        <f t="shared" si="415"/>
        <v>-54.356885884078508</v>
      </c>
      <c r="BN482">
        <f t="shared" si="403"/>
        <v>-170.22059332753216</v>
      </c>
      <c r="BQ482" s="56">
        <f t="shared" si="416"/>
        <v>25.738183428700616</v>
      </c>
    </row>
    <row r="483" spans="1:69" x14ac:dyDescent="0.2">
      <c r="A483">
        <f t="shared" si="420"/>
        <v>1345000</v>
      </c>
      <c r="B483">
        <f t="shared" si="404"/>
        <v>1345</v>
      </c>
      <c r="C483">
        <f t="shared" si="373"/>
        <v>1.0141829113613599</v>
      </c>
      <c r="D483">
        <f t="shared" si="374"/>
        <v>0.1674352785489483</v>
      </c>
      <c r="F483">
        <f t="shared" si="375"/>
        <v>1.2495612936154533E-4</v>
      </c>
      <c r="G483">
        <f t="shared" si="376"/>
        <v>3.8441501440037097E-3</v>
      </c>
      <c r="H483">
        <f t="shared" si="377"/>
        <v>-3.1377484998559964</v>
      </c>
      <c r="J483">
        <f t="shared" si="378"/>
        <v>15</v>
      </c>
      <c r="M483">
        <f t="shared" si="379"/>
        <v>1.3493788867836531E-3</v>
      </c>
      <c r="N483">
        <f t="shared" si="380"/>
        <v>-1.5707963250000001</v>
      </c>
      <c r="O483">
        <f t="shared" si="381"/>
        <v>160.51075923810569</v>
      </c>
      <c r="P483">
        <f t="shared" si="382"/>
        <v>1.5645661745365129</v>
      </c>
      <c r="Q483">
        <f t="shared" si="383"/>
        <v>104.76565195082239</v>
      </c>
      <c r="R483">
        <f t="shared" si="384"/>
        <v>1.5612510687177921</v>
      </c>
      <c r="S483">
        <f t="shared" si="385"/>
        <v>0.98540689343052834</v>
      </c>
      <c r="T483">
        <f t="shared" si="386"/>
        <v>-0.17104817139399719</v>
      </c>
      <c r="U483">
        <f t="shared" si="387"/>
        <v>0.34167337734699088</v>
      </c>
      <c r="V483">
        <f t="shared" si="388"/>
        <v>-1.2220994722724428</v>
      </c>
      <c r="X483">
        <f t="shared" si="405"/>
        <v>-36.759023442483198</v>
      </c>
      <c r="Y483">
        <f t="shared" si="389"/>
        <v>-160.91175614682345</v>
      </c>
      <c r="Z483">
        <f t="shared" si="406"/>
        <v>19.08824385317655</v>
      </c>
      <c r="AC483">
        <v>1</v>
      </c>
      <c r="AD483">
        <f t="shared" si="390"/>
        <v>160.50764415190051</v>
      </c>
      <c r="AE483">
        <f t="shared" si="391"/>
        <v>-9.2237343259155086E-2</v>
      </c>
      <c r="AF483">
        <f t="shared" si="392"/>
        <v>3.353310861868801E-2</v>
      </c>
      <c r="AG483">
        <f t="shared" si="367"/>
        <v>549.20834740843895</v>
      </c>
      <c r="AH483">
        <f t="shared" si="368"/>
        <v>-1540.4929930032415</v>
      </c>
      <c r="AJ483">
        <f t="shared" si="393"/>
        <v>22100</v>
      </c>
      <c r="AK483">
        <f t="shared" si="394"/>
        <v>3817.4672272349349</v>
      </c>
      <c r="AL483">
        <v>1</v>
      </c>
      <c r="AM483">
        <f t="shared" si="395"/>
        <v>104.76087928554655</v>
      </c>
      <c r="AN483">
        <f t="shared" si="369"/>
        <v>38.450009571576544</v>
      </c>
      <c r="AO483">
        <f t="shared" si="370"/>
        <v>-210.58958402110483</v>
      </c>
      <c r="AQ483">
        <f t="shared" si="396"/>
        <v>1.3819597045425431E-3</v>
      </c>
      <c r="AR483">
        <f t="shared" si="397"/>
        <v>-3.7174716052194405</v>
      </c>
      <c r="AT483">
        <f t="shared" si="418"/>
        <v>-5725.9799757235442</v>
      </c>
      <c r="AU483">
        <f t="shared" si="419"/>
        <v>-2043.7953360818265</v>
      </c>
      <c r="AV483">
        <f t="shared" si="407"/>
        <v>-2.7987542041309514</v>
      </c>
      <c r="AW483">
        <f t="shared" si="408"/>
        <v>-593.13784220279331</v>
      </c>
      <c r="AX483">
        <f t="shared" si="409"/>
        <v>-2123.8034676070401</v>
      </c>
      <c r="AY483">
        <f t="shared" si="417"/>
        <v>-1.8431381271947094</v>
      </c>
      <c r="BA483">
        <f t="shared" si="398"/>
        <v>2.7571849015760894</v>
      </c>
      <c r="BB483">
        <f t="shared" si="410"/>
        <v>8.8093178323914572</v>
      </c>
      <c r="BC483">
        <f t="shared" si="411"/>
        <v>-0.95561607693624206</v>
      </c>
      <c r="BD483">
        <f t="shared" si="399"/>
        <v>-234.75276810585979</v>
      </c>
      <c r="BF483">
        <f t="shared" si="400"/>
        <v>-45.611379934428662</v>
      </c>
      <c r="BG483">
        <f t="shared" si="401"/>
        <v>-224.93917971312806</v>
      </c>
      <c r="BH483">
        <f t="shared" si="412"/>
        <v>-44.939179713128055</v>
      </c>
      <c r="BI483">
        <f t="shared" si="413"/>
        <v>-44.939179713128055</v>
      </c>
      <c r="BJ483">
        <f t="shared" si="402"/>
        <v>0</v>
      </c>
      <c r="BK483">
        <f t="shared" si="414"/>
        <v>0</v>
      </c>
      <c r="BM483">
        <f t="shared" si="415"/>
        <v>-54.420697766820119</v>
      </c>
      <c r="BN483">
        <f t="shared" si="403"/>
        <v>-170.18641160726827</v>
      </c>
      <c r="BQ483" s="56">
        <f t="shared" si="416"/>
        <v>25.711278632676592</v>
      </c>
    </row>
    <row r="484" spans="1:69" x14ac:dyDescent="0.2">
      <c r="A484">
        <f t="shared" si="420"/>
        <v>1350000</v>
      </c>
      <c r="B484">
        <f t="shared" si="404"/>
        <v>1350</v>
      </c>
      <c r="C484">
        <f t="shared" si="373"/>
        <v>1.0142878123924222</v>
      </c>
      <c r="D484">
        <f t="shared" si="374"/>
        <v>0.16804608328980428</v>
      </c>
      <c r="F484">
        <f t="shared" si="375"/>
        <v>1.2403213423444682E-4</v>
      </c>
      <c r="G484">
        <f t="shared" si="376"/>
        <v>3.8299091386987498E-3</v>
      </c>
      <c r="H484">
        <f t="shared" si="377"/>
        <v>-3.1377627408613016</v>
      </c>
      <c r="J484">
        <f t="shared" si="378"/>
        <v>15</v>
      </c>
      <c r="M484">
        <f t="shared" si="379"/>
        <v>1.3443811872029729E-3</v>
      </c>
      <c r="N484">
        <f t="shared" si="380"/>
        <v>-1.5707963250000001</v>
      </c>
      <c r="O484">
        <f t="shared" si="381"/>
        <v>161.10743039298654</v>
      </c>
      <c r="P484">
        <f t="shared" si="382"/>
        <v>1.5645892485807329</v>
      </c>
      <c r="Q484">
        <f t="shared" si="383"/>
        <v>105.15507992298679</v>
      </c>
      <c r="R484">
        <f t="shared" si="384"/>
        <v>1.5612864193900626</v>
      </c>
      <c r="S484">
        <f t="shared" si="385"/>
        <v>0.98530057787898417</v>
      </c>
      <c r="T484">
        <f t="shared" si="386"/>
        <v>-0.171671640768565</v>
      </c>
      <c r="U484">
        <f t="shared" si="387"/>
        <v>0.3405549261818</v>
      </c>
      <c r="V484">
        <f t="shared" si="388"/>
        <v>-1.2232892863402323</v>
      </c>
      <c r="X484">
        <f t="shared" si="405"/>
        <v>-36.819783154251319</v>
      </c>
      <c r="Y484">
        <f t="shared" si="389"/>
        <v>-160.97812156127557</v>
      </c>
      <c r="Z484">
        <f t="shared" si="406"/>
        <v>19.021878438724428</v>
      </c>
      <c r="AC484">
        <v>1</v>
      </c>
      <c r="AD484">
        <f t="shared" si="390"/>
        <v>161.104326843915</v>
      </c>
      <c r="AE484">
        <f t="shared" si="391"/>
        <v>-9.2924397446033175E-2</v>
      </c>
      <c r="AF484">
        <f t="shared" si="392"/>
        <v>3.3657767015040002E-2</v>
      </c>
      <c r="AG484">
        <f t="shared" si="367"/>
        <v>545.61861887116424</v>
      </c>
      <c r="AH484">
        <f t="shared" si="368"/>
        <v>-1536.0876843326237</v>
      </c>
      <c r="AJ484">
        <f t="shared" si="393"/>
        <v>22100</v>
      </c>
      <c r="AK484">
        <f t="shared" si="394"/>
        <v>3831.6585552172205</v>
      </c>
      <c r="AL484">
        <v>1</v>
      </c>
      <c r="AM484">
        <f t="shared" si="395"/>
        <v>105.1503249334482</v>
      </c>
      <c r="AN484">
        <f t="shared" si="369"/>
        <v>38.435148171998023</v>
      </c>
      <c r="AO484">
        <f t="shared" si="370"/>
        <v>-209.80976393359904</v>
      </c>
      <c r="AQ484">
        <f t="shared" si="396"/>
        <v>1.3717419243152367E-3</v>
      </c>
      <c r="AR484">
        <f t="shared" si="397"/>
        <v>-3.7037031956511393</v>
      </c>
      <c r="AT484">
        <f t="shared" si="418"/>
        <v>-5688.4644173289034</v>
      </c>
      <c r="AU484">
        <f t="shared" si="419"/>
        <v>-2022.9165381959153</v>
      </c>
      <c r="AV484">
        <f t="shared" si="407"/>
        <v>-2.799922320995857</v>
      </c>
      <c r="AW484">
        <f t="shared" si="408"/>
        <v>-588.35767075508591</v>
      </c>
      <c r="AX484">
        <f t="shared" si="409"/>
        <v>-2116.2281441754317</v>
      </c>
      <c r="AY484">
        <f t="shared" si="417"/>
        <v>-1.8419697545168887</v>
      </c>
      <c r="BA484">
        <f t="shared" si="398"/>
        <v>2.7486763386421256</v>
      </c>
      <c r="BB484">
        <f t="shared" si="410"/>
        <v>8.782472078664556</v>
      </c>
      <c r="BC484">
        <f t="shared" si="411"/>
        <v>-0.95795256647896831</v>
      </c>
      <c r="BD484">
        <f t="shared" si="399"/>
        <v>-234.88663909568743</v>
      </c>
      <c r="BF484">
        <f t="shared" si="400"/>
        <v>-45.701794264566985</v>
      </c>
      <c r="BG484">
        <f t="shared" si="401"/>
        <v>-225.03887011865899</v>
      </c>
      <c r="BH484">
        <f t="shared" si="412"/>
        <v>-45.038870118658991</v>
      </c>
      <c r="BI484">
        <f t="shared" si="413"/>
        <v>-45.038870118658991</v>
      </c>
      <c r="BJ484">
        <f t="shared" si="402"/>
        <v>0</v>
      </c>
      <c r="BK484">
        <f t="shared" si="414"/>
        <v>0</v>
      </c>
      <c r="BM484">
        <f t="shared" si="415"/>
        <v>-54.484266343231546</v>
      </c>
      <c r="BN484">
        <f t="shared" si="403"/>
        <v>-170.15223102297156</v>
      </c>
      <c r="BQ484" s="56">
        <f t="shared" si="416"/>
        <v>25.684432878949689</v>
      </c>
    </row>
    <row r="485" spans="1:69" x14ac:dyDescent="0.2">
      <c r="A485">
        <f t="shared" si="420"/>
        <v>1355000</v>
      </c>
      <c r="B485">
        <f t="shared" si="404"/>
        <v>1355</v>
      </c>
      <c r="C485">
        <f t="shared" si="373"/>
        <v>1.0143930917580999</v>
      </c>
      <c r="D485">
        <f t="shared" si="374"/>
        <v>0.16865676147301731</v>
      </c>
      <c r="F485">
        <f t="shared" si="375"/>
        <v>1.2311835053795082E-4</v>
      </c>
      <c r="G485">
        <f t="shared" si="376"/>
        <v>3.8157732706339872E-3</v>
      </c>
      <c r="H485">
        <f t="shared" si="377"/>
        <v>-3.1377768767293661</v>
      </c>
      <c r="J485">
        <f t="shared" si="378"/>
        <v>15</v>
      </c>
      <c r="M485">
        <f t="shared" si="379"/>
        <v>1.339420371014032E-3</v>
      </c>
      <c r="N485">
        <f t="shared" si="380"/>
        <v>-1.5707963250000001</v>
      </c>
      <c r="O485">
        <f t="shared" si="381"/>
        <v>161.70410163300983</v>
      </c>
      <c r="P485">
        <f t="shared" si="382"/>
        <v>1.5646121523433403</v>
      </c>
      <c r="Q485">
        <f t="shared" si="383"/>
        <v>105.54450802559063</v>
      </c>
      <c r="R485">
        <f t="shared" si="384"/>
        <v>1.5613215091952701</v>
      </c>
      <c r="S485">
        <f t="shared" si="385"/>
        <v>0.98519390243102933</v>
      </c>
      <c r="T485">
        <f t="shared" si="386"/>
        <v>-0.17229497538318408</v>
      </c>
      <c r="U485">
        <f t="shared" si="387"/>
        <v>0.33944329767452713</v>
      </c>
      <c r="V485">
        <f t="shared" si="388"/>
        <v>-1.2244713345661904</v>
      </c>
      <c r="X485">
        <f t="shared" si="405"/>
        <v>-36.880342816946829</v>
      </c>
      <c r="Y485">
        <f t="shared" si="389"/>
        <v>-161.04406023488764</v>
      </c>
      <c r="Z485">
        <f t="shared" si="406"/>
        <v>18.955939765112362</v>
      </c>
      <c r="AC485">
        <v>1</v>
      </c>
      <c r="AD485">
        <f t="shared" si="390"/>
        <v>161.7010095359295</v>
      </c>
      <c r="AE485">
        <f t="shared" si="391"/>
        <v>-9.3614000999096322E-2</v>
      </c>
      <c r="AF485">
        <f t="shared" si="392"/>
        <v>3.3782425411392002E-2</v>
      </c>
      <c r="AG485">
        <f t="shared" si="367"/>
        <v>542.06245060474362</v>
      </c>
      <c r="AH485">
        <f t="shared" si="368"/>
        <v>-1531.7027762913644</v>
      </c>
      <c r="AJ485">
        <f t="shared" si="393"/>
        <v>22100</v>
      </c>
      <c r="AK485">
        <f t="shared" si="394"/>
        <v>3845.8498831995066</v>
      </c>
      <c r="AL485">
        <v>1</v>
      </c>
      <c r="AM485">
        <f t="shared" si="395"/>
        <v>105.53977058134986</v>
      </c>
      <c r="AN485">
        <f t="shared" si="369"/>
        <v>38.420450966341122</v>
      </c>
      <c r="AO485">
        <f t="shared" si="370"/>
        <v>-209.03569742013639</v>
      </c>
      <c r="AQ485">
        <f t="shared" si="396"/>
        <v>1.3616370472029184E-3</v>
      </c>
      <c r="AR485">
        <f t="shared" si="397"/>
        <v>-3.6900363979199087</v>
      </c>
      <c r="AT485">
        <f t="shared" si="418"/>
        <v>-5651.3009029954692</v>
      </c>
      <c r="AU485">
        <f t="shared" si="419"/>
        <v>-2002.3157959226685</v>
      </c>
      <c r="AV485">
        <f t="shared" si="407"/>
        <v>-2.8010828321393548</v>
      </c>
      <c r="AW485">
        <f t="shared" si="408"/>
        <v>-583.63194164039589</v>
      </c>
      <c r="AX485">
        <f t="shared" si="409"/>
        <v>-2108.7061163067642</v>
      </c>
      <c r="AY485">
        <f t="shared" si="417"/>
        <v>-1.8408097033116466</v>
      </c>
      <c r="BA485">
        <f t="shared" si="398"/>
        <v>2.7402126622458911</v>
      </c>
      <c r="BB485">
        <f t="shared" si="410"/>
        <v>8.7556853765241733</v>
      </c>
      <c r="BC485">
        <f t="shared" si="411"/>
        <v>-0.96027312882770821</v>
      </c>
      <c r="BD485">
        <f t="shared" si="399"/>
        <v>-235.01959752451913</v>
      </c>
      <c r="BF485">
        <f t="shared" si="400"/>
        <v>-45.791908015068202</v>
      </c>
      <c r="BG485">
        <f t="shared" si="401"/>
        <v>-225.13764919049265</v>
      </c>
      <c r="BH485">
        <f t="shared" si="412"/>
        <v>-45.137649190492652</v>
      </c>
      <c r="BI485">
        <f t="shared" si="413"/>
        <v>-45.137649190492652</v>
      </c>
      <c r="BJ485">
        <f t="shared" si="402"/>
        <v>0</v>
      </c>
      <c r="BK485">
        <f t="shared" si="414"/>
        <v>0</v>
      </c>
      <c r="BM485">
        <f t="shared" si="415"/>
        <v>-54.547593391592379</v>
      </c>
      <c r="BN485">
        <f t="shared" si="403"/>
        <v>-170.11805166597355</v>
      </c>
      <c r="BQ485" s="56">
        <f t="shared" si="416"/>
        <v>25.657646176809308</v>
      </c>
    </row>
    <row r="486" spans="1:69" x14ac:dyDescent="0.2">
      <c r="A486">
        <f t="shared" si="420"/>
        <v>1360000</v>
      </c>
      <c r="B486">
        <f t="shared" si="404"/>
        <v>1360</v>
      </c>
      <c r="C486">
        <f t="shared" si="373"/>
        <v>1.0144987493406084</v>
      </c>
      <c r="D486">
        <f t="shared" si="374"/>
        <v>0.16926731268258116</v>
      </c>
      <c r="F486">
        <f t="shared" si="375"/>
        <v>1.2221462835139879E-4</v>
      </c>
      <c r="G486">
        <f t="shared" si="376"/>
        <v>3.8017413796579465E-3</v>
      </c>
      <c r="H486">
        <f t="shared" si="377"/>
        <v>-3.1377909086203424</v>
      </c>
      <c r="J486">
        <f t="shared" si="378"/>
        <v>15</v>
      </c>
      <c r="M486">
        <f t="shared" si="379"/>
        <v>1.3344960314147158E-3</v>
      </c>
      <c r="N486">
        <f t="shared" si="380"/>
        <v>-1.5707963250000001</v>
      </c>
      <c r="O486">
        <f t="shared" si="381"/>
        <v>162.30077295723655</v>
      </c>
      <c r="P486">
        <f t="shared" si="382"/>
        <v>1.5646348877023455</v>
      </c>
      <c r="Q486">
        <f t="shared" si="383"/>
        <v>105.93393625719536</v>
      </c>
      <c r="R486">
        <f t="shared" si="384"/>
        <v>1.5613563410102806</v>
      </c>
      <c r="S486">
        <f t="shared" si="385"/>
        <v>0.98508686745219498</v>
      </c>
      <c r="T486">
        <f t="shared" si="386"/>
        <v>-0.17291817479731025</v>
      </c>
      <c r="U486">
        <f t="shared" si="387"/>
        <v>0.33833843450577228</v>
      </c>
      <c r="V486">
        <f t="shared" si="388"/>
        <v>-1.2256456894626431</v>
      </c>
      <c r="X486">
        <f t="shared" si="405"/>
        <v>-36.940703679078077</v>
      </c>
      <c r="Y486">
        <f t="shared" si="389"/>
        <v>-161.10957611494155</v>
      </c>
      <c r="Z486">
        <f t="shared" si="406"/>
        <v>18.890423885058453</v>
      </c>
      <c r="AC486">
        <v>1</v>
      </c>
      <c r="AD486">
        <f t="shared" si="390"/>
        <v>162.297692227944</v>
      </c>
      <c r="AE486">
        <f t="shared" si="391"/>
        <v>-9.4306153918344557E-2</v>
      </c>
      <c r="AF486">
        <f t="shared" si="392"/>
        <v>3.3907083807744001E-2</v>
      </c>
      <c r="AG486">
        <f t="shared" si="367"/>
        <v>538.53944605488152</v>
      </c>
      <c r="AH486">
        <f t="shared" si="368"/>
        <v>-1527.3381864507016</v>
      </c>
      <c r="AJ486">
        <f t="shared" si="393"/>
        <v>22100</v>
      </c>
      <c r="AK486">
        <f t="shared" si="394"/>
        <v>3860.0412111817923</v>
      </c>
      <c r="AL486">
        <v>1</v>
      </c>
      <c r="AM486">
        <f t="shared" si="395"/>
        <v>105.92921622925152</v>
      </c>
      <c r="AN486">
        <f t="shared" si="369"/>
        <v>38.405915544792727</v>
      </c>
      <c r="AO486">
        <f t="shared" si="370"/>
        <v>-208.26732104492876</v>
      </c>
      <c r="AQ486">
        <f t="shared" si="396"/>
        <v>1.3516434159218998E-3</v>
      </c>
      <c r="AR486">
        <f t="shared" si="397"/>
        <v>-3.6764700913075679</v>
      </c>
      <c r="AT486">
        <f t="shared" si="418"/>
        <v>-5614.4852485014717</v>
      </c>
      <c r="AU486">
        <f t="shared" si="419"/>
        <v>-1981.9885830137196</v>
      </c>
      <c r="AV486">
        <f t="shared" si="407"/>
        <v>-2.8022358083078314</v>
      </c>
      <c r="AW486">
        <f t="shared" si="408"/>
        <v>-578.95983018965933</v>
      </c>
      <c r="AX486">
        <f t="shared" si="409"/>
        <v>-2101.2368251399876</v>
      </c>
      <c r="AY486">
        <f t="shared" si="417"/>
        <v>-1.8396578827865102</v>
      </c>
      <c r="BA486">
        <f t="shared" si="398"/>
        <v>2.7317936201771733</v>
      </c>
      <c r="BB486">
        <f t="shared" si="410"/>
        <v>8.7289577288591129</v>
      </c>
      <c r="BC486">
        <f t="shared" si="411"/>
        <v>-0.96257792552132115</v>
      </c>
      <c r="BD486">
        <f t="shared" si="399"/>
        <v>-235.15165264784974</v>
      </c>
      <c r="BF486">
        <f t="shared" si="400"/>
        <v>-45.881722941692388</v>
      </c>
      <c r="BG486">
        <f t="shared" si="401"/>
        <v>-225.23552627443112</v>
      </c>
      <c r="BH486">
        <f t="shared" si="412"/>
        <v>-45.235526274431123</v>
      </c>
      <c r="BI486">
        <f t="shared" si="413"/>
        <v>-45.235526274431123</v>
      </c>
      <c r="BJ486">
        <f t="shared" si="402"/>
        <v>0</v>
      </c>
      <c r="BK486">
        <f t="shared" si="414"/>
        <v>0</v>
      </c>
      <c r="BM486">
        <f t="shared" si="415"/>
        <v>-54.610680670551503</v>
      </c>
      <c r="BN486">
        <f t="shared" si="403"/>
        <v>-170.08387362658138</v>
      </c>
      <c r="BQ486" s="56">
        <f t="shared" si="416"/>
        <v>25.63091852914425</v>
      </c>
    </row>
    <row r="487" spans="1:69" x14ac:dyDescent="0.2">
      <c r="A487">
        <f t="shared" si="420"/>
        <v>1365000</v>
      </c>
      <c r="B487">
        <f t="shared" si="404"/>
        <v>1365</v>
      </c>
      <c r="C487">
        <f t="shared" si="373"/>
        <v>1.014604785021789</v>
      </c>
      <c r="D487">
        <f t="shared" si="374"/>
        <v>0.16987773650304119</v>
      </c>
      <c r="F487">
        <f t="shared" si="375"/>
        <v>1.213208204955252E-4</v>
      </c>
      <c r="G487">
        <f t="shared" si="376"/>
        <v>3.7878123226277221E-3</v>
      </c>
      <c r="H487">
        <f t="shared" si="377"/>
        <v>-3.1378048376773724</v>
      </c>
      <c r="J487">
        <f t="shared" si="378"/>
        <v>15</v>
      </c>
      <c r="M487">
        <f t="shared" si="379"/>
        <v>1.3296077675633798E-3</v>
      </c>
      <c r="N487">
        <f t="shared" si="380"/>
        <v>-1.5707963250000001</v>
      </c>
      <c r="O487">
        <f t="shared" si="381"/>
        <v>162.8974443647414</v>
      </c>
      <c r="P487">
        <f t="shared" si="382"/>
        <v>1.5646574565082441</v>
      </c>
      <c r="Q487">
        <f t="shared" si="383"/>
        <v>106.32336461638349</v>
      </c>
      <c r="R487">
        <f t="shared" si="384"/>
        <v>1.5613909176698151</v>
      </c>
      <c r="S487">
        <f t="shared" si="385"/>
        <v>0.98497947330902946</v>
      </c>
      <c r="T487">
        <f t="shared" si="386"/>
        <v>-0.17354123857101059</v>
      </c>
      <c r="U487">
        <f t="shared" si="387"/>
        <v>0.33724027992603456</v>
      </c>
      <c r="V487">
        <f t="shared" si="388"/>
        <v>-1.2268124226859756</v>
      </c>
      <c r="X487">
        <f t="shared" si="405"/>
        <v>-37.000866978060266</v>
      </c>
      <c r="Y487">
        <f t="shared" si="389"/>
        <v>-161.17467310269726</v>
      </c>
      <c r="Z487">
        <f t="shared" si="406"/>
        <v>18.825326897302745</v>
      </c>
      <c r="AC487">
        <v>1</v>
      </c>
      <c r="AD487">
        <f t="shared" si="390"/>
        <v>162.89437491995852</v>
      </c>
      <c r="AE487">
        <f t="shared" si="391"/>
        <v>-9.500085620377785E-2</v>
      </c>
      <c r="AF487">
        <f t="shared" si="392"/>
        <v>3.4031742204096008E-2</v>
      </c>
      <c r="AG487">
        <f t="shared" si="367"/>
        <v>535.04921415840863</v>
      </c>
      <c r="AH487">
        <f t="shared" si="368"/>
        <v>-1522.9938316225589</v>
      </c>
      <c r="AJ487">
        <f t="shared" si="393"/>
        <v>22100</v>
      </c>
      <c r="AK487">
        <f t="shared" si="394"/>
        <v>3874.2325391640788</v>
      </c>
      <c r="AL487">
        <v>1</v>
      </c>
      <c r="AM487">
        <f t="shared" si="395"/>
        <v>106.31866187715319</v>
      </c>
      <c r="AN487">
        <f t="shared" si="369"/>
        <v>38.391539541586717</v>
      </c>
      <c r="AO487">
        <f t="shared" si="370"/>
        <v>-207.50457230123612</v>
      </c>
      <c r="AQ487">
        <f t="shared" si="396"/>
        <v>1.3417594034859715E-3</v>
      </c>
      <c r="AR487">
        <f t="shared" si="397"/>
        <v>-3.663003171516702</v>
      </c>
      <c r="AT487">
        <f t="shared" si="418"/>
        <v>-5578.0133281193821</v>
      </c>
      <c r="AU487">
        <f t="shared" si="419"/>
        <v>-1961.9304596748007</v>
      </c>
      <c r="AV487">
        <f t="shared" si="407"/>
        <v>-2.8033813194176074</v>
      </c>
      <c r="AW487">
        <f t="shared" si="408"/>
        <v>-574.34052727653079</v>
      </c>
      <c r="AX487">
        <f t="shared" si="409"/>
        <v>-2093.819719643292</v>
      </c>
      <c r="AY487">
        <f t="shared" si="417"/>
        <v>-1.8385142034025608</v>
      </c>
      <c r="BA487">
        <f t="shared" si="398"/>
        <v>2.723418959957923</v>
      </c>
      <c r="BB487">
        <f t="shared" si="410"/>
        <v>8.7022891323575742</v>
      </c>
      <c r="BC487">
        <f t="shared" si="411"/>
        <v>-0.9648671160150466</v>
      </c>
      <c r="BD487">
        <f t="shared" si="399"/>
        <v>-235.28281360179156</v>
      </c>
      <c r="BF487">
        <f t="shared" si="400"/>
        <v>-45.971240787057901</v>
      </c>
      <c r="BG487">
        <f t="shared" si="401"/>
        <v>-225.3325105958877</v>
      </c>
      <c r="BH487">
        <f t="shared" si="412"/>
        <v>-45.332510595887697</v>
      </c>
      <c r="BI487">
        <f t="shared" si="413"/>
        <v>-45.332510595887697</v>
      </c>
      <c r="BJ487">
        <f t="shared" si="402"/>
        <v>0</v>
      </c>
      <c r="BK487">
        <f t="shared" si="414"/>
        <v>0</v>
      </c>
      <c r="BM487">
        <f t="shared" si="415"/>
        <v>-54.673529919415472</v>
      </c>
      <c r="BN487">
        <f t="shared" si="403"/>
        <v>-170.04969699409614</v>
      </c>
      <c r="BQ487" s="56">
        <f t="shared" si="416"/>
        <v>25.604249932642709</v>
      </c>
    </row>
    <row r="488" spans="1:69" x14ac:dyDescent="0.2">
      <c r="A488">
        <f t="shared" si="420"/>
        <v>1370000</v>
      </c>
      <c r="B488">
        <f t="shared" si="404"/>
        <v>1370</v>
      </c>
      <c r="C488">
        <f t="shared" si="373"/>
        <v>1.0147111986831094</v>
      </c>
      <c r="D488">
        <f t="shared" si="374"/>
        <v>0.17048803251949599</v>
      </c>
      <c r="F488">
        <f t="shared" si="375"/>
        <v>1.2043678247252079E-4</v>
      </c>
      <c r="G488">
        <f t="shared" si="376"/>
        <v>3.7739849730983842E-3</v>
      </c>
      <c r="H488">
        <f t="shared" si="377"/>
        <v>-3.1378186650269018</v>
      </c>
      <c r="J488">
        <f t="shared" si="378"/>
        <v>15</v>
      </c>
      <c r="M488">
        <f t="shared" si="379"/>
        <v>1.3247551844700826E-3</v>
      </c>
      <c r="N488">
        <f t="shared" si="380"/>
        <v>-1.5707963250000001</v>
      </c>
      <c r="O488">
        <f t="shared" si="381"/>
        <v>163.4941158546126</v>
      </c>
      <c r="P488">
        <f t="shared" si="382"/>
        <v>1.5646798605845187</v>
      </c>
      <c r="Q488">
        <f t="shared" si="383"/>
        <v>106.71279310175828</v>
      </c>
      <c r="R488">
        <f t="shared" si="384"/>
        <v>1.5614252419672179</v>
      </c>
      <c r="S488">
        <f t="shared" si="385"/>
        <v>0.98487172036909532</v>
      </c>
      <c r="T488">
        <f t="shared" si="386"/>
        <v>-0.17416416626496478</v>
      </c>
      <c r="U488">
        <f t="shared" si="387"/>
        <v>0.33614877774997859</v>
      </c>
      <c r="V488">
        <f t="shared" si="388"/>
        <v>-1.2279716050484772</v>
      </c>
      <c r="X488">
        <f t="shared" si="405"/>
        <v>-37.060833940341155</v>
      </c>
      <c r="Y488">
        <f t="shared" si="389"/>
        <v>-161.23935505401695</v>
      </c>
      <c r="Z488">
        <f t="shared" si="406"/>
        <v>18.760644945983046</v>
      </c>
      <c r="AC488">
        <v>1</v>
      </c>
      <c r="AD488">
        <f t="shared" si="390"/>
        <v>163.49105761197299</v>
      </c>
      <c r="AE488">
        <f t="shared" si="391"/>
        <v>-9.5698107855396244E-2</v>
      </c>
      <c r="AF488">
        <f t="shared" si="392"/>
        <v>3.4156400600448007E-2</v>
      </c>
      <c r="AG488">
        <f t="shared" ref="AG488:AG551" si="421">AC488*AE488/(AE488^2+AF488^2)+AD488*AF488/(AE488^2+AF488^2)</f>
        <v>531.59136925954772</v>
      </c>
      <c r="AH488">
        <f t="shared" ref="AH488:AH551" si="422">AD488*AE488/(AE488^2+AF488^2)-AC488*AF488/(AE488^2+AF488^2)</f>
        <v>-1518.6696279032865</v>
      </c>
      <c r="AJ488">
        <f t="shared" si="393"/>
        <v>22100</v>
      </c>
      <c r="AK488">
        <f t="shared" si="394"/>
        <v>3888.4238671463645</v>
      </c>
      <c r="AL488">
        <v>1</v>
      </c>
      <c r="AM488">
        <f t="shared" si="395"/>
        <v>106.70810752505484</v>
      </c>
      <c r="AN488">
        <f t="shared" ref="AN488:AN551" si="423">AJ488*AL488/(AL488^2+AM488^2)+AK488*AM488/(AL488^2+AM488^2)</f>
        <v>38.377320634041311</v>
      </c>
      <c r="AO488">
        <f t="shared" ref="AO488:AO551" si="424">AK488*AL488/(AL488^2+AM488^2)-AJ488*AM488/(AL488^2+AM488^2)</f>
        <v>-206.74738959442175</v>
      </c>
      <c r="AQ488">
        <f t="shared" si="396"/>
        <v>1.3319834125441669E-3</v>
      </c>
      <c r="AR488">
        <f t="shared" si="397"/>
        <v>-3.6496345503710175</v>
      </c>
      <c r="AT488">
        <f t="shared" si="418"/>
        <v>-5541.8810737088261</v>
      </c>
      <c r="AU488">
        <f t="shared" si="419"/>
        <v>-1942.1370706821849</v>
      </c>
      <c r="AV488">
        <f t="shared" si="407"/>
        <v>-2.8045194345663065</v>
      </c>
      <c r="AW488">
        <f t="shared" si="408"/>
        <v>-569.77323896804126</v>
      </c>
      <c r="AX488">
        <f t="shared" si="409"/>
        <v>-2086.4542564756021</v>
      </c>
      <c r="AY488">
        <f t="shared" si="417"/>
        <v>-1.8373785768543589</v>
      </c>
      <c r="BA488">
        <f t="shared" si="398"/>
        <v>2.7150884289208661</v>
      </c>
      <c r="BB488">
        <f t="shared" si="410"/>
        <v>8.675679577701473</v>
      </c>
      <c r="BC488">
        <f t="shared" si="411"/>
        <v>-0.96714085771194758</v>
      </c>
      <c r="BD488">
        <f t="shared" si="399"/>
        <v>-235.41308940487576</v>
      </c>
      <c r="BF488">
        <f t="shared" si="400"/>
        <v>-46.060463280730204</v>
      </c>
      <c r="BG488">
        <f t="shared" si="401"/>
        <v>-225.42861126170624</v>
      </c>
      <c r="BH488">
        <f t="shared" si="412"/>
        <v>-45.428611261706237</v>
      </c>
      <c r="BI488">
        <f t="shared" si="413"/>
        <v>-45.428611261706237</v>
      </c>
      <c r="BJ488">
        <f t="shared" si="402"/>
        <v>0</v>
      </c>
      <c r="BK488">
        <f t="shared" si="414"/>
        <v>0</v>
      </c>
      <c r="BM488">
        <f t="shared" si="415"/>
        <v>-54.736142858431677</v>
      </c>
      <c r="BN488">
        <f t="shared" si="403"/>
        <v>-170.01552185683045</v>
      </c>
      <c r="BQ488" s="56">
        <f t="shared" si="416"/>
        <v>25.577640377986608</v>
      </c>
    </row>
    <row r="489" spans="1:69" x14ac:dyDescent="0.2">
      <c r="A489">
        <f t="shared" si="420"/>
        <v>1375000</v>
      </c>
      <c r="B489">
        <f t="shared" si="404"/>
        <v>1375</v>
      </c>
      <c r="C489">
        <f t="shared" si="373"/>
        <v>1.0148179902056651</v>
      </c>
      <c r="D489">
        <f t="shared" si="374"/>
        <v>0.17109820031759845</v>
      </c>
      <c r="F489">
        <f t="shared" si="375"/>
        <v>1.1956237240761922E-4</v>
      </c>
      <c r="G489">
        <f t="shared" si="376"/>
        <v>3.760258221019165E-3</v>
      </c>
      <c r="H489">
        <f t="shared" si="377"/>
        <v>-3.1378323917789812</v>
      </c>
      <c r="J489">
        <f t="shared" si="378"/>
        <v>15</v>
      </c>
      <c r="M489">
        <f t="shared" si="379"/>
        <v>1.3199378928901917E-3</v>
      </c>
      <c r="N489">
        <f t="shared" si="380"/>
        <v>-1.5707963250000001</v>
      </c>
      <c r="O489">
        <f t="shared" si="381"/>
        <v>164.09078742595167</v>
      </c>
      <c r="P489">
        <f t="shared" si="382"/>
        <v>1.5647021017281302</v>
      </c>
      <c r="Q489">
        <f t="shared" si="383"/>
        <v>107.10222171194324</v>
      </c>
      <c r="R489">
        <f t="shared" si="384"/>
        <v>1.5614593166552089</v>
      </c>
      <c r="S489">
        <f t="shared" si="385"/>
        <v>0.98476360900096482</v>
      </c>
      <c r="T489">
        <f t="shared" si="386"/>
        <v>-0.17478695744046691</v>
      </c>
      <c r="U489">
        <f t="shared" si="387"/>
        <v>0.33506387235073581</v>
      </c>
      <c r="V489">
        <f t="shared" si="388"/>
        <v>-1.2291233065300045</v>
      </c>
      <c r="X489">
        <f t="shared" si="405"/>
        <v>-37.120605781525015</v>
      </c>
      <c r="Y489">
        <f t="shared" si="389"/>
        <v>-161.30362577997906</v>
      </c>
      <c r="Z489">
        <f t="shared" si="406"/>
        <v>18.696374220020942</v>
      </c>
      <c r="AC489">
        <v>1</v>
      </c>
      <c r="AD489">
        <f t="shared" si="390"/>
        <v>164.08774030398752</v>
      </c>
      <c r="AE489">
        <f t="shared" si="391"/>
        <v>-9.6397908873199711E-2</v>
      </c>
      <c r="AF489">
        <f t="shared" si="392"/>
        <v>3.4281058996800007E-2</v>
      </c>
      <c r="AG489">
        <f t="shared" si="421"/>
        <v>528.16553102748605</v>
      </c>
      <c r="AH489">
        <f t="shared" si="422"/>
        <v>-1514.3654907159869</v>
      </c>
      <c r="AJ489">
        <f t="shared" si="393"/>
        <v>22100</v>
      </c>
      <c r="AK489">
        <f t="shared" si="394"/>
        <v>3902.6151951286502</v>
      </c>
      <c r="AL489">
        <v>1</v>
      </c>
      <c r="AM489">
        <f t="shared" si="395"/>
        <v>107.09755317295651</v>
      </c>
      <c r="AN489">
        <f t="shared" si="423"/>
        <v>38.363256541621006</v>
      </c>
      <c r="AO489">
        <f t="shared" si="424"/>
        <v>-205.99571222537719</v>
      </c>
      <c r="AQ489">
        <f t="shared" si="396"/>
        <v>1.3223138747353554E-3</v>
      </c>
      <c r="AR489">
        <f t="shared" si="397"/>
        <v>-3.6363631555222273</v>
      </c>
      <c r="AT489">
        <f t="shared" si="418"/>
        <v>-5506.0844738241176</v>
      </c>
      <c r="AU489">
        <f t="shared" si="419"/>
        <v>-1922.6041435449761</v>
      </c>
      <c r="AV489">
        <f t="shared" si="407"/>
        <v>-2.8056502220440591</v>
      </c>
      <c r="AW489">
        <f t="shared" si="408"/>
        <v>-565.25718618434507</v>
      </c>
      <c r="AX489">
        <f t="shared" si="409"/>
        <v>-2079.1398998510617</v>
      </c>
      <c r="AY489">
        <f t="shared" si="417"/>
        <v>-1.8362509160502096</v>
      </c>
      <c r="BA489">
        <f t="shared" si="398"/>
        <v>2.7068017742849024</v>
      </c>
      <c r="BB489">
        <f t="shared" si="410"/>
        <v>8.649129049755226</v>
      </c>
      <c r="BC489">
        <f t="shared" si="411"/>
        <v>-0.96939930599384949</v>
      </c>
      <c r="BD489">
        <f t="shared" si="399"/>
        <v>-235.54248895982516</v>
      </c>
      <c r="BF489">
        <f t="shared" si="400"/>
        <v>-46.149392139311004</v>
      </c>
      <c r="BG489">
        <f t="shared" si="401"/>
        <v>-225.52383726195112</v>
      </c>
      <c r="BH489">
        <f t="shared" si="412"/>
        <v>-45.523837261951115</v>
      </c>
      <c r="BI489">
        <f t="shared" si="413"/>
        <v>-45.523837261951115</v>
      </c>
      <c r="BJ489">
        <f t="shared" si="402"/>
        <v>0</v>
      </c>
      <c r="BK489">
        <f t="shared" si="414"/>
        <v>0</v>
      </c>
      <c r="BM489">
        <f t="shared" si="415"/>
        <v>-54.798521189066221</v>
      </c>
      <c r="BN489">
        <f t="shared" si="403"/>
        <v>-169.98134830212595</v>
      </c>
      <c r="BQ489" s="56">
        <f t="shared" si="416"/>
        <v>25.551089850040363</v>
      </c>
    </row>
    <row r="490" spans="1:69" x14ac:dyDescent="0.2">
      <c r="A490">
        <f t="shared" si="420"/>
        <v>1380000</v>
      </c>
      <c r="B490">
        <f t="shared" si="404"/>
        <v>1380</v>
      </c>
      <c r="C490">
        <f t="shared" si="373"/>
        <v>1.0149251594701791</v>
      </c>
      <c r="D490">
        <f t="shared" si="374"/>
        <v>0.17170823948355768</v>
      </c>
      <c r="F490">
        <f t="shared" si="375"/>
        <v>1.1869745099216305E-4</v>
      </c>
      <c r="G490">
        <f t="shared" si="376"/>
        <v>3.7466309724362616E-3</v>
      </c>
      <c r="H490">
        <f t="shared" si="377"/>
        <v>-3.1378460190275641</v>
      </c>
      <c r="J490">
        <f t="shared" si="378"/>
        <v>15</v>
      </c>
      <c r="M490">
        <f t="shared" si="379"/>
        <v>1.3151555092202995E-3</v>
      </c>
      <c r="N490">
        <f t="shared" si="380"/>
        <v>-1.5707963250000001</v>
      </c>
      <c r="O490">
        <f t="shared" si="381"/>
        <v>164.68745907787309</v>
      </c>
      <c r="P490">
        <f t="shared" si="382"/>
        <v>1.5647241817099984</v>
      </c>
      <c r="Q490">
        <f t="shared" si="383"/>
        <v>107.4916504455819</v>
      </c>
      <c r="R490">
        <f t="shared" si="384"/>
        <v>1.5614931444466185</v>
      </c>
      <c r="S490">
        <f t="shared" si="385"/>
        <v>0.98465513957421746</v>
      </c>
      <c r="T490">
        <f t="shared" si="386"/>
        <v>-0.1754096116594269</v>
      </c>
      <c r="U490">
        <f t="shared" si="387"/>
        <v>0.33398550865424298</v>
      </c>
      <c r="V490">
        <f t="shared" si="388"/>
        <v>-1.2302675962894656</v>
      </c>
      <c r="X490">
        <f t="shared" si="405"/>
        <v>-37.180183706494915</v>
      </c>
      <c r="Y490">
        <f t="shared" si="389"/>
        <v>-161.36748904748387</v>
      </c>
      <c r="Z490">
        <f t="shared" si="406"/>
        <v>18.632510952516128</v>
      </c>
      <c r="AC490">
        <v>1</v>
      </c>
      <c r="AD490">
        <f t="shared" si="390"/>
        <v>164.68442299600201</v>
      </c>
      <c r="AE490">
        <f t="shared" si="391"/>
        <v>-9.7100259257188209E-2</v>
      </c>
      <c r="AF490">
        <f t="shared" si="392"/>
        <v>3.4405717393152006E-2</v>
      </c>
      <c r="AG490">
        <f t="shared" si="421"/>
        <v>524.77132437523255</v>
      </c>
      <c r="AH490">
        <f t="shared" si="422"/>
        <v>-1510.0813348514607</v>
      </c>
      <c r="AJ490">
        <f t="shared" si="393"/>
        <v>22100</v>
      </c>
      <c r="AK490">
        <f t="shared" si="394"/>
        <v>3916.8065231109367</v>
      </c>
      <c r="AL490">
        <v>1</v>
      </c>
      <c r="AM490">
        <f t="shared" si="395"/>
        <v>107.48699882085816</v>
      </c>
      <c r="AN490">
        <f t="shared" si="423"/>
        <v>38.34934502502221</v>
      </c>
      <c r="AO490">
        <f t="shared" si="424"/>
        <v>-205.24948037430784</v>
      </c>
      <c r="AQ490">
        <f t="shared" si="396"/>
        <v>1.3127492500591721E-3</v>
      </c>
      <c r="AR490">
        <f t="shared" si="397"/>
        <v>-3.6231879301633154</v>
      </c>
      <c r="AT490">
        <f t="shared" si="418"/>
        <v>-5470.6195728361945</v>
      </c>
      <c r="AU490">
        <f t="shared" si="419"/>
        <v>-1903.3274867120151</v>
      </c>
      <c r="AV490">
        <f t="shared" si="407"/>
        <v>-2.8067737493445351</v>
      </c>
      <c r="AW490">
        <f t="shared" si="408"/>
        <v>-560.79160436729842</v>
      </c>
      <c r="AX490">
        <f t="shared" si="409"/>
        <v>-2071.876121406427</v>
      </c>
      <c r="AY490">
        <f t="shared" si="417"/>
        <v>-1.8351311350927733</v>
      </c>
      <c r="BA490">
        <f t="shared" si="398"/>
        <v>2.6985587432274305</v>
      </c>
      <c r="BB490">
        <f t="shared" si="410"/>
        <v>8.6226375277492728</v>
      </c>
      <c r="BC490">
        <f t="shared" si="411"/>
        <v>-0.97164261425176179</v>
      </c>
      <c r="BD490">
        <f t="shared" si="399"/>
        <v>-235.67102105529727</v>
      </c>
      <c r="BF490">
        <f t="shared" si="400"/>
        <v>-46.238029066527659</v>
      </c>
      <c r="BG490">
        <f t="shared" si="401"/>
        <v>-225.6181974716672</v>
      </c>
      <c r="BH490">
        <f t="shared" si="412"/>
        <v>-45.618197471667202</v>
      </c>
      <c r="BI490">
        <f t="shared" si="413"/>
        <v>-45.618197471667202</v>
      </c>
      <c r="BJ490">
        <f t="shared" si="402"/>
        <v>0</v>
      </c>
      <c r="BK490">
        <f t="shared" si="414"/>
        <v>0</v>
      </c>
      <c r="BM490">
        <f t="shared" si="415"/>
        <v>-54.860666594276928</v>
      </c>
      <c r="BN490">
        <f t="shared" si="403"/>
        <v>-169.94717641636993</v>
      </c>
      <c r="BQ490" s="56">
        <f t="shared" si="416"/>
        <v>25.524598328034411</v>
      </c>
    </row>
    <row r="491" spans="1:69" x14ac:dyDescent="0.2">
      <c r="A491">
        <f t="shared" si="420"/>
        <v>1385000</v>
      </c>
      <c r="B491">
        <f t="shared" si="404"/>
        <v>1385</v>
      </c>
      <c r="C491">
        <f t="shared" si="373"/>
        <v>1.0150327063570028</v>
      </c>
      <c r="D491">
        <f t="shared" si="374"/>
        <v>0.17231814960414002</v>
      </c>
      <c r="F491">
        <f t="shared" si="375"/>
        <v>1.1784188142810592E-4</v>
      </c>
      <c r="G491">
        <f t="shared" si="376"/>
        <v>3.7331021492020742E-3</v>
      </c>
      <c r="H491">
        <f t="shared" si="377"/>
        <v>-3.1378595478507982</v>
      </c>
      <c r="J491">
        <f t="shared" si="378"/>
        <v>15</v>
      </c>
      <c r="M491">
        <f t="shared" si="379"/>
        <v>1.3104076553963995E-3</v>
      </c>
      <c r="N491">
        <f t="shared" si="380"/>
        <v>-1.5707963250000001</v>
      </c>
      <c r="O491">
        <f t="shared" si="381"/>
        <v>165.28413080950421</v>
      </c>
      <c r="P491">
        <f t="shared" si="382"/>
        <v>1.5647461022754716</v>
      </c>
      <c r="Q491">
        <f t="shared" si="383"/>
        <v>107.88107930133728</v>
      </c>
      <c r="R491">
        <f t="shared" si="384"/>
        <v>1.5615267280151093</v>
      </c>
      <c r="S491">
        <f t="shared" si="385"/>
        <v>0.98454631245943691</v>
      </c>
      <c r="T491">
        <f t="shared" si="386"/>
        <v>-0.17603212848437214</v>
      </c>
      <c r="U491">
        <f t="shared" si="387"/>
        <v>0.33291363213361863</v>
      </c>
      <c r="V491">
        <f t="shared" si="388"/>
        <v>-1.2314045426761331</v>
      </c>
      <c r="X491">
        <f t="shared" si="405"/>
        <v>-37.239568909533276</v>
      </c>
      <c r="Y491">
        <f t="shared" si="389"/>
        <v>-161.43094857985005</v>
      </c>
      <c r="Z491">
        <f t="shared" si="406"/>
        <v>18.569051420149947</v>
      </c>
      <c r="AC491">
        <v>1</v>
      </c>
      <c r="AD491">
        <f t="shared" si="390"/>
        <v>165.28110568801651</v>
      </c>
      <c r="AE491">
        <f t="shared" si="391"/>
        <v>-9.7805159007361822E-2</v>
      </c>
      <c r="AF491">
        <f t="shared" si="392"/>
        <v>3.4530375789504006E-2</v>
      </c>
      <c r="AG491">
        <f t="shared" si="421"/>
        <v>521.40837937974266</v>
      </c>
      <c r="AH491">
        <f t="shared" si="422"/>
        <v>-1505.8170745078201</v>
      </c>
      <c r="AJ491">
        <f t="shared" si="393"/>
        <v>22100</v>
      </c>
      <c r="AK491">
        <f t="shared" si="394"/>
        <v>3930.9978510932224</v>
      </c>
      <c r="AL491">
        <v>1</v>
      </c>
      <c r="AM491">
        <f t="shared" si="395"/>
        <v>107.87644446875984</v>
      </c>
      <c r="AN491">
        <f t="shared" si="423"/>
        <v>38.335583885281842</v>
      </c>
      <c r="AO491">
        <f t="shared" si="424"/>
        <v>-204.50863508486881</v>
      </c>
      <c r="AQ491">
        <f t="shared" si="396"/>
        <v>1.3032880262628178E-3</v>
      </c>
      <c r="AR491">
        <f t="shared" si="397"/>
        <v>-3.610107832748005</v>
      </c>
      <c r="AT491">
        <f t="shared" si="418"/>
        <v>-5435.4824700687286</v>
      </c>
      <c r="AU491">
        <f t="shared" si="419"/>
        <v>-1884.3029878222005</v>
      </c>
      <c r="AV491">
        <f t="shared" si="407"/>
        <v>-2.8078900831758129</v>
      </c>
      <c r="AW491">
        <f t="shared" si="408"/>
        <v>-556.37574315760003</v>
      </c>
      <c r="AX491">
        <f t="shared" si="409"/>
        <v>-2064.6624000713055</v>
      </c>
      <c r="AY491">
        <f t="shared" si="417"/>
        <v>-1.8340191492600038</v>
      </c>
      <c r="BA491">
        <f t="shared" si="398"/>
        <v>2.6903590829536648</v>
      </c>
      <c r="BB491">
        <f t="shared" si="410"/>
        <v>8.5962049854583107</v>
      </c>
      <c r="BC491">
        <f t="shared" si="411"/>
        <v>-0.97387093391580914</v>
      </c>
      <c r="BD491">
        <f t="shared" si="399"/>
        <v>-235.79869436759907</v>
      </c>
      <c r="BF491">
        <f t="shared" si="400"/>
        <v>-46.326375753322964</v>
      </c>
      <c r="BG491">
        <f t="shared" si="401"/>
        <v>-225.71170065261134</v>
      </c>
      <c r="BH491">
        <f t="shared" si="412"/>
        <v>-45.711700652611341</v>
      </c>
      <c r="BI491">
        <f t="shared" si="413"/>
        <v>-45.711700652611341</v>
      </c>
      <c r="BJ491">
        <f t="shared" si="402"/>
        <v>0</v>
      </c>
      <c r="BK491">
        <f t="shared" si="414"/>
        <v>0</v>
      </c>
      <c r="BM491">
        <f t="shared" si="415"/>
        <v>-54.922580738781271</v>
      </c>
      <c r="BN491">
        <f t="shared" si="403"/>
        <v>-169.91300628501233</v>
      </c>
      <c r="BQ491" s="56">
        <f t="shared" si="416"/>
        <v>25.498165785743446</v>
      </c>
    </row>
    <row r="492" spans="1:69" x14ac:dyDescent="0.2">
      <c r="A492">
        <f t="shared" si="420"/>
        <v>1390000</v>
      </c>
      <c r="B492">
        <f t="shared" si="404"/>
        <v>1390</v>
      </c>
      <c r="C492">
        <f t="shared" si="373"/>
        <v>1.0151406307461175</v>
      </c>
      <c r="D492">
        <f t="shared" si="374"/>
        <v>0.17292793026667075</v>
      </c>
      <c r="F492">
        <f t="shared" si="375"/>
        <v>1.169955293739108E-4</v>
      </c>
      <c r="G492">
        <f t="shared" si="376"/>
        <v>3.7196706886907273E-3</v>
      </c>
      <c r="H492">
        <f t="shared" si="377"/>
        <v>-3.1378729793113096</v>
      </c>
      <c r="J492">
        <f t="shared" si="378"/>
        <v>15</v>
      </c>
      <c r="M492">
        <f t="shared" si="379"/>
        <v>1.3056939587942542E-3</v>
      </c>
      <c r="N492">
        <f t="shared" si="380"/>
        <v>-1.5707963250000001</v>
      </c>
      <c r="O492">
        <f t="shared" si="381"/>
        <v>165.88080261998482</v>
      </c>
      <c r="P492">
        <f t="shared" si="382"/>
        <v>1.5647678651447869</v>
      </c>
      <c r="Q492">
        <f t="shared" si="383"/>
        <v>108.27050827789174</v>
      </c>
      <c r="R492">
        <f t="shared" si="384"/>
        <v>1.5615600699958789</v>
      </c>
      <c r="S492">
        <f t="shared" si="385"/>
        <v>0.98443712802820726</v>
      </c>
      <c r="T492">
        <f t="shared" si="386"/>
        <v>-0.17665450747844899</v>
      </c>
      <c r="U492">
        <f t="shared" si="387"/>
        <v>0.33184818880357769</v>
      </c>
      <c r="V492">
        <f t="shared" si="388"/>
        <v>-1.2325342132407799</v>
      </c>
      <c r="X492">
        <f t="shared" si="405"/>
        <v>-37.298762574440786</v>
      </c>
      <c r="Y492">
        <f t="shared" si="389"/>
        <v>-161.49400805740245</v>
      </c>
      <c r="Z492">
        <f t="shared" si="406"/>
        <v>18.505991942597547</v>
      </c>
      <c r="AC492">
        <v>1</v>
      </c>
      <c r="AD492">
        <f t="shared" si="390"/>
        <v>165.87778838003101</v>
      </c>
      <c r="AE492">
        <f t="shared" si="391"/>
        <v>-9.8512608123720508E-2</v>
      </c>
      <c r="AF492">
        <f t="shared" si="392"/>
        <v>3.4655034185856005E-2</v>
      </c>
      <c r="AG492">
        <f t="shared" si="421"/>
        <v>518.07633120329785</v>
      </c>
      <c r="AH492">
        <f t="shared" si="422"/>
        <v>-1501.5726233288078</v>
      </c>
      <c r="AJ492">
        <f t="shared" si="393"/>
        <v>22100</v>
      </c>
      <c r="AK492">
        <f t="shared" si="394"/>
        <v>3945.1891790755085</v>
      </c>
      <c r="AL492">
        <v>1</v>
      </c>
      <c r="AM492">
        <f t="shared" si="395"/>
        <v>108.2658901166615</v>
      </c>
      <c r="AN492">
        <f t="shared" si="423"/>
        <v>38.321970962908566</v>
      </c>
      <c r="AO492">
        <f t="shared" si="424"/>
        <v>-203.77311824864336</v>
      </c>
      <c r="AQ492">
        <f t="shared" si="396"/>
        <v>1.2939287182432693E-3</v>
      </c>
      <c r="AR492">
        <f t="shared" si="397"/>
        <v>-3.5971218367162883</v>
      </c>
      <c r="AT492">
        <f t="shared" si="418"/>
        <v>-5400.6693189482312</v>
      </c>
      <c r="AU492">
        <f t="shared" si="419"/>
        <v>-1865.5266119970959</v>
      </c>
      <c r="AV492">
        <f t="shared" si="407"/>
        <v>-2.8089992894710849</v>
      </c>
      <c r="AW492">
        <f t="shared" si="408"/>
        <v>-552.00886608024598</v>
      </c>
      <c r="AX492">
        <f t="shared" si="409"/>
        <v>-2057.4982219411536</v>
      </c>
      <c r="AY492">
        <f t="shared" si="417"/>
        <v>-1.8329148749864193</v>
      </c>
      <c r="BA492">
        <f t="shared" si="398"/>
        <v>2.6822025407631012</v>
      </c>
      <c r="BB492">
        <f t="shared" si="410"/>
        <v>8.5698313913746009</v>
      </c>
      <c r="BC492">
        <f t="shared" si="411"/>
        <v>-0.97608441448466565</v>
      </c>
      <c r="BD492">
        <f t="shared" si="399"/>
        <v>-235.92551746237368</v>
      </c>
      <c r="BF492">
        <f t="shared" si="400"/>
        <v>-46.414433877944916</v>
      </c>
      <c r="BG492">
        <f t="shared" si="401"/>
        <v>-225.80435545495521</v>
      </c>
      <c r="BH492">
        <f t="shared" si="412"/>
        <v>-45.804355454955214</v>
      </c>
      <c r="BI492">
        <f t="shared" si="413"/>
        <v>-45.804355454955214</v>
      </c>
      <c r="BJ492">
        <f t="shared" si="402"/>
        <v>0</v>
      </c>
      <c r="BK492">
        <f t="shared" si="414"/>
        <v>0</v>
      </c>
      <c r="BM492">
        <f t="shared" si="415"/>
        <v>-54.984265269319515</v>
      </c>
      <c r="BN492">
        <f t="shared" si="403"/>
        <v>-169.87883799258157</v>
      </c>
      <c r="BQ492" s="56">
        <f t="shared" si="416"/>
        <v>25.471792191659741</v>
      </c>
    </row>
    <row r="493" spans="1:69" x14ac:dyDescent="0.2">
      <c r="A493">
        <f t="shared" si="420"/>
        <v>1395000</v>
      </c>
      <c r="B493">
        <f t="shared" si="404"/>
        <v>1395</v>
      </c>
      <c r="C493">
        <f t="shared" si="373"/>
        <v>1.0152489325171332</v>
      </c>
      <c r="D493">
        <f t="shared" si="374"/>
        <v>0.17353758105903538</v>
      </c>
      <c r="F493">
        <f t="shared" si="375"/>
        <v>1.1615826289180275E-4</v>
      </c>
      <c r="G493">
        <f t="shared" si="376"/>
        <v>3.7063355435197143E-3</v>
      </c>
      <c r="H493">
        <f t="shared" si="377"/>
        <v>-3.1378863144564804</v>
      </c>
      <c r="J493">
        <f t="shared" si="378"/>
        <v>15</v>
      </c>
      <c r="M493">
        <f t="shared" si="379"/>
        <v>1.3010140521319091E-3</v>
      </c>
      <c r="N493">
        <f t="shared" si="380"/>
        <v>-1.5707963250000001</v>
      </c>
      <c r="O493">
        <f t="shared" si="381"/>
        <v>166.47747450846714</v>
      </c>
      <c r="P493">
        <f t="shared" si="382"/>
        <v>1.5647894720135198</v>
      </c>
      <c r="Q493">
        <f t="shared" si="383"/>
        <v>108.65993737394641</v>
      </c>
      <c r="R493">
        <f t="shared" si="384"/>
        <v>1.5615931729863497</v>
      </c>
      <c r="S493">
        <f t="shared" si="385"/>
        <v>0.9843275866531086</v>
      </c>
      <c r="T493">
        <f t="shared" si="386"/>
        <v>-0.17727674820542433</v>
      </c>
      <c r="U493">
        <f t="shared" si="387"/>
        <v>0.33078912521488463</v>
      </c>
      <c r="V493">
        <f t="shared" si="388"/>
        <v>-1.23365667474665</v>
      </c>
      <c r="X493">
        <f t="shared" si="405"/>
        <v>-37.357765874653772</v>
      </c>
      <c r="Y493">
        <f t="shared" si="389"/>
        <v>-161.55667111805116</v>
      </c>
      <c r="Z493">
        <f t="shared" si="406"/>
        <v>18.443328881948844</v>
      </c>
      <c r="AC493">
        <v>1</v>
      </c>
      <c r="AD493">
        <f t="shared" si="390"/>
        <v>166.4744710720455</v>
      </c>
      <c r="AE493">
        <f t="shared" si="391"/>
        <v>-9.922260660626428E-2</v>
      </c>
      <c r="AF493">
        <f t="shared" si="392"/>
        <v>3.4779692582208005E-2</v>
      </c>
      <c r="AG493">
        <f t="shared" si="421"/>
        <v>514.77482001611565</v>
      </c>
      <c r="AH493">
        <f t="shared" si="422"/>
        <v>-1497.3478944408596</v>
      </c>
      <c r="AJ493">
        <f t="shared" si="393"/>
        <v>22100</v>
      </c>
      <c r="AK493">
        <f t="shared" si="394"/>
        <v>3959.3805070577946</v>
      </c>
      <c r="AL493">
        <v>1</v>
      </c>
      <c r="AM493">
        <f t="shared" si="395"/>
        <v>108.65533576456315</v>
      </c>
      <c r="AN493">
        <f t="shared" si="423"/>
        <v>38.308504137035506</v>
      </c>
      <c r="AO493">
        <f t="shared" si="424"/>
        <v>-203.0428725899549</v>
      </c>
      <c r="AQ493">
        <f t="shared" si="396"/>
        <v>1.2846698674644638E-3</v>
      </c>
      <c r="AR493">
        <f t="shared" si="397"/>
        <v>-3.5842289302258541</v>
      </c>
      <c r="AT493">
        <f t="shared" si="418"/>
        <v>-5366.1763261678934</v>
      </c>
      <c r="AU493">
        <f t="shared" si="419"/>
        <v>-1846.9944001746683</v>
      </c>
      <c r="AV493">
        <f t="shared" si="407"/>
        <v>-2.8101014333992036</v>
      </c>
      <c r="AW493">
        <f t="shared" si="408"/>
        <v>-547.69025023806023</v>
      </c>
      <c r="AX493">
        <f t="shared" si="409"/>
        <v>-2050.383080152978</v>
      </c>
      <c r="AY493">
        <f t="shared" si="417"/>
        <v>-1.8318182298446926</v>
      </c>
      <c r="BA493">
        <f t="shared" si="398"/>
        <v>2.6740888641131786</v>
      </c>
      <c r="BB493">
        <f t="shared" si="410"/>
        <v>8.5435167088763038</v>
      </c>
      <c r="BC493">
        <f t="shared" si="411"/>
        <v>-0.97828320355451104</v>
      </c>
      <c r="BD493">
        <f t="shared" si="399"/>
        <v>-236.05149879625927</v>
      </c>
      <c r="BF493">
        <f t="shared" si="400"/>
        <v>-46.50220510603684</v>
      </c>
      <c r="BG493">
        <f t="shared" si="401"/>
        <v>-225.89617041895997</v>
      </c>
      <c r="BH493">
        <f t="shared" si="412"/>
        <v>-45.896170418959969</v>
      </c>
      <c r="BI493">
        <f t="shared" si="413"/>
        <v>-45.896170418959969</v>
      </c>
      <c r="BJ493">
        <f t="shared" si="402"/>
        <v>0</v>
      </c>
      <c r="BK493">
        <f t="shared" si="414"/>
        <v>0</v>
      </c>
      <c r="BM493">
        <f t="shared" si="415"/>
        <v>-55.045721814913136</v>
      </c>
      <c r="BN493">
        <f t="shared" si="403"/>
        <v>-169.8446716227007</v>
      </c>
      <c r="BQ493" s="56">
        <f t="shared" si="416"/>
        <v>25.445477509161442</v>
      </c>
    </row>
    <row r="494" spans="1:69" x14ac:dyDescent="0.2">
      <c r="A494">
        <f t="shared" si="420"/>
        <v>1400000</v>
      </c>
      <c r="B494">
        <f t="shared" si="404"/>
        <v>1400</v>
      </c>
      <c r="C494">
        <f t="shared" si="373"/>
        <v>1.0153576115492919</v>
      </c>
      <c r="D494">
        <f t="shared" si="374"/>
        <v>0.17414710156968105</v>
      </c>
      <c r="F494">
        <f t="shared" si="375"/>
        <v>1.1532995239633886E-4</v>
      </c>
      <c r="G494">
        <f t="shared" si="376"/>
        <v>3.6930956812775157E-3</v>
      </c>
      <c r="H494">
        <f t="shared" si="377"/>
        <v>-3.1378995543187225</v>
      </c>
      <c r="J494">
        <f t="shared" si="378"/>
        <v>15</v>
      </c>
      <c r="M494">
        <f t="shared" si="379"/>
        <v>1.2963675733742954E-3</v>
      </c>
      <c r="N494">
        <f t="shared" si="380"/>
        <v>-1.5707963250000001</v>
      </c>
      <c r="O494">
        <f t="shared" si="381"/>
        <v>167.07414647411545</v>
      </c>
      <c r="P494">
        <f t="shared" si="382"/>
        <v>1.5648109245530251</v>
      </c>
      <c r="Q494">
        <f t="shared" si="383"/>
        <v>109.0493665882211</v>
      </c>
      <c r="R494">
        <f t="shared" si="384"/>
        <v>1.5616260395468438</v>
      </c>
      <c r="S494">
        <f t="shared" si="385"/>
        <v>0.9842176887077162</v>
      </c>
      <c r="T494">
        <f t="shared" si="386"/>
        <v>-0.17789885022968724</v>
      </c>
      <c r="U494">
        <f t="shared" si="387"/>
        <v>0.32973638844884773</v>
      </c>
      <c r="V494">
        <f t="shared" si="388"/>
        <v>-1.234771993180259</v>
      </c>
      <c r="X494">
        <f t="shared" si="405"/>
        <v>-37.416579973359838</v>
      </c>
      <c r="Y494">
        <f t="shared" si="389"/>
        <v>-161.61894135786233</v>
      </c>
      <c r="Z494">
        <f t="shared" si="406"/>
        <v>18.381058642137674</v>
      </c>
      <c r="AC494">
        <v>1</v>
      </c>
      <c r="AD494">
        <f t="shared" si="390"/>
        <v>167.07115376406</v>
      </c>
      <c r="AE494">
        <f t="shared" si="391"/>
        <v>-9.9935154454993111E-2</v>
      </c>
      <c r="AF494">
        <f t="shared" si="392"/>
        <v>3.4904350978560005E-2</v>
      </c>
      <c r="AG494">
        <f t="shared" si="421"/>
        <v>511.503490920177</v>
      </c>
      <c r="AH494">
        <f t="shared" si="422"/>
        <v>-1493.1428004889428</v>
      </c>
      <c r="AJ494">
        <f t="shared" si="393"/>
        <v>22100</v>
      </c>
      <c r="AK494">
        <f t="shared" si="394"/>
        <v>3973.5718350400807</v>
      </c>
      <c r="AL494">
        <v>1</v>
      </c>
      <c r="AM494">
        <f t="shared" si="395"/>
        <v>109.0447814124648</v>
      </c>
      <c r="AN494">
        <f t="shared" si="423"/>
        <v>38.29518132459426</v>
      </c>
      <c r="AO494">
        <f t="shared" si="424"/>
        <v>-202.31784165100407</v>
      </c>
      <c r="AQ494">
        <f t="shared" si="396"/>
        <v>1.2755100413890253E-3</v>
      </c>
      <c r="AR494">
        <f t="shared" si="397"/>
        <v>-3.5714281158892711</v>
      </c>
      <c r="AT494">
        <f t="shared" si="418"/>
        <v>-5331.9997508649803</v>
      </c>
      <c r="AU494">
        <f t="shared" si="419"/>
        <v>-1828.7024674830841</v>
      </c>
      <c r="AV494">
        <f t="shared" si="407"/>
        <v>-2.8111965793750691</v>
      </c>
      <c r="AW494">
        <f t="shared" si="408"/>
        <v>-543.41918601305758</v>
      </c>
      <c r="AX494">
        <f t="shared" si="409"/>
        <v>-2043.3164747636549</v>
      </c>
      <c r="AY494">
        <f t="shared" si="417"/>
        <v>-1.8307291325275605</v>
      </c>
      <c r="BA494">
        <f t="shared" si="398"/>
        <v>2.6660178006802751</v>
      </c>
      <c r="BB494">
        <f t="shared" si="410"/>
        <v>8.5172608963910825</v>
      </c>
      <c r="BC494">
        <f t="shared" si="411"/>
        <v>-0.98046744684750853</v>
      </c>
      <c r="BD494">
        <f t="shared" si="399"/>
        <v>-236.17664671852077</v>
      </c>
      <c r="BF494">
        <f t="shared" si="400"/>
        <v>-46.589691090727541</v>
      </c>
      <c r="BG494">
        <f t="shared" si="401"/>
        <v>-225.98715397662355</v>
      </c>
      <c r="BH494">
        <f t="shared" si="412"/>
        <v>-45.987153976623546</v>
      </c>
      <c r="BI494">
        <f t="shared" si="413"/>
        <v>-45.987153976623546</v>
      </c>
      <c r="BJ494">
        <f t="shared" si="402"/>
        <v>0</v>
      </c>
      <c r="BK494">
        <f t="shared" si="414"/>
        <v>0</v>
      </c>
      <c r="BM494">
        <f t="shared" si="415"/>
        <v>-55.106951987118634</v>
      </c>
      <c r="BN494">
        <f t="shared" si="403"/>
        <v>-169.8105072581028</v>
      </c>
      <c r="BQ494" s="56">
        <f t="shared" si="416"/>
        <v>25.419221696676221</v>
      </c>
    </row>
    <row r="495" spans="1:69" x14ac:dyDescent="0.2">
      <c r="A495">
        <f t="shared" si="420"/>
        <v>1405000</v>
      </c>
      <c r="B495">
        <f t="shared" si="404"/>
        <v>1405</v>
      </c>
      <c r="C495">
        <f t="shared" si="373"/>
        <v>1.0154666677214654</v>
      </c>
      <c r="D495">
        <f t="shared" si="374"/>
        <v>0.17475649138761806</v>
      </c>
      <c r="F495">
        <f t="shared" si="375"/>
        <v>1.1451047060425755E-4</v>
      </c>
      <c r="G495">
        <f t="shared" si="376"/>
        <v>3.6799500842570284E-3</v>
      </c>
      <c r="H495">
        <f t="shared" si="377"/>
        <v>-3.1379126999157432</v>
      </c>
      <c r="J495">
        <f t="shared" si="378"/>
        <v>15</v>
      </c>
      <c r="M495">
        <f t="shared" si="379"/>
        <v>1.291754165639867E-3</v>
      </c>
      <c r="N495">
        <f t="shared" si="380"/>
        <v>-1.5707963250000001</v>
      </c>
      <c r="O495">
        <f t="shared" si="381"/>
        <v>167.67081851610601</v>
      </c>
      <c r="P495">
        <f t="shared" si="382"/>
        <v>1.5648322244108668</v>
      </c>
      <c r="Q495">
        <f t="shared" si="383"/>
        <v>109.43879591945374</v>
      </c>
      <c r="R495">
        <f t="shared" si="384"/>
        <v>1.5616586722012415</v>
      </c>
      <c r="S495">
        <f t="shared" si="385"/>
        <v>0.98410743456659422</v>
      </c>
      <c r="T495">
        <f t="shared" si="386"/>
        <v>-0.17852081311625023</v>
      </c>
      <c r="U495">
        <f t="shared" si="387"/>
        <v>0.32868992611185283</v>
      </c>
      <c r="V495">
        <f t="shared" si="388"/>
        <v>-1.2358802337620329</v>
      </c>
      <c r="X495">
        <f t="shared" si="405"/>
        <v>-37.47520602361206</v>
      </c>
      <c r="Y495">
        <f t="shared" si="389"/>
        <v>-161.68082233162019</v>
      </c>
      <c r="Z495">
        <f t="shared" si="406"/>
        <v>18.319177668379808</v>
      </c>
      <c r="AC495">
        <v>1</v>
      </c>
      <c r="AD495">
        <f t="shared" si="390"/>
        <v>167.6678364560745</v>
      </c>
      <c r="AE495">
        <f t="shared" si="391"/>
        <v>-0.10065025166990704</v>
      </c>
      <c r="AF495">
        <f t="shared" si="392"/>
        <v>3.5029009374912004E-2</v>
      </c>
      <c r="AG495">
        <f t="shared" si="421"/>
        <v>508.26199387425351</v>
      </c>
      <c r="AH495">
        <f t="shared" si="422"/>
        <v>-1488.9572536712194</v>
      </c>
      <c r="AJ495">
        <f t="shared" si="393"/>
        <v>22100</v>
      </c>
      <c r="AK495">
        <f t="shared" si="394"/>
        <v>3987.7631630223664</v>
      </c>
      <c r="AL495">
        <v>1</v>
      </c>
      <c r="AM495">
        <f t="shared" si="395"/>
        <v>109.43422706036645</v>
      </c>
      <c r="AN495">
        <f t="shared" si="423"/>
        <v>38.282000479509406</v>
      </c>
      <c r="AO495">
        <f t="shared" si="424"/>
        <v>-201.59796977732327</v>
      </c>
      <c r="AQ495">
        <f t="shared" si="396"/>
        <v>1.2664478329241229E-3</v>
      </c>
      <c r="AR495">
        <f t="shared" si="397"/>
        <v>-3.5587184105167853</v>
      </c>
      <c r="AT495">
        <f t="shared" si="418"/>
        <v>-5298.1359038115797</v>
      </c>
      <c r="AU495">
        <f t="shared" si="419"/>
        <v>-1810.647001653504</v>
      </c>
      <c r="AV495">
        <f t="shared" si="407"/>
        <v>-2.8122847910698612</v>
      </c>
      <c r="AW495">
        <f t="shared" si="408"/>
        <v>-539.19497677542131</v>
      </c>
      <c r="AX495">
        <f t="shared" si="409"/>
        <v>-2036.2979126308203</v>
      </c>
      <c r="AY495">
        <f t="shared" si="417"/>
        <v>-1.8296475028300443</v>
      </c>
      <c r="BA495">
        <f t="shared" si="398"/>
        <v>2.6579890984181156</v>
      </c>
      <c r="BB495">
        <f t="shared" si="410"/>
        <v>8.4910639075551391</v>
      </c>
      <c r="BC495">
        <f t="shared" si="411"/>
        <v>-0.98263728823981689</v>
      </c>
      <c r="BD495">
        <f t="shared" si="399"/>
        <v>-236.30096947265491</v>
      </c>
      <c r="BF495">
        <f t="shared" si="400"/>
        <v>-46.676893472721602</v>
      </c>
      <c r="BG495">
        <f t="shared" si="401"/>
        <v>-226.07731445330108</v>
      </c>
      <c r="BH495">
        <f t="shared" si="412"/>
        <v>-46.077314453301085</v>
      </c>
      <c r="BI495">
        <f t="shared" si="413"/>
        <v>-46.077314453301085</v>
      </c>
      <c r="BJ495">
        <f t="shared" si="402"/>
        <v>0</v>
      </c>
      <c r="BK495">
        <f t="shared" si="414"/>
        <v>0</v>
      </c>
      <c r="BM495">
        <f t="shared" si="415"/>
        <v>-55.167957380276746</v>
      </c>
      <c r="BN495">
        <f t="shared" si="403"/>
        <v>-169.7763449806462</v>
      </c>
      <c r="BQ495" s="56">
        <f t="shared" si="416"/>
        <v>25.393024707840276</v>
      </c>
    </row>
    <row r="496" spans="1:69" x14ac:dyDescent="0.2">
      <c r="A496">
        <f t="shared" si="420"/>
        <v>1410000</v>
      </c>
      <c r="B496">
        <f t="shared" si="404"/>
        <v>1410</v>
      </c>
      <c r="C496">
        <f t="shared" si="373"/>
        <v>1.015576100912158</v>
      </c>
      <c r="D496">
        <f t="shared" si="374"/>
        <v>0.17536575010242117</v>
      </c>
      <c r="F496">
        <f t="shared" si="375"/>
        <v>1.136996924855704E-4</v>
      </c>
      <c r="G496">
        <f t="shared" si="376"/>
        <v>3.6668977491946769E-3</v>
      </c>
      <c r="H496">
        <f t="shared" si="377"/>
        <v>-3.1379257522508057</v>
      </c>
      <c r="J496">
        <f t="shared" si="378"/>
        <v>15</v>
      </c>
      <c r="M496">
        <f t="shared" si="379"/>
        <v>1.2871734771092293E-3</v>
      </c>
      <c r="N496">
        <f t="shared" si="380"/>
        <v>-1.5707963250000001</v>
      </c>
      <c r="O496">
        <f t="shared" si="381"/>
        <v>168.26749063362664</v>
      </c>
      <c r="P496">
        <f t="shared" si="382"/>
        <v>1.5648533732112413</v>
      </c>
      <c r="Q496">
        <f t="shared" si="383"/>
        <v>109.82822536640023</v>
      </c>
      <c r="R496">
        <f t="shared" si="384"/>
        <v>1.5616910734376295</v>
      </c>
      <c r="S496">
        <f t="shared" si="385"/>
        <v>0.98399682460529414</v>
      </c>
      <c r="T496">
        <f t="shared" si="386"/>
        <v>-0.17914263643075115</v>
      </c>
      <c r="U496">
        <f t="shared" si="387"/>
        <v>0.32764968632993841</v>
      </c>
      <c r="V496">
        <f t="shared" si="388"/>
        <v>-1.2369814609567829</v>
      </c>
      <c r="X496">
        <f t="shared" si="405"/>
        <v>-37.533645168441552</v>
      </c>
      <c r="Y496">
        <f t="shared" si="389"/>
        <v>-161.74231755338124</v>
      </c>
      <c r="Z496">
        <f t="shared" si="406"/>
        <v>18.257682446618759</v>
      </c>
      <c r="AC496">
        <v>1</v>
      </c>
      <c r="AD496">
        <f t="shared" si="390"/>
        <v>168.26451914808902</v>
      </c>
      <c r="AE496">
        <f t="shared" si="391"/>
        <v>-0.10136789825100603</v>
      </c>
      <c r="AF496">
        <f t="shared" si="392"/>
        <v>3.5153667771264011E-2</v>
      </c>
      <c r="AG496">
        <f t="shared" si="421"/>
        <v>505.04998362011651</v>
      </c>
      <c r="AH496">
        <f t="shared" si="422"/>
        <v>-1484.7911657725563</v>
      </c>
      <c r="AJ496">
        <f t="shared" si="393"/>
        <v>22100</v>
      </c>
      <c r="AK496">
        <f t="shared" si="394"/>
        <v>4001.954491004652</v>
      </c>
      <c r="AL496">
        <v>1</v>
      </c>
      <c r="AM496">
        <f t="shared" si="395"/>
        <v>109.82367270826813</v>
      </c>
      <c r="AN496">
        <f t="shared" si="423"/>
        <v>38.268959591913003</v>
      </c>
      <c r="AO496">
        <f t="shared" si="424"/>
        <v>-200.88320210354027</v>
      </c>
      <c r="AQ496">
        <f t="shared" si="396"/>
        <v>1.2574818598810598E-3</v>
      </c>
      <c r="AR496">
        <f t="shared" si="397"/>
        <v>-3.5460988448645887</v>
      </c>
      <c r="AT496">
        <f t="shared" si="418"/>
        <v>-5264.5811466184723</v>
      </c>
      <c r="AU496">
        <f t="shared" si="419"/>
        <v>-1792.8242614708454</v>
      </c>
      <c r="AV496">
        <f t="shared" si="407"/>
        <v>-2.8133661314211205</v>
      </c>
      <c r="AW496">
        <f t="shared" si="408"/>
        <v>-535.01693859986619</v>
      </c>
      <c r="AX496">
        <f t="shared" si="409"/>
        <v>-2029.326907296253</v>
      </c>
      <c r="AY496">
        <f t="shared" si="417"/>
        <v>-1.8285732616319774</v>
      </c>
      <c r="BA496">
        <f t="shared" si="398"/>
        <v>2.6500025056136782</v>
      </c>
      <c r="BB496">
        <f t="shared" si="410"/>
        <v>8.4649256913677036</v>
      </c>
      <c r="BC496">
        <f t="shared" si="411"/>
        <v>-0.98479286978914304</v>
      </c>
      <c r="BD496">
        <f t="shared" si="399"/>
        <v>-236.42447519796869</v>
      </c>
      <c r="BF496">
        <f t="shared" si="400"/>
        <v>-46.763813880389634</v>
      </c>
      <c r="BG496">
        <f t="shared" si="401"/>
        <v>-226.16666006929793</v>
      </c>
      <c r="BH496">
        <f t="shared" si="412"/>
        <v>-46.166660069297933</v>
      </c>
      <c r="BI496">
        <f t="shared" si="413"/>
        <v>-46.166660069297933</v>
      </c>
      <c r="BJ496">
        <f t="shared" si="402"/>
        <v>0</v>
      </c>
      <c r="BK496">
        <f t="shared" si="414"/>
        <v>0</v>
      </c>
      <c r="BM496">
        <f t="shared" si="415"/>
        <v>-55.228739571757338</v>
      </c>
      <c r="BN496">
        <f t="shared" si="403"/>
        <v>-169.74218487132924</v>
      </c>
      <c r="BQ496" s="56">
        <f t="shared" si="416"/>
        <v>25.366886491652842</v>
      </c>
    </row>
    <row r="497" spans="1:69" x14ac:dyDescent="0.2">
      <c r="A497">
        <f t="shared" si="420"/>
        <v>1415000</v>
      </c>
      <c r="B497">
        <f t="shared" si="404"/>
        <v>1415</v>
      </c>
      <c r="C497">
        <f t="shared" si="373"/>
        <v>1.015685910999506</v>
      </c>
      <c r="D497">
        <f t="shared" si="374"/>
        <v>0.17597487730423109</v>
      </c>
      <c r="F497">
        <f t="shared" si="375"/>
        <v>1.1289749521586263E-4</v>
      </c>
      <c r="G497">
        <f t="shared" si="376"/>
        <v>3.6539376870150606E-3</v>
      </c>
      <c r="H497">
        <f t="shared" si="377"/>
        <v>-3.1379387123129852</v>
      </c>
      <c r="J497">
        <f t="shared" si="378"/>
        <v>15</v>
      </c>
      <c r="M497">
        <f t="shared" si="379"/>
        <v>1.2826251609356985E-3</v>
      </c>
      <c r="N497">
        <f t="shared" si="380"/>
        <v>-1.5707963250000001</v>
      </c>
      <c r="O497">
        <f t="shared" si="381"/>
        <v>168.86416282587666</v>
      </c>
      <c r="P497">
        <f t="shared" si="382"/>
        <v>1.5648743725553891</v>
      </c>
      <c r="Q497">
        <f t="shared" si="383"/>
        <v>110.217654927834</v>
      </c>
      <c r="R497">
        <f t="shared" si="384"/>
        <v>1.5617232457089314</v>
      </c>
      <c r="S497">
        <f t="shared" si="385"/>
        <v>0.98388585920035121</v>
      </c>
      <c r="T497">
        <f t="shared" si="386"/>
        <v>-0.17976431973945431</v>
      </c>
      <c r="U497">
        <f t="shared" si="387"/>
        <v>0.32661561774341213</v>
      </c>
      <c r="V497">
        <f t="shared" si="388"/>
        <v>-1.2380757384840229</v>
      </c>
      <c r="X497">
        <f t="shared" si="405"/>
        <v>-37.591898540968558</v>
      </c>
      <c r="Y497">
        <f t="shared" si="389"/>
        <v>-161.80343049702</v>
      </c>
      <c r="Z497">
        <f t="shared" si="406"/>
        <v>18.196569502979997</v>
      </c>
      <c r="AC497">
        <v>1</v>
      </c>
      <c r="AD497">
        <f t="shared" si="390"/>
        <v>168.86120184010349</v>
      </c>
      <c r="AE497">
        <f t="shared" si="391"/>
        <v>-0.10208809419829011</v>
      </c>
      <c r="AF497">
        <f t="shared" si="392"/>
        <v>3.5278326167616003E-2</v>
      </c>
      <c r="AG497">
        <f t="shared" si="421"/>
        <v>501.86711960990982</v>
      </c>
      <c r="AH497">
        <f t="shared" si="422"/>
        <v>-1480.6444481969268</v>
      </c>
      <c r="AJ497">
        <f t="shared" si="393"/>
        <v>22100</v>
      </c>
      <c r="AK497">
        <f t="shared" si="394"/>
        <v>4016.1458189869386</v>
      </c>
      <c r="AL497">
        <v>1</v>
      </c>
      <c r="AM497">
        <f t="shared" si="395"/>
        <v>110.21311835616979</v>
      </c>
      <c r="AN497">
        <f t="shared" si="423"/>
        <v>38.256056687378454</v>
      </c>
      <c r="AO497">
        <f t="shared" si="424"/>
        <v>-200.17348453944362</v>
      </c>
      <c r="AQ497">
        <f t="shared" si="396"/>
        <v>1.2486107644482057E-3</v>
      </c>
      <c r="AR497">
        <f t="shared" si="397"/>
        <v>-3.5335684633884226</v>
      </c>
      <c r="AT497">
        <f t="shared" si="418"/>
        <v>-5231.3318909519458</v>
      </c>
      <c r="AU497">
        <f t="shared" si="419"/>
        <v>-1775.2305752615018</v>
      </c>
      <c r="AV497">
        <f t="shared" si="407"/>
        <v>-2.8144406626426743</v>
      </c>
      <c r="AW497">
        <f t="shared" si="408"/>
        <v>-530.88439998918318</v>
      </c>
      <c r="AX497">
        <f t="shared" si="409"/>
        <v>-2022.4029788716966</v>
      </c>
      <c r="AY497">
        <f t="shared" si="417"/>
        <v>-1.8275063308808333</v>
      </c>
      <c r="BA497">
        <f t="shared" si="398"/>
        <v>2.6420577709406987</v>
      </c>
      <c r="BB497">
        <f t="shared" si="410"/>
        <v>8.4388461923412095</v>
      </c>
      <c r="BC497">
        <f t="shared" si="411"/>
        <v>-0.98693433176184109</v>
      </c>
      <c r="BD497">
        <f t="shared" si="399"/>
        <v>-236.54717193113225</v>
      </c>
      <c r="BF497">
        <f t="shared" si="400"/>
        <v>-46.850453929858638</v>
      </c>
      <c r="BG497">
        <f t="shared" si="401"/>
        <v>-226.25519894143727</v>
      </c>
      <c r="BH497">
        <f t="shared" si="412"/>
        <v>-46.255198941437271</v>
      </c>
      <c r="BI497">
        <f t="shared" si="413"/>
        <v>-46.255198941437271</v>
      </c>
      <c r="BJ497">
        <f t="shared" si="402"/>
        <v>0</v>
      </c>
      <c r="BK497">
        <f t="shared" si="414"/>
        <v>0</v>
      </c>
      <c r="BM497">
        <f t="shared" si="415"/>
        <v>-55.289300122199847</v>
      </c>
      <c r="BN497">
        <f t="shared" si="403"/>
        <v>-169.70802701030502</v>
      </c>
      <c r="BQ497" s="56">
        <f t="shared" si="416"/>
        <v>25.340806992626348</v>
      </c>
    </row>
    <row r="498" spans="1:69" x14ac:dyDescent="0.2">
      <c r="A498">
        <f t="shared" si="420"/>
        <v>1420000</v>
      </c>
      <c r="B498">
        <f t="shared" si="404"/>
        <v>1420</v>
      </c>
      <c r="C498">
        <f t="shared" si="373"/>
        <v>1.0157960978612792</v>
      </c>
      <c r="D498">
        <f t="shared" si="374"/>
        <v>0.17658387258375574</v>
      </c>
      <c r="F498">
        <f t="shared" si="375"/>
        <v>1.1210375812976663E-4</v>
      </c>
      <c r="G498">
        <f t="shared" si="376"/>
        <v>3.641068922581002E-3</v>
      </c>
      <c r="H498">
        <f t="shared" si="377"/>
        <v>-3.1379515810774192</v>
      </c>
      <c r="J498">
        <f t="shared" si="378"/>
        <v>15</v>
      </c>
      <c r="M498">
        <f t="shared" si="379"/>
        <v>1.278108875157756E-3</v>
      </c>
      <c r="N498">
        <f t="shared" si="380"/>
        <v>-1.5707963250000001</v>
      </c>
      <c r="O498">
        <f t="shared" si="381"/>
        <v>169.46083509206679</v>
      </c>
      <c r="P498">
        <f t="shared" si="382"/>
        <v>1.5648952240219995</v>
      </c>
      <c r="Q498">
        <f t="shared" si="383"/>
        <v>110.6070846025458</v>
      </c>
      <c r="R498">
        <f t="shared" si="384"/>
        <v>1.5617551914335275</v>
      </c>
      <c r="S498">
        <f t="shared" si="385"/>
        <v>0.98377453872928045</v>
      </c>
      <c r="T498">
        <f t="shared" si="386"/>
        <v>-0.18038586260925241</v>
      </c>
      <c r="U498">
        <f t="shared" si="387"/>
        <v>0.32558766950150941</v>
      </c>
      <c r="V498">
        <f t="shared" si="388"/>
        <v>-1.2391631293281302</v>
      </c>
      <c r="X498">
        <f t="shared" si="405"/>
        <v>-37.649967264512028</v>
      </c>
      <c r="Y498">
        <f t="shared" si="389"/>
        <v>-161.86416459676701</v>
      </c>
      <c r="Z498">
        <f t="shared" si="406"/>
        <v>18.135835403232988</v>
      </c>
      <c r="AC498">
        <v>1</v>
      </c>
      <c r="AD498">
        <f t="shared" si="390"/>
        <v>169.45788453211802</v>
      </c>
      <c r="AE498">
        <f t="shared" si="391"/>
        <v>-0.10281083951175925</v>
      </c>
      <c r="AF498">
        <f t="shared" si="392"/>
        <v>3.5402984563968003E-2</v>
      </c>
      <c r="AG498">
        <f t="shared" si="421"/>
        <v>498.71306593467375</v>
      </c>
      <c r="AH498">
        <f t="shared" si="422"/>
        <v>-1476.5170119987285</v>
      </c>
      <c r="AJ498">
        <f t="shared" si="393"/>
        <v>22100</v>
      </c>
      <c r="AK498">
        <f t="shared" si="394"/>
        <v>4030.3371469692242</v>
      </c>
      <c r="AL498">
        <v>1</v>
      </c>
      <c r="AM498">
        <f t="shared" si="395"/>
        <v>110.60256400407144</v>
      </c>
      <c r="AN498">
        <f t="shared" si="423"/>
        <v>38.243289826173118</v>
      </c>
      <c r="AO498">
        <f t="shared" si="424"/>
        <v>-199.46876375634207</v>
      </c>
      <c r="AQ498">
        <f t="shared" si="396"/>
        <v>1.2398332126768979E-3</v>
      </c>
      <c r="AR498">
        <f t="shared" si="397"/>
        <v>-3.52112632400239</v>
      </c>
      <c r="AT498">
        <f t="shared" si="418"/>
        <v>-5198.3845977633337</v>
      </c>
      <c r="AU498">
        <f t="shared" si="419"/>
        <v>-1757.8623394170777</v>
      </c>
      <c r="AV498">
        <f t="shared" si="407"/>
        <v>-2.8155084462344195</v>
      </c>
      <c r="AW498">
        <f t="shared" si="408"/>
        <v>-526.79670160474927</v>
      </c>
      <c r="AX498">
        <f t="shared" si="409"/>
        <v>-2015.5256539270538</v>
      </c>
      <c r="AY498">
        <f t="shared" si="417"/>
        <v>-1.8264466335748499</v>
      </c>
      <c r="BA498">
        <f t="shared" si="398"/>
        <v>2.634154643510846</v>
      </c>
      <c r="BB498">
        <f t="shared" si="410"/>
        <v>8.412825350647239</v>
      </c>
      <c r="BC498">
        <f t="shared" si="411"/>
        <v>-0.98906181265956961</v>
      </c>
      <c r="BD498">
        <f t="shared" si="399"/>
        <v>-236.6690676077061</v>
      </c>
      <c r="BF498">
        <f t="shared" si="400"/>
        <v>-46.936815225102329</v>
      </c>
      <c r="BG498">
        <f t="shared" si="401"/>
        <v>-226.34293908460154</v>
      </c>
      <c r="BH498">
        <f t="shared" si="412"/>
        <v>-46.342939084601539</v>
      </c>
      <c r="BI498">
        <f t="shared" si="413"/>
        <v>-46.342939084601539</v>
      </c>
      <c r="BJ498">
        <f t="shared" si="402"/>
        <v>0</v>
      </c>
      <c r="BK498">
        <f t="shared" si="414"/>
        <v>0</v>
      </c>
      <c r="BM498">
        <f t="shared" si="415"/>
        <v>-55.349640575749568</v>
      </c>
      <c r="BN498">
        <f t="shared" si="403"/>
        <v>-169.67387147689544</v>
      </c>
      <c r="BQ498" s="56">
        <f t="shared" si="416"/>
        <v>25.314786150932377</v>
      </c>
    </row>
    <row r="499" spans="1:69" x14ac:dyDescent="0.2">
      <c r="A499">
        <f t="shared" si="420"/>
        <v>1425000</v>
      </c>
      <c r="B499">
        <f t="shared" si="404"/>
        <v>1425</v>
      </c>
      <c r="C499">
        <f t="shared" si="373"/>
        <v>1.0159066613748811</v>
      </c>
      <c r="D499">
        <f t="shared" si="374"/>
        <v>0.17719273553227174</v>
      </c>
      <c r="F499">
        <f t="shared" si="375"/>
        <v>1.113183626755775E-4</v>
      </c>
      <c r="G499">
        <f t="shared" si="376"/>
        <v>3.6282904944488462E-3</v>
      </c>
      <c r="H499">
        <f t="shared" si="377"/>
        <v>-3.1379643595055513</v>
      </c>
      <c r="J499">
        <f t="shared" si="378"/>
        <v>15</v>
      </c>
      <c r="M499">
        <f t="shared" si="379"/>
        <v>1.2736242826133428E-3</v>
      </c>
      <c r="N499">
        <f t="shared" si="380"/>
        <v>-1.5707963250000001</v>
      </c>
      <c r="O499">
        <f t="shared" si="381"/>
        <v>170.05750743141866</v>
      </c>
      <c r="P499">
        <f t="shared" si="382"/>
        <v>1.5649159291676062</v>
      </c>
      <c r="Q499">
        <f t="shared" si="383"/>
        <v>110.99651438934329</v>
      </c>
      <c r="R499">
        <f t="shared" si="384"/>
        <v>1.5617869129958604</v>
      </c>
      <c r="S499">
        <f t="shared" si="385"/>
        <v>0.98366286357057342</v>
      </c>
      <c r="T499">
        <f t="shared" si="386"/>
        <v>-0.18100726460766767</v>
      </c>
      <c r="U499">
        <f t="shared" si="387"/>
        <v>0.32456579125709456</v>
      </c>
      <c r="V499">
        <f t="shared" si="388"/>
        <v>-1.2402436957483509</v>
      </c>
      <c r="X499">
        <f t="shared" si="405"/>
        <v>-37.707852452697772</v>
      </c>
      <c r="Y499">
        <f t="shared" si="389"/>
        <v>-161.92452324773859</v>
      </c>
      <c r="Z499">
        <f t="shared" si="406"/>
        <v>18.075476752261409</v>
      </c>
      <c r="AC499">
        <v>1</v>
      </c>
      <c r="AD499">
        <f t="shared" si="390"/>
        <v>170.05456722413251</v>
      </c>
      <c r="AE499">
        <f t="shared" si="391"/>
        <v>-0.10353613419141348</v>
      </c>
      <c r="AF499">
        <f t="shared" si="392"/>
        <v>3.5527642960320002E-2</v>
      </c>
      <c r="AG499">
        <f t="shared" si="421"/>
        <v>495.58749125399601</v>
      </c>
      <c r="AH499">
        <f t="shared" si="422"/>
        <v>-1472.4087679130546</v>
      </c>
      <c r="AJ499">
        <f t="shared" si="393"/>
        <v>22100</v>
      </c>
      <c r="AK499">
        <f t="shared" si="394"/>
        <v>4044.5284749515108</v>
      </c>
      <c r="AL499">
        <v>1</v>
      </c>
      <c r="AM499">
        <f t="shared" si="395"/>
        <v>110.99200965197311</v>
      </c>
      <c r="AN499">
        <f t="shared" si="423"/>
        <v>38.230657102529442</v>
      </c>
      <c r="AO499">
        <f t="shared" si="424"/>
        <v>-198.7689871737112</v>
      </c>
      <c r="AQ499">
        <f t="shared" si="396"/>
        <v>1.2311478939799453E-3</v>
      </c>
      <c r="AR499">
        <f t="shared" si="397"/>
        <v>-3.5087714978428441</v>
      </c>
      <c r="AT499">
        <f t="shared" si="418"/>
        <v>-5165.7357765310844</v>
      </c>
      <c r="AU499">
        <f t="shared" si="419"/>
        <v>-1740.7160169531546</v>
      </c>
      <c r="AV499">
        <f t="shared" si="407"/>
        <v>-2.8165695429919548</v>
      </c>
      <c r="AW499">
        <f t="shared" si="408"/>
        <v>-522.75319600381511</v>
      </c>
      <c r="AX499">
        <f t="shared" si="409"/>
        <v>-2008.6944653808948</v>
      </c>
      <c r="AY499">
        <f t="shared" si="417"/>
        <v>-1.8253940937464472</v>
      </c>
      <c r="BA499">
        <f t="shared" si="398"/>
        <v>2.6262928729226656</v>
      </c>
      <c r="BB499">
        <f t="shared" si="410"/>
        <v>8.3868631022583546</v>
      </c>
      <c r="BC499">
        <f t="shared" si="411"/>
        <v>-0.9911754492455076</v>
      </c>
      <c r="BD499">
        <f t="shared" si="399"/>
        <v>-236.79017006364316</v>
      </c>
      <c r="BF499">
        <f t="shared" si="400"/>
        <v>-47.022899358031374</v>
      </c>
      <c r="BG499">
        <f t="shared" si="401"/>
        <v>-226.42988841324848</v>
      </c>
      <c r="BH499">
        <f t="shared" si="412"/>
        <v>-46.429888413248477</v>
      </c>
      <c r="BI499">
        <f t="shared" si="413"/>
        <v>-46.429888413248477</v>
      </c>
      <c r="BJ499">
        <f t="shared" si="402"/>
        <v>0</v>
      </c>
      <c r="BK499">
        <f t="shared" si="414"/>
        <v>0</v>
      </c>
      <c r="BM499">
        <f t="shared" si="415"/>
        <v>-55.409762460289727</v>
      </c>
      <c r="BN499">
        <f t="shared" si="403"/>
        <v>-169.63971834960535</v>
      </c>
      <c r="BQ499" s="56">
        <f t="shared" si="416"/>
        <v>25.288823902543491</v>
      </c>
    </row>
    <row r="500" spans="1:69" x14ac:dyDescent="0.2">
      <c r="A500">
        <f t="shared" si="420"/>
        <v>1430000</v>
      </c>
      <c r="B500">
        <f t="shared" si="404"/>
        <v>1430</v>
      </c>
      <c r="C500">
        <f t="shared" si="373"/>
        <v>1.0160176014173488</v>
      </c>
      <c r="D500">
        <f t="shared" si="374"/>
        <v>0.17780146574162581</v>
      </c>
      <c r="F500">
        <f t="shared" si="375"/>
        <v>1.1054119237097708E-4</v>
      </c>
      <c r="G500">
        <f t="shared" si="376"/>
        <v>3.6156014546289239E-3</v>
      </c>
      <c r="H500">
        <f t="shared" si="377"/>
        <v>-3.1379770485453711</v>
      </c>
      <c r="J500">
        <f t="shared" si="378"/>
        <v>15</v>
      </c>
      <c r="M500">
        <f t="shared" si="379"/>
        <v>1.2691710508559533E-3</v>
      </c>
      <c r="N500">
        <f t="shared" si="380"/>
        <v>-1.5707963250000001</v>
      </c>
      <c r="O500">
        <f t="shared" si="381"/>
        <v>170.65417984316491</v>
      </c>
      <c r="P500">
        <f t="shared" si="382"/>
        <v>1.5649364895269742</v>
      </c>
      <c r="Q500">
        <f t="shared" si="383"/>
        <v>111.38594428705088</v>
      </c>
      <c r="R500">
        <f t="shared" si="384"/>
        <v>1.5618184127470285</v>
      </c>
      <c r="S500">
        <f t="shared" si="385"/>
        <v>0.98355083410369537</v>
      </c>
      <c r="T500">
        <f t="shared" si="386"/>
        <v>-0.18162852530285359</v>
      </c>
      <c r="U500">
        <f t="shared" si="387"/>
        <v>0.32354993316140446</v>
      </c>
      <c r="V500">
        <f t="shared" si="388"/>
        <v>-1.2413174992886544</v>
      </c>
      <c r="X500">
        <f t="shared" si="405"/>
        <v>-37.765555209565058</v>
      </c>
      <c r="Y500">
        <f t="shared" si="389"/>
        <v>-161.98450980645919</v>
      </c>
      <c r="Z500">
        <f t="shared" si="406"/>
        <v>18.015490193540813</v>
      </c>
      <c r="AC500">
        <v>1</v>
      </c>
      <c r="AD500">
        <f t="shared" si="390"/>
        <v>170.65124991614701</v>
      </c>
      <c r="AE500">
        <f t="shared" si="391"/>
        <v>-0.10426397823725277</v>
      </c>
      <c r="AF500">
        <f t="shared" si="392"/>
        <v>3.5652301356672009E-2</v>
      </c>
      <c r="AG500">
        <f t="shared" si="421"/>
        <v>492.49006872678211</v>
      </c>
      <c r="AH500">
        <f t="shared" si="422"/>
        <v>-1468.3196263849513</v>
      </c>
      <c r="AJ500">
        <f t="shared" si="393"/>
        <v>22100</v>
      </c>
      <c r="AK500">
        <f t="shared" si="394"/>
        <v>4058.7198029337965</v>
      </c>
      <c r="AL500">
        <v>1</v>
      </c>
      <c r="AM500">
        <f t="shared" si="395"/>
        <v>111.38145529987477</v>
      </c>
      <c r="AN500">
        <f t="shared" si="423"/>
        <v>38.218156643933732</v>
      </c>
      <c r="AO500">
        <f t="shared" si="424"/>
        <v>-198.07410294612009</v>
      </c>
      <c r="AQ500">
        <f t="shared" si="396"/>
        <v>1.2225535206423883E-3</v>
      </c>
      <c r="AR500">
        <f t="shared" si="397"/>
        <v>-3.4965030690372307</v>
      </c>
      <c r="AT500">
        <f t="shared" si="418"/>
        <v>-5133.3819845151793</v>
      </c>
      <c r="AU500">
        <f t="shared" si="419"/>
        <v>-1723.7881361022155</v>
      </c>
      <c r="AV500">
        <f t="shared" si="407"/>
        <v>-2.8176240130160721</v>
      </c>
      <c r="AW500">
        <f t="shared" si="408"/>
        <v>-518.75324738336712</v>
      </c>
      <c r="AX500">
        <f t="shared" si="409"/>
        <v>-2001.908952393233</v>
      </c>
      <c r="AY500">
        <f t="shared" si="417"/>
        <v>-1.8243486364459272</v>
      </c>
      <c r="BA500">
        <f t="shared" si="398"/>
        <v>2.6184722093083521</v>
      </c>
      <c r="BB500">
        <f t="shared" si="410"/>
        <v>8.360959379085946</v>
      </c>
      <c r="BC500">
        <f t="shared" si="411"/>
        <v>-0.99327537657014497</v>
      </c>
      <c r="BD500">
        <f t="shared" si="399"/>
        <v>-236.91048703676654</v>
      </c>
      <c r="BF500">
        <f t="shared" si="400"/>
        <v>-47.108707908583575</v>
      </c>
      <c r="BG500">
        <f t="shared" si="401"/>
        <v>-226.5160547429025</v>
      </c>
      <c r="BH500">
        <f t="shared" si="412"/>
        <v>-46.516054742902497</v>
      </c>
      <c r="BI500">
        <f t="shared" si="413"/>
        <v>-46.516054742902497</v>
      </c>
      <c r="BJ500">
        <f t="shared" si="402"/>
        <v>0</v>
      </c>
      <c r="BK500">
        <f t="shared" si="414"/>
        <v>0</v>
      </c>
      <c r="BM500">
        <f t="shared" si="415"/>
        <v>-55.469667287669523</v>
      </c>
      <c r="BN500">
        <f t="shared" si="403"/>
        <v>-169.60556770613596</v>
      </c>
      <c r="BQ500" s="56">
        <f t="shared" si="416"/>
        <v>25.262920179371086</v>
      </c>
    </row>
    <row r="501" spans="1:69" x14ac:dyDescent="0.2">
      <c r="A501">
        <f t="shared" si="420"/>
        <v>1435000</v>
      </c>
      <c r="B501">
        <f t="shared" si="404"/>
        <v>1435</v>
      </c>
      <c r="C501">
        <f t="shared" si="373"/>
        <v>1.0161289178653556</v>
      </c>
      <c r="D501">
        <f t="shared" si="374"/>
        <v>0.1784100628042361</v>
      </c>
      <c r="F501">
        <f t="shared" si="375"/>
        <v>1.0977213275983659E-4</v>
      </c>
      <c r="G501">
        <f t="shared" si="376"/>
        <v>3.6030008683510029E-3</v>
      </c>
      <c r="H501">
        <f t="shared" si="377"/>
        <v>-3.137989649131649</v>
      </c>
      <c r="J501">
        <f t="shared" si="378"/>
        <v>15</v>
      </c>
      <c r="M501">
        <f t="shared" si="379"/>
        <v>1.2647488520724831E-3</v>
      </c>
      <c r="N501">
        <f t="shared" si="380"/>
        <v>-1.5707963250000001</v>
      </c>
      <c r="O501">
        <f t="shared" si="381"/>
        <v>171.25085232654882</v>
      </c>
      <c r="P501">
        <f t="shared" si="382"/>
        <v>1.564956906613479</v>
      </c>
      <c r="Q501">
        <f t="shared" si="383"/>
        <v>111.77537429450929</v>
      </c>
      <c r="R501">
        <f t="shared" si="384"/>
        <v>1.5618496930053667</v>
      </c>
      <c r="S501">
        <f t="shared" si="385"/>
        <v>0.98343845070908076</v>
      </c>
      <c r="T501">
        <f t="shared" si="386"/>
        <v>-0.1822496442635963</v>
      </c>
      <c r="U501">
        <f t="shared" si="387"/>
        <v>0.32254004585883556</v>
      </c>
      <c r="V501">
        <f t="shared" si="388"/>
        <v>-1.2423846007874391</v>
      </c>
      <c r="X501">
        <f t="shared" si="405"/>
        <v>-37.823076629671931</v>
      </c>
      <c r="Y501">
        <f t="shared" si="389"/>
        <v>-162.0441275913758</v>
      </c>
      <c r="Z501">
        <f t="shared" si="406"/>
        <v>17.955872408624202</v>
      </c>
      <c r="AC501">
        <v>1</v>
      </c>
      <c r="AD501">
        <f t="shared" si="390"/>
        <v>171.24793260816151</v>
      </c>
      <c r="AE501">
        <f t="shared" si="391"/>
        <v>-0.10499437164927715</v>
      </c>
      <c r="AF501">
        <f t="shared" si="392"/>
        <v>3.5776959753024008E-2</v>
      </c>
      <c r="AG501">
        <f t="shared" si="421"/>
        <v>489.42047594311947</v>
      </c>
      <c r="AH501">
        <f t="shared" si="422"/>
        <v>-1464.2494975976849</v>
      </c>
      <c r="AJ501">
        <f t="shared" si="393"/>
        <v>22100</v>
      </c>
      <c r="AK501">
        <f t="shared" si="394"/>
        <v>4072.9111309160826</v>
      </c>
      <c r="AL501">
        <v>1</v>
      </c>
      <c r="AM501">
        <f t="shared" si="395"/>
        <v>111.77090094777643</v>
      </c>
      <c r="AN501">
        <f t="shared" si="423"/>
        <v>38.205786610432313</v>
      </c>
      <c r="AO501">
        <f t="shared" si="424"/>
        <v>-197.38405995043081</v>
      </c>
      <c r="AQ501">
        <f t="shared" si="396"/>
        <v>1.2140488273441675E-3</v>
      </c>
      <c r="AR501">
        <f t="shared" si="397"/>
        <v>-3.4843201344777603</v>
      </c>
      <c r="AT501">
        <f t="shared" si="418"/>
        <v>-5101.3198260236622</v>
      </c>
      <c r="AU501">
        <f t="shared" si="419"/>
        <v>-1707.0752889397972</v>
      </c>
      <c r="AV501">
        <f t="shared" si="407"/>
        <v>-2.8186719157221045</v>
      </c>
      <c r="AW501">
        <f t="shared" si="408"/>
        <v>-514.79623133038365</v>
      </c>
      <c r="AX501">
        <f t="shared" si="409"/>
        <v>-1995.1686602604939</v>
      </c>
      <c r="AY501">
        <f t="shared" si="417"/>
        <v>-1.8233101877254596</v>
      </c>
      <c r="BA501">
        <f t="shared" si="398"/>
        <v>2.6106924033784389</v>
      </c>
      <c r="BB501">
        <f t="shared" si="410"/>
        <v>8.3351141091141816</v>
      </c>
      <c r="BC501">
        <f t="shared" si="411"/>
        <v>-0.99536172799664491</v>
      </c>
      <c r="BD501">
        <f t="shared" si="399"/>
        <v>-237.03002616822269</v>
      </c>
      <c r="BF501">
        <f t="shared" si="400"/>
        <v>-47.19424244481398</v>
      </c>
      <c r="BG501">
        <f t="shared" si="401"/>
        <v>-226.60144579162113</v>
      </c>
      <c r="BH501">
        <f t="shared" si="412"/>
        <v>-46.601445791621131</v>
      </c>
      <c r="BI501">
        <f t="shared" si="413"/>
        <v>-46.601445791621131</v>
      </c>
      <c r="BJ501">
        <f t="shared" si="402"/>
        <v>0</v>
      </c>
      <c r="BK501">
        <f t="shared" si="414"/>
        <v>0</v>
      </c>
      <c r="BM501">
        <f t="shared" si="415"/>
        <v>-55.52935655392816</v>
      </c>
      <c r="BN501">
        <f t="shared" si="403"/>
        <v>-169.57141962339841</v>
      </c>
      <c r="BQ501" s="56">
        <f t="shared" si="416"/>
        <v>25.237074909399318</v>
      </c>
    </row>
    <row r="502" spans="1:69" x14ac:dyDescent="0.2">
      <c r="A502">
        <f t="shared" si="420"/>
        <v>1440000</v>
      </c>
      <c r="B502">
        <f t="shared" si="404"/>
        <v>1440</v>
      </c>
      <c r="C502">
        <f t="shared" si="373"/>
        <v>1.01624061059521</v>
      </c>
      <c r="D502">
        <f t="shared" si="374"/>
        <v>0.17901852631309356</v>
      </c>
      <c r="F502">
        <f t="shared" si="375"/>
        <v>1.0901107137006768E-4</v>
      </c>
      <c r="G502">
        <f t="shared" si="376"/>
        <v>3.5904878138346371E-3</v>
      </c>
      <c r="H502">
        <f t="shared" si="377"/>
        <v>-3.1380021621861656</v>
      </c>
      <c r="J502">
        <f t="shared" si="378"/>
        <v>15</v>
      </c>
      <c r="M502">
        <f t="shared" si="379"/>
        <v>1.2603573630027873E-3</v>
      </c>
      <c r="N502">
        <f t="shared" si="380"/>
        <v>-1.5707963250000001</v>
      </c>
      <c r="O502">
        <f t="shared" si="381"/>
        <v>171.84752488082421</v>
      </c>
      <c r="P502">
        <f t="shared" si="382"/>
        <v>1.5649771819194789</v>
      </c>
      <c r="Q502">
        <f t="shared" si="383"/>
        <v>112.16480441057541</v>
      </c>
      <c r="R502">
        <f t="shared" si="384"/>
        <v>1.5618807560570152</v>
      </c>
      <c r="S502">
        <f t="shared" si="385"/>
        <v>0.98332571376813105</v>
      </c>
      <c r="T502">
        <f t="shared" si="386"/>
        <v>-0.18287062105931609</v>
      </c>
      <c r="U502">
        <f t="shared" si="387"/>
        <v>0.32153608048177434</v>
      </c>
      <c r="V502">
        <f t="shared" si="388"/>
        <v>-1.2434450603870895</v>
      </c>
      <c r="X502">
        <f t="shared" si="405"/>
        <v>-37.880417798198984</v>
      </c>
      <c r="Y502">
        <f t="shared" si="389"/>
        <v>-162.10337988336491</v>
      </c>
      <c r="Z502">
        <f t="shared" si="406"/>
        <v>17.896620116635091</v>
      </c>
      <c r="AC502">
        <v>1</v>
      </c>
      <c r="AD502">
        <f t="shared" si="390"/>
        <v>171.844615300176</v>
      </c>
      <c r="AE502">
        <f t="shared" si="391"/>
        <v>-0.1057273144274866</v>
      </c>
      <c r="AF502">
        <f t="shared" si="392"/>
        <v>3.5901618149376008E-2</v>
      </c>
      <c r="AG502">
        <f t="shared" si="421"/>
        <v>486.37839485722759</v>
      </c>
      <c r="AH502">
        <f t="shared" si="422"/>
        <v>-1460.1982915000583</v>
      </c>
      <c r="AJ502">
        <f t="shared" si="393"/>
        <v>22100</v>
      </c>
      <c r="AK502">
        <f t="shared" si="394"/>
        <v>4087.1024588983687</v>
      </c>
      <c r="AL502">
        <v>1</v>
      </c>
      <c r="AM502">
        <f t="shared" si="395"/>
        <v>112.16034659567809</v>
      </c>
      <c r="AN502">
        <f t="shared" si="423"/>
        <v>38.193545193954513</v>
      </c>
      <c r="AO502">
        <f t="shared" si="424"/>
        <v>-196.69880777326483</v>
      </c>
      <c r="AQ502">
        <f t="shared" si="396"/>
        <v>1.2056325706943755E-3</v>
      </c>
      <c r="AR502">
        <f t="shared" si="397"/>
        <v>-3.472221803599802</v>
      </c>
      <c r="AT502">
        <f t="shared" si="418"/>
        <v>-5069.5459516911596</v>
      </c>
      <c r="AU502">
        <f t="shared" si="419"/>
        <v>-1690.5741300430441</v>
      </c>
      <c r="AV502">
        <f t="shared" si="407"/>
        <v>-2.8197133098491358</v>
      </c>
      <c r="AW502">
        <f t="shared" si="408"/>
        <v>-510.88153457830009</v>
      </c>
      <c r="AX502">
        <f t="shared" si="409"/>
        <v>-1988.4731403126464</v>
      </c>
      <c r="AY502">
        <f t="shared" si="417"/>
        <v>-1.8222786746233393</v>
      </c>
      <c r="BA502">
        <f t="shared" si="398"/>
        <v>2.6029532064644809</v>
      </c>
      <c r="BB502">
        <f t="shared" si="410"/>
        <v>8.3093272165302352</v>
      </c>
      <c r="BC502">
        <f t="shared" si="411"/>
        <v>-0.99743463522579656</v>
      </c>
      <c r="BD502">
        <f t="shared" si="399"/>
        <v>-237.14879500391095</v>
      </c>
      <c r="BF502">
        <f t="shared" si="400"/>
        <v>-47.27950452298478</v>
      </c>
      <c r="BG502">
        <f t="shared" si="401"/>
        <v>-226.68606918143772</v>
      </c>
      <c r="BH502">
        <f t="shared" si="412"/>
        <v>-46.686069181437716</v>
      </c>
      <c r="BI502">
        <f t="shared" si="413"/>
        <v>-46.686069181437716</v>
      </c>
      <c r="BJ502">
        <f t="shared" si="402"/>
        <v>0</v>
      </c>
      <c r="BK502">
        <f t="shared" si="414"/>
        <v>0</v>
      </c>
      <c r="BM502">
        <f t="shared" si="415"/>
        <v>-55.588831739515008</v>
      </c>
      <c r="BN502">
        <f t="shared" si="403"/>
        <v>-169.53727417752677</v>
      </c>
      <c r="BQ502" s="56">
        <f t="shared" si="416"/>
        <v>25.211288016815374</v>
      </c>
    </row>
    <row r="503" spans="1:69" x14ac:dyDescent="0.2">
      <c r="A503">
        <f t="shared" si="420"/>
        <v>1445000</v>
      </c>
      <c r="B503">
        <f t="shared" si="404"/>
        <v>1445</v>
      </c>
      <c r="C503">
        <f t="shared" si="373"/>
        <v>1.0163526794828563</v>
      </c>
      <c r="D503">
        <f t="shared" si="374"/>
        <v>0.1796268558617633</v>
      </c>
      <c r="F503">
        <f t="shared" si="375"/>
        <v>1.082578976724927E-4</v>
      </c>
      <c r="G503">
        <f t="shared" si="376"/>
        <v>3.5780613820642938E-3</v>
      </c>
      <c r="H503">
        <f t="shared" si="377"/>
        <v>-3.1380145886179358</v>
      </c>
      <c r="J503">
        <f t="shared" si="378"/>
        <v>15</v>
      </c>
      <c r="M503">
        <f t="shared" si="379"/>
        <v>1.2559962648609089E-3</v>
      </c>
      <c r="N503">
        <f t="shared" si="380"/>
        <v>-1.5707963250000001</v>
      </c>
      <c r="O503">
        <f t="shared" si="381"/>
        <v>172.44419750525518</v>
      </c>
      <c r="P503">
        <f t="shared" si="382"/>
        <v>1.5649973169166773</v>
      </c>
      <c r="Q503">
        <f t="shared" si="383"/>
        <v>112.55423463412188</v>
      </c>
      <c r="R503">
        <f t="shared" si="384"/>
        <v>1.561911604156476</v>
      </c>
      <c r="S503">
        <f t="shared" si="385"/>
        <v>0.98321262366321027</v>
      </c>
      <c r="T503">
        <f t="shared" si="386"/>
        <v>-0.18349145526006899</v>
      </c>
      <c r="U503">
        <f t="shared" si="387"/>
        <v>0.32053798864547145</v>
      </c>
      <c r="V503">
        <f t="shared" si="388"/>
        <v>-1.2444989375433917</v>
      </c>
      <c r="X503">
        <f t="shared" si="405"/>
        <v>-37.937579791051917</v>
      </c>
      <c r="Y503">
        <f t="shared" si="389"/>
        <v>-162.16226992623191</v>
      </c>
      <c r="Z503">
        <f t="shared" si="406"/>
        <v>17.837730073768086</v>
      </c>
      <c r="AC503">
        <v>1</v>
      </c>
      <c r="AD503">
        <f t="shared" si="390"/>
        <v>172.4412979921905</v>
      </c>
      <c r="AE503">
        <f t="shared" si="391"/>
        <v>-0.10646280657188113</v>
      </c>
      <c r="AF503">
        <f t="shared" si="392"/>
        <v>3.6026276545728007E-2</v>
      </c>
      <c r="AG503">
        <f t="shared" si="421"/>
        <v>483.36351172147045</v>
      </c>
      <c r="AH503">
        <f t="shared" si="422"/>
        <v>-1456.1659178327945</v>
      </c>
      <c r="AJ503">
        <f t="shared" si="393"/>
        <v>22100</v>
      </c>
      <c r="AK503">
        <f t="shared" si="394"/>
        <v>4101.2937868806539</v>
      </c>
      <c r="AL503">
        <v>1</v>
      </c>
      <c r="AM503">
        <f t="shared" si="395"/>
        <v>112.54979224357974</v>
      </c>
      <c r="AN503">
        <f t="shared" si="423"/>
        <v>38.181430617651962</v>
      </c>
      <c r="AO503">
        <f t="shared" si="424"/>
        <v>-196.01829669872924</v>
      </c>
      <c r="AQ503">
        <f t="shared" si="396"/>
        <v>1.1973035287767713E-3</v>
      </c>
      <c r="AR503">
        <f t="shared" si="397"/>
        <v>-3.460207198164869</v>
      </c>
      <c r="AT503">
        <f t="shared" si="418"/>
        <v>-5038.0570577691233</v>
      </c>
      <c r="AU503">
        <f t="shared" si="419"/>
        <v>-1674.2813751807867</v>
      </c>
      <c r="AV503">
        <f t="shared" si="407"/>
        <v>-2.8207482534690715</v>
      </c>
      <c r="AW503">
        <f t="shared" si="408"/>
        <v>-507.00855476951102</v>
      </c>
      <c r="AX503">
        <f t="shared" si="409"/>
        <v>-1981.8219498124181</v>
      </c>
      <c r="AY503">
        <f t="shared" si="417"/>
        <v>-1.821254025148519</v>
      </c>
      <c r="BA503">
        <f t="shared" si="398"/>
        <v>2.5952543705597964</v>
      </c>
      <c r="BB503">
        <f t="shared" si="410"/>
        <v>8.28359862185083</v>
      </c>
      <c r="BC503">
        <f t="shared" si="411"/>
        <v>-0.99949422832055257</v>
      </c>
      <c r="BD503">
        <f t="shared" si="399"/>
        <v>-237.26680099588961</v>
      </c>
      <c r="BF503">
        <f t="shared" si="400"/>
        <v>-47.364495687655108</v>
      </c>
      <c r="BG503">
        <f t="shared" si="401"/>
        <v>-226.76993243978032</v>
      </c>
      <c r="BH503">
        <f t="shared" si="412"/>
        <v>-46.76993243978032</v>
      </c>
      <c r="BI503">
        <f t="shared" si="413"/>
        <v>-46.76993243978032</v>
      </c>
      <c r="BJ503">
        <f t="shared" si="402"/>
        <v>0</v>
      </c>
      <c r="BK503">
        <f t="shared" si="414"/>
        <v>0</v>
      </c>
      <c r="BM503">
        <f t="shared" si="415"/>
        <v>-55.648094309505936</v>
      </c>
      <c r="BN503">
        <f t="shared" si="403"/>
        <v>-169.50313144389071</v>
      </c>
      <c r="BQ503" s="56">
        <f t="shared" si="416"/>
        <v>25.185559422135967</v>
      </c>
    </row>
    <row r="504" spans="1:69" x14ac:dyDescent="0.2">
      <c r="A504">
        <f t="shared" si="420"/>
        <v>1450000</v>
      </c>
      <c r="B504">
        <f t="shared" si="404"/>
        <v>1450</v>
      </c>
      <c r="C504">
        <f t="shared" si="373"/>
        <v>1.0164651244038767</v>
      </c>
      <c r="D504">
        <f t="shared" si="374"/>
        <v>0.18023505104438597</v>
      </c>
      <c r="F504">
        <f t="shared" si="375"/>
        <v>1.0751250304070655E-4</v>
      </c>
      <c r="G504">
        <f t="shared" si="376"/>
        <v>3.5657206765691268E-3</v>
      </c>
      <c r="H504">
        <f t="shared" si="377"/>
        <v>-3.1380269293234311</v>
      </c>
      <c r="J504">
        <f t="shared" si="378"/>
        <v>15</v>
      </c>
      <c r="M504">
        <f t="shared" si="379"/>
        <v>1.2516652432579404E-3</v>
      </c>
      <c r="N504">
        <f t="shared" si="380"/>
        <v>-1.5707963250000001</v>
      </c>
      <c r="O504">
        <f t="shared" si="381"/>
        <v>173.04087019911603</v>
      </c>
      <c r="P504">
        <f t="shared" si="382"/>
        <v>1.5650173130564797</v>
      </c>
      <c r="Q504">
        <f t="shared" si="383"/>
        <v>112.94366496403697</v>
      </c>
      <c r="R504">
        <f t="shared" si="384"/>
        <v>1.5619422395271587</v>
      </c>
      <c r="S504">
        <f t="shared" si="385"/>
        <v>0.98309918077764236</v>
      </c>
      <c r="T504">
        <f t="shared" si="386"/>
        <v>-0.18411214643654802</v>
      </c>
      <c r="U504">
        <f t="shared" si="387"/>
        <v>0.31954572244295987</v>
      </c>
      <c r="V504">
        <f t="shared" si="388"/>
        <v>-1.2455462910348032</v>
      </c>
      <c r="X504">
        <f t="shared" si="405"/>
        <v>-37.994563674962571</v>
      </c>
      <c r="Y504">
        <f t="shared" si="389"/>
        <v>-162.22080092720373</v>
      </c>
      <c r="Z504">
        <f t="shared" si="406"/>
        <v>17.779199072796274</v>
      </c>
      <c r="AC504">
        <v>1</v>
      </c>
      <c r="AD504">
        <f t="shared" si="390"/>
        <v>173.037980684205</v>
      </c>
      <c r="AE504">
        <f t="shared" si="391"/>
        <v>-0.10720084808246075</v>
      </c>
      <c r="AF504">
        <f t="shared" si="392"/>
        <v>3.6150934942080007E-2</v>
      </c>
      <c r="AG504">
        <f t="shared" si="421"/>
        <v>480.37551702142071</v>
      </c>
      <c r="AH504">
        <f t="shared" si="422"/>
        <v>-1452.1522861540238</v>
      </c>
      <c r="AJ504">
        <f t="shared" si="393"/>
        <v>22100</v>
      </c>
      <c r="AK504">
        <f t="shared" si="394"/>
        <v>4115.4851148629405</v>
      </c>
      <c r="AL504">
        <v>1</v>
      </c>
      <c r="AM504">
        <f t="shared" si="395"/>
        <v>112.9392378914814</v>
      </c>
      <c r="AN504">
        <f t="shared" si="423"/>
        <v>38.169441135253912</v>
      </c>
      <c r="AO504">
        <f t="shared" si="424"/>
        <v>-195.34247769639668</v>
      </c>
      <c r="AQ504">
        <f t="shared" si="396"/>
        <v>1.1890605007062426E-3</v>
      </c>
      <c r="AR504">
        <f t="shared" si="397"/>
        <v>-3.4482754520481032</v>
      </c>
      <c r="AT504">
        <f t="shared" si="418"/>
        <v>-5006.8498854276559</v>
      </c>
      <c r="AU504">
        <f t="shared" si="419"/>
        <v>-1658.1938000343569</v>
      </c>
      <c r="AV504">
        <f t="shared" si="407"/>
        <v>-2.8217768039955771</v>
      </c>
      <c r="AW504">
        <f t="shared" si="408"/>
        <v>-503.17670022373682</v>
      </c>
      <c r="AX504">
        <f t="shared" si="409"/>
        <v>-1975.2146518565717</v>
      </c>
      <c r="AY504">
        <f t="shared" si="417"/>
        <v>-1.8202361682654069</v>
      </c>
      <c r="BA504">
        <f t="shared" si="398"/>
        <v>2.5875956483583282</v>
      </c>
      <c r="BB504">
        <f t="shared" si="410"/>
        <v>8.2579282420452049</v>
      </c>
      <c r="BC504">
        <f t="shared" si="411"/>
        <v>-1.0015406357301702</v>
      </c>
      <c r="BD504">
        <f t="shared" si="399"/>
        <v>-237.38405150375897</v>
      </c>
      <c r="BF504">
        <f t="shared" si="400"/>
        <v>-47.449217471770666</v>
      </c>
      <c r="BG504">
        <f t="shared" si="401"/>
        <v>-226.8530430008673</v>
      </c>
      <c r="BH504">
        <f t="shared" si="412"/>
        <v>-46.853043000867302</v>
      </c>
      <c r="BI504">
        <f t="shared" si="413"/>
        <v>-46.853043000867302</v>
      </c>
      <c r="BJ504">
        <f t="shared" si="402"/>
        <v>0</v>
      </c>
      <c r="BK504">
        <f t="shared" si="414"/>
        <v>0</v>
      </c>
      <c r="BM504">
        <f t="shared" si="415"/>
        <v>-55.707145713815869</v>
      </c>
      <c r="BN504">
        <f t="shared" si="403"/>
        <v>-169.46899149710836</v>
      </c>
      <c r="BQ504" s="56">
        <f t="shared" si="416"/>
        <v>25.159889042330342</v>
      </c>
    </row>
    <row r="505" spans="1:69" x14ac:dyDescent="0.2">
      <c r="A505">
        <f t="shared" si="420"/>
        <v>1455000</v>
      </c>
      <c r="B505">
        <f t="shared" si="404"/>
        <v>1455</v>
      </c>
      <c r="C505">
        <f t="shared" si="373"/>
        <v>1.0165779452334904</v>
      </c>
      <c r="D505">
        <f t="shared" si="374"/>
        <v>0.18084311145567916</v>
      </c>
      <c r="F505">
        <f t="shared" si="375"/>
        <v>1.0677478071190251E-4</v>
      </c>
      <c r="G505">
        <f t="shared" si="376"/>
        <v>3.553464813207295E-3</v>
      </c>
      <c r="H505">
        <f t="shared" si="377"/>
        <v>-3.138039185186793</v>
      </c>
      <c r="J505">
        <f t="shared" si="378"/>
        <v>15</v>
      </c>
      <c r="M505">
        <f t="shared" si="379"/>
        <v>1.2473639881264696E-3</v>
      </c>
      <c r="N505">
        <f t="shared" si="380"/>
        <v>-1.5707963250000001</v>
      </c>
      <c r="O505">
        <f t="shared" si="381"/>
        <v>173.63754296169097</v>
      </c>
      <c r="P505">
        <f t="shared" si="382"/>
        <v>1.565037171770342</v>
      </c>
      <c r="Q505">
        <f t="shared" si="383"/>
        <v>113.33309539922412</v>
      </c>
      <c r="R505">
        <f t="shared" si="384"/>
        <v>1.561972664361915</v>
      </c>
      <c r="S505">
        <f t="shared" si="385"/>
        <v>0.98298538549570746</v>
      </c>
      <c r="T505">
        <f t="shared" si="386"/>
        <v>-0.18473269416008492</v>
      </c>
      <c r="U505">
        <f t="shared" si="387"/>
        <v>0.31855923444001694</v>
      </c>
      <c r="V505">
        <f t="shared" si="388"/>
        <v>-1.246587178971585</v>
      </c>
      <c r="X505">
        <f t="shared" si="405"/>
        <v>-38.051370507588743</v>
      </c>
      <c r="Y505">
        <f t="shared" si="389"/>
        <v>-162.27897605741302</v>
      </c>
      <c r="Z505">
        <f t="shared" si="406"/>
        <v>17.721023942586982</v>
      </c>
      <c r="AC505">
        <v>1</v>
      </c>
      <c r="AD505">
        <f t="shared" si="390"/>
        <v>173.63466337621952</v>
      </c>
      <c r="AE505">
        <f t="shared" si="391"/>
        <v>-0.10794143895922542</v>
      </c>
      <c r="AF505">
        <f t="shared" si="392"/>
        <v>3.6275593338432006E-2</v>
      </c>
      <c r="AG505">
        <f t="shared" si="421"/>
        <v>477.41410541195717</v>
      </c>
      <c r="AH505">
        <f t="shared" si="422"/>
        <v>-1448.1573058638958</v>
      </c>
      <c r="AJ505">
        <f t="shared" si="393"/>
        <v>22100</v>
      </c>
      <c r="AK505">
        <f t="shared" si="394"/>
        <v>4129.6764428452261</v>
      </c>
      <c r="AL505">
        <v>1</v>
      </c>
      <c r="AM505">
        <f t="shared" si="395"/>
        <v>113.32868353938308</v>
      </c>
      <c r="AN505">
        <f t="shared" si="423"/>
        <v>38.157575030437876</v>
      </c>
      <c r="AO505">
        <f t="shared" si="424"/>
        <v>-194.67130240953347</v>
      </c>
      <c r="AQ505">
        <f t="shared" si="396"/>
        <v>1.1809023061959227E-3</v>
      </c>
      <c r="AR505">
        <f t="shared" si="397"/>
        <v>-3.4364257110301355</v>
      </c>
      <c r="AT505">
        <f t="shared" si="418"/>
        <v>-4975.9212200687325</v>
      </c>
      <c r="AU505">
        <f t="shared" si="419"/>
        <v>-1642.30823894833</v>
      </c>
      <c r="AV505">
        <f t="shared" si="407"/>
        <v>-2.822799018192879</v>
      </c>
      <c r="AW505">
        <f t="shared" si="408"/>
        <v>-499.38538971209294</v>
      </c>
      <c r="AX505">
        <f t="shared" si="409"/>
        <v>-1968.6508152791678</v>
      </c>
      <c r="AY505">
        <f t="shared" si="417"/>
        <v>-1.8192250338789264</v>
      </c>
      <c r="BA505">
        <f t="shared" si="398"/>
        <v>2.5799767932917166</v>
      </c>
      <c r="BB505">
        <f t="shared" si="410"/>
        <v>8.2323159906546923</v>
      </c>
      <c r="BC505">
        <f t="shared" si="411"/>
        <v>-1.0035739843139526</v>
      </c>
      <c r="BD505">
        <f t="shared" si="399"/>
        <v>-237.50055379602173</v>
      </c>
      <c r="BF505">
        <f t="shared" si="400"/>
        <v>-47.533671396753057</v>
      </c>
      <c r="BG505">
        <f t="shared" si="401"/>
        <v>-226.93540820707992</v>
      </c>
      <c r="BH505">
        <f t="shared" si="412"/>
        <v>-46.935408207079917</v>
      </c>
      <c r="BI505">
        <f t="shared" si="413"/>
        <v>-46.935408207079917</v>
      </c>
      <c r="BJ505">
        <f t="shared" si="402"/>
        <v>0</v>
      </c>
      <c r="BK505">
        <f t="shared" si="414"/>
        <v>0</v>
      </c>
      <c r="BM505">
        <f t="shared" si="415"/>
        <v>-55.765987387407762</v>
      </c>
      <c r="BN505">
        <f t="shared" si="403"/>
        <v>-169.43485441105818</v>
      </c>
      <c r="BQ505" s="56">
        <f t="shared" si="416"/>
        <v>25.134276790939829</v>
      </c>
    </row>
    <row r="506" spans="1:69" x14ac:dyDescent="0.2">
      <c r="A506">
        <f t="shared" si="420"/>
        <v>1460000</v>
      </c>
      <c r="B506">
        <f t="shared" si="404"/>
        <v>1460</v>
      </c>
      <c r="C506">
        <f t="shared" si="373"/>
        <v>1.0166911418465556</v>
      </c>
      <c r="D506">
        <f t="shared" si="374"/>
        <v>0.18145103669093857</v>
      </c>
      <c r="F506">
        <f t="shared" si="375"/>
        <v>1.0604462574863584E-4</v>
      </c>
      <c r="G506">
        <f t="shared" si="376"/>
        <v>3.5412929199547267E-3</v>
      </c>
      <c r="H506">
        <f t="shared" si="377"/>
        <v>-3.1380513570800455</v>
      </c>
      <c r="J506">
        <f t="shared" si="378"/>
        <v>15</v>
      </c>
      <c r="M506">
        <f t="shared" si="379"/>
        <v>1.2430921936465846E-3</v>
      </c>
      <c r="N506">
        <f t="shared" si="380"/>
        <v>-1.5707963250000001</v>
      </c>
      <c r="O506">
        <f t="shared" si="381"/>
        <v>174.23421579227409</v>
      </c>
      <c r="P506">
        <f t="shared" si="382"/>
        <v>1.565056894470112</v>
      </c>
      <c r="Q506">
        <f t="shared" si="383"/>
        <v>113.72252593860189</v>
      </c>
      <c r="R506">
        <f t="shared" si="384"/>
        <v>1.5620028808235609</v>
      </c>
      <c r="S506">
        <f t="shared" si="385"/>
        <v>0.98287123820263733</v>
      </c>
      <c r="T506">
        <f t="shared" si="386"/>
        <v>-0.18535309800265137</v>
      </c>
      <c r="U506">
        <f t="shared" si="387"/>
        <v>0.31757847767017133</v>
      </c>
      <c r="V506">
        <f t="shared" si="388"/>
        <v>-1.2476216588047946</v>
      </c>
      <c r="X506">
        <f t="shared" si="405"/>
        <v>-38.108001337612663</v>
      </c>
      <c r="Y506">
        <f t="shared" si="389"/>
        <v>-162.3367984523768</v>
      </c>
      <c r="Z506">
        <f t="shared" si="406"/>
        <v>17.663201547623203</v>
      </c>
      <c r="AC506">
        <v>1</v>
      </c>
      <c r="AD506">
        <f t="shared" si="390"/>
        <v>174.23134606823399</v>
      </c>
      <c r="AE506">
        <f t="shared" si="391"/>
        <v>-0.10868457920217518</v>
      </c>
      <c r="AF506">
        <f t="shared" si="392"/>
        <v>3.6400251734784006E-2</v>
      </c>
      <c r="AG506">
        <f t="shared" si="421"/>
        <v>474.47897565437836</v>
      </c>
      <c r="AH506">
        <f t="shared" si="422"/>
        <v>-1444.1808862283456</v>
      </c>
      <c r="AJ506">
        <f t="shared" si="393"/>
        <v>22100</v>
      </c>
      <c r="AK506">
        <f t="shared" si="394"/>
        <v>4143.8677708275127</v>
      </c>
      <c r="AL506">
        <v>1</v>
      </c>
      <c r="AM506">
        <f t="shared" si="395"/>
        <v>113.71812918728473</v>
      </c>
      <c r="AN506">
        <f t="shared" si="423"/>
        <v>38.145830616215555</v>
      </c>
      <c r="AO506">
        <f t="shared" si="424"/>
        <v>-194.00472314356898</v>
      </c>
      <c r="AQ506">
        <f t="shared" si="396"/>
        <v>1.1728277851346658E-3</v>
      </c>
      <c r="AR506">
        <f t="shared" si="397"/>
        <v>-3.4246571325932242</v>
      </c>
      <c r="AT506">
        <f t="shared" si="418"/>
        <v>-4945.267890650598</v>
      </c>
      <c r="AU506">
        <f t="shared" si="419"/>
        <v>-1626.6215837104226</v>
      </c>
      <c r="AV506">
        <f t="shared" si="407"/>
        <v>-2.8238149521844393</v>
      </c>
      <c r="AW506">
        <f t="shared" si="408"/>
        <v>-495.63405223670219</v>
      </c>
      <c r="AX506">
        <f t="shared" si="409"/>
        <v>-1962.130014556783</v>
      </c>
      <c r="AY506">
        <f t="shared" si="417"/>
        <v>-1.8182205528198356</v>
      </c>
      <c r="BA506">
        <f t="shared" si="398"/>
        <v>2.5723975595646151</v>
      </c>
      <c r="BB506">
        <f t="shared" si="410"/>
        <v>8.2067617779088682</v>
      </c>
      <c r="BC506">
        <f t="shared" si="411"/>
        <v>-1.0055943993646037</v>
      </c>
      <c r="BD506">
        <f t="shared" si="399"/>
        <v>-237.61631505142103</v>
      </c>
      <c r="BF506">
        <f t="shared" si="400"/>
        <v>-47.617858972589005</v>
      </c>
      <c r="BG506">
        <f t="shared" si="401"/>
        <v>-227.01703531031234</v>
      </c>
      <c r="BH506">
        <f t="shared" si="412"/>
        <v>-47.017035310312338</v>
      </c>
      <c r="BI506">
        <f t="shared" si="413"/>
        <v>-47.017035310312338</v>
      </c>
      <c r="BJ506">
        <f t="shared" si="402"/>
        <v>0</v>
      </c>
      <c r="BK506">
        <f t="shared" si="414"/>
        <v>0</v>
      </c>
      <c r="BM506">
        <f t="shared" si="415"/>
        <v>-55.824620750497886</v>
      </c>
      <c r="BN506">
        <f t="shared" si="403"/>
        <v>-169.40072025889137</v>
      </c>
      <c r="BQ506" s="56">
        <f t="shared" si="416"/>
        <v>25.108722578194005</v>
      </c>
    </row>
    <row r="507" spans="1:69" x14ac:dyDescent="0.2">
      <c r="A507">
        <f t="shared" si="420"/>
        <v>1465000</v>
      </c>
      <c r="B507">
        <f t="shared" si="404"/>
        <v>1465</v>
      </c>
      <c r="C507">
        <f t="shared" si="373"/>
        <v>1.0168047141175687</v>
      </c>
      <c r="D507">
        <f t="shared" si="374"/>
        <v>0.18205882634603962</v>
      </c>
      <c r="F507">
        <f t="shared" si="375"/>
        <v>1.0532193500149953E-4</v>
      </c>
      <c r="G507">
        <f t="shared" si="376"/>
        <v>3.5292041366981981E-3</v>
      </c>
      <c r="H507">
        <f t="shared" si="377"/>
        <v>-3.1380634458633021</v>
      </c>
      <c r="J507">
        <f t="shared" si="378"/>
        <v>15</v>
      </c>
      <c r="M507">
        <f t="shared" si="379"/>
        <v>1.2388495581733879E-3</v>
      </c>
      <c r="N507">
        <f t="shared" si="380"/>
        <v>-1.5707963250000001</v>
      </c>
      <c r="O507">
        <f t="shared" si="381"/>
        <v>174.83088869016908</v>
      </c>
      <c r="P507">
        <f t="shared" si="382"/>
        <v>1.5650764825483647</v>
      </c>
      <c r="Q507">
        <f t="shared" si="383"/>
        <v>114.11195658110357</v>
      </c>
      <c r="R507">
        <f t="shared" si="384"/>
        <v>1.5620328910453896</v>
      </c>
      <c r="S507">
        <f t="shared" si="385"/>
        <v>0.98275673928461449</v>
      </c>
      <c r="T507">
        <f t="shared" si="386"/>
        <v>-0.18597335753686062</v>
      </c>
      <c r="U507">
        <f t="shared" si="387"/>
        <v>0.31660340562975364</v>
      </c>
      <c r="V507">
        <f t="shared" si="388"/>
        <v>-1.2486497873351452</v>
      </c>
      <c r="X507">
        <f t="shared" si="405"/>
        <v>-38.164457204838115</v>
      </c>
      <c r="Y507">
        <f t="shared" si="389"/>
        <v>-162.39427121246683</v>
      </c>
      <c r="Z507">
        <f t="shared" si="406"/>
        <v>17.605728787533167</v>
      </c>
      <c r="AC507">
        <v>1</v>
      </c>
      <c r="AD507">
        <f t="shared" si="390"/>
        <v>174.82802876024851</v>
      </c>
      <c r="AE507">
        <f t="shared" si="391"/>
        <v>-0.10943026881131003</v>
      </c>
      <c r="AF507">
        <f t="shared" si="392"/>
        <v>3.6524910131136006E-2</v>
      </c>
      <c r="AG507">
        <f t="shared" si="421"/>
        <v>471.56983055452258</v>
      </c>
      <c r="AH507">
        <f t="shared" si="422"/>
        <v>-1440.2229364020404</v>
      </c>
      <c r="AJ507">
        <f t="shared" si="393"/>
        <v>22100</v>
      </c>
      <c r="AK507">
        <f t="shared" si="394"/>
        <v>4158.0590988097983</v>
      </c>
      <c r="AL507">
        <v>1</v>
      </c>
      <c r="AM507">
        <f t="shared" si="395"/>
        <v>114.10757483518638</v>
      </c>
      <c r="AN507">
        <f t="shared" si="423"/>
        <v>38.134206234333135</v>
      </c>
      <c r="AO507">
        <f t="shared" si="424"/>
        <v>-193.34269285480104</v>
      </c>
      <c r="AQ507">
        <f t="shared" si="396"/>
        <v>1.1648357971745975E-3</v>
      </c>
      <c r="AR507">
        <f t="shared" si="397"/>
        <v>-3.412968885721571</v>
      </c>
      <c r="AT507">
        <f t="shared" si="418"/>
        <v>-4914.8867690232237</v>
      </c>
      <c r="AU507">
        <f t="shared" si="419"/>
        <v>-1611.130782359812</v>
      </c>
      <c r="AV507">
        <f t="shared" si="407"/>
        <v>-2.8248246614614976</v>
      </c>
      <c r="AW507">
        <f t="shared" si="408"/>
        <v>-491.9221268156906</v>
      </c>
      <c r="AX507">
        <f t="shared" si="409"/>
        <v>-1955.6518297156308</v>
      </c>
      <c r="AY507">
        <f t="shared" si="417"/>
        <v>-1.8172226568302958</v>
      </c>
      <c r="BA507">
        <f t="shared" si="398"/>
        <v>2.5648577021883456</v>
      </c>
      <c r="BB507">
        <f t="shared" si="410"/>
        <v>8.1812655108385002</v>
      </c>
      <c r="BC507">
        <f t="shared" si="411"/>
        <v>-1.0076020046312018</v>
      </c>
      <c r="BD507">
        <f t="shared" si="399"/>
        <v>-237.73134236025678</v>
      </c>
      <c r="BF507">
        <f t="shared" si="400"/>
        <v>-47.701781697919216</v>
      </c>
      <c r="BG507">
        <f t="shared" si="401"/>
        <v>-227.09793147330015</v>
      </c>
      <c r="BH507">
        <f t="shared" si="412"/>
        <v>-47.09793147330015</v>
      </c>
      <c r="BI507">
        <f t="shared" si="413"/>
        <v>-47.09793147330015</v>
      </c>
      <c r="BJ507">
        <f t="shared" si="402"/>
        <v>0</v>
      </c>
      <c r="BK507">
        <f t="shared" si="414"/>
        <v>0</v>
      </c>
      <c r="BM507">
        <f t="shared" si="415"/>
        <v>-55.883047208757716</v>
      </c>
      <c r="BN507">
        <f t="shared" si="403"/>
        <v>-169.3665891130434</v>
      </c>
      <c r="BQ507" s="56">
        <f t="shared" si="416"/>
        <v>25.083226311123639</v>
      </c>
    </row>
    <row r="508" spans="1:69" x14ac:dyDescent="0.2">
      <c r="A508">
        <f t="shared" si="420"/>
        <v>1470000</v>
      </c>
      <c r="B508">
        <f t="shared" si="404"/>
        <v>1470</v>
      </c>
      <c r="C508">
        <f t="shared" si="373"/>
        <v>1.0169186619206665</v>
      </c>
      <c r="D508">
        <f t="shared" si="374"/>
        <v>0.18266648001743857</v>
      </c>
      <c r="F508">
        <f t="shared" si="375"/>
        <v>1.0460660707268759E-4</v>
      </c>
      <c r="G508">
        <f t="shared" si="376"/>
        <v>3.5171976150326478E-3</v>
      </c>
      <c r="H508">
        <f t="shared" si="377"/>
        <v>-3.1380754523849674</v>
      </c>
      <c r="J508">
        <f t="shared" si="378"/>
        <v>15</v>
      </c>
      <c r="M508">
        <f t="shared" si="379"/>
        <v>1.2346357841659956E-3</v>
      </c>
      <c r="N508">
        <f t="shared" si="380"/>
        <v>-1.5707963250000001</v>
      </c>
      <c r="O508">
        <f t="shared" si="381"/>
        <v>175.4275616546891</v>
      </c>
      <c r="P508">
        <f t="shared" si="382"/>
        <v>1.5650959373787292</v>
      </c>
      <c r="Q508">
        <f t="shared" si="383"/>
        <v>114.50138732567692</v>
      </c>
      <c r="R508">
        <f t="shared" si="384"/>
        <v>1.5620626971316742</v>
      </c>
      <c r="S508">
        <f t="shared" si="385"/>
        <v>0.98264188912876638</v>
      </c>
      <c r="T508">
        <f t="shared" si="386"/>
        <v>-0.18659347233596882</v>
      </c>
      <c r="U508">
        <f t="shared" si="387"/>
        <v>0.31563397227299245</v>
      </c>
      <c r="V508">
        <f t="shared" si="388"/>
        <v>-1.2496716207217287</v>
      </c>
      <c r="X508">
        <f t="shared" si="405"/>
        <v>-38.220739140286383</v>
      </c>
      <c r="Y508">
        <f t="shared" si="389"/>
        <v>-162.45139740337376</v>
      </c>
      <c r="Z508">
        <f t="shared" si="406"/>
        <v>17.548602596626239</v>
      </c>
      <c r="AC508">
        <v>1</v>
      </c>
      <c r="AD508">
        <f t="shared" si="390"/>
        <v>175.42471145226301</v>
      </c>
      <c r="AE508">
        <f t="shared" si="391"/>
        <v>-0.11017850778662992</v>
      </c>
      <c r="AF508">
        <f t="shared" si="392"/>
        <v>3.6649568527488005E-2</v>
      </c>
      <c r="AG508">
        <f t="shared" si="421"/>
        <v>468.68637690187097</v>
      </c>
      <c r="AH508">
        <f t="shared" si="422"/>
        <v>-1436.2833654505262</v>
      </c>
      <c r="AJ508">
        <f t="shared" si="393"/>
        <v>22100</v>
      </c>
      <c r="AK508">
        <f t="shared" si="394"/>
        <v>4172.2504267920849</v>
      </c>
      <c r="AL508">
        <v>1</v>
      </c>
      <c r="AM508">
        <f t="shared" si="395"/>
        <v>114.49702048308804</v>
      </c>
      <c r="AN508">
        <f t="shared" si="423"/>
        <v>38.122700254686073</v>
      </c>
      <c r="AO508">
        <f t="shared" si="424"/>
        <v>-192.68516513933216</v>
      </c>
      <c r="AQ508">
        <f t="shared" si="396"/>
        <v>1.1569252213284719E-3</v>
      </c>
      <c r="AR508">
        <f t="shared" si="397"/>
        <v>-3.401360150705707</v>
      </c>
      <c r="AT508">
        <f t="shared" si="418"/>
        <v>-4884.7747692745706</v>
      </c>
      <c r="AU508">
        <f t="shared" si="419"/>
        <v>-1595.8328380231239</v>
      </c>
      <c r="AV508">
        <f t="shared" si="407"/>
        <v>-2.8258282008914879</v>
      </c>
      <c r="AW508">
        <f t="shared" si="408"/>
        <v>-488.24906227342723</v>
      </c>
      <c r="AX508">
        <f t="shared" si="409"/>
        <v>-1949.2158462405396</v>
      </c>
      <c r="AY508">
        <f t="shared" si="417"/>
        <v>-1.8162312785496926</v>
      </c>
      <c r="BA508">
        <f t="shared" si="398"/>
        <v>2.5573569770129176</v>
      </c>
      <c r="BB508">
        <f t="shared" si="410"/>
        <v>8.1558270933852874</v>
      </c>
      <c r="BC508">
        <f t="shared" si="411"/>
        <v>-1.0095969223417953</v>
      </c>
      <c r="BD508">
        <f t="shared" si="399"/>
        <v>-237.84564272568028</v>
      </c>
      <c r="BF508">
        <f t="shared" si="400"/>
        <v>-47.785441060126999</v>
      </c>
      <c r="BG508">
        <f t="shared" si="401"/>
        <v>-227.17810377092596</v>
      </c>
      <c r="BH508">
        <f t="shared" si="412"/>
        <v>-47.178103770925958</v>
      </c>
      <c r="BI508">
        <f t="shared" si="413"/>
        <v>-47.178103770925958</v>
      </c>
      <c r="BJ508">
        <f t="shared" si="402"/>
        <v>0</v>
      </c>
      <c r="BK508">
        <f t="shared" si="414"/>
        <v>0</v>
      </c>
      <c r="BM508">
        <f t="shared" si="415"/>
        <v>-55.941268153512297</v>
      </c>
      <c r="BN508">
        <f t="shared" si="403"/>
        <v>-169.33246104524571</v>
      </c>
      <c r="BQ508" s="56">
        <f t="shared" si="416"/>
        <v>25.057787893670422</v>
      </c>
    </row>
    <row r="509" spans="1:69" x14ac:dyDescent="0.2">
      <c r="A509">
        <f t="shared" si="420"/>
        <v>1475000</v>
      </c>
      <c r="B509">
        <f t="shared" si="404"/>
        <v>1475</v>
      </c>
      <c r="C509">
        <f t="shared" si="373"/>
        <v>1.0170329851296254</v>
      </c>
      <c r="D509">
        <f t="shared" si="374"/>
        <v>0.18327399730217392</v>
      </c>
      <c r="F509">
        <f t="shared" si="375"/>
        <v>1.0389854228042144E-4</v>
      </c>
      <c r="G509">
        <f t="shared" si="376"/>
        <v>3.5052725180626096E-3</v>
      </c>
      <c r="H509">
        <f t="shared" si="377"/>
        <v>-3.1380873774819378</v>
      </c>
      <c r="J509">
        <f t="shared" si="378"/>
        <v>15</v>
      </c>
      <c r="M509">
        <f t="shared" si="379"/>
        <v>1.2304505781179753E-3</v>
      </c>
      <c r="N509">
        <f t="shared" si="380"/>
        <v>-1.5707963250000001</v>
      </c>
      <c r="O509">
        <f t="shared" si="381"/>
        <v>176.02423468515664</v>
      </c>
      <c r="P509">
        <f t="shared" si="382"/>
        <v>1.56511526031621</v>
      </c>
      <c r="Q509">
        <f t="shared" si="383"/>
        <v>114.89081817128402</v>
      </c>
      <c r="R509">
        <f t="shared" si="384"/>
        <v>1.5620923011581587</v>
      </c>
      <c r="S509">
        <f t="shared" si="385"/>
        <v>0.98252668812316268</v>
      </c>
      <c r="T509">
        <f t="shared" si="386"/>
        <v>-0.18721344197387654</v>
      </c>
      <c r="U509">
        <f t="shared" si="387"/>
        <v>0.31467013200715405</v>
      </c>
      <c r="V509">
        <f t="shared" si="388"/>
        <v>-1.2506872144906103</v>
      </c>
      <c r="X509">
        <f t="shared" si="405"/>
        <v>-38.276848166290918</v>
      </c>
      <c r="Y509">
        <f t="shared" si="389"/>
        <v>-162.50818005656419</v>
      </c>
      <c r="Z509">
        <f t="shared" si="406"/>
        <v>17.491819943435814</v>
      </c>
      <c r="AC509">
        <v>1</v>
      </c>
      <c r="AD509">
        <f t="shared" si="390"/>
        <v>176.02139414427751</v>
      </c>
      <c r="AE509">
        <f t="shared" si="391"/>
        <v>-0.11092929612813492</v>
      </c>
      <c r="AF509">
        <f t="shared" si="392"/>
        <v>3.6774226923840005E-2</v>
      </c>
      <c r="AG509">
        <f t="shared" si="421"/>
        <v>465.82832540962391</v>
      </c>
      <c r="AH509">
        <f t="shared" si="422"/>
        <v>-1432.3620823716039</v>
      </c>
      <c r="AJ509">
        <f t="shared" si="393"/>
        <v>22100</v>
      </c>
      <c r="AK509">
        <f t="shared" si="394"/>
        <v>4186.4417547743706</v>
      </c>
      <c r="AL509">
        <v>1</v>
      </c>
      <c r="AM509">
        <f t="shared" si="395"/>
        <v>114.88646613098972</v>
      </c>
      <c r="AN509">
        <f t="shared" si="423"/>
        <v>38.111311074747576</v>
      </c>
      <c r="AO509">
        <f t="shared" si="424"/>
        <v>-192.03209422223</v>
      </c>
      <c r="AQ509">
        <f t="shared" si="396"/>
        <v>1.1490949555765637E-3</v>
      </c>
      <c r="AR509">
        <f t="shared" si="397"/>
        <v>-3.3898301189508624</v>
      </c>
      <c r="AT509">
        <f t="shared" si="418"/>
        <v>-4854.9288470875463</v>
      </c>
      <c r="AU509">
        <f t="shared" si="419"/>
        <v>-1580.7248077773988</v>
      </c>
      <c r="AV509">
        <f t="shared" si="407"/>
        <v>-2.8268256247263301</v>
      </c>
      <c r="AW509">
        <f t="shared" si="408"/>
        <v>-484.6143170358543</v>
      </c>
      <c r="AX509">
        <f t="shared" si="409"/>
        <v>-1942.8216549857416</v>
      </c>
      <c r="AY509">
        <f t="shared" si="417"/>
        <v>-1.8152463515006987</v>
      </c>
      <c r="BA509">
        <f t="shared" si="398"/>
        <v>2.5498951407575063</v>
      </c>
      <c r="BB509">
        <f t="shared" si="410"/>
        <v>8.1304464265085592</v>
      </c>
      <c r="BC509">
        <f t="shared" si="411"/>
        <v>-1.0115792732256315</v>
      </c>
      <c r="BD509">
        <f t="shared" si="399"/>
        <v>-237.95922306496792</v>
      </c>
      <c r="BF509">
        <f t="shared" si="400"/>
        <v>-47.868838535426676</v>
      </c>
      <c r="BG509">
        <f t="shared" si="401"/>
        <v>-227.2575591915047</v>
      </c>
      <c r="BH509">
        <f t="shared" si="412"/>
        <v>-47.257559191504697</v>
      </c>
      <c r="BI509">
        <f t="shared" si="413"/>
        <v>-47.257559191504697</v>
      </c>
      <c r="BJ509">
        <f t="shared" si="402"/>
        <v>0</v>
      </c>
      <c r="BK509">
        <f t="shared" si="414"/>
        <v>0</v>
      </c>
      <c r="BM509">
        <f t="shared" si="415"/>
        <v>-55.999284961935231</v>
      </c>
      <c r="BN509">
        <f t="shared" si="403"/>
        <v>-169.29833612653678</v>
      </c>
      <c r="BQ509" s="56">
        <f t="shared" si="416"/>
        <v>25.032407226793694</v>
      </c>
    </row>
    <row r="510" spans="1:69" x14ac:dyDescent="0.2">
      <c r="A510">
        <f t="shared" si="420"/>
        <v>1480000</v>
      </c>
      <c r="B510">
        <f t="shared" si="404"/>
        <v>1480</v>
      </c>
      <c r="C510">
        <f t="shared" si="373"/>
        <v>1.0171476836178637</v>
      </c>
      <c r="D510">
        <f t="shared" si="374"/>
        <v>0.18388137779786773</v>
      </c>
      <c r="F510">
        <f t="shared" si="375"/>
        <v>1.0319764262421665E-4</v>
      </c>
      <c r="G510">
        <f t="shared" si="376"/>
        <v>3.4934280202076804E-3</v>
      </c>
      <c r="H510">
        <f t="shared" si="377"/>
        <v>-3.1380992219797927</v>
      </c>
      <c r="J510">
        <f t="shared" si="378"/>
        <v>15</v>
      </c>
      <c r="M510">
        <f t="shared" si="379"/>
        <v>1.2262936504891981E-3</v>
      </c>
      <c r="N510">
        <f t="shared" si="380"/>
        <v>-1.5707963250000001</v>
      </c>
      <c r="O510">
        <f t="shared" si="381"/>
        <v>176.62090778090331</v>
      </c>
      <c r="P510">
        <f t="shared" si="382"/>
        <v>1.565134452697502</v>
      </c>
      <c r="Q510">
        <f t="shared" si="383"/>
        <v>115.28024911690096</v>
      </c>
      <c r="R510">
        <f t="shared" si="384"/>
        <v>1.5621217051725398</v>
      </c>
      <c r="S510">
        <f t="shared" si="385"/>
        <v>0.98241113665681246</v>
      </c>
      <c r="T510">
        <f t="shared" si="386"/>
        <v>-0.1878332660251302</v>
      </c>
      <c r="U510">
        <f t="shared" si="387"/>
        <v>0.31371183968772792</v>
      </c>
      <c r="V510">
        <f t="shared" si="388"/>
        <v>-1.251696623543292</v>
      </c>
      <c r="X510">
        <f t="shared" si="405"/>
        <v>-38.332785296590664</v>
      </c>
      <c r="Y510">
        <f t="shared" si="389"/>
        <v>-162.56462216973131</v>
      </c>
      <c r="Z510">
        <f t="shared" si="406"/>
        <v>17.435377830268692</v>
      </c>
      <c r="AC510">
        <v>1</v>
      </c>
      <c r="AD510">
        <f t="shared" si="390"/>
        <v>176.618076836292</v>
      </c>
      <c r="AE510">
        <f t="shared" si="391"/>
        <v>-0.11168263383582497</v>
      </c>
      <c r="AF510">
        <f t="shared" si="392"/>
        <v>3.6898885320192004E-2</v>
      </c>
      <c r="AG510">
        <f t="shared" si="421"/>
        <v>462.99539065573583</v>
      </c>
      <c r="AH510">
        <f t="shared" si="422"/>
        <v>-1428.4589961159568</v>
      </c>
      <c r="AJ510">
        <f t="shared" si="393"/>
        <v>22100</v>
      </c>
      <c r="AK510">
        <f t="shared" si="394"/>
        <v>4200.6330827566571</v>
      </c>
      <c r="AL510">
        <v>1</v>
      </c>
      <c r="AM510">
        <f t="shared" si="395"/>
        <v>115.27591177889137</v>
      </c>
      <c r="AN510">
        <f t="shared" si="423"/>
        <v>38.100037119010707</v>
      </c>
      <c r="AO510">
        <f t="shared" si="424"/>
        <v>-191.38343494690824</v>
      </c>
      <c r="AQ510">
        <f t="shared" si="396"/>
        <v>1.1413439164828438E-3</v>
      </c>
      <c r="AR510">
        <f t="shared" si="397"/>
        <v>-3.3783779927892175</v>
      </c>
      <c r="AT510">
        <f t="shared" si="418"/>
        <v>-4825.3459991074424</v>
      </c>
      <c r="AU510">
        <f t="shared" si="419"/>
        <v>-1565.8038015393465</v>
      </c>
      <c r="AV510">
        <f t="shared" si="407"/>
        <v>-2.8278169866105984</v>
      </c>
      <c r="AW510">
        <f t="shared" si="408"/>
        <v>-481.01735893077131</v>
      </c>
      <c r="AX510">
        <f t="shared" si="409"/>
        <v>-1936.468852087439</v>
      </c>
      <c r="AY510">
        <f t="shared" si="417"/>
        <v>-1.814267810075578</v>
      </c>
      <c r="BA510">
        <f t="shared" si="398"/>
        <v>2.5424719510394085</v>
      </c>
      <c r="BB510">
        <f t="shared" si="410"/>
        <v>8.105123408288943</v>
      </c>
      <c r="BC510">
        <f t="shared" si="411"/>
        <v>-1.0135491765350204</v>
      </c>
      <c r="BD510">
        <f t="shared" si="399"/>
        <v>-238.07209021077372</v>
      </c>
      <c r="BF510">
        <f t="shared" si="400"/>
        <v>-47.951975588951498</v>
      </c>
      <c r="BG510">
        <f t="shared" si="401"/>
        <v>-227.33630463804724</v>
      </c>
      <c r="BH510">
        <f t="shared" si="412"/>
        <v>-47.336304638047238</v>
      </c>
      <c r="BI510">
        <f t="shared" si="413"/>
        <v>-47.336304638047238</v>
      </c>
      <c r="BJ510">
        <f t="shared" si="402"/>
        <v>0</v>
      </c>
      <c r="BK510">
        <f t="shared" si="414"/>
        <v>0</v>
      </c>
      <c r="BM510">
        <f t="shared" si="415"/>
        <v>-56.057098997240438</v>
      </c>
      <c r="BN510">
        <f t="shared" si="403"/>
        <v>-169.26421442727354</v>
      </c>
      <c r="BQ510" s="56">
        <f t="shared" si="416"/>
        <v>25.007084208574078</v>
      </c>
    </row>
    <row r="511" spans="1:69" x14ac:dyDescent="0.2">
      <c r="A511">
        <f t="shared" si="420"/>
        <v>1485000</v>
      </c>
      <c r="B511">
        <f t="shared" si="404"/>
        <v>1485</v>
      </c>
      <c r="C511">
        <f t="shared" si="373"/>
        <v>1.0172627572584403</v>
      </c>
      <c r="D511">
        <f t="shared" si="374"/>
        <v>0.18448862110272696</v>
      </c>
      <c r="F511">
        <f t="shared" si="375"/>
        <v>1.0250381175096696E-4</v>
      </c>
      <c r="G511">
        <f t="shared" si="376"/>
        <v>3.4816633070119166E-3</v>
      </c>
      <c r="H511">
        <f t="shared" si="377"/>
        <v>-3.1381109866929884</v>
      </c>
      <c r="J511">
        <f t="shared" si="378"/>
        <v>15</v>
      </c>
      <c r="M511">
        <f t="shared" si="379"/>
        <v>1.2221647156390662E-3</v>
      </c>
      <c r="N511">
        <f t="shared" si="380"/>
        <v>-1.5707963250000001</v>
      </c>
      <c r="O511">
        <f t="shared" si="381"/>
        <v>177.2175809412698</v>
      </c>
      <c r="P511">
        <f t="shared" si="382"/>
        <v>1.5651535158412981</v>
      </c>
      <c r="Q511">
        <f t="shared" si="383"/>
        <v>115.66968016151765</v>
      </c>
      <c r="R511">
        <f t="shared" si="384"/>
        <v>1.5621509111949394</v>
      </c>
      <c r="S511">
        <f t="shared" si="385"/>
        <v>0.98229523511965966</v>
      </c>
      <c r="T511">
        <f t="shared" si="386"/>
        <v>-0.18845294406492338</v>
      </c>
      <c r="U511">
        <f t="shared" si="387"/>
        <v>0.31275905061365605</v>
      </c>
      <c r="V511">
        <f t="shared" si="388"/>
        <v>-1.2526999021650493</v>
      </c>
      <c r="X511">
        <f t="shared" si="405"/>
        <v>-38.388551536422348</v>
      </c>
      <c r="Y511">
        <f t="shared" si="389"/>
        <v>-162.62072670723853</v>
      </c>
      <c r="Z511">
        <f t="shared" si="406"/>
        <v>17.379273292761468</v>
      </c>
      <c r="AC511">
        <v>1</v>
      </c>
      <c r="AD511">
        <f t="shared" si="390"/>
        <v>177.2147595283065</v>
      </c>
      <c r="AE511">
        <f t="shared" si="391"/>
        <v>-0.11243852090970012</v>
      </c>
      <c r="AF511">
        <f t="shared" si="392"/>
        <v>3.7023543716544004E-2</v>
      </c>
      <c r="AG511">
        <f t="shared" si="421"/>
        <v>460.18729102488862</v>
      </c>
      <c r="AH511">
        <f t="shared" si="422"/>
        <v>-1424.5740156070483</v>
      </c>
      <c r="AJ511">
        <f t="shared" si="393"/>
        <v>22100</v>
      </c>
      <c r="AK511">
        <f t="shared" si="394"/>
        <v>4214.8244107389428</v>
      </c>
      <c r="AL511">
        <v>1</v>
      </c>
      <c r="AM511">
        <f t="shared" si="395"/>
        <v>115.66535742679302</v>
      </c>
      <c r="AN511">
        <f t="shared" si="423"/>
        <v>38.088876838443483</v>
      </c>
      <c r="AO511">
        <f t="shared" si="424"/>
        <v>-190.73914276472101</v>
      </c>
      <c r="AQ511">
        <f t="shared" si="396"/>
        <v>1.133671038820184E-3</v>
      </c>
      <c r="AR511">
        <f t="shared" si="397"/>
        <v>-3.3670029852959464</v>
      </c>
      <c r="AT511">
        <f t="shared" si="418"/>
        <v>-4796.023262319698</v>
      </c>
      <c r="AU511">
        <f t="shared" si="419"/>
        <v>-1551.0669809802041</v>
      </c>
      <c r="AV511">
        <f t="shared" si="407"/>
        <v>-2.8288023395895676</v>
      </c>
      <c r="AW511">
        <f t="shared" si="408"/>
        <v>-477.45766499293575</v>
      </c>
      <c r="AX511">
        <f t="shared" si="409"/>
        <v>-1930.1570388780924</v>
      </c>
      <c r="AY511">
        <f t="shared" si="417"/>
        <v>-1.8132955895227245</v>
      </c>
      <c r="BA511">
        <f t="shared" si="398"/>
        <v>2.5350871664015604</v>
      </c>
      <c r="BB511">
        <f t="shared" si="410"/>
        <v>8.0798579340291425</v>
      </c>
      <c r="BC511">
        <f t="shared" si="411"/>
        <v>-1.0155067500668431</v>
      </c>
      <c r="BD511">
        <f t="shared" si="399"/>
        <v>-238.18425091236185</v>
      </c>
      <c r="BF511">
        <f t="shared" si="400"/>
        <v>-48.034853674841493</v>
      </c>
      <c r="BG511">
        <f t="shared" si="401"/>
        <v>-227.41434692950364</v>
      </c>
      <c r="BH511">
        <f t="shared" si="412"/>
        <v>-47.414346929503637</v>
      </c>
      <c r="BI511">
        <f t="shared" si="413"/>
        <v>-47.414346929503637</v>
      </c>
      <c r="BJ511">
        <f t="shared" si="402"/>
        <v>0</v>
      </c>
      <c r="BK511">
        <f t="shared" si="414"/>
        <v>0</v>
      </c>
      <c r="BM511">
        <f t="shared" si="415"/>
        <v>-56.114711608870628</v>
      </c>
      <c r="BN511">
        <f t="shared" si="403"/>
        <v>-169.23009601714182</v>
      </c>
      <c r="BQ511" s="56">
        <f t="shared" si="416"/>
        <v>24.981818734314277</v>
      </c>
    </row>
    <row r="512" spans="1:69" x14ac:dyDescent="0.2">
      <c r="A512">
        <f t="shared" si="420"/>
        <v>1490000</v>
      </c>
      <c r="B512">
        <f t="shared" si="404"/>
        <v>1490</v>
      </c>
      <c r="C512">
        <f t="shared" si="373"/>
        <v>1.0173782059240573</v>
      </c>
      <c r="D512">
        <f t="shared" si="374"/>
        <v>0.18509572681554476</v>
      </c>
      <c r="F512">
        <f t="shared" si="375"/>
        <v>1.0181695492182371E-4</v>
      </c>
      <c r="G512">
        <f t="shared" si="376"/>
        <v>3.4699775749570667E-3</v>
      </c>
      <c r="H512">
        <f t="shared" si="377"/>
        <v>-3.1381226724250433</v>
      </c>
      <c r="J512">
        <f t="shared" si="378"/>
        <v>15</v>
      </c>
      <c r="M512">
        <f t="shared" si="379"/>
        <v>1.2180634917610827E-3</v>
      </c>
      <c r="N512">
        <f t="shared" si="380"/>
        <v>-1.5707963250000001</v>
      </c>
      <c r="O512">
        <f t="shared" si="381"/>
        <v>177.81425416560555</v>
      </c>
      <c r="P512">
        <f t="shared" si="382"/>
        <v>1.565172451048592</v>
      </c>
      <c r="Q512">
        <f t="shared" si="383"/>
        <v>116.05911130413745</v>
      </c>
      <c r="R512">
        <f t="shared" si="384"/>
        <v>1.5621799212183671</v>
      </c>
      <c r="S512">
        <f t="shared" si="385"/>
        <v>0.98217898390258029</v>
      </c>
      <c r="T512">
        <f t="shared" si="386"/>
        <v>-0.18907247566909841</v>
      </c>
      <c r="U512">
        <f t="shared" si="387"/>
        <v>0.31181172052260736</v>
      </c>
      <c r="V512">
        <f t="shared" si="388"/>
        <v>-1.2536971040331435</v>
      </c>
      <c r="X512">
        <f t="shared" si="405"/>
        <v>-38.444147882611446</v>
      </c>
      <c r="Y512">
        <f t="shared" si="389"/>
        <v>-162.67649660055724</v>
      </c>
      <c r="Z512">
        <f t="shared" si="406"/>
        <v>17.323503399442757</v>
      </c>
      <c r="AC512">
        <v>1</v>
      </c>
      <c r="AD512">
        <f t="shared" si="390"/>
        <v>177.811442220321</v>
      </c>
      <c r="AE512">
        <f t="shared" si="391"/>
        <v>-0.11319695734976033</v>
      </c>
      <c r="AF512">
        <f t="shared" si="392"/>
        <v>3.7148202112896003E-2</v>
      </c>
      <c r="AG512">
        <f t="shared" si="421"/>
        <v>457.40374865139569</v>
      </c>
      <c r="AH512">
        <f t="shared" si="422"/>
        <v>-1420.707049760319</v>
      </c>
      <c r="AJ512">
        <f t="shared" si="393"/>
        <v>22100</v>
      </c>
      <c r="AK512">
        <f t="shared" si="394"/>
        <v>4229.0157387212284</v>
      </c>
      <c r="AL512">
        <v>1</v>
      </c>
      <c r="AM512">
        <f t="shared" si="395"/>
        <v>116.05480307469468</v>
      </c>
      <c r="AN512">
        <f t="shared" si="423"/>
        <v>38.077828709956833</v>
      </c>
      <c r="AO512">
        <f t="shared" si="424"/>
        <v>-190.0991737247673</v>
      </c>
      <c r="AQ512">
        <f t="shared" si="396"/>
        <v>1.1260752752043517E-3</v>
      </c>
      <c r="AR512">
        <f t="shared" si="397"/>
        <v>-3.355704320108968</v>
      </c>
      <c r="AT512">
        <f t="shared" si="418"/>
        <v>-4766.9577134378269</v>
      </c>
      <c r="AU512">
        <f t="shared" si="419"/>
        <v>-1536.5115584655687</v>
      </c>
      <c r="AV512">
        <f t="shared" si="407"/>
        <v>-2.8297817361171416</v>
      </c>
      <c r="AW512">
        <f t="shared" si="408"/>
        <v>-473.93472127384945</v>
      </c>
      <c r="AX512">
        <f t="shared" si="409"/>
        <v>-1923.8858218024029</v>
      </c>
      <c r="AY512">
        <f t="shared" si="417"/>
        <v>-1.8123296259334323</v>
      </c>
      <c r="BA512">
        <f t="shared" si="398"/>
        <v>2.527740546338658</v>
      </c>
      <c r="BB512">
        <f t="shared" si="410"/>
        <v>8.0546498963519166</v>
      </c>
      <c r="BC512">
        <f t="shared" si="411"/>
        <v>-1.0174521101837093</v>
      </c>
      <c r="BD512">
        <f t="shared" si="399"/>
        <v>-238.29571183681873</v>
      </c>
      <c r="BF512">
        <f t="shared" si="400"/>
        <v>-48.117474236330665</v>
      </c>
      <c r="BG512">
        <f t="shared" si="401"/>
        <v>-227.49169280198606</v>
      </c>
      <c r="BH512">
        <f t="shared" si="412"/>
        <v>-47.491692801986062</v>
      </c>
      <c r="BI512">
        <f t="shared" si="413"/>
        <v>-47.491692801986062</v>
      </c>
      <c r="BJ512">
        <f t="shared" si="402"/>
        <v>0</v>
      </c>
      <c r="BK512">
        <f t="shared" si="414"/>
        <v>0</v>
      </c>
      <c r="BM512">
        <f t="shared" si="415"/>
        <v>-56.17212413268259</v>
      </c>
      <c r="BN512">
        <f t="shared" si="403"/>
        <v>-169.19598096516739</v>
      </c>
      <c r="BQ512" s="56">
        <f t="shared" si="416"/>
        <v>24.95661069663705</v>
      </c>
    </row>
    <row r="513" spans="1:69" x14ac:dyDescent="0.2">
      <c r="A513">
        <f t="shared" si="420"/>
        <v>1495000</v>
      </c>
      <c r="B513">
        <f t="shared" si="404"/>
        <v>1495</v>
      </c>
      <c r="C513">
        <f t="shared" si="373"/>
        <v>1.0174940294870594</v>
      </c>
      <c r="D513">
        <f t="shared" si="374"/>
        <v>0.18570269453570179</v>
      </c>
      <c r="F513">
        <f t="shared" si="375"/>
        <v>1.011369789798501E-4</v>
      </c>
      <c r="G513">
        <f t="shared" si="376"/>
        <v>3.4583700312795667E-3</v>
      </c>
      <c r="H513">
        <f t="shared" si="377"/>
        <v>-3.1381342799687206</v>
      </c>
      <c r="J513">
        <f t="shared" si="378"/>
        <v>15</v>
      </c>
      <c r="M513">
        <f t="shared" si="379"/>
        <v>1.2139897008187381E-3</v>
      </c>
      <c r="N513">
        <f t="shared" si="380"/>
        <v>-1.5707963250000001</v>
      </c>
      <c r="O513">
        <f t="shared" si="381"/>
        <v>178.41092745326876</v>
      </c>
      <c r="P513">
        <f t="shared" si="382"/>
        <v>1.5651912596029736</v>
      </c>
      <c r="Q513">
        <f t="shared" si="383"/>
        <v>116.44854254377718</v>
      </c>
      <c r="R513">
        <f t="shared" si="384"/>
        <v>1.5622087372091735</v>
      </c>
      <c r="S513">
        <f t="shared" si="385"/>
        <v>0.98206238339737906</v>
      </c>
      <c r="T513">
        <f t="shared" si="386"/>
        <v>-0.18969186041414765</v>
      </c>
      <c r="U513">
        <f t="shared" si="387"/>
        <v>0.3108698055862969</v>
      </c>
      <c r="V513">
        <f t="shared" si="388"/>
        <v>-1.2546882822249101</v>
      </c>
      <c r="X513">
        <f t="shared" si="405"/>
        <v>-38.499575323662029</v>
      </c>
      <c r="Y513">
        <f t="shared" si="389"/>
        <v>-162.73193474869737</v>
      </c>
      <c r="Z513">
        <f t="shared" si="406"/>
        <v>17.26806525130263</v>
      </c>
      <c r="AC513">
        <v>1</v>
      </c>
      <c r="AD513">
        <f t="shared" si="390"/>
        <v>178.4081249123355</v>
      </c>
      <c r="AE513">
        <f t="shared" si="391"/>
        <v>-0.11395794315600563</v>
      </c>
      <c r="AF513">
        <f t="shared" si="392"/>
        <v>3.7272860509248003E-2</v>
      </c>
      <c r="AG513">
        <f t="shared" si="421"/>
        <v>454.64448936301557</v>
      </c>
      <c r="AH513">
        <f t="shared" si="422"/>
        <v>-1416.8580075016946</v>
      </c>
      <c r="AJ513">
        <f t="shared" si="393"/>
        <v>22100</v>
      </c>
      <c r="AK513">
        <f t="shared" si="394"/>
        <v>4243.207066703515</v>
      </c>
      <c r="AL513">
        <v>1</v>
      </c>
      <c r="AM513">
        <f t="shared" si="395"/>
        <v>116.44424872259634</v>
      </c>
      <c r="AN513">
        <f t="shared" si="423"/>
        <v>38.066891235884995</v>
      </c>
      <c r="AO513">
        <f t="shared" si="424"/>
        <v>-189.46348446389982</v>
      </c>
      <c r="AQ513">
        <f t="shared" si="396"/>
        <v>1.1185555957365582E-3</v>
      </c>
      <c r="AR513">
        <f t="shared" si="397"/>
        <v>-3.3444812312523093</v>
      </c>
      <c r="AT513">
        <f t="shared" si="418"/>
        <v>-4738.1464683013128</v>
      </c>
      <c r="AU513">
        <f t="shared" si="419"/>
        <v>-1522.1347960195508</v>
      </c>
      <c r="AV513">
        <f t="shared" si="407"/>
        <v>-2.8307552280636643</v>
      </c>
      <c r="AW513">
        <f t="shared" si="408"/>
        <v>-470.448022656104</v>
      </c>
      <c r="AX513">
        <f t="shared" si="409"/>
        <v>-1917.6548123349387</v>
      </c>
      <c r="AY513">
        <f t="shared" si="417"/>
        <v>-1.8113698562288945</v>
      </c>
      <c r="BA513">
        <f t="shared" si="398"/>
        <v>2.5204318513219213</v>
      </c>
      <c r="BB513">
        <f t="shared" si="410"/>
        <v>8.0294991852952613</v>
      </c>
      <c r="BC513">
        <f t="shared" si="411"/>
        <v>-1.0193853718347698</v>
      </c>
      <c r="BD513">
        <f t="shared" si="399"/>
        <v>-238.40647957024555</v>
      </c>
      <c r="BF513">
        <f t="shared" si="400"/>
        <v>-48.199838705834139</v>
      </c>
      <c r="BG513">
        <f t="shared" si="401"/>
        <v>-227.56834890997146</v>
      </c>
      <c r="BH513">
        <f t="shared" si="412"/>
        <v>-47.568348909971462</v>
      </c>
      <c r="BI513">
        <f t="shared" si="413"/>
        <v>-47.568348909971462</v>
      </c>
      <c r="BJ513">
        <f t="shared" si="402"/>
        <v>0</v>
      </c>
      <c r="BK513">
        <f t="shared" si="414"/>
        <v>0</v>
      </c>
      <c r="BM513">
        <f t="shared" si="415"/>
        <v>-56.229337891129404</v>
      </c>
      <c r="BN513">
        <f t="shared" si="403"/>
        <v>-169.16186933972591</v>
      </c>
      <c r="BQ513" s="56">
        <f t="shared" si="416"/>
        <v>24.9314599855804</v>
      </c>
    </row>
    <row r="514" spans="1:69" x14ac:dyDescent="0.2">
      <c r="A514">
        <f t="shared" si="420"/>
        <v>1500000</v>
      </c>
      <c r="B514">
        <f t="shared" si="404"/>
        <v>1500</v>
      </c>
      <c r="C514">
        <f t="shared" si="373"/>
        <v>1.017610227819435</v>
      </c>
      <c r="D514">
        <f t="shared" si="374"/>
        <v>0.18630952386316749</v>
      </c>
      <c r="F514">
        <f t="shared" si="375"/>
        <v>1.0046379231842844E-4</v>
      </c>
      <c r="G514">
        <f t="shared" si="376"/>
        <v>3.4468398937911814E-3</v>
      </c>
      <c r="H514">
        <f t="shared" si="377"/>
        <v>-3.138145810106209</v>
      </c>
      <c r="J514">
        <f t="shared" si="378"/>
        <v>15</v>
      </c>
      <c r="M514">
        <f t="shared" si="379"/>
        <v>1.2099430684826757E-3</v>
      </c>
      <c r="N514">
        <f t="shared" si="380"/>
        <v>-1.5707963250000001</v>
      </c>
      <c r="O514">
        <f t="shared" si="381"/>
        <v>179.00760080362613</v>
      </c>
      <c r="P514">
        <f t="shared" si="382"/>
        <v>1.5652099427709185</v>
      </c>
      <c r="Q514">
        <f t="shared" si="383"/>
        <v>116.83797387946667</v>
      </c>
      <c r="R514">
        <f t="shared" si="384"/>
        <v>1.5622373611074944</v>
      </c>
      <c r="S514">
        <f t="shared" si="385"/>
        <v>0.98194543399678547</v>
      </c>
      <c r="T514">
        <f t="shared" si="386"/>
        <v>-0.19031109787721498</v>
      </c>
      <c r="U514">
        <f t="shared" si="387"/>
        <v>0.30993326240584962</v>
      </c>
      <c r="V514">
        <f t="shared" si="388"/>
        <v>-1.2556734892257266</v>
      </c>
      <c r="X514">
        <f t="shared" si="405"/>
        <v>-38.554834839845384</v>
      </c>
      <c r="Y514">
        <f t="shared" si="389"/>
        <v>-162.78704401863257</v>
      </c>
      <c r="Z514">
        <f t="shared" si="406"/>
        <v>17.212955981367429</v>
      </c>
      <c r="AC514">
        <v>1</v>
      </c>
      <c r="AD514">
        <f t="shared" si="390"/>
        <v>179.00480760435002</v>
      </c>
      <c r="AE514">
        <f t="shared" si="391"/>
        <v>-0.11472147832843599</v>
      </c>
      <c r="AF514">
        <f t="shared" si="392"/>
        <v>3.7397518905600009E-2</v>
      </c>
      <c r="AG514">
        <f t="shared" si="421"/>
        <v>451.90924262566642</v>
      </c>
      <c r="AH514">
        <f t="shared" si="422"/>
        <v>-1413.0267977854367</v>
      </c>
      <c r="AJ514">
        <f t="shared" si="393"/>
        <v>22100</v>
      </c>
      <c r="AK514">
        <f t="shared" si="394"/>
        <v>4257.3983946858007</v>
      </c>
      <c r="AL514">
        <v>1</v>
      </c>
      <c r="AM514">
        <f t="shared" si="395"/>
        <v>116.83369437049801</v>
      </c>
      <c r="AN514">
        <f t="shared" si="423"/>
        <v>38.056062943477919</v>
      </c>
      <c r="AO514">
        <f t="shared" si="424"/>
        <v>-188.83203219693311</v>
      </c>
      <c r="AQ514">
        <f t="shared" si="396"/>
        <v>1.1111109876543346E-3</v>
      </c>
      <c r="AR514">
        <f t="shared" si="397"/>
        <v>-3.333332962963004</v>
      </c>
      <c r="AT514">
        <f t="shared" si="418"/>
        <v>-4709.586681283351</v>
      </c>
      <c r="AU514">
        <f t="shared" si="419"/>
        <v>-1507.9340043126492</v>
      </c>
      <c r="AV514">
        <f t="shared" si="407"/>
        <v>-2.8317228667236134</v>
      </c>
      <c r="AW514">
        <f t="shared" si="408"/>
        <v>-466.99707267215524</v>
      </c>
      <c r="AX514">
        <f t="shared" si="409"/>
        <v>-1911.4636268993781</v>
      </c>
      <c r="AY514">
        <f t="shared" si="417"/>
        <v>-1.810416218147423</v>
      </c>
      <c r="BA514">
        <f t="shared" si="398"/>
        <v>2.5131608428225722</v>
      </c>
      <c r="BB514">
        <f t="shared" si="410"/>
        <v>8.0044056884049688</v>
      </c>
      <c r="BC514">
        <f t="shared" si="411"/>
        <v>-1.0213066485761904</v>
      </c>
      <c r="BD514">
        <f t="shared" si="399"/>
        <v>-238.51656061893138</v>
      </c>
      <c r="BF514">
        <f t="shared" si="400"/>
        <v>-48.281948505034642</v>
      </c>
      <c r="BG514">
        <f t="shared" si="401"/>
        <v>-227.64432182748507</v>
      </c>
      <c r="BH514">
        <f t="shared" si="412"/>
        <v>-47.644321827485072</v>
      </c>
      <c r="BI514">
        <f t="shared" si="413"/>
        <v>-47.644321827485072</v>
      </c>
      <c r="BJ514">
        <f t="shared" si="402"/>
        <v>0</v>
      </c>
      <c r="BK514">
        <f t="shared" si="414"/>
        <v>0</v>
      </c>
      <c r="BM514">
        <f t="shared" si="415"/>
        <v>-56.286354193439614</v>
      </c>
      <c r="BN514">
        <f t="shared" si="403"/>
        <v>-169.12776120855372</v>
      </c>
      <c r="BQ514" s="56">
        <f t="shared" si="416"/>
        <v>24.906366488690107</v>
      </c>
    </row>
    <row r="515" spans="1:69" x14ac:dyDescent="0.2">
      <c r="A515">
        <f t="shared" si="420"/>
        <v>1505000</v>
      </c>
      <c r="B515">
        <f t="shared" si="404"/>
        <v>1505</v>
      </c>
      <c r="C515">
        <f t="shared" si="373"/>
        <v>1.0177268007928171</v>
      </c>
      <c r="D515">
        <f t="shared" si="374"/>
        <v>0.1869162143985014</v>
      </c>
      <c r="F515">
        <f t="shared" si="375"/>
        <v>9.9797304850401562E-5</v>
      </c>
      <c r="G515">
        <f t="shared" si="376"/>
        <v>3.4353863907032405E-3</v>
      </c>
      <c r="H515">
        <f t="shared" si="377"/>
        <v>-3.1381572636092971</v>
      </c>
      <c r="J515">
        <f t="shared" si="378"/>
        <v>15</v>
      </c>
      <c r="M515">
        <f t="shared" si="379"/>
        <v>1.2059233240691118E-3</v>
      </c>
      <c r="N515">
        <f t="shared" si="380"/>
        <v>-1.5707963250000001</v>
      </c>
      <c r="O515">
        <f t="shared" si="381"/>
        <v>179.60427421605291</v>
      </c>
      <c r="P515">
        <f t="shared" si="382"/>
        <v>1.5652285018020742</v>
      </c>
      <c r="Q515">
        <f t="shared" si="383"/>
        <v>117.22740531024874</v>
      </c>
      <c r="R515">
        <f t="shared" si="384"/>
        <v>1.5622657948276859</v>
      </c>
      <c r="S515">
        <f t="shared" si="385"/>
        <v>0.98182813609445063</v>
      </c>
      <c r="T515">
        <f t="shared" si="386"/>
        <v>-0.19093018763609712</v>
      </c>
      <c r="U515">
        <f t="shared" si="387"/>
        <v>0.30900204800720876</v>
      </c>
      <c r="V515">
        <f t="shared" si="388"/>
        <v>-1.2566527769368609</v>
      </c>
      <c r="X515">
        <f t="shared" si="405"/>
        <v>-38.609927403287621</v>
      </c>
      <c r="Y515">
        <f t="shared" si="389"/>
        <v>-162.84182724571846</v>
      </c>
      <c r="Z515">
        <f t="shared" si="406"/>
        <v>17.158172754281537</v>
      </c>
      <c r="AC515">
        <v>1</v>
      </c>
      <c r="AD515">
        <f t="shared" si="390"/>
        <v>179.60149029636449</v>
      </c>
      <c r="AE515">
        <f t="shared" si="391"/>
        <v>-0.11548756286705146</v>
      </c>
      <c r="AF515">
        <f t="shared" si="392"/>
        <v>3.7522177301952009E-2</v>
      </c>
      <c r="AG515">
        <f t="shared" si="421"/>
        <v>449.19774148902223</v>
      </c>
      <c r="AH515">
        <f t="shared" si="422"/>
        <v>-1409.2133296113441</v>
      </c>
      <c r="AJ515">
        <f t="shared" si="393"/>
        <v>22100</v>
      </c>
      <c r="AK515">
        <f t="shared" si="394"/>
        <v>4271.5897226680863</v>
      </c>
      <c r="AL515">
        <v>1</v>
      </c>
      <c r="AM515">
        <f t="shared" si="395"/>
        <v>117.22314001839968</v>
      </c>
      <c r="AN515">
        <f t="shared" si="423"/>
        <v>38.0453423844056</v>
      </c>
      <c r="AO515">
        <f t="shared" si="424"/>
        <v>-188.20477470704751</v>
      </c>
      <c r="AQ515">
        <f t="shared" si="396"/>
        <v>1.1037404549905129E-3</v>
      </c>
      <c r="AR515">
        <f t="shared" si="397"/>
        <v>-3.3222587695214436</v>
      </c>
      <c r="AT515">
        <f t="shared" si="418"/>
        <v>-4681.2755447082291</v>
      </c>
      <c r="AU515">
        <f t="shared" si="419"/>
        <v>-1493.9065416727344</v>
      </c>
      <c r="AV515">
        <f t="shared" si="407"/>
        <v>-2.8326847028231819</v>
      </c>
      <c r="AW515">
        <f t="shared" si="408"/>
        <v>-463.58138332741675</v>
      </c>
      <c r="AX515">
        <f t="shared" si="409"/>
        <v>-1905.3118867893193</v>
      </c>
      <c r="AY515">
        <f t="shared" si="417"/>
        <v>-1.8094686502318909</v>
      </c>
      <c r="BA515">
        <f t="shared" si="398"/>
        <v>2.5059272833340471</v>
      </c>
      <c r="BB515">
        <f t="shared" si="410"/>
        <v>7.9793692908245557</v>
      </c>
      <c r="BC515">
        <f t="shared" si="411"/>
        <v>-1.023216052591291</v>
      </c>
      <c r="BD515">
        <f t="shared" si="399"/>
        <v>-238.62596141050699</v>
      </c>
      <c r="BF515">
        <f t="shared" si="400"/>
        <v>-48.363805044968842</v>
      </c>
      <c r="BG515">
        <f t="shared" si="401"/>
        <v>-227.71961804926414</v>
      </c>
      <c r="BH515">
        <f t="shared" si="412"/>
        <v>-47.719618049264142</v>
      </c>
      <c r="BI515">
        <f t="shared" si="413"/>
        <v>-47.719618049264142</v>
      </c>
      <c r="BJ515">
        <f t="shared" si="402"/>
        <v>0</v>
      </c>
      <c r="BK515">
        <f t="shared" si="414"/>
        <v>0</v>
      </c>
      <c r="BM515">
        <f t="shared" si="415"/>
        <v>-56.343174335793407</v>
      </c>
      <c r="BN515">
        <f t="shared" si="403"/>
        <v>-169.09365663875718</v>
      </c>
      <c r="BQ515" s="56">
        <f t="shared" si="416"/>
        <v>24.881330091109692</v>
      </c>
    </row>
    <row r="516" spans="1:69" x14ac:dyDescent="0.2">
      <c r="A516">
        <f t="shared" si="420"/>
        <v>1510000</v>
      </c>
      <c r="B516">
        <f t="shared" si="404"/>
        <v>1510</v>
      </c>
      <c r="C516">
        <f t="shared" si="373"/>
        <v>1.0178437482784835</v>
      </c>
      <c r="D516">
        <f t="shared" si="374"/>
        <v>0.18752276574285445</v>
      </c>
      <c r="F516">
        <f t="shared" si="375"/>
        <v>9.9137427977928253E-5</v>
      </c>
      <c r="G516">
        <f t="shared" si="376"/>
        <v>3.4240087604543571E-3</v>
      </c>
      <c r="H516">
        <f t="shared" si="377"/>
        <v>-3.1381686412395458</v>
      </c>
      <c r="J516">
        <f t="shared" si="378"/>
        <v>15</v>
      </c>
      <c r="M516">
        <f t="shared" si="379"/>
        <v>1.2019302004794791E-3</v>
      </c>
      <c r="N516">
        <f t="shared" si="380"/>
        <v>-1.5707963250000001</v>
      </c>
      <c r="O516">
        <f t="shared" si="381"/>
        <v>180.20094768993246</v>
      </c>
      <c r="P516">
        <f t="shared" si="382"/>
        <v>1.5652469379295362</v>
      </c>
      <c r="Q516">
        <f t="shared" si="383"/>
        <v>117.61683683517877</v>
      </c>
      <c r="R516">
        <f t="shared" si="384"/>
        <v>1.562294040258752</v>
      </c>
      <c r="S516">
        <f t="shared" si="385"/>
        <v>0.98171049008494293</v>
      </c>
      <c r="T516">
        <f t="shared" si="386"/>
        <v>-0.19154912926924511</v>
      </c>
      <c r="U516">
        <f t="shared" si="387"/>
        <v>0.30807611983658878</v>
      </c>
      <c r="V516">
        <f t="shared" si="388"/>
        <v>-1.2576261966832019</v>
      </c>
      <c r="X516">
        <f t="shared" si="405"/>
        <v>-38.664853978056016</v>
      </c>
      <c r="Y516">
        <f t="shared" si="389"/>
        <v>-162.89628723410499</v>
      </c>
      <c r="Z516">
        <f t="shared" si="406"/>
        <v>17.103712765895011</v>
      </c>
      <c r="AC516">
        <v>1</v>
      </c>
      <c r="AD516">
        <f t="shared" si="390"/>
        <v>180.19817298837901</v>
      </c>
      <c r="AE516">
        <f t="shared" si="391"/>
        <v>-0.11625619677185196</v>
      </c>
      <c r="AF516">
        <f t="shared" si="392"/>
        <v>3.7646835698304008E-2</v>
      </c>
      <c r="AG516">
        <f t="shared" si="421"/>
        <v>446.50972253298283</v>
      </c>
      <c r="AH516">
        <f t="shared" si="422"/>
        <v>-1405.4175120413388</v>
      </c>
      <c r="AJ516">
        <f t="shared" si="393"/>
        <v>22100</v>
      </c>
      <c r="AK516">
        <f t="shared" si="394"/>
        <v>4285.7810506503729</v>
      </c>
      <c r="AL516">
        <v>1</v>
      </c>
      <c r="AM516">
        <f t="shared" si="395"/>
        <v>117.61258566630133</v>
      </c>
      <c r="AN516">
        <f t="shared" si="423"/>
        <v>38.034728134273777</v>
      </c>
      <c r="AO516">
        <f t="shared" si="424"/>
        <v>-187.58167033638287</v>
      </c>
      <c r="AQ516">
        <f t="shared" si="396"/>
        <v>1.096443018240097E-3</v>
      </c>
      <c r="AR516">
        <f t="shared" si="397"/>
        <v>-3.3112579150850934</v>
      </c>
      <c r="AT516">
        <f t="shared" si="418"/>
        <v>-4653.2102882782356</v>
      </c>
      <c r="AU516">
        <f t="shared" si="419"/>
        <v>-1480.0498131185784</v>
      </c>
      <c r="AV516">
        <f t="shared" si="407"/>
        <v>-2.833640786527746</v>
      </c>
      <c r="AW516">
        <f t="shared" si="408"/>
        <v>-460.20047492754395</v>
      </c>
      <c r="AX516">
        <f t="shared" si="409"/>
        <v>-1899.199218090635</v>
      </c>
      <c r="AY516">
        <f t="shared" si="417"/>
        <v>-1.8085270918173857</v>
      </c>
      <c r="BA516">
        <f t="shared" si="398"/>
        <v>2.4987309363930192</v>
      </c>
      <c r="BB516">
        <f t="shared" si="410"/>
        <v>7.9543898753827023</v>
      </c>
      <c r="BC516">
        <f t="shared" si="411"/>
        <v>-1.0251136947103603</v>
      </c>
      <c r="BD516">
        <f t="shared" si="399"/>
        <v>-238.73468829508016</v>
      </c>
      <c r="BF516">
        <f t="shared" si="400"/>
        <v>-48.445409726113155</v>
      </c>
      <c r="BG516">
        <f t="shared" si="401"/>
        <v>-227.79424399190302</v>
      </c>
      <c r="BH516">
        <f t="shared" si="412"/>
        <v>-47.794243991903016</v>
      </c>
      <c r="BI516">
        <f t="shared" si="413"/>
        <v>-47.794243991903016</v>
      </c>
      <c r="BJ516">
        <f t="shared" si="402"/>
        <v>0</v>
      </c>
      <c r="BK516">
        <f t="shared" si="414"/>
        <v>0</v>
      </c>
      <c r="BM516">
        <f t="shared" si="415"/>
        <v>-56.39979960149585</v>
      </c>
      <c r="BN516">
        <f t="shared" si="403"/>
        <v>-169.05955569682288</v>
      </c>
      <c r="BQ516" s="56">
        <f t="shared" si="416"/>
        <v>24.856350675667841</v>
      </c>
    </row>
    <row r="517" spans="1:69" x14ac:dyDescent="0.2">
      <c r="A517">
        <f t="shared" si="420"/>
        <v>1515000</v>
      </c>
      <c r="B517">
        <f t="shared" si="404"/>
        <v>1515</v>
      </c>
      <c r="C517">
        <f t="shared" si="373"/>
        <v>1.0179610701473574</v>
      </c>
      <c r="D517">
        <f t="shared" si="374"/>
        <v>0.18812917749797023</v>
      </c>
      <c r="F517">
        <f t="shared" si="375"/>
        <v>9.8484074563034255E-5</v>
      </c>
      <c r="G517">
        <f t="shared" si="376"/>
        <v>3.4127062515415612E-3</v>
      </c>
      <c r="H517">
        <f t="shared" si="377"/>
        <v>-3.1381799437484585</v>
      </c>
      <c r="J517">
        <f t="shared" si="378"/>
        <v>15</v>
      </c>
      <c r="M517">
        <f t="shared" si="379"/>
        <v>1.1979634341412629E-3</v>
      </c>
      <c r="N517">
        <f t="shared" si="380"/>
        <v>-1.5707963250000001</v>
      </c>
      <c r="O517">
        <f t="shared" si="381"/>
        <v>180.79762122465641</v>
      </c>
      <c r="P517">
        <f t="shared" si="382"/>
        <v>1.5652652523701232</v>
      </c>
      <c r="Q517">
        <f t="shared" si="383"/>
        <v>118.00626845332474</v>
      </c>
      <c r="R517">
        <f t="shared" si="384"/>
        <v>1.5623220992647617</v>
      </c>
      <c r="S517">
        <f t="shared" si="385"/>
        <v>0.98159249636374646</v>
      </c>
      <c r="T517">
        <f t="shared" si="386"/>
        <v>-0.19216792235576563</v>
      </c>
      <c r="U517">
        <f t="shared" si="387"/>
        <v>0.30715543575597282</v>
      </c>
      <c r="V517">
        <f t="shared" si="388"/>
        <v>-1.2585937992208756</v>
      </c>
      <c r="X517">
        <f t="shared" si="405"/>
        <v>-38.719615520244318</v>
      </c>
      <c r="Y517">
        <f t="shared" si="389"/>
        <v>-162.95042675714308</v>
      </c>
      <c r="Z517">
        <f t="shared" si="406"/>
        <v>17.049573242856923</v>
      </c>
      <c r="AC517">
        <v>1</v>
      </c>
      <c r="AD517">
        <f t="shared" si="390"/>
        <v>180.79485568039351</v>
      </c>
      <c r="AE517">
        <f t="shared" si="391"/>
        <v>-0.11702738004283757</v>
      </c>
      <c r="AF517">
        <f t="shared" si="392"/>
        <v>3.7771494094656001E-2</v>
      </c>
      <c r="AG517">
        <f t="shared" si="421"/>
        <v>443.84492581499478</v>
      </c>
      <c r="AH517">
        <f t="shared" si="422"/>
        <v>-1401.6392542154372</v>
      </c>
      <c r="AJ517">
        <f t="shared" si="393"/>
        <v>22100</v>
      </c>
      <c r="AK517">
        <f t="shared" si="394"/>
        <v>4299.9723786326585</v>
      </c>
      <c r="AL517">
        <v>1</v>
      </c>
      <c r="AM517">
        <f t="shared" si="395"/>
        <v>118.00203131420298</v>
      </c>
      <c r="AN517">
        <f t="shared" si="423"/>
        <v>38.024218792150741</v>
      </c>
      <c r="AO517">
        <f t="shared" si="424"/>
        <v>-186.96267797681901</v>
      </c>
      <c r="AQ517">
        <f t="shared" si="396"/>
        <v>1.0892177140348208E-3</v>
      </c>
      <c r="AR517">
        <f t="shared" si="397"/>
        <v>-3.300329673525507</v>
      </c>
      <c r="AT517">
        <f t="shared" si="418"/>
        <v>-4625.3881785098874</v>
      </c>
      <c r="AU517">
        <f t="shared" si="419"/>
        <v>-1466.3612694153326</v>
      </c>
      <c r="AV517">
        <f t="shared" si="407"/>
        <v>-2.8345911674492279</v>
      </c>
      <c r="AW517">
        <f t="shared" si="408"/>
        <v>-456.85387590980781</v>
      </c>
      <c r="AX517">
        <f t="shared" si="409"/>
        <v>-1893.12525160532</v>
      </c>
      <c r="AY517">
        <f t="shared" si="417"/>
        <v>-1.8075914830190789</v>
      </c>
      <c r="BA517">
        <f t="shared" si="398"/>
        <v>2.4915715665992466</v>
      </c>
      <c r="BB517">
        <f t="shared" si="410"/>
        <v>7.9294673226782209</v>
      </c>
      <c r="BC517">
        <f t="shared" si="411"/>
        <v>-1.026999684430149</v>
      </c>
      <c r="BD517">
        <f t="shared" si="399"/>
        <v>-238.8427475463526</v>
      </c>
      <c r="BF517">
        <f t="shared" si="400"/>
        <v>-48.526763938469088</v>
      </c>
      <c r="BG517">
        <f t="shared" si="401"/>
        <v>-227.86820599497986</v>
      </c>
      <c r="BH517">
        <f t="shared" si="412"/>
        <v>-47.86820599497986</v>
      </c>
      <c r="BI517">
        <f t="shared" si="413"/>
        <v>-47.86820599497986</v>
      </c>
      <c r="BJ517">
        <f t="shared" si="402"/>
        <v>0</v>
      </c>
      <c r="BK517">
        <f t="shared" si="414"/>
        <v>0</v>
      </c>
      <c r="BM517">
        <f t="shared" si="415"/>
        <v>-56.456231261147309</v>
      </c>
      <c r="BN517">
        <f t="shared" si="403"/>
        <v>-169.02545844862726</v>
      </c>
      <c r="BQ517" s="56">
        <f t="shared" si="416"/>
        <v>24.831428122963356</v>
      </c>
    </row>
    <row r="518" spans="1:69" x14ac:dyDescent="0.2">
      <c r="A518">
        <f>A517+5000</f>
        <v>1520000</v>
      </c>
      <c r="B518">
        <f t="shared" si="404"/>
        <v>1520</v>
      </c>
      <c r="C518">
        <f t="shared" si="373"/>
        <v>1.0180787662700093</v>
      </c>
      <c r="D518">
        <f t="shared" si="374"/>
        <v>0.18873544926618624</v>
      </c>
      <c r="F518">
        <f t="shared" si="375"/>
        <v>9.7837158898840312E-5</v>
      </c>
      <c r="G518">
        <f t="shared" si="376"/>
        <v>3.4014781223547755E-3</v>
      </c>
      <c r="H518">
        <f t="shared" si="377"/>
        <v>-3.1381911718776454</v>
      </c>
      <c r="J518">
        <f t="shared" si="378"/>
        <v>15</v>
      </c>
      <c r="M518">
        <f t="shared" si="379"/>
        <v>1.1940227649500088E-3</v>
      </c>
      <c r="N518">
        <f t="shared" si="380"/>
        <v>-1.5707963250000001</v>
      </c>
      <c r="O518">
        <f t="shared" si="381"/>
        <v>181.39429481962429</v>
      </c>
      <c r="P518">
        <f t="shared" si="382"/>
        <v>1.5652834463246432</v>
      </c>
      <c r="Q518">
        <f t="shared" si="383"/>
        <v>118.39570016376673</v>
      </c>
      <c r="R518">
        <f t="shared" si="384"/>
        <v>1.5623499736852606</v>
      </c>
      <c r="S518">
        <f t="shared" si="385"/>
        <v>0.98147415532725513</v>
      </c>
      <c r="T518">
        <f t="shared" si="386"/>
        <v>-0.19278656647542242</v>
      </c>
      <c r="U518">
        <f t="shared" si="387"/>
        <v>0.30623995403865412</v>
      </c>
      <c r="V518">
        <f t="shared" si="388"/>
        <v>-1.2595556347447472</v>
      </c>
      <c r="X518">
        <f t="shared" si="405"/>
        <v>-38.774212978057001</v>
      </c>
      <c r="Y518">
        <f t="shared" si="389"/>
        <v>-163.00424855778499</v>
      </c>
      <c r="Z518">
        <f t="shared" si="406"/>
        <v>16.99575144221501</v>
      </c>
      <c r="AC518">
        <v>1</v>
      </c>
      <c r="AD518">
        <f t="shared" si="390"/>
        <v>181.39153837240801</v>
      </c>
      <c r="AE518">
        <f t="shared" si="391"/>
        <v>-0.11780111268000824</v>
      </c>
      <c r="AF518">
        <f t="shared" si="392"/>
        <v>3.7896152491008007E-2</v>
      </c>
      <c r="AG518">
        <f t="shared" si="421"/>
        <v>441.20309481822073</v>
      </c>
      <c r="AH518">
        <f t="shared" si="422"/>
        <v>-1397.8784653671451</v>
      </c>
      <c r="AJ518">
        <f t="shared" si="393"/>
        <v>22100</v>
      </c>
      <c r="AK518">
        <f t="shared" si="394"/>
        <v>4314.1637066149442</v>
      </c>
      <c r="AL518">
        <v>1</v>
      </c>
      <c r="AM518">
        <f t="shared" si="395"/>
        <v>118.39147696210466</v>
      </c>
      <c r="AN518">
        <f t="shared" si="423"/>
        <v>38.013812980105222</v>
      </c>
      <c r="AO518">
        <f t="shared" si="424"/>
        <v>-186.34775706093779</v>
      </c>
      <c r="AQ518">
        <f t="shared" si="396"/>
        <v>1.0820635948251822E-3</v>
      </c>
      <c r="AR518">
        <f t="shared" si="397"/>
        <v>-3.2894733282685542</v>
      </c>
      <c r="AT518">
        <f t="shared" si="418"/>
        <v>-4597.8065181793745</v>
      </c>
      <c r="AU518">
        <f t="shared" si="419"/>
        <v>-1452.838406151443</v>
      </c>
      <c r="AV518">
        <f t="shared" si="407"/>
        <v>-2.8355358946533409</v>
      </c>
      <c r="AW518">
        <f t="shared" si="408"/>
        <v>-453.541122678438</v>
      </c>
      <c r="AX518">
        <f t="shared" si="409"/>
        <v>-1887.0896227768155</v>
      </c>
      <c r="AY518">
        <f t="shared" si="417"/>
        <v>-1.8066617647202998</v>
      </c>
      <c r="BA518">
        <f t="shared" si="398"/>
        <v>2.4844489396343077</v>
      </c>
      <c r="BB518">
        <f t="shared" si="410"/>
        <v>7.9046015111626469</v>
      </c>
      <c r="BC518">
        <f t="shared" si="411"/>
        <v>-1.0288741299330411</v>
      </c>
      <c r="BD518">
        <f t="shared" si="399"/>
        <v>-238.9501453627183</v>
      </c>
      <c r="BF518">
        <f t="shared" si="400"/>
        <v>-48.60786906164833</v>
      </c>
      <c r="BG518">
        <f t="shared" si="401"/>
        <v>-227.94151032216413</v>
      </c>
      <c r="BH518">
        <f t="shared" si="412"/>
        <v>-47.941510322164135</v>
      </c>
      <c r="BI518">
        <f t="shared" si="413"/>
        <v>-47.941510322164135</v>
      </c>
      <c r="BJ518">
        <f t="shared" si="402"/>
        <v>0</v>
      </c>
      <c r="BK518">
        <f t="shared" si="414"/>
        <v>0</v>
      </c>
      <c r="BM518">
        <f t="shared" si="415"/>
        <v>-56.512470572810976</v>
      </c>
      <c r="BN518">
        <f t="shared" si="403"/>
        <v>-168.99136495944586</v>
      </c>
      <c r="BQ518" s="56">
        <f t="shared" si="416"/>
        <v>24.806562311447781</v>
      </c>
    </row>
    <row r="519" spans="1:69" x14ac:dyDescent="0.2">
      <c r="A519">
        <f t="shared" si="420"/>
        <v>1525000</v>
      </c>
      <c r="B519">
        <f t="shared" si="404"/>
        <v>1525</v>
      </c>
      <c r="C519">
        <f t="shared" si="373"/>
        <v>1.0181968365166556</v>
      </c>
      <c r="D519">
        <f t="shared" si="374"/>
        <v>0.18934158065043524</v>
      </c>
      <c r="F519">
        <f t="shared" si="375"/>
        <v>9.7196596681449634E-5</v>
      </c>
      <c r="G519">
        <f t="shared" si="376"/>
        <v>3.390323641014542E-3</v>
      </c>
      <c r="H519">
        <f t="shared" si="377"/>
        <v>-3.1382023263589858</v>
      </c>
      <c r="J519">
        <f t="shared" si="378"/>
        <v>15</v>
      </c>
      <c r="M519">
        <f t="shared" si="379"/>
        <v>1.1901079362124679E-3</v>
      </c>
      <c r="N519">
        <f t="shared" si="380"/>
        <v>-1.5707963250000001</v>
      </c>
      <c r="O519">
        <f t="shared" si="381"/>
        <v>181.9909684742436</v>
      </c>
      <c r="P519">
        <f t="shared" si="382"/>
        <v>1.5653015209781578</v>
      </c>
      <c r="Q519">
        <f t="shared" si="383"/>
        <v>118.78513196559706</v>
      </c>
      <c r="R519">
        <f t="shared" si="384"/>
        <v>1.5623776653356709</v>
      </c>
      <c r="S519">
        <f t="shared" si="385"/>
        <v>0.98135546737277146</v>
      </c>
      <c r="T519">
        <f t="shared" si="386"/>
        <v>-0.19340506120863757</v>
      </c>
      <c r="U519">
        <f t="shared" si="387"/>
        <v>0.30532963336482238</v>
      </c>
      <c r="V519">
        <f t="shared" si="388"/>
        <v>-1.2605117528958112</v>
      </c>
      <c r="X519">
        <f t="shared" si="405"/>
        <v>-38.828647291892338</v>
      </c>
      <c r="Y519">
        <f t="shared" si="389"/>
        <v>-163.05775534897901</v>
      </c>
      <c r="Z519">
        <f t="shared" si="406"/>
        <v>16.942244651020985</v>
      </c>
      <c r="AC519">
        <v>1</v>
      </c>
      <c r="AD519">
        <f t="shared" si="390"/>
        <v>181.9882210644225</v>
      </c>
      <c r="AE519">
        <f t="shared" si="391"/>
        <v>-0.11857739468336399</v>
      </c>
      <c r="AF519">
        <f t="shared" si="392"/>
        <v>3.8020810887360007E-2</v>
      </c>
      <c r="AG519">
        <f t="shared" si="421"/>
        <v>438.58397640053397</v>
      </c>
      <c r="AH519">
        <f t="shared" si="422"/>
        <v>-1394.1350548382748</v>
      </c>
      <c r="AJ519">
        <f t="shared" si="393"/>
        <v>22100</v>
      </c>
      <c r="AK519">
        <f t="shared" si="394"/>
        <v>4328.3550345972299</v>
      </c>
      <c r="AL519">
        <v>1</v>
      </c>
      <c r="AM519">
        <f t="shared" si="395"/>
        <v>118.78092261000631</v>
      </c>
      <c r="AN519">
        <f t="shared" si="423"/>
        <v>38.003509342754654</v>
      </c>
      <c r="AO519">
        <f t="shared" si="424"/>
        <v>-185.73686755316297</v>
      </c>
      <c r="AQ519">
        <f t="shared" si="396"/>
        <v>1.0749797285697685E-3</v>
      </c>
      <c r="AR519">
        <f t="shared" si="397"/>
        <v>-3.2786881721377941</v>
      </c>
      <c r="AT519">
        <f t="shared" si="418"/>
        <v>-4570.462645777021</v>
      </c>
      <c r="AU519">
        <f t="shared" si="419"/>
        <v>-1439.4787628364318</v>
      </c>
      <c r="AV519">
        <f t="shared" si="407"/>
        <v>-2.8364750166667361</v>
      </c>
      <c r="AW519">
        <f t="shared" si="408"/>
        <v>-450.26175944383567</v>
      </c>
      <c r="AX519">
        <f t="shared" si="409"/>
        <v>-1881.0919716167575</v>
      </c>
      <c r="AY519">
        <f t="shared" si="417"/>
        <v>-1.8057378785608145</v>
      </c>
      <c r="BA519">
        <f t="shared" si="398"/>
        <v>2.4773628222792548</v>
      </c>
      <c r="BB519">
        <f t="shared" si="410"/>
        <v>7.879792317220514</v>
      </c>
      <c r="BC519">
        <f t="shared" si="411"/>
        <v>-1.0307371381059216</v>
      </c>
      <c r="BD519">
        <f t="shared" si="399"/>
        <v>-239.05688786834469</v>
      </c>
      <c r="BF519">
        <f t="shared" si="400"/>
        <v>-48.688726464957249</v>
      </c>
      <c r="BG519">
        <f t="shared" si="401"/>
        <v>-228.01416316230717</v>
      </c>
      <c r="BH519">
        <f t="shared" si="412"/>
        <v>-48.01416316230717</v>
      </c>
      <c r="BI519">
        <f t="shared" si="413"/>
        <v>-48.01416316230717</v>
      </c>
      <c r="BJ519">
        <f t="shared" si="402"/>
        <v>0</v>
      </c>
      <c r="BK519">
        <f t="shared" si="414"/>
        <v>0</v>
      </c>
      <c r="BM519">
        <f t="shared" si="415"/>
        <v>-56.568518782177762</v>
      </c>
      <c r="BN519">
        <f t="shared" si="403"/>
        <v>-168.95727529396245</v>
      </c>
      <c r="BQ519" s="56">
        <f t="shared" si="416"/>
        <v>24.781753117505652</v>
      </c>
    </row>
    <row r="520" spans="1:69" x14ac:dyDescent="0.2">
      <c r="A520">
        <f t="shared" si="420"/>
        <v>1530000</v>
      </c>
      <c r="B520">
        <f t="shared" si="404"/>
        <v>1530</v>
      </c>
      <c r="C520">
        <f t="shared" si="373"/>
        <v>1.0183152807571614</v>
      </c>
      <c r="D520">
        <f t="shared" si="374"/>
        <v>0.18994757125424647</v>
      </c>
      <c r="F520">
        <f t="shared" si="375"/>
        <v>9.656230498247775E-5</v>
      </c>
      <c r="G520">
        <f t="shared" si="376"/>
        <v>3.3792420852129372E-3</v>
      </c>
      <c r="H520">
        <f t="shared" si="377"/>
        <v>-3.1382134079147872</v>
      </c>
      <c r="J520">
        <f t="shared" si="378"/>
        <v>15</v>
      </c>
      <c r="M520">
        <f t="shared" si="379"/>
        <v>1.1862186945908583E-3</v>
      </c>
      <c r="N520">
        <f t="shared" si="380"/>
        <v>-1.5707963250000001</v>
      </c>
      <c r="O520">
        <f t="shared" si="381"/>
        <v>182.5876421879295</v>
      </c>
      <c r="P520">
        <f t="shared" si="382"/>
        <v>1.565319477500237</v>
      </c>
      <c r="Q520">
        <f t="shared" si="383"/>
        <v>119.17456385791978</v>
      </c>
      <c r="R520">
        <f t="shared" si="384"/>
        <v>1.5624051760076878</v>
      </c>
      <c r="S520">
        <f t="shared" si="385"/>
        <v>0.98123643289850115</v>
      </c>
      <c r="T520">
        <f t="shared" si="386"/>
        <v>-0.19402340613649299</v>
      </c>
      <c r="U520">
        <f t="shared" si="387"/>
        <v>0.30442443281719328</v>
      </c>
      <c r="V520">
        <f t="shared" si="388"/>
        <v>-1.2614622027684719</v>
      </c>
      <c r="X520">
        <f t="shared" si="405"/>
        <v>-38.882919394424526</v>
      </c>
      <c r="Y520">
        <f t="shared" si="389"/>
        <v>-163.1109498140583</v>
      </c>
      <c r="Z520">
        <f t="shared" si="406"/>
        <v>16.889050185941699</v>
      </c>
      <c r="AC520">
        <v>1</v>
      </c>
      <c r="AD520">
        <f t="shared" si="390"/>
        <v>182.584903756437</v>
      </c>
      <c r="AE520">
        <f t="shared" si="391"/>
        <v>-0.11935622605290483</v>
      </c>
      <c r="AF520">
        <f t="shared" si="392"/>
        <v>3.8145469283712007E-2</v>
      </c>
      <c r="AG520">
        <f t="shared" si="421"/>
        <v>435.98732074433093</v>
      </c>
      <c r="AH520">
        <f t="shared" si="422"/>
        <v>-1390.4089320932187</v>
      </c>
      <c r="AJ520">
        <f t="shared" si="393"/>
        <v>22100</v>
      </c>
      <c r="AK520">
        <f t="shared" si="394"/>
        <v>4342.5463625795164</v>
      </c>
      <c r="AL520">
        <v>1</v>
      </c>
      <c r="AM520">
        <f t="shared" si="395"/>
        <v>119.17036825790797</v>
      </c>
      <c r="AN520">
        <f t="shared" si="423"/>
        <v>37.993306546823895</v>
      </c>
      <c r="AO520">
        <f t="shared" si="424"/>
        <v>-185.12996994107363</v>
      </c>
      <c r="AQ520">
        <f t="shared" si="396"/>
        <v>1.0679651984316718E-3</v>
      </c>
      <c r="AR520">
        <f t="shared" si="397"/>
        <v>-3.2679735072009155</v>
      </c>
      <c r="AT520">
        <f t="shared" si="418"/>
        <v>-4543.3539349706425</v>
      </c>
      <c r="AU520">
        <f t="shared" si="419"/>
        <v>-1426.2799220190459</v>
      </c>
      <c r="AV520">
        <f t="shared" si="407"/>
        <v>-2.8374085814840408</v>
      </c>
      <c r="AW520">
        <f t="shared" si="408"/>
        <v>-447.01533806555096</v>
      </c>
      <c r="AX520">
        <f t="shared" si="409"/>
        <v>-1875.1319426331361</v>
      </c>
      <c r="AY520">
        <f t="shared" si="417"/>
        <v>-1.8048197669253054</v>
      </c>
      <c r="BA520">
        <f t="shared" si="398"/>
        <v>2.47031298243123</v>
      </c>
      <c r="BB520">
        <f t="shared" si="410"/>
        <v>7.8550396152473789</v>
      </c>
      <c r="BC520">
        <f t="shared" si="411"/>
        <v>-1.0325888145587354</v>
      </c>
      <c r="BD520">
        <f t="shared" si="399"/>
        <v>-239.16298111423592</v>
      </c>
      <c r="BF520">
        <f t="shared" si="400"/>
        <v>-48.769337507480984</v>
      </c>
      <c r="BG520">
        <f t="shared" si="401"/>
        <v>-228.08617063051429</v>
      </c>
      <c r="BH520">
        <f t="shared" si="412"/>
        <v>-48.086170630514289</v>
      </c>
      <c r="BI520">
        <f t="shared" si="413"/>
        <v>-48.086170630514289</v>
      </c>
      <c r="BJ520">
        <f t="shared" si="402"/>
        <v>0</v>
      </c>
      <c r="BK520">
        <f t="shared" si="414"/>
        <v>0</v>
      </c>
      <c r="BM520">
        <f t="shared" si="415"/>
        <v>-56.624377122728362</v>
      </c>
      <c r="BN520">
        <f t="shared" si="403"/>
        <v>-168.9231895162784</v>
      </c>
      <c r="BQ520" s="56">
        <f t="shared" si="416"/>
        <v>24.757000415532513</v>
      </c>
    </row>
    <row r="521" spans="1:69" x14ac:dyDescent="0.2">
      <c r="A521">
        <f t="shared" si="420"/>
        <v>1535000</v>
      </c>
      <c r="B521">
        <f t="shared" si="404"/>
        <v>1535</v>
      </c>
      <c r="C521">
        <f t="shared" ref="C521:C584" si="425">SQRT((A521/Fesr)^2+1)</f>
        <v>1.0184340988610396</v>
      </c>
      <c r="D521">
        <f t="shared" ref="D521:D584" si="426">ATAN(A521/Fesr)</f>
        <v>0.19055342068174683</v>
      </c>
      <c r="F521">
        <f t="shared" ref="F521:F584" si="427">(Ro/(Ro+Rdcr))/SQRT((A521/(Q*Fo))^2+(1-(A521^2/Fo^2))^2)</f>
        <v>9.5934202222207465E-5</v>
      </c>
      <c r="G521">
        <f t="shared" ref="G521:G584" si="428">-ATAN(A521*Fo/(Q*(Fo^2-A521^2)))</f>
        <v>3.3682327420575951E-3</v>
      </c>
      <c r="H521">
        <f t="shared" ref="H521:H584" si="429">IF(G521&gt;0,G521-Pi,G521)</f>
        <v>-3.1382244172579425</v>
      </c>
      <c r="J521">
        <f t="shared" ref="J521:J584" si="430">Vin/Vramp</f>
        <v>15</v>
      </c>
      <c r="M521">
        <f t="shared" ref="M521:M584" si="431">1/(2*Pi*_Rfb1*(Cc1ea_u+Cc2ea_u)*A521)</f>
        <v>1.1823547900482172E-3</v>
      </c>
      <c r="N521">
        <f t="shared" ref="N521:N584" si="432">-Pi/2</f>
        <v>-1.5707963250000001</v>
      </c>
      <c r="O521">
        <f t="shared" ref="O521:O584" si="433">SQRT(1+(A521/Fz1_u)^2)</f>
        <v>183.18431596010487</v>
      </c>
      <c r="P521">
        <f t="shared" ref="P521:P584" si="434">ATAN2(Fz1_u,A521)</f>
        <v>1.5653373170452138</v>
      </c>
      <c r="Q521">
        <f t="shared" ref="Q521:Q584" si="435">SQRT(1+(A521/Fz2_u)^2)</f>
        <v>119.56399583985068</v>
      </c>
      <c r="R521">
        <f t="shared" ref="R521:R584" si="436">ATAN2(Fz2_u,A521)</f>
        <v>1.5624325074696634</v>
      </c>
      <c r="S521">
        <f t="shared" ref="S521:S584" si="437">1/SQRT(1+(A521/Fp1_u)^2)</f>
        <v>0.9811170523035504</v>
      </c>
      <c r="T521">
        <f t="shared" ref="T521:T584" si="438">-ATAN2(Fp1_u,A521)</f>
        <v>-0.19464160084073176</v>
      </c>
      <c r="U521">
        <f t="shared" ref="U521:U584" si="439">1/SQRT(1+(A521/Fp2_u)^2)</f>
        <v>0.30352431187668277</v>
      </c>
      <c r="V521">
        <f t="shared" ref="V521:V584" si="440">-ATAN2(Fp2_u,A521)</f>
        <v>-1.2624070329177153</v>
      </c>
      <c r="X521">
        <f t="shared" si="405"/>
        <v>-38.937030210684689</v>
      </c>
      <c r="Y521">
        <f t="shared" ref="Y521:Y584" si="441">(180/Pi)*(D521+H521+N521+P521+R521+T521+V521)</f>
        <v>-163.16383460712444</v>
      </c>
      <c r="Z521">
        <f t="shared" si="406"/>
        <v>16.836165392875557</v>
      </c>
      <c r="AC521">
        <v>1</v>
      </c>
      <c r="AD521">
        <f t="shared" ref="AD521:AD584" si="442">Rcea1_u*Cc1ea_u*A521*2*Pi</f>
        <v>183.1815864484515</v>
      </c>
      <c r="AE521">
        <f t="shared" ref="AE521:AE584" si="443">-Rcea1_u*Cc1ea_u*Cc2ea_u*(A521*2*Pi)^2</f>
        <v>-0.12013760678863074</v>
      </c>
      <c r="AF521">
        <f t="shared" ref="AF521:AF584" si="444">(Cc2ea_u+Cc1ea_u)*A521*2*Pi</f>
        <v>3.8270127680064006E-2</v>
      </c>
      <c r="AG521">
        <f t="shared" si="421"/>
        <v>433.41288130714582</v>
      </c>
      <c r="AH521">
        <f t="shared" si="422"/>
        <v>-1386.7000067326824</v>
      </c>
      <c r="AJ521">
        <f t="shared" ref="AJ521:AJ584" si="445">_Rfb1</f>
        <v>22100</v>
      </c>
      <c r="AK521">
        <f t="shared" ref="AK521:AK584" si="446">_Rfb1*Rcea2_u*Cc3ea_u*A521*2*Pi</f>
        <v>4356.7376905618021</v>
      </c>
      <c r="AL521">
        <v>1</v>
      </c>
      <c r="AM521">
        <f t="shared" ref="AM521:AM584" si="447">(_Rfb1+Rcea2_u)*Cc3ea_u*A521*2*Pi</f>
        <v>119.55981390580962</v>
      </c>
      <c r="AN521">
        <f t="shared" si="423"/>
        <v>37.983203280713887</v>
      </c>
      <c r="AO521">
        <f t="shared" si="424"/>
        <v>-184.52702522688733</v>
      </c>
      <c r="AQ521">
        <f t="shared" ref="AQ521:AQ584" si="448">Eadcg/(1+(Eadcg*A521/GBP)^2)</f>
        <v>1.0610191024818191E-3</v>
      </c>
      <c r="AR521">
        <f t="shared" ref="AR521:AR584" si="449">-(A521*Eadcg*Eadcg/GBP)/(1+(Eadcg*A521/GBP)^2)</f>
        <v>-3.2573286446191849</v>
      </c>
      <c r="AT521">
        <f t="shared" si="418"/>
        <v>-4516.4777940776539</v>
      </c>
      <c r="AU521">
        <f t="shared" si="419"/>
        <v>-1413.239508425256</v>
      </c>
      <c r="AV521">
        <f t="shared" si="407"/>
        <v>-2.838336636574792</v>
      </c>
      <c r="AW521">
        <f t="shared" si="408"/>
        <v>-443.80141789892434</v>
      </c>
      <c r="AX521">
        <f t="shared" si="409"/>
        <v>-1869.2091847598172</v>
      </c>
      <c r="AY521">
        <f t="shared" si="417"/>
        <v>-1.8039073729320476</v>
      </c>
      <c r="BA521">
        <f t="shared" ref="BA521:BA584" si="450">SQRT(AT521^2+AU521^2)/SQRT(AW521^2+AX521^2)</f>
        <v>2.4632991891190841</v>
      </c>
      <c r="BB521">
        <f t="shared" si="410"/>
        <v>7.830343277725663</v>
      </c>
      <c r="BC521">
        <f t="shared" si="411"/>
        <v>-1.0344292636427443</v>
      </c>
      <c r="BD521">
        <f t="shared" ref="BD521:BD584" si="451">BC521*180/Pi-180</f>
        <v>-239.26843107927883</v>
      </c>
      <c r="BF521">
        <f t="shared" ref="BF521:BF584" si="452">20*LOG(BA521*J521*F521*C521)</f>
        <v>-48.84970353816712</v>
      </c>
      <c r="BG521">
        <f t="shared" ref="BG521:BG584" si="453">(180/Pi)*(D521+H521+BC521)</f>
        <v>-228.15753876920013</v>
      </c>
      <c r="BH521">
        <f t="shared" si="412"/>
        <v>-48.15753876920013</v>
      </c>
      <c r="BI521">
        <f t="shared" si="413"/>
        <v>-48.15753876920013</v>
      </c>
      <c r="BJ521">
        <f t="shared" ref="BJ521:BJ584" si="454">SUM((BF522&lt;0)*(BF521&gt;0))*A521</f>
        <v>0</v>
      </c>
      <c r="BK521">
        <f t="shared" si="414"/>
        <v>0</v>
      </c>
      <c r="BM521">
        <f t="shared" si="415"/>
        <v>-56.68004681589278</v>
      </c>
      <c r="BN521">
        <f t="shared" ref="BN521:BN584" si="455">(H521+D521)*180/Pi</f>
        <v>-168.8891076899213</v>
      </c>
      <c r="BQ521" s="56">
        <f t="shared" si="416"/>
        <v>24.732304078010799</v>
      </c>
    </row>
    <row r="522" spans="1:69" x14ac:dyDescent="0.2">
      <c r="A522">
        <f t="shared" si="420"/>
        <v>1540000</v>
      </c>
      <c r="B522">
        <f t="shared" ref="B522:B585" si="456">A522/1000</f>
        <v>1540</v>
      </c>
      <c r="C522">
        <f t="shared" si="425"/>
        <v>1.0185532906974528</v>
      </c>
      <c r="D522">
        <f t="shared" si="426"/>
        <v>0.19115912853766226</v>
      </c>
      <c r="F522">
        <f t="shared" si="427"/>
        <v>9.5312208143353571E-5</v>
      </c>
      <c r="G522">
        <f t="shared" si="428"/>
        <v>3.3572949079187747E-3</v>
      </c>
      <c r="H522">
        <f t="shared" si="429"/>
        <v>-3.1382353550920814</v>
      </c>
      <c r="J522">
        <f t="shared" si="430"/>
        <v>15</v>
      </c>
      <c r="M522">
        <f t="shared" si="431"/>
        <v>1.1785159757948139E-3</v>
      </c>
      <c r="N522">
        <f t="shared" si="432"/>
        <v>-1.5707963250000001</v>
      </c>
      <c r="O522">
        <f t="shared" si="433"/>
        <v>183.78098979019995</v>
      </c>
      <c r="P522">
        <f t="shared" si="434"/>
        <v>1.5653550407524306</v>
      </c>
      <c r="Q522">
        <f t="shared" si="435"/>
        <v>119.95342791051699</v>
      </c>
      <c r="R522">
        <f t="shared" si="436"/>
        <v>1.5624596614669881</v>
      </c>
      <c r="S522">
        <f t="shared" si="437"/>
        <v>0.98099732598792277</v>
      </c>
      <c r="T522">
        <f t="shared" si="438"/>
        <v>-0.19525964490375933</v>
      </c>
      <c r="U522">
        <f t="shared" si="439"/>
        <v>0.30262923041812428</v>
      </c>
      <c r="V522">
        <f t="shared" si="440"/>
        <v>-1.2633462913661748</v>
      </c>
      <c r="X522">
        <f t="shared" ref="X522:X585" si="457">20*LOG(C522*J522*O522*Q522*F522*M522*S522*U522)</f>
        <v>-38.99098065814092</v>
      </c>
      <c r="Y522">
        <f t="shared" si="441"/>
        <v>-163.21641235342472</v>
      </c>
      <c r="Z522">
        <f t="shared" ref="Z522:Z585" si="458">Y522+180</f>
        <v>16.783587646575285</v>
      </c>
      <c r="AC522">
        <v>1</v>
      </c>
      <c r="AD522">
        <f t="shared" si="442"/>
        <v>183.77826914046599</v>
      </c>
      <c r="AE522">
        <f t="shared" si="443"/>
        <v>-0.12092153689054165</v>
      </c>
      <c r="AF522">
        <f t="shared" si="444"/>
        <v>3.8394786076416006E-2</v>
      </c>
      <c r="AG522">
        <f t="shared" si="421"/>
        <v>430.86041477305588</v>
      </c>
      <c r="AH522">
        <f t="shared" si="422"/>
        <v>-1383.0081885069028</v>
      </c>
      <c r="AJ522">
        <f t="shared" si="445"/>
        <v>22100</v>
      </c>
      <c r="AK522">
        <f t="shared" si="446"/>
        <v>4370.9290185440886</v>
      </c>
      <c r="AL522">
        <v>1</v>
      </c>
      <c r="AM522">
        <f t="shared" si="447"/>
        <v>119.94925955371127</v>
      </c>
      <c r="AN522">
        <f t="shared" si="423"/>
        <v>37.973198254080174</v>
      </c>
      <c r="AO522">
        <f t="shared" si="424"/>
        <v>-183.92799491910921</v>
      </c>
      <c r="AQ522">
        <f t="shared" si="448"/>
        <v>1.0541405534090326E-3</v>
      </c>
      <c r="AR522">
        <f t="shared" si="449"/>
        <v>-3.2467529044998202</v>
      </c>
      <c r="AT522">
        <f t="shared" si="418"/>
        <v>-4489.8316655457502</v>
      </c>
      <c r="AU522">
        <f t="shared" si="419"/>
        <v>-1400.3551881156184</v>
      </c>
      <c r="AV522">
        <f t="shared" ref="AV522:AV585" si="459">ATAN2(AT522,AU522)</f>
        <v>-2.8392592288902705</v>
      </c>
      <c r="AW522">
        <f t="shared" ref="AW522:AW585" si="460">AG522-AH522*AO522/_Rfb2+AG522*AN522/_Rfb2+AN522-AO522*AR522+AQ522*AN522</f>
        <v>-440.61956564529481</v>
      </c>
      <c r="AX522">
        <f t="shared" ref="AX522:AX585" si="461">AH522+AH522*AN522/_Rfb2+AG522*AO522/_Rfb2+AO522+AO522*AQ522+AN522*AR522</f>
        <v>-1863.3233512874062</v>
      </c>
      <c r="AY522">
        <f t="shared" si="417"/>
        <v>-1.8030006404217764</v>
      </c>
      <c r="BA522">
        <f t="shared" si="450"/>
        <v>2.4563212125180232</v>
      </c>
      <c r="BB522">
        <f t="shared" ref="BB522:BB585" si="462">20*LOG(BA522)</f>
        <v>7.8057031752983494</v>
      </c>
      <c r="BC522">
        <f t="shared" ref="BC522:BC585" si="463">AV522-AY522</f>
        <v>-1.0362585884684941</v>
      </c>
      <c r="BD522">
        <f t="shared" si="451"/>
        <v>-239.37324367127258</v>
      </c>
      <c r="BF522">
        <f t="shared" si="452"/>
        <v>-48.929825895908856</v>
      </c>
      <c r="BG522">
        <f t="shared" si="453"/>
        <v>-228.22827354912621</v>
      </c>
      <c r="BH522">
        <f t="shared" ref="BH522:BH585" si="464">IF(BG522&gt;180,BG522-180,BG522+180)</f>
        <v>-48.228273549126214</v>
      </c>
      <c r="BI522">
        <f t="shared" ref="BI522:BI585" si="465">IF(BH522&gt;180,BH522-360,BH522)</f>
        <v>-48.228273549126214</v>
      </c>
      <c r="BJ522">
        <f t="shared" si="454"/>
        <v>0</v>
      </c>
      <c r="BK522">
        <f t="shared" ref="BK522:BK585" si="466">IF(BJ522&gt;0,BI522,0)</f>
        <v>0</v>
      </c>
      <c r="BM522">
        <f t="shared" ref="BM522:BM585" si="467">20*LOG(J522*F522*C522)</f>
        <v>-56.73552907120721</v>
      </c>
      <c r="BN522">
        <f t="shared" si="455"/>
        <v>-168.85502987785367</v>
      </c>
      <c r="BQ522" s="56">
        <f t="shared" ref="BQ522:BQ585" si="468">20*LOG(BA522*7)</f>
        <v>24.707663975583486</v>
      </c>
    </row>
    <row r="523" spans="1:69" x14ac:dyDescent="0.2">
      <c r="A523">
        <f t="shared" si="420"/>
        <v>1545000</v>
      </c>
      <c r="B523">
        <f t="shared" si="456"/>
        <v>1545</v>
      </c>
      <c r="C523">
        <f t="shared" si="425"/>
        <v>1.018672856135213</v>
      </c>
      <c r="D523">
        <f t="shared" si="426"/>
        <v>0.19176469442731892</v>
      </c>
      <c r="F523">
        <f t="shared" si="427"/>
        <v>9.4696243785420632E-5</v>
      </c>
      <c r="G523">
        <f t="shared" si="428"/>
        <v>3.3464278882793927E-3</v>
      </c>
      <c r="H523">
        <f t="shared" si="429"/>
        <v>-3.1382462221117207</v>
      </c>
      <c r="J523">
        <f t="shared" si="430"/>
        <v>15</v>
      </c>
      <c r="M523">
        <f t="shared" si="431"/>
        <v>1.1747020082356074E-3</v>
      </c>
      <c r="N523">
        <f t="shared" si="432"/>
        <v>-1.5707963250000001</v>
      </c>
      <c r="O523">
        <f t="shared" si="433"/>
        <v>184.37766367765246</v>
      </c>
      <c r="P523">
        <f t="shared" si="434"/>
        <v>1.5653726497464813</v>
      </c>
      <c r="Q523">
        <f t="shared" si="435"/>
        <v>120.34286006905731</v>
      </c>
      <c r="R523">
        <f t="shared" si="436"/>
        <v>1.5624866397224597</v>
      </c>
      <c r="S523">
        <f t="shared" si="437"/>
        <v>0.98087725435251505</v>
      </c>
      <c r="T523">
        <f t="shared" si="438"/>
        <v>-0.19587753790864509</v>
      </c>
      <c r="U523">
        <f t="shared" si="439"/>
        <v>0.30173914870602991</v>
      </c>
      <c r="V523">
        <f t="shared" si="440"/>
        <v>-1.2642800256110929</v>
      </c>
      <c r="X523">
        <f t="shared" si="457"/>
        <v>-39.044771646777278</v>
      </c>
      <c r="Y523">
        <f t="shared" si="441"/>
        <v>-163.26868564972474</v>
      </c>
      <c r="Z523">
        <f t="shared" si="458"/>
        <v>16.731314350275255</v>
      </c>
      <c r="AC523">
        <v>1</v>
      </c>
      <c r="AD523">
        <f t="shared" si="442"/>
        <v>184.37495183248052</v>
      </c>
      <c r="AE523">
        <f t="shared" si="443"/>
        <v>-0.12170801635863773</v>
      </c>
      <c r="AF523">
        <f t="shared" si="444"/>
        <v>3.8519444472768005E-2</v>
      </c>
      <c r="AG523">
        <f t="shared" si="421"/>
        <v>428.3296810048617</v>
      </c>
      <c r="AH523">
        <f t="shared" si="422"/>
        <v>-1379.3333873283605</v>
      </c>
      <c r="AJ523">
        <f t="shared" si="445"/>
        <v>22100</v>
      </c>
      <c r="AK523">
        <f t="shared" si="446"/>
        <v>4385.1203465263743</v>
      </c>
      <c r="AL523">
        <v>1</v>
      </c>
      <c r="AM523">
        <f t="shared" si="447"/>
        <v>120.33870520161295</v>
      </c>
      <c r="AN523">
        <f t="shared" si="423"/>
        <v>37.96329019742091</v>
      </c>
      <c r="AO523">
        <f t="shared" si="424"/>
        <v>-183.33284102434297</v>
      </c>
      <c r="AQ523">
        <f t="shared" si="448"/>
        <v>1.0473286782366462E-3</v>
      </c>
      <c r="AR523">
        <f t="shared" si="449"/>
        <v>-3.2362456157512369</v>
      </c>
      <c r="AT523">
        <f t="shared" si="418"/>
        <v>-4463.4130254420525</v>
      </c>
      <c r="AU523">
        <f t="shared" si="419"/>
        <v>-1387.6246676615078</v>
      </c>
      <c r="AV523">
        <f t="shared" si="459"/>
        <v>-2.8401764048702334</v>
      </c>
      <c r="AW523">
        <f t="shared" si="460"/>
        <v>-437.46935520568388</v>
      </c>
      <c r="AX523">
        <f t="shared" si="461"/>
        <v>-1857.4740997954168</v>
      </c>
      <c r="AY523">
        <f t="shared" ref="AY523:AY586" si="469">ATAN2(AW523,AX523)</f>
        <v>-1.8020995139467497</v>
      </c>
      <c r="BA523">
        <f t="shared" si="450"/>
        <v>2.4493788239633361</v>
      </c>
      <c r="BB523">
        <f t="shared" si="462"/>
        <v>7.7811191768406331</v>
      </c>
      <c r="BC523">
        <f t="shared" si="463"/>
        <v>-1.0380768909234837</v>
      </c>
      <c r="BD523">
        <f t="shared" si="451"/>
        <v>-239.47742472794079</v>
      </c>
      <c r="BF523">
        <f t="shared" si="452"/>
        <v>-49.009705909627677</v>
      </c>
      <c r="BG523">
        <f t="shared" si="453"/>
        <v>-228.29838087042231</v>
      </c>
      <c r="BH523">
        <f t="shared" si="464"/>
        <v>-48.298380870422307</v>
      </c>
      <c r="BI523">
        <f t="shared" si="465"/>
        <v>-48.298380870422307</v>
      </c>
      <c r="BJ523">
        <f t="shared" si="454"/>
        <v>0</v>
      </c>
      <c r="BK523">
        <f t="shared" si="466"/>
        <v>0</v>
      </c>
      <c r="BM523">
        <f t="shared" si="467"/>
        <v>-56.790825086468303</v>
      </c>
      <c r="BN523">
        <f t="shared" si="455"/>
        <v>-168.82095614248152</v>
      </c>
      <c r="BQ523" s="56">
        <f t="shared" si="468"/>
        <v>24.683079977125768</v>
      </c>
    </row>
    <row r="524" spans="1:69" x14ac:dyDescent="0.2">
      <c r="A524">
        <f t="shared" si="420"/>
        <v>1550000</v>
      </c>
      <c r="B524">
        <f t="shared" si="456"/>
        <v>1550</v>
      </c>
      <c r="C524">
        <f t="shared" si="425"/>
        <v>1.0187927950427824</v>
      </c>
      <c r="D524">
        <f t="shared" si="426"/>
        <v>0.19237011795664438</v>
      </c>
      <c r="F524">
        <f t="shared" si="427"/>
        <v>9.4086231459639209E-5</v>
      </c>
      <c r="G524">
        <f t="shared" si="428"/>
        <v>3.335630997587968E-3</v>
      </c>
      <c r="H524">
        <f t="shared" si="429"/>
        <v>-3.1382570190024124</v>
      </c>
      <c r="J524">
        <f t="shared" si="430"/>
        <v>15</v>
      </c>
      <c r="M524">
        <f t="shared" si="431"/>
        <v>1.1709126469187183E-3</v>
      </c>
      <c r="N524">
        <f t="shared" si="432"/>
        <v>-1.5707963250000001</v>
      </c>
      <c r="O524">
        <f t="shared" si="433"/>
        <v>184.97433762190735</v>
      </c>
      <c r="P524">
        <f t="shared" si="434"/>
        <v>1.5653901451374497</v>
      </c>
      <c r="Q524">
        <f t="shared" si="435"/>
        <v>120.73229231462125</v>
      </c>
      <c r="R524">
        <f t="shared" si="436"/>
        <v>1.5625134439366499</v>
      </c>
      <c r="S524">
        <f t="shared" si="437"/>
        <v>0.98075683779911393</v>
      </c>
      <c r="T524">
        <f t="shared" si="438"/>
        <v>-0.19649527943912354</v>
      </c>
      <c r="U524">
        <f t="shared" si="439"/>
        <v>0.3008540273903953</v>
      </c>
      <c r="V524">
        <f t="shared" si="440"/>
        <v>-1.2652082826311775</v>
      </c>
      <c r="X524">
        <f t="shared" si="457"/>
        <v>-39.09840407917175</v>
      </c>
      <c r="Y524">
        <f t="shared" si="441"/>
        <v>-163.32065706467532</v>
      </c>
      <c r="Z524">
        <f t="shared" si="458"/>
        <v>16.679342935324684</v>
      </c>
      <c r="AC524">
        <v>1</v>
      </c>
      <c r="AD524">
        <f t="shared" si="442"/>
        <v>184.97163452449499</v>
      </c>
      <c r="AE524">
        <f t="shared" si="443"/>
        <v>-0.12249704519291885</v>
      </c>
      <c r="AF524">
        <f t="shared" si="444"/>
        <v>3.8644102869120005E-2</v>
      </c>
      <c r="AG524">
        <f t="shared" si="421"/>
        <v>425.82044299703693</v>
      </c>
      <c r="AH524">
        <f t="shared" si="422"/>
        <v>-1375.6755132840103</v>
      </c>
      <c r="AJ524">
        <f t="shared" si="445"/>
        <v>22100</v>
      </c>
      <c r="AK524">
        <f t="shared" si="446"/>
        <v>4399.3116745086609</v>
      </c>
      <c r="AL524">
        <v>1</v>
      </c>
      <c r="AM524">
        <f t="shared" si="447"/>
        <v>120.72815084951461</v>
      </c>
      <c r="AN524">
        <f t="shared" si="423"/>
        <v>37.953477861674244</v>
      </c>
      <c r="AO524">
        <f t="shared" si="424"/>
        <v>-182.74152603926035</v>
      </c>
      <c r="AQ524">
        <f t="shared" si="448"/>
        <v>1.0405826180455132E-3</v>
      </c>
      <c r="AR524">
        <f t="shared" si="449"/>
        <v>-3.2258061159410909</v>
      </c>
      <c r="AT524">
        <f t="shared" si="418"/>
        <v>-4437.2193829505686</v>
      </c>
      <c r="AU524">
        <f t="shared" si="419"/>
        <v>-1375.0456933397807</v>
      </c>
      <c r="AV524">
        <f t="shared" si="459"/>
        <v>-2.8410882104495485</v>
      </c>
      <c r="AW524">
        <f t="shared" si="460"/>
        <v>-434.35036753785664</v>
      </c>
      <c r="AX524">
        <f t="shared" si="461"/>
        <v>-1851.6610920857279</v>
      </c>
      <c r="AY524">
        <f t="shared" si="469"/>
        <v>-1.8012039387599885</v>
      </c>
      <c r="BA524">
        <f t="shared" si="450"/>
        <v>2.4424717959632214</v>
      </c>
      <c r="BB524">
        <f t="shared" si="462"/>
        <v>7.7565911495295321</v>
      </c>
      <c r="BC524">
        <f t="shared" si="463"/>
        <v>-1.03988427168956</v>
      </c>
      <c r="BD524">
        <f t="shared" si="451"/>
        <v>-239.58098001792843</v>
      </c>
      <c r="BF524">
        <f t="shared" si="452"/>
        <v>-49.089344898355648</v>
      </c>
      <c r="BG524">
        <f t="shared" si="453"/>
        <v>-228.36786656359124</v>
      </c>
      <c r="BH524">
        <f t="shared" si="464"/>
        <v>-48.367866563591235</v>
      </c>
      <c r="BI524">
        <f t="shared" si="465"/>
        <v>-48.367866563591235</v>
      </c>
      <c r="BJ524">
        <f t="shared" si="454"/>
        <v>0</v>
      </c>
      <c r="BK524">
        <f t="shared" si="466"/>
        <v>0</v>
      </c>
      <c r="BM524">
        <f t="shared" si="467"/>
        <v>-56.845936047885175</v>
      </c>
      <c r="BN524">
        <f t="shared" si="455"/>
        <v>-168.78688654566281</v>
      </c>
      <c r="BQ524" s="56">
        <f t="shared" si="468"/>
        <v>24.658551949814669</v>
      </c>
    </row>
    <row r="525" spans="1:69" x14ac:dyDescent="0.2">
      <c r="A525">
        <f t="shared" si="420"/>
        <v>1555000</v>
      </c>
      <c r="B525">
        <f t="shared" si="456"/>
        <v>1555</v>
      </c>
      <c r="C525">
        <f t="shared" si="425"/>
        <v>1.0189131072882749</v>
      </c>
      <c r="D525">
        <f t="shared" si="426"/>
        <v>0.19297539873216907</v>
      </c>
      <c r="F525">
        <f t="shared" si="427"/>
        <v>9.3482094724465519E-5</v>
      </c>
      <c r="G525">
        <f t="shared" si="428"/>
        <v>3.3249035591144008E-3</v>
      </c>
      <c r="H525">
        <f t="shared" si="429"/>
        <v>-3.1382677464408859</v>
      </c>
      <c r="J525">
        <f t="shared" si="430"/>
        <v>15</v>
      </c>
      <c r="M525">
        <f t="shared" si="431"/>
        <v>1.1671476544848961E-3</v>
      </c>
      <c r="N525">
        <f t="shared" si="432"/>
        <v>-1.5707963250000001</v>
      </c>
      <c r="O525">
        <f t="shared" si="433"/>
        <v>185.57101162241671</v>
      </c>
      <c r="P525">
        <f t="shared" si="434"/>
        <v>1.565407528021143</v>
      </c>
      <c r="Q525">
        <f t="shared" si="435"/>
        <v>121.12172464636946</v>
      </c>
      <c r="R525">
        <f t="shared" si="436"/>
        <v>1.5625400757882602</v>
      </c>
      <c r="S525">
        <f t="shared" si="437"/>
        <v>0.98063607673039244</v>
      </c>
      <c r="T525">
        <f t="shared" si="438"/>
        <v>-0.19711286907959572</v>
      </c>
      <c r="U525">
        <f t="shared" si="439"/>
        <v>0.29997382750254648</v>
      </c>
      <c r="V525">
        <f t="shared" si="440"/>
        <v>-1.2661311088933593</v>
      </c>
      <c r="X525">
        <f t="shared" si="457"/>
        <v>-39.15187885057334</v>
      </c>
      <c r="Y525">
        <f t="shared" si="441"/>
        <v>-163.37232913917353</v>
      </c>
      <c r="Z525">
        <f t="shared" si="458"/>
        <v>16.62767086082647</v>
      </c>
      <c r="AC525">
        <v>1</v>
      </c>
      <c r="AD525">
        <f t="shared" si="442"/>
        <v>185.56831721650951</v>
      </c>
      <c r="AE525">
        <f t="shared" si="443"/>
        <v>-0.12328862339338507</v>
      </c>
      <c r="AF525">
        <f t="shared" si="444"/>
        <v>3.8768761265472004E-2</v>
      </c>
      <c r="AG525">
        <f t="shared" si="421"/>
        <v>423.33246682942485</v>
      </c>
      <c r="AH525">
        <f t="shared" si="422"/>
        <v>-1372.034476647033</v>
      </c>
      <c r="AJ525">
        <f t="shared" si="445"/>
        <v>22100</v>
      </c>
      <c r="AK525">
        <f t="shared" si="446"/>
        <v>4413.5030024909465</v>
      </c>
      <c r="AL525">
        <v>1</v>
      </c>
      <c r="AM525">
        <f t="shared" si="447"/>
        <v>121.11759649741626</v>
      </c>
      <c r="AN525">
        <f t="shared" si="423"/>
        <v>37.943760017824573</v>
      </c>
      <c r="AO525">
        <f t="shared" si="424"/>
        <v>-182.15401294272559</v>
      </c>
      <c r="AQ525">
        <f t="shared" si="448"/>
        <v>1.0339015277032364E-3</v>
      </c>
      <c r="AR525">
        <f t="shared" si="449"/>
        <v>-3.215433751157065</v>
      </c>
      <c r="AT525">
        <f t="shared" si="418"/>
        <v>-4411.2482798778083</v>
      </c>
      <c r="AU525">
        <f t="shared" si="419"/>
        <v>-1362.6160503453782</v>
      </c>
      <c r="AV525">
        <f t="shared" si="459"/>
        <v>-2.8419946910647309</v>
      </c>
      <c r="AW525">
        <f t="shared" si="460"/>
        <v>-431.26219051668011</v>
      </c>
      <c r="AX525">
        <f t="shared" si="461"/>
        <v>-1845.8839941172787</v>
      </c>
      <c r="AY525">
        <f t="shared" si="469"/>
        <v>-1.8003138608047089</v>
      </c>
      <c r="BA525">
        <f t="shared" si="450"/>
        <v>2.4355999022107619</v>
      </c>
      <c r="BB525">
        <f t="shared" si="462"/>
        <v>7.7321189589115864</v>
      </c>
      <c r="BC525">
        <f t="shared" si="463"/>
        <v>-1.041680830260022</v>
      </c>
      <c r="BD525">
        <f t="shared" si="451"/>
        <v>-239.68391524178156</v>
      </c>
      <c r="BF525">
        <f t="shared" si="452"/>
        <v>-49.168744171317023</v>
      </c>
      <c r="BG525">
        <f t="shared" si="453"/>
        <v>-228.436736390497</v>
      </c>
      <c r="BH525">
        <f t="shared" si="464"/>
        <v>-48.436736390497003</v>
      </c>
      <c r="BI525">
        <f t="shared" si="465"/>
        <v>-48.436736390497003</v>
      </c>
      <c r="BJ525">
        <f t="shared" si="454"/>
        <v>0</v>
      </c>
      <c r="BK525">
        <f t="shared" si="466"/>
        <v>0</v>
      </c>
      <c r="BM525">
        <f t="shared" si="467"/>
        <v>-56.900863130228608</v>
      </c>
      <c r="BN525">
        <f t="shared" si="455"/>
        <v>-168.75282114871544</v>
      </c>
      <c r="BQ525" s="56">
        <f t="shared" si="468"/>
        <v>24.634079759196723</v>
      </c>
    </row>
    <row r="526" spans="1:69" x14ac:dyDescent="0.2">
      <c r="A526">
        <f t="shared" si="420"/>
        <v>1560000</v>
      </c>
      <c r="B526">
        <f t="shared" si="456"/>
        <v>1560</v>
      </c>
      <c r="C526">
        <f t="shared" si="425"/>
        <v>1.0190337927394559</v>
      </c>
      <c r="D526">
        <f t="shared" si="426"/>
        <v>0.19358053636102718</v>
      </c>
      <c r="F526">
        <f t="shared" si="427"/>
        <v>9.288375836162969E-5</v>
      </c>
      <c r="G526">
        <f t="shared" si="428"/>
        <v>3.3142449048085272E-3</v>
      </c>
      <c r="H526">
        <f t="shared" si="429"/>
        <v>-3.1382784050951917</v>
      </c>
      <c r="J526">
        <f t="shared" si="430"/>
        <v>15</v>
      </c>
      <c r="M526">
        <f t="shared" si="431"/>
        <v>1.1634067966179574E-3</v>
      </c>
      <c r="N526">
        <f t="shared" si="432"/>
        <v>-1.5707963250000001</v>
      </c>
      <c r="O526">
        <f t="shared" si="433"/>
        <v>186.16768567863963</v>
      </c>
      <c r="P526">
        <f t="shared" si="434"/>
        <v>1.5654247994793202</v>
      </c>
      <c r="Q526">
        <f t="shared" si="435"/>
        <v>121.51115706347325</v>
      </c>
      <c r="R526">
        <f t="shared" si="436"/>
        <v>1.5625665369344723</v>
      </c>
      <c r="S526">
        <f t="shared" si="437"/>
        <v>0.98051497154990663</v>
      </c>
      <c r="T526">
        <f t="shared" si="438"/>
        <v>-0.19773030641513034</v>
      </c>
      <c r="U526">
        <f t="shared" si="439"/>
        <v>0.29909851045103103</v>
      </c>
      <c r="V526">
        <f t="shared" si="440"/>
        <v>-1.2670485503594482</v>
      </c>
      <c r="X526">
        <f t="shared" si="457"/>
        <v>-39.205196848978076</v>
      </c>
      <c r="Y526">
        <f t="shared" si="441"/>
        <v>-163.42370438671961</v>
      </c>
      <c r="Z526">
        <f t="shared" si="458"/>
        <v>16.576295613280394</v>
      </c>
      <c r="AC526">
        <v>1</v>
      </c>
      <c r="AD526">
        <f t="shared" si="442"/>
        <v>186.16499990852401</v>
      </c>
      <c r="AE526">
        <f t="shared" si="443"/>
        <v>-0.12408275096003636</v>
      </c>
      <c r="AF526">
        <f t="shared" si="444"/>
        <v>3.8893419661824004E-2</v>
      </c>
      <c r="AG526">
        <f t="shared" si="421"/>
        <v>420.86552162167851</v>
      </c>
      <c r="AH526">
        <f t="shared" si="422"/>
        <v>-1368.4101878881315</v>
      </c>
      <c r="AJ526">
        <f t="shared" si="445"/>
        <v>22100</v>
      </c>
      <c r="AK526">
        <f t="shared" si="446"/>
        <v>4427.6943304732322</v>
      </c>
      <c r="AL526">
        <v>1</v>
      </c>
      <c r="AM526">
        <f t="shared" si="447"/>
        <v>121.50704214531793</v>
      </c>
      <c r="AN526">
        <f t="shared" si="423"/>
        <v>37.934135456517765</v>
      </c>
      <c r="AO526">
        <f t="shared" si="424"/>
        <v>-181.57026518807092</v>
      </c>
      <c r="AQ526">
        <f t="shared" si="448"/>
        <v>1.0272845755994642E-3</v>
      </c>
      <c r="AR526">
        <f t="shared" si="449"/>
        <v>-3.2051278758703283</v>
      </c>
      <c r="AT526">
        <f t="shared" si="418"/>
        <v>-4385.4972901664405</v>
      </c>
      <c r="AU526">
        <f t="shared" si="419"/>
        <v>-1350.3335620214589</v>
      </c>
      <c r="AV526">
        <f t="shared" si="459"/>
        <v>-2.8428958916603837</v>
      </c>
      <c r="AW526">
        <f t="shared" si="460"/>
        <v>-428.20441879768447</v>
      </c>
      <c r="AX526">
        <f t="shared" si="461"/>
        <v>-1840.1424759419947</v>
      </c>
      <c r="AY526">
        <f t="shared" si="469"/>
        <v>-1.7994292267039274</v>
      </c>
      <c r="BA526">
        <f t="shared" si="450"/>
        <v>2.428762917595062</v>
      </c>
      <c r="BB526">
        <f t="shared" si="462"/>
        <v>7.7077024689686047</v>
      </c>
      <c r="BC526">
        <f t="shared" si="463"/>
        <v>-1.0434666649564563</v>
      </c>
      <c r="BD526">
        <f t="shared" si="451"/>
        <v>-239.7862360329122</v>
      </c>
      <c r="BF526">
        <f t="shared" si="452"/>
        <v>-49.247905028009612</v>
      </c>
      <c r="BG526">
        <f t="shared" si="453"/>
        <v>-228.50499604533761</v>
      </c>
      <c r="BH526">
        <f t="shared" si="464"/>
        <v>-48.504996045337606</v>
      </c>
      <c r="BI526">
        <f t="shared" si="465"/>
        <v>-48.504996045337606</v>
      </c>
      <c r="BJ526">
        <f t="shared" si="454"/>
        <v>0</v>
      </c>
      <c r="BK526">
        <f t="shared" si="466"/>
        <v>0</v>
      </c>
      <c r="BM526">
        <f t="shared" si="467"/>
        <v>-56.955607496978224</v>
      </c>
      <c r="BN526">
        <f t="shared" si="455"/>
        <v>-168.71876001242543</v>
      </c>
      <c r="BQ526" s="56">
        <f t="shared" si="468"/>
        <v>24.609663269253744</v>
      </c>
    </row>
    <row r="527" spans="1:69" x14ac:dyDescent="0.2">
      <c r="A527">
        <f t="shared" si="420"/>
        <v>1565000</v>
      </c>
      <c r="B527">
        <f t="shared" si="456"/>
        <v>1565</v>
      </c>
      <c r="C527">
        <f t="shared" si="425"/>
        <v>1.0191548512637441</v>
      </c>
      <c r="D527">
        <f t="shared" si="426"/>
        <v>0.19418553045095813</v>
      </c>
      <c r="F527">
        <f t="shared" si="427"/>
        <v>9.2291148352719365E-5</v>
      </c>
      <c r="G527">
        <f t="shared" si="428"/>
        <v>3.3036543751613873E-3</v>
      </c>
      <c r="H527">
        <f t="shared" si="429"/>
        <v>-3.1382889956248388</v>
      </c>
      <c r="J527">
        <f t="shared" si="430"/>
        <v>15</v>
      </c>
      <c r="M527">
        <f t="shared" si="431"/>
        <v>1.1596898419961746E-3</v>
      </c>
      <c r="N527">
        <f t="shared" si="432"/>
        <v>-1.5707963250000001</v>
      </c>
      <c r="O527">
        <f t="shared" si="433"/>
        <v>186.76435979004211</v>
      </c>
      <c r="P527">
        <f t="shared" si="434"/>
        <v>1.5654419605799161</v>
      </c>
      <c r="Q527">
        <f t="shared" si="435"/>
        <v>121.90058956511463</v>
      </c>
      <c r="R527">
        <f t="shared" si="436"/>
        <v>1.5625928290112931</v>
      </c>
      <c r="S527">
        <f t="shared" si="437"/>
        <v>0.98039352266209134</v>
      </c>
      <c r="T527">
        <f t="shared" si="438"/>
        <v>-0.19834759103146549</v>
      </c>
      <c r="U527">
        <f t="shared" si="439"/>
        <v>0.29822803801755104</v>
      </c>
      <c r="V527">
        <f t="shared" si="440"/>
        <v>-1.2679606524926916</v>
      </c>
      <c r="X527">
        <f t="shared" si="457"/>
        <v>-39.258358955204159</v>
      </c>
      <c r="Y527">
        <f t="shared" si="441"/>
        <v>-163.47478529376784</v>
      </c>
      <c r="Z527">
        <f t="shared" si="458"/>
        <v>16.525214706232163</v>
      </c>
      <c r="AC527">
        <v>1</v>
      </c>
      <c r="AD527">
        <f t="shared" si="442"/>
        <v>186.76168260053851</v>
      </c>
      <c r="AE527">
        <f t="shared" si="443"/>
        <v>-0.12487942789287272</v>
      </c>
      <c r="AF527">
        <f t="shared" si="444"/>
        <v>3.901807805817601E-2</v>
      </c>
      <c r="AG527">
        <f t="shared" si="421"/>
        <v>418.41937948842826</v>
      </c>
      <c r="AH527">
        <f t="shared" si="422"/>
        <v>-1364.802557686387</v>
      </c>
      <c r="AJ527">
        <f t="shared" si="445"/>
        <v>22100</v>
      </c>
      <c r="AK527">
        <f t="shared" si="446"/>
        <v>4441.8856584555188</v>
      </c>
      <c r="AL527">
        <v>1</v>
      </c>
      <c r="AM527">
        <f t="shared" si="447"/>
        <v>121.89648779321959</v>
      </c>
      <c r="AN527">
        <f t="shared" si="423"/>
        <v>37.924602987684963</v>
      </c>
      <c r="AO527">
        <f t="shared" si="424"/>
        <v>-180.99024669552048</v>
      </c>
      <c r="AQ527">
        <f t="shared" si="448"/>
        <v>1.0207309433870977E-3</v>
      </c>
      <c r="AR527">
        <f t="shared" si="449"/>
        <v>-3.1948878528016156</v>
      </c>
      <c r="AT527">
        <f t="shared" si="418"/>
        <v>-4359.9640194168578</v>
      </c>
      <c r="AU527">
        <f t="shared" si="419"/>
        <v>-1338.1960891066133</v>
      </c>
      <c r="AV527">
        <f t="shared" si="459"/>
        <v>-2.8437918566955473</v>
      </c>
      <c r="AW527">
        <f t="shared" si="460"/>
        <v>-425.17665368375094</v>
      </c>
      <c r="AX527">
        <f t="shared" si="461"/>
        <v>-1834.4362116419111</v>
      </c>
      <c r="AY527">
        <f t="shared" si="469"/>
        <v>-1.7985499837502454</v>
      </c>
      <c r="BA527">
        <f t="shared" si="450"/>
        <v>2.4219606182115956</v>
      </c>
      <c r="BB527">
        <f t="shared" si="462"/>
        <v>7.6833415421816023</v>
      </c>
      <c r="BC527">
        <f t="shared" si="463"/>
        <v>-1.0452418729453019</v>
      </c>
      <c r="BD527">
        <f t="shared" si="451"/>
        <v>-239.88794795854719</v>
      </c>
      <c r="BF527">
        <f t="shared" si="452"/>
        <v>-49.326828758285394</v>
      </c>
      <c r="BG527">
        <f t="shared" si="453"/>
        <v>-228.57265115560185</v>
      </c>
      <c r="BH527">
        <f t="shared" si="464"/>
        <v>-48.572651155601847</v>
      </c>
      <c r="BI527">
        <f t="shared" si="465"/>
        <v>-48.572651155601847</v>
      </c>
      <c r="BJ527">
        <f t="shared" si="454"/>
        <v>0</v>
      </c>
      <c r="BK527">
        <f t="shared" si="466"/>
        <v>0</v>
      </c>
      <c r="BM527">
        <f t="shared" si="467"/>
        <v>-57.010170300466996</v>
      </c>
      <c r="BN527">
        <f t="shared" si="455"/>
        <v>-168.68470319705466</v>
      </c>
      <c r="BQ527" s="56">
        <f t="shared" si="468"/>
        <v>24.585302342466736</v>
      </c>
    </row>
    <row r="528" spans="1:69" x14ac:dyDescent="0.2">
      <c r="A528">
        <f t="shared" si="420"/>
        <v>1570000</v>
      </c>
      <c r="B528">
        <f t="shared" si="456"/>
        <v>1570</v>
      </c>
      <c r="C528">
        <f t="shared" si="425"/>
        <v>1.0192762827282098</v>
      </c>
      <c r="D528">
        <f t="shared" si="426"/>
        <v>0.19479038061030771</v>
      </c>
      <c r="F528">
        <f t="shared" si="427"/>
        <v>9.170419185628436E-5</v>
      </c>
      <c r="G528">
        <f t="shared" si="428"/>
        <v>3.2931313190691469E-3</v>
      </c>
      <c r="H528">
        <f t="shared" si="429"/>
        <v>-3.138299518680931</v>
      </c>
      <c r="J528">
        <f t="shared" si="430"/>
        <v>15</v>
      </c>
      <c r="M528">
        <f t="shared" si="431"/>
        <v>1.1559965622445945E-3</v>
      </c>
      <c r="N528">
        <f t="shared" si="432"/>
        <v>-1.5707963250000001</v>
      </c>
      <c r="O528">
        <f t="shared" si="433"/>
        <v>187.361033956097</v>
      </c>
      <c r="P528">
        <f t="shared" si="434"/>
        <v>1.5654590123772629</v>
      </c>
      <c r="Q528">
        <f t="shared" si="435"/>
        <v>122.29002215048592</v>
      </c>
      <c r="R528">
        <f t="shared" si="436"/>
        <v>1.5626189536338904</v>
      </c>
      <c r="S528">
        <f t="shared" si="437"/>
        <v>0.98027173047225813</v>
      </c>
      <c r="T528">
        <f t="shared" si="438"/>
        <v>-0.19896472251500943</v>
      </c>
      <c r="U528">
        <f t="shared" si="439"/>
        <v>0.2973623723529385</v>
      </c>
      <c r="V528">
        <f t="shared" si="440"/>
        <v>-1.2688674602642351</v>
      </c>
      <c r="X528">
        <f t="shared" si="457"/>
        <v>-39.311366042966092</v>
      </c>
      <c r="Y528">
        <f t="shared" si="441"/>
        <v>-163.52557432007256</v>
      </c>
      <c r="Z528">
        <f t="shared" si="458"/>
        <v>16.474425679927435</v>
      </c>
      <c r="AC528">
        <v>1</v>
      </c>
      <c r="AD528">
        <f t="shared" si="442"/>
        <v>187.358365292553</v>
      </c>
      <c r="AE528">
        <f t="shared" si="443"/>
        <v>-0.12567865419189414</v>
      </c>
      <c r="AF528">
        <f t="shared" si="444"/>
        <v>3.914273645452801E-2</v>
      </c>
      <c r="AG528">
        <f t="shared" si="421"/>
        <v>415.99381549516409</v>
      </c>
      <c r="AH528">
        <f t="shared" si="422"/>
        <v>-1361.2114969396771</v>
      </c>
      <c r="AJ528">
        <f t="shared" si="445"/>
        <v>22100</v>
      </c>
      <c r="AK528">
        <f t="shared" si="446"/>
        <v>4456.0769864378044</v>
      </c>
      <c r="AL528">
        <v>1</v>
      </c>
      <c r="AM528">
        <f t="shared" si="447"/>
        <v>122.28593344112126</v>
      </c>
      <c r="AN528">
        <f t="shared" si="423"/>
        <v>37.915161440174636</v>
      </c>
      <c r="AO528">
        <f t="shared" si="424"/>
        <v>-180.41392184475876</v>
      </c>
      <c r="AQ528">
        <f t="shared" si="448"/>
        <v>1.0142398257292561E-3</v>
      </c>
      <c r="AR528">
        <f t="shared" si="449"/>
        <v>-3.1847130527898644</v>
      </c>
      <c r="AT528">
        <f t="shared" si="418"/>
        <v>-4334.646104416488</v>
      </c>
      <c r="AU528">
        <f t="shared" si="419"/>
        <v>-1326.2015289987444</v>
      </c>
      <c r="AV528">
        <f t="shared" si="459"/>
        <v>-2.8446826301499524</v>
      </c>
      <c r="AW528">
        <f t="shared" si="460"/>
        <v>-422.17850299483973</v>
      </c>
      <c r="AX528">
        <f t="shared" si="461"/>
        <v>-1828.7648792674574</v>
      </c>
      <c r="AY528">
        <f t="shared" si="469"/>
        <v>-1.7976760798958074</v>
      </c>
      <c r="BA528">
        <f t="shared" si="450"/>
        <v>2.4151927813717804</v>
      </c>
      <c r="BB528">
        <f t="shared" si="462"/>
        <v>7.6590360395929125</v>
      </c>
      <c r="BC528">
        <f t="shared" si="463"/>
        <v>-1.047006550254145</v>
      </c>
      <c r="BD528">
        <f t="shared" si="451"/>
        <v>-239.98905652066193</v>
      </c>
      <c r="BF528">
        <f t="shared" si="452"/>
        <v>-49.405516642430769</v>
      </c>
      <c r="BG528">
        <f t="shared" si="453"/>
        <v>-228.63970728301081</v>
      </c>
      <c r="BH528">
        <f t="shared" si="464"/>
        <v>-48.639707283010807</v>
      </c>
      <c r="BI528">
        <f t="shared" si="465"/>
        <v>-48.639707283010807</v>
      </c>
      <c r="BJ528">
        <f t="shared" si="454"/>
        <v>0</v>
      </c>
      <c r="BK528">
        <f t="shared" si="466"/>
        <v>0</v>
      </c>
      <c r="BM528">
        <f t="shared" si="467"/>
        <v>-57.064552682023681</v>
      </c>
      <c r="BN528">
        <f t="shared" si="455"/>
        <v>-168.6506507623489</v>
      </c>
      <c r="BQ528" s="56">
        <f t="shared" si="468"/>
        <v>24.560996839878051</v>
      </c>
    </row>
    <row r="529" spans="1:69" x14ac:dyDescent="0.2">
      <c r="A529">
        <f t="shared" si="420"/>
        <v>1575000</v>
      </c>
      <c r="B529">
        <f t="shared" si="456"/>
        <v>1575</v>
      </c>
      <c r="C529">
        <f t="shared" si="425"/>
        <v>1.0193980869995791</v>
      </c>
      <c r="D529">
        <f t="shared" si="426"/>
        <v>0.19539508644802922</v>
      </c>
      <c r="F529">
        <f t="shared" si="427"/>
        <v>9.1122817185449435E-5</v>
      </c>
      <c r="G529">
        <f t="shared" si="428"/>
        <v>3.2826750936996128E-3</v>
      </c>
      <c r="H529">
        <f t="shared" si="429"/>
        <v>-3.1383099749063006</v>
      </c>
      <c r="J529">
        <f t="shared" si="430"/>
        <v>15</v>
      </c>
      <c r="M529">
        <f t="shared" si="431"/>
        <v>1.1523267318882624E-3</v>
      </c>
      <c r="N529">
        <f t="shared" si="432"/>
        <v>-1.5707963250000001</v>
      </c>
      <c r="O529">
        <f t="shared" si="433"/>
        <v>187.95770817628389</v>
      </c>
      <c r="P529">
        <f t="shared" si="434"/>
        <v>1.5654759559123039</v>
      </c>
      <c r="Q529">
        <f t="shared" si="435"/>
        <v>122.67945481878976</v>
      </c>
      <c r="R529">
        <f t="shared" si="436"/>
        <v>1.5626449123969242</v>
      </c>
      <c r="S529">
        <f t="shared" si="437"/>
        <v>0.98014959538658986</v>
      </c>
      <c r="T529">
        <f t="shared" si="438"/>
        <v>-0.1995817004528424</v>
      </c>
      <c r="U529">
        <f t="shared" si="439"/>
        <v>0.2965014759731735</v>
      </c>
      <c r="V529">
        <f t="shared" si="440"/>
        <v>-1.2697690181594903</v>
      </c>
      <c r="X529">
        <f t="shared" si="457"/>
        <v>-39.364218978947946</v>
      </c>
      <c r="Y529">
        <f t="shared" si="441"/>
        <v>-163.57607389902941</v>
      </c>
      <c r="Z529">
        <f t="shared" si="458"/>
        <v>16.42392610097059</v>
      </c>
      <c r="AC529">
        <v>1</v>
      </c>
      <c r="AD529">
        <f t="shared" si="442"/>
        <v>187.9550479845675</v>
      </c>
      <c r="AE529">
        <f t="shared" si="443"/>
        <v>-0.12648042985710067</v>
      </c>
      <c r="AF529">
        <f t="shared" si="444"/>
        <v>3.9267394850880009E-2</v>
      </c>
      <c r="AG529">
        <f t="shared" si="421"/>
        <v>413.58860761482441</v>
      </c>
      <c r="AH529">
        <f t="shared" si="422"/>
        <v>-1357.6369167746814</v>
      </c>
      <c r="AJ529">
        <f t="shared" si="445"/>
        <v>22100</v>
      </c>
      <c r="AK529">
        <f t="shared" si="446"/>
        <v>4470.268314420091</v>
      </c>
      <c r="AL529">
        <v>1</v>
      </c>
      <c r="AM529">
        <f t="shared" si="447"/>
        <v>122.67537908902291</v>
      </c>
      <c r="AN529">
        <f t="shared" si="423"/>
        <v>37.905809661392979</v>
      </c>
      <c r="AO529">
        <f t="shared" si="424"/>
        <v>-179.84125546764042</v>
      </c>
      <c r="AQ529">
        <f t="shared" si="448"/>
        <v>1.007810430051859E-3</v>
      </c>
      <c r="AR529">
        <f t="shared" si="449"/>
        <v>-3.1746028546633553</v>
      </c>
      <c r="AT529">
        <f t="shared" si="418"/>
        <v>-4309.5412126767551</v>
      </c>
      <c r="AU529">
        <f t="shared" si="419"/>
        <v>-1314.347815035213</v>
      </c>
      <c r="AV529">
        <f t="shared" si="459"/>
        <v>-2.8455682555301838</v>
      </c>
      <c r="AW529">
        <f t="shared" si="460"/>
        <v>-419.20958094068044</v>
      </c>
      <c r="AX529">
        <f t="shared" si="461"/>
        <v>-1823.1281607768935</v>
      </c>
      <c r="AY529">
        <f t="shared" si="469"/>
        <v>-1.7968074637424272</v>
      </c>
      <c r="BA529">
        <f t="shared" si="450"/>
        <v>2.4084591856118203</v>
      </c>
      <c r="BB529">
        <f t="shared" si="462"/>
        <v>7.6347858208665773</v>
      </c>
      <c r="BC529">
        <f t="shared" si="463"/>
        <v>-1.0487607917877566</v>
      </c>
      <c r="BD529">
        <f t="shared" si="451"/>
        <v>-240.08956715689928</v>
      </c>
      <c r="BF529">
        <f t="shared" si="452"/>
        <v>-49.483969951246259</v>
      </c>
      <c r="BG529">
        <f t="shared" si="453"/>
        <v>-228.70616992444423</v>
      </c>
      <c r="BH529">
        <f t="shared" si="464"/>
        <v>-48.706169924444225</v>
      </c>
      <c r="BI529">
        <f t="shared" si="465"/>
        <v>-48.706169924444225</v>
      </c>
      <c r="BJ529">
        <f t="shared" si="454"/>
        <v>0</v>
      </c>
      <c r="BK529">
        <f t="shared" si="466"/>
        <v>0</v>
      </c>
      <c r="BM529">
        <f t="shared" si="467"/>
        <v>-57.118755772112841</v>
      </c>
      <c r="BN529">
        <f t="shared" si="455"/>
        <v>-168.61660276754492</v>
      </c>
      <c r="BQ529" s="56">
        <f t="shared" si="468"/>
        <v>24.536746621151714</v>
      </c>
    </row>
    <row r="530" spans="1:69" x14ac:dyDescent="0.2">
      <c r="A530">
        <f t="shared" si="420"/>
        <v>1580000</v>
      </c>
      <c r="B530">
        <f t="shared" si="456"/>
        <v>1580</v>
      </c>
      <c r="C530">
        <f t="shared" si="425"/>
        <v>1.0195202639442316</v>
      </c>
      <c r="D530">
        <f t="shared" si="426"/>
        <v>0.1959996475736849</v>
      </c>
      <c r="F530">
        <f t="shared" si="427"/>
        <v>9.0546953786022394E-5</v>
      </c>
      <c r="G530">
        <f t="shared" si="428"/>
        <v>3.2722850643612782E-3</v>
      </c>
      <c r="H530">
        <f t="shared" si="429"/>
        <v>-3.1383203649356388</v>
      </c>
      <c r="J530">
        <f t="shared" si="430"/>
        <v>15</v>
      </c>
      <c r="M530">
        <f t="shared" si="431"/>
        <v>1.1486801283063376E-3</v>
      </c>
      <c r="N530">
        <f t="shared" si="432"/>
        <v>-1.5707963250000001</v>
      </c>
      <c r="O530">
        <f t="shared" si="433"/>
        <v>188.55438245008872</v>
      </c>
      <c r="P530">
        <f t="shared" si="434"/>
        <v>1.5654927922128072</v>
      </c>
      <c r="Q530">
        <f t="shared" si="435"/>
        <v>123.0688875692389</v>
      </c>
      <c r="R530">
        <f t="shared" si="436"/>
        <v>1.5626707068748715</v>
      </c>
      <c r="S530">
        <f t="shared" si="437"/>
        <v>0.98002711781213858</v>
      </c>
      <c r="T530">
        <f t="shared" si="438"/>
        <v>-0.20019852443271752</v>
      </c>
      <c r="U530">
        <f t="shared" si="439"/>
        <v>0.29564531175544367</v>
      </c>
      <c r="V530">
        <f t="shared" si="440"/>
        <v>-1.2706653701844066</v>
      </c>
      <c r="X530">
        <f t="shared" si="457"/>
        <v>-39.416918622875706</v>
      </c>
      <c r="Y530">
        <f t="shared" si="441"/>
        <v>-163.62628643801159</v>
      </c>
      <c r="Z530">
        <f t="shared" si="458"/>
        <v>16.37371356198841</v>
      </c>
      <c r="AC530">
        <v>1</v>
      </c>
      <c r="AD530">
        <f t="shared" si="442"/>
        <v>188.551730676582</v>
      </c>
      <c r="AE530">
        <f t="shared" si="443"/>
        <v>-0.12728475488849225</v>
      </c>
      <c r="AF530">
        <f t="shared" si="444"/>
        <v>3.9392053247232002E-2</v>
      </c>
      <c r="AG530">
        <f t="shared" si="421"/>
        <v>411.20353668507761</v>
      </c>
      <c r="AH530">
        <f t="shared" si="422"/>
        <v>-1354.0787285564841</v>
      </c>
      <c r="AJ530">
        <f t="shared" si="445"/>
        <v>22100</v>
      </c>
      <c r="AK530">
        <f t="shared" si="446"/>
        <v>4484.4596424023766</v>
      </c>
      <c r="AL530">
        <v>1</v>
      </c>
      <c r="AM530">
        <f t="shared" si="447"/>
        <v>123.06482473692456</v>
      </c>
      <c r="AN530">
        <f t="shared" si="423"/>
        <v>37.896546516952071</v>
      </c>
      <c r="AO530">
        <f t="shared" si="424"/>
        <v>-179.27221284103854</v>
      </c>
      <c r="AQ530">
        <f t="shared" si="448"/>
        <v>1.0014419763016767E-3</v>
      </c>
      <c r="AR530">
        <f t="shared" si="449"/>
        <v>-3.1645566451132985</v>
      </c>
      <c r="AT530">
        <f t="shared" si="418"/>
        <v>-4284.6470419775478</v>
      </c>
      <c r="AU530">
        <f t="shared" si="419"/>
        <v>-1302.632915788846</v>
      </c>
      <c r="AV530">
        <f t="shared" si="459"/>
        <v>-2.8464487758757535</v>
      </c>
      <c r="AW530">
        <f t="shared" si="460"/>
        <v>-416.26950799634892</v>
      </c>
      <c r="AX530">
        <f t="shared" si="461"/>
        <v>-1817.5257419768607</v>
      </c>
      <c r="AY530">
        <f t="shared" si="469"/>
        <v>-1.7959440845318824</v>
      </c>
      <c r="BA530">
        <f t="shared" si="450"/>
        <v>2.4017596107008341</v>
      </c>
      <c r="BB530">
        <f t="shared" si="462"/>
        <v>7.6105907443470198</v>
      </c>
      <c r="BC530">
        <f t="shared" si="463"/>
        <v>-1.0505046913438711</v>
      </c>
      <c r="BD530">
        <f t="shared" si="451"/>
        <v>-240.18948524147356</v>
      </c>
      <c r="BF530">
        <f t="shared" si="452"/>
        <v>-49.562189946125699</v>
      </c>
      <c r="BG530">
        <f t="shared" si="453"/>
        <v>-228.77204451285192</v>
      </c>
      <c r="BH530">
        <f t="shared" si="464"/>
        <v>-48.77204451285192</v>
      </c>
      <c r="BI530">
        <f t="shared" si="465"/>
        <v>-48.77204451285192</v>
      </c>
      <c r="BJ530">
        <f t="shared" si="454"/>
        <v>0</v>
      </c>
      <c r="BK530">
        <f t="shared" si="466"/>
        <v>0</v>
      </c>
      <c r="BM530">
        <f t="shared" si="467"/>
        <v>-57.17278069047272</v>
      </c>
      <c r="BN530">
        <f t="shared" si="455"/>
        <v>-168.58255927137839</v>
      </c>
      <c r="BQ530" s="56">
        <f t="shared" si="468"/>
        <v>24.512551544632156</v>
      </c>
    </row>
    <row r="531" spans="1:69" x14ac:dyDescent="0.2">
      <c r="A531">
        <f t="shared" si="420"/>
        <v>1585000</v>
      </c>
      <c r="B531">
        <f t="shared" si="456"/>
        <v>1585</v>
      </c>
      <c r="C531">
        <f t="shared" si="425"/>
        <v>1.0196428134282025</v>
      </c>
      <c r="D531">
        <f t="shared" si="426"/>
        <v>0.19660406359744684</v>
      </c>
      <c r="F531">
        <f t="shared" si="427"/>
        <v>8.9976532215084876E-5</v>
      </c>
      <c r="G531">
        <f t="shared" si="428"/>
        <v>3.2619606043748622E-3</v>
      </c>
      <c r="H531">
        <f t="shared" si="429"/>
        <v>-3.1383306893956253</v>
      </c>
      <c r="J531">
        <f t="shared" si="430"/>
        <v>15</v>
      </c>
      <c r="M531">
        <f t="shared" si="431"/>
        <v>1.1450565316870748E-3</v>
      </c>
      <c r="N531">
        <f t="shared" si="432"/>
        <v>-1.5707963250000001</v>
      </c>
      <c r="O531">
        <f t="shared" si="433"/>
        <v>189.15105677700421</v>
      </c>
      <c r="P531">
        <f t="shared" si="434"/>
        <v>1.5655095222935729</v>
      </c>
      <c r="Q531">
        <f t="shared" si="435"/>
        <v>123.45832040105593</v>
      </c>
      <c r="R531">
        <f t="shared" si="436"/>
        <v>1.562696338622344</v>
      </c>
      <c r="S531">
        <f t="shared" si="437"/>
        <v>0.97990429815682145</v>
      </c>
      <c r="T531">
        <f t="shared" si="438"/>
        <v>-0.20081519404306228</v>
      </c>
      <c r="U531">
        <f t="shared" si="439"/>
        <v>0.29479384293424588</v>
      </c>
      <c r="V531">
        <f t="shared" si="440"/>
        <v>-1.2715565598716529</v>
      </c>
      <c r="X531">
        <f t="shared" si="457"/>
        <v>-39.469465827588671</v>
      </c>
      <c r="Y531">
        <f t="shared" si="441"/>
        <v>-163.67621431870097</v>
      </c>
      <c r="Z531">
        <f t="shared" si="458"/>
        <v>16.323785681299029</v>
      </c>
      <c r="AC531">
        <v>1</v>
      </c>
      <c r="AD531">
        <f t="shared" si="442"/>
        <v>189.14841336859649</v>
      </c>
      <c r="AE531">
        <f t="shared" si="443"/>
        <v>-0.12809162928606893</v>
      </c>
      <c r="AF531">
        <f t="shared" si="444"/>
        <v>3.9516711643584009E-2</v>
      </c>
      <c r="AG531">
        <f t="shared" si="421"/>
        <v>408.83838636628332</v>
      </c>
      <c r="AH531">
        <f t="shared" si="422"/>
        <v>-1350.5368438977794</v>
      </c>
      <c r="AJ531">
        <f t="shared" si="445"/>
        <v>22100</v>
      </c>
      <c r="AK531">
        <f t="shared" si="446"/>
        <v>4498.6509703846632</v>
      </c>
      <c r="AL531">
        <v>1</v>
      </c>
      <c r="AM531">
        <f t="shared" si="447"/>
        <v>123.45427038482622</v>
      </c>
      <c r="AN531">
        <f t="shared" si="423"/>
        <v>37.887370890325926</v>
      </c>
      <c r="AO531">
        <f t="shared" si="424"/>
        <v>-178.70675967982822</v>
      </c>
      <c r="AQ531">
        <f t="shared" si="448"/>
        <v>9.9513369670971991E-4</v>
      </c>
      <c r="AR531">
        <f t="shared" si="449"/>
        <v>-3.1545738185698116</v>
      </c>
      <c r="AT531">
        <f t="shared" si="418"/>
        <v>-4259.9613199190571</v>
      </c>
      <c r="AU531">
        <f t="shared" si="419"/>
        <v>-1291.0548343794171</v>
      </c>
      <c r="AV531">
        <f t="shared" si="459"/>
        <v>-2.8473242337650877</v>
      </c>
      <c r="AW531">
        <f t="shared" si="460"/>
        <v>-413.3579107806583</v>
      </c>
      <c r="AX531">
        <f t="shared" si="461"/>
        <v>-1811.9573124640272</v>
      </c>
      <c r="AY531">
        <f t="shared" si="469"/>
        <v>-1.7950858921363724</v>
      </c>
      <c r="BA531">
        <f t="shared" si="450"/>
        <v>2.395093837648298</v>
      </c>
      <c r="BB531">
        <f t="shared" si="462"/>
        <v>7.586450667116055</v>
      </c>
      <c r="BC531">
        <f t="shared" si="463"/>
        <v>-1.0522383416287153</v>
      </c>
      <c r="BD531">
        <f t="shared" si="451"/>
        <v>-240.28881608606028</v>
      </c>
      <c r="BF531">
        <f t="shared" si="452"/>
        <v>-49.640177879134839</v>
      </c>
      <c r="BG531">
        <f t="shared" si="453"/>
        <v>-228.83733641815112</v>
      </c>
      <c r="BH531">
        <f t="shared" si="464"/>
        <v>-48.837336418151125</v>
      </c>
      <c r="BI531">
        <f t="shared" si="465"/>
        <v>-48.837336418151125</v>
      </c>
      <c r="BJ531">
        <f t="shared" si="454"/>
        <v>0</v>
      </c>
      <c r="BK531">
        <f t="shared" si="466"/>
        <v>0</v>
      </c>
      <c r="BM531">
        <f t="shared" si="467"/>
        <v>-57.226628546250893</v>
      </c>
      <c r="BN531">
        <f t="shared" si="455"/>
        <v>-168.54852033209085</v>
      </c>
      <c r="BQ531" s="56">
        <f t="shared" si="468"/>
        <v>24.488411467401189</v>
      </c>
    </row>
    <row r="532" spans="1:69" x14ac:dyDescent="0.2">
      <c r="A532">
        <f t="shared" si="420"/>
        <v>1590000</v>
      </c>
      <c r="B532">
        <f t="shared" si="456"/>
        <v>1590</v>
      </c>
      <c r="C532">
        <f t="shared" si="425"/>
        <v>1.019765735317183</v>
      </c>
      <c r="D532">
        <f t="shared" si="426"/>
        <v>0.19720833413009828</v>
      </c>
      <c r="F532">
        <f t="shared" si="427"/>
        <v>8.9411484120053807E-5</v>
      </c>
      <c r="G532">
        <f t="shared" si="428"/>
        <v>3.2517010949472567E-3</v>
      </c>
      <c r="H532">
        <f t="shared" si="429"/>
        <v>-3.1383409489050531</v>
      </c>
      <c r="J532">
        <f t="shared" si="430"/>
        <v>15</v>
      </c>
      <c r="M532">
        <f t="shared" si="431"/>
        <v>1.1414557249836562E-3</v>
      </c>
      <c r="N532">
        <f t="shared" si="432"/>
        <v>-1.5707963250000001</v>
      </c>
      <c r="O532">
        <f t="shared" si="433"/>
        <v>189.74773115652928</v>
      </c>
      <c r="P532">
        <f t="shared" si="434"/>
        <v>1.5655261471566362</v>
      </c>
      <c r="Q532">
        <f t="shared" si="435"/>
        <v>123.84775331347333</v>
      </c>
      <c r="R532">
        <f t="shared" si="436"/>
        <v>1.5627218091744008</v>
      </c>
      <c r="S532">
        <f t="shared" si="437"/>
        <v>0.9797811368294167</v>
      </c>
      <c r="T532">
        <f t="shared" si="438"/>
        <v>-0.20143170887297987</v>
      </c>
      <c r="U532">
        <f t="shared" si="439"/>
        <v>0.29394703309752868</v>
      </c>
      <c r="V532">
        <f t="shared" si="440"/>
        <v>-1.2724426302867069</v>
      </c>
      <c r="X532">
        <f t="shared" si="457"/>
        <v>-39.521861439110069</v>
      </c>
      <c r="Y532">
        <f t="shared" si="441"/>
        <v>-163.72585989741501</v>
      </c>
      <c r="Z532">
        <f t="shared" si="458"/>
        <v>16.274140102584994</v>
      </c>
      <c r="AC532">
        <v>1</v>
      </c>
      <c r="AD532">
        <f t="shared" si="442"/>
        <v>189.74509606061102</v>
      </c>
      <c r="AE532">
        <f t="shared" si="443"/>
        <v>-0.12890105304983066</v>
      </c>
      <c r="AF532">
        <f t="shared" si="444"/>
        <v>3.9641370039936008E-2</v>
      </c>
      <c r="AG532">
        <f t="shared" si="421"/>
        <v>406.49294310012704</v>
      </c>
      <c r="AH532">
        <f t="shared" si="422"/>
        <v>-1347.0111746677026</v>
      </c>
      <c r="AJ532">
        <f t="shared" si="445"/>
        <v>22100</v>
      </c>
      <c r="AK532">
        <f t="shared" si="446"/>
        <v>4512.8422983669489</v>
      </c>
      <c r="AL532">
        <v>1</v>
      </c>
      <c r="AM532">
        <f t="shared" si="447"/>
        <v>123.8437160327279</v>
      </c>
      <c r="AN532">
        <f t="shared" si="423"/>
        <v>37.878281682514071</v>
      </c>
      <c r="AO532">
        <f t="shared" si="424"/>
        <v>-178.14486213000245</v>
      </c>
      <c r="AQ532">
        <f t="shared" si="448"/>
        <v>9.8888483555982401E-4</v>
      </c>
      <c r="AR532">
        <f t="shared" si="449"/>
        <v>-3.1446537770802405</v>
      </c>
      <c r="AT532">
        <f t="shared" si="418"/>
        <v>-4235.4818034808886</v>
      </c>
      <c r="AU532">
        <f t="shared" si="419"/>
        <v>-1279.6116078002362</v>
      </c>
      <c r="AV532">
        <f t="shared" si="459"/>
        <v>-2.8481946713214241</v>
      </c>
      <c r="AW532">
        <f t="shared" si="460"/>
        <v>-410.47442193728733</v>
      </c>
      <c r="AX532">
        <f t="shared" si="461"/>
        <v>-1806.4225655678065</v>
      </c>
      <c r="AY532">
        <f t="shared" si="469"/>
        <v>-1.7942328370491378</v>
      </c>
      <c r="BA532">
        <f t="shared" si="450"/>
        <v>2.3884616487108405</v>
      </c>
      <c r="BB532">
        <f t="shared" si="462"/>
        <v>7.5623654450483278</v>
      </c>
      <c r="BC532">
        <f t="shared" si="463"/>
        <v>-1.0539618342722863</v>
      </c>
      <c r="BD532">
        <f t="shared" si="451"/>
        <v>-240.38756494067158</v>
      </c>
      <c r="BF532">
        <f t="shared" si="452"/>
        <v>-49.717934993089514</v>
      </c>
      <c r="BG532">
        <f t="shared" si="453"/>
        <v>-228.90205094810852</v>
      </c>
      <c r="BH532">
        <f t="shared" si="464"/>
        <v>-48.902050948108524</v>
      </c>
      <c r="BI532">
        <f t="shared" si="465"/>
        <v>-48.902050948108524</v>
      </c>
      <c r="BJ532">
        <f t="shared" si="454"/>
        <v>0</v>
      </c>
      <c r="BK532">
        <f t="shared" si="466"/>
        <v>0</v>
      </c>
      <c r="BM532">
        <f t="shared" si="467"/>
        <v>-57.28030043813785</v>
      </c>
      <c r="BN532">
        <f t="shared" si="455"/>
        <v>-168.51448600743697</v>
      </c>
      <c r="BQ532" s="56">
        <f t="shared" si="468"/>
        <v>24.464326245333467</v>
      </c>
    </row>
    <row r="533" spans="1:69" x14ac:dyDescent="0.2">
      <c r="A533">
        <f t="shared" si="420"/>
        <v>1595000</v>
      </c>
      <c r="B533">
        <f t="shared" si="456"/>
        <v>1595</v>
      </c>
      <c r="C533">
        <f t="shared" si="425"/>
        <v>1.019889029476521</v>
      </c>
      <c r="D533">
        <f t="shared" si="426"/>
        <v>0.19781245878303491</v>
      </c>
      <c r="F533">
        <f t="shared" si="427"/>
        <v>8.8851742218201769E-5</v>
      </c>
      <c r="G533">
        <f t="shared" si="428"/>
        <v>3.2415059250478612E-3</v>
      </c>
      <c r="H533">
        <f t="shared" si="429"/>
        <v>-3.1383511440749525</v>
      </c>
      <c r="J533">
        <f t="shared" si="430"/>
        <v>15</v>
      </c>
      <c r="M533">
        <f t="shared" si="431"/>
        <v>1.1378774938708548E-3</v>
      </c>
      <c r="N533">
        <f t="shared" si="432"/>
        <v>-1.5707963250000001</v>
      </c>
      <c r="O533">
        <f t="shared" si="433"/>
        <v>190.3444055881692</v>
      </c>
      <c r="P533">
        <f t="shared" si="434"/>
        <v>1.5655426677914692</v>
      </c>
      <c r="Q533">
        <f t="shared" si="435"/>
        <v>124.23718630573313</v>
      </c>
      <c r="R533">
        <f t="shared" si="436"/>
        <v>1.5627471200468548</v>
      </c>
      <c r="S533">
        <f t="shared" si="437"/>
        <v>0.97965763423956131</v>
      </c>
      <c r="T533">
        <f t="shared" si="438"/>
        <v>-0.20204806851225016</v>
      </c>
      <c r="U533">
        <f t="shared" si="439"/>
        <v>0.29310484618287674</v>
      </c>
      <c r="V533">
        <f t="shared" si="440"/>
        <v>-1.2733236240338566</v>
      </c>
      <c r="X533">
        <f t="shared" si="457"/>
        <v>-39.574106296716664</v>
      </c>
      <c r="Y533">
        <f t="shared" si="441"/>
        <v>-163.77522550542827</v>
      </c>
      <c r="Z533">
        <f t="shared" si="458"/>
        <v>16.224774494571733</v>
      </c>
      <c r="AC533">
        <v>1</v>
      </c>
      <c r="AD533">
        <f t="shared" si="442"/>
        <v>190.34177875262549</v>
      </c>
      <c r="AE533">
        <f t="shared" si="443"/>
        <v>-0.12971302617977751</v>
      </c>
      <c r="AF533">
        <f t="shared" si="444"/>
        <v>3.9766028436288008E-2</v>
      </c>
      <c r="AG533">
        <f t="shared" si="421"/>
        <v>404.16699606891177</v>
      </c>
      <c r="AH533">
        <f t="shared" si="422"/>
        <v>-1343.5016330002868</v>
      </c>
      <c r="AJ533">
        <f t="shared" si="445"/>
        <v>22100</v>
      </c>
      <c r="AK533">
        <f t="shared" si="446"/>
        <v>4527.0336263492345</v>
      </c>
      <c r="AL533">
        <v>1</v>
      </c>
      <c r="AM533">
        <f t="shared" si="447"/>
        <v>124.23316168062955</v>
      </c>
      <c r="AN533">
        <f t="shared" si="423"/>
        <v>37.869277811712472</v>
      </c>
      <c r="AO533">
        <f t="shared" si="424"/>
        <v>-177.5864867619176</v>
      </c>
      <c r="AQ533">
        <f t="shared" si="448"/>
        <v>9.8269464896230891E-4</v>
      </c>
      <c r="AR533">
        <f t="shared" si="449"/>
        <v>-3.1347959301897652</v>
      </c>
      <c r="AT533">
        <f t="shared" si="418"/>
        <v>-4211.206278588279</v>
      </c>
      <c r="AU533">
        <f t="shared" si="419"/>
        <v>-1268.3013062594689</v>
      </c>
      <c r="AV533">
        <f t="shared" si="459"/>
        <v>-2.8490601302186245</v>
      </c>
      <c r="AW533">
        <f t="shared" si="460"/>
        <v>-407.61868001858096</v>
      </c>
      <c r="AX533">
        <f t="shared" si="461"/>
        <v>-1800.9211982941185</v>
      </c>
      <c r="AY533">
        <f t="shared" si="469"/>
        <v>-1.7933848703752382</v>
      </c>
      <c r="BA533">
        <f t="shared" si="450"/>
        <v>2.3818628273983911</v>
      </c>
      <c r="BB533">
        <f t="shared" si="462"/>
        <v>7.5383349328651361</v>
      </c>
      <c r="BC533">
        <f t="shared" si="463"/>
        <v>-1.0556752598433863</v>
      </c>
      <c r="BD533">
        <f t="shared" si="451"/>
        <v>-240.48573699451759</v>
      </c>
      <c r="BF533">
        <f t="shared" si="452"/>
        <v>-49.795462521633205</v>
      </c>
      <c r="BG533">
        <f t="shared" si="453"/>
        <v>-228.96619334920922</v>
      </c>
      <c r="BH533">
        <f t="shared" si="464"/>
        <v>-48.96619334920922</v>
      </c>
      <c r="BI533">
        <f t="shared" si="465"/>
        <v>-48.96619334920922</v>
      </c>
      <c r="BJ533">
        <f t="shared" si="454"/>
        <v>0</v>
      </c>
      <c r="BK533">
        <f t="shared" si="466"/>
        <v>0</v>
      </c>
      <c r="BM533">
        <f t="shared" si="467"/>
        <v>-57.333797454498345</v>
      </c>
      <c r="BN533">
        <f t="shared" si="455"/>
        <v>-168.48045635469165</v>
      </c>
      <c r="BQ533" s="56">
        <f t="shared" si="468"/>
        <v>24.440295733150275</v>
      </c>
    </row>
    <row r="534" spans="1:69" x14ac:dyDescent="0.2">
      <c r="A534">
        <f t="shared" si="420"/>
        <v>1600000</v>
      </c>
      <c r="B534">
        <f t="shared" si="456"/>
        <v>1600</v>
      </c>
      <c r="C534">
        <f t="shared" si="425"/>
        <v>1.0200126957712219</v>
      </c>
      <c r="D534">
        <f t="shared" si="426"/>
        <v>0.19841643716826593</v>
      </c>
      <c r="F534">
        <f t="shared" si="427"/>
        <v>8.8297240276624577E-5</v>
      </c>
      <c r="G534">
        <f t="shared" si="428"/>
        <v>3.2313744912872283E-3</v>
      </c>
      <c r="H534">
        <f t="shared" si="429"/>
        <v>-3.1383612755087129</v>
      </c>
      <c r="J534">
        <f t="shared" si="430"/>
        <v>15</v>
      </c>
      <c r="M534">
        <f t="shared" si="431"/>
        <v>1.1343216267025082E-3</v>
      </c>
      <c r="N534">
        <f t="shared" si="432"/>
        <v>-1.5707963250000001</v>
      </c>
      <c r="O534">
        <f t="shared" si="433"/>
        <v>190.94108007143538</v>
      </c>
      <c r="P534">
        <f t="shared" si="434"/>
        <v>1.5655590851751757</v>
      </c>
      <c r="Q534">
        <f t="shared" si="435"/>
        <v>124.62661937708685</v>
      </c>
      <c r="R534">
        <f t="shared" si="436"/>
        <v>1.5627722727365729</v>
      </c>
      <c r="S534">
        <f t="shared" si="437"/>
        <v>0.97953379079774605</v>
      </c>
      <c r="T534">
        <f t="shared" si="438"/>
        <v>-0.2026642725513314</v>
      </c>
      <c r="U534">
        <f t="shared" si="439"/>
        <v>0.29226724647373509</v>
      </c>
      <c r="V534">
        <f t="shared" si="440"/>
        <v>-1.2741995832621131</v>
      </c>
      <c r="X534">
        <f t="shared" si="457"/>
        <v>-39.626201233007635</v>
      </c>
      <c r="Y534">
        <f t="shared" si="441"/>
        <v>-163.82431344929003</v>
      </c>
      <c r="Z534">
        <f t="shared" si="458"/>
        <v>16.175686550709969</v>
      </c>
      <c r="AC534">
        <v>1</v>
      </c>
      <c r="AD534">
        <f t="shared" si="442"/>
        <v>190.93846144464001</v>
      </c>
      <c r="AE534">
        <f t="shared" si="443"/>
        <v>-0.13052754867590941</v>
      </c>
      <c r="AF534">
        <f t="shared" si="444"/>
        <v>3.9890686832640007E-2</v>
      </c>
      <c r="AG534">
        <f t="shared" si="421"/>
        <v>401.86033715550099</v>
      </c>
      <c r="AH534">
        <f t="shared" si="422"/>
        <v>-1340.0081313025712</v>
      </c>
      <c r="AJ534">
        <f t="shared" si="445"/>
        <v>22100</v>
      </c>
      <c r="AK534">
        <f t="shared" si="446"/>
        <v>4541.2249543315211</v>
      </c>
      <c r="AL534">
        <v>1</v>
      </c>
      <c r="AM534">
        <f t="shared" si="447"/>
        <v>124.6226073285312</v>
      </c>
      <c r="AN534">
        <f t="shared" si="423"/>
        <v>37.860358212991621</v>
      </c>
      <c r="AO534">
        <f t="shared" si="424"/>
        <v>-177.03160056366502</v>
      </c>
      <c r="AQ534">
        <f t="shared" si="448"/>
        <v>9.7656240463257771E-4</v>
      </c>
      <c r="AR534">
        <f t="shared" si="449"/>
        <v>-3.1249996948242487</v>
      </c>
      <c r="AT534">
        <f t="shared" ref="AT534:AT597" si="470">-AR534*AH534+AG534*AQ534</f>
        <v>-4187.1325596853685</v>
      </c>
      <c r="AU534">
        <f t="shared" ref="AU534:AU597" si="471">AQ534*AH534+AG534*AR534</f>
        <v>-1257.1220325358424</v>
      </c>
      <c r="AV534">
        <f t="shared" si="459"/>
        <v>-2.8499206516869031</v>
      </c>
      <c r="AW534">
        <f t="shared" si="460"/>
        <v>-404.79032937194927</v>
      </c>
      <c r="AX534">
        <f t="shared" si="461"/>
        <v>-1795.4529112701807</v>
      </c>
      <c r="AY534">
        <f t="shared" si="469"/>
        <v>-1.7925419438224828</v>
      </c>
      <c r="BA534">
        <f t="shared" si="450"/>
        <v>2.375297158479738</v>
      </c>
      <c r="BB534">
        <f t="shared" si="462"/>
        <v>7.5143589841867975</v>
      </c>
      <c r="BC534">
        <f t="shared" si="463"/>
        <v>-1.0573787078644203</v>
      </c>
      <c r="BD534">
        <f t="shared" si="451"/>
        <v>-240.58333737685427</v>
      </c>
      <c r="BF534">
        <f t="shared" si="452"/>
        <v>-49.872761689314075</v>
      </c>
      <c r="BG534">
        <f t="shared" si="453"/>
        <v>-229.02976880751106</v>
      </c>
      <c r="BH534">
        <f t="shared" si="464"/>
        <v>-49.029768807511061</v>
      </c>
      <c r="BI534">
        <f t="shared" si="465"/>
        <v>-49.029768807511061</v>
      </c>
      <c r="BJ534">
        <f t="shared" si="454"/>
        <v>0</v>
      </c>
      <c r="BK534">
        <f t="shared" si="466"/>
        <v>0</v>
      </c>
      <c r="BM534">
        <f t="shared" si="467"/>
        <v>-57.387120673500867</v>
      </c>
      <c r="BN534">
        <f t="shared" si="455"/>
        <v>-168.44643143065682</v>
      </c>
      <c r="BQ534" s="56">
        <f t="shared" si="468"/>
        <v>24.416319784471931</v>
      </c>
    </row>
    <row r="535" spans="1:69" x14ac:dyDescent="0.2">
      <c r="A535">
        <f t="shared" si="420"/>
        <v>1605000</v>
      </c>
      <c r="B535">
        <f t="shared" si="456"/>
        <v>1605</v>
      </c>
      <c r="C535">
        <f t="shared" si="425"/>
        <v>1.0201367340659491</v>
      </c>
      <c r="D535">
        <f t="shared" si="426"/>
        <v>0.19902026889841515</v>
      </c>
      <c r="F535">
        <f t="shared" si="427"/>
        <v>8.7747913092645356E-5</v>
      </c>
      <c r="G535">
        <f t="shared" si="428"/>
        <v>3.2213061977979826E-3</v>
      </c>
      <c r="H535">
        <f t="shared" si="429"/>
        <v>-3.1383713438022021</v>
      </c>
      <c r="J535">
        <f t="shared" si="430"/>
        <v>15</v>
      </c>
      <c r="M535">
        <f t="shared" si="431"/>
        <v>1.1307879144697903E-3</v>
      </c>
      <c r="N535">
        <f t="shared" si="432"/>
        <v>-1.5707963250000001</v>
      </c>
      <c r="O535">
        <f t="shared" si="433"/>
        <v>191.53775460584535</v>
      </c>
      <c r="P535">
        <f t="shared" si="434"/>
        <v>1.5655754002726838</v>
      </c>
      <c r="Q535">
        <f t="shared" si="435"/>
        <v>125.01605252679536</v>
      </c>
      <c r="R535">
        <f t="shared" si="436"/>
        <v>1.5627972687217722</v>
      </c>
      <c r="S535">
        <f t="shared" si="437"/>
        <v>0.97940960691531276</v>
      </c>
      <c r="T535">
        <f t="shared" si="438"/>
        <v>-0.20328032058136108</v>
      </c>
      <c r="U535">
        <f t="shared" si="439"/>
        <v>0.29143419859567488</v>
      </c>
      <c r="V535">
        <f t="shared" si="440"/>
        <v>-1.2750705496710379</v>
      </c>
      <c r="X535">
        <f t="shared" si="457"/>
        <v>-39.678147073972539</v>
      </c>
      <c r="Y535">
        <f t="shared" si="441"/>
        <v>-163.87312601113686</v>
      </c>
      <c r="Z535">
        <f t="shared" si="458"/>
        <v>16.126873988863139</v>
      </c>
      <c r="AC535">
        <v>1</v>
      </c>
      <c r="AD535">
        <f t="shared" si="442"/>
        <v>191.53514413665451</v>
      </c>
      <c r="AE535">
        <f t="shared" si="443"/>
        <v>-0.13134462053822638</v>
      </c>
      <c r="AF535">
        <f t="shared" si="444"/>
        <v>4.0015345228992007E-2</v>
      </c>
      <c r="AG535">
        <f t="shared" si="421"/>
        <v>399.57276090389689</v>
      </c>
      <c r="AH535">
        <f t="shared" si="422"/>
        <v>-1336.5305822623538</v>
      </c>
      <c r="AJ535">
        <f t="shared" si="445"/>
        <v>22100</v>
      </c>
      <c r="AK535">
        <f t="shared" si="446"/>
        <v>4555.4162823138067</v>
      </c>
      <c r="AL535">
        <v>1</v>
      </c>
      <c r="AM535">
        <f t="shared" si="447"/>
        <v>125.01205297643286</v>
      </c>
      <c r="AN535">
        <f t="shared" si="423"/>
        <v>37.8515218379817</v>
      </c>
      <c r="AO535">
        <f t="shared" si="424"/>
        <v>-176.48017093456701</v>
      </c>
      <c r="AQ535">
        <f t="shared" si="448"/>
        <v>9.7048738167453911E-4</v>
      </c>
      <c r="AR535">
        <f t="shared" si="449"/>
        <v>-3.1152644951752704</v>
      </c>
      <c r="AT535">
        <f t="shared" si="470"/>
        <v>-4163.2584893153244</v>
      </c>
      <c r="AU535">
        <f t="shared" si="471"/>
        <v>-1246.0719213483751</v>
      </c>
      <c r="AV535">
        <f t="shared" si="459"/>
        <v>-2.8507762765184741</v>
      </c>
      <c r="AW535">
        <f t="shared" si="460"/>
        <v>-401.98902002880499</v>
      </c>
      <c r="AX535">
        <f t="shared" si="461"/>
        <v>-1790.0174086902966</v>
      </c>
      <c r="AY535">
        <f t="shared" si="469"/>
        <v>-1.7917040096925168</v>
      </c>
      <c r="BA535">
        <f t="shared" si="450"/>
        <v>2.3687644279874864</v>
      </c>
      <c r="BB535">
        <f t="shared" si="462"/>
        <v>7.4904374515834675</v>
      </c>
      <c r="BC535">
        <f t="shared" si="463"/>
        <v>-1.0590722668259573</v>
      </c>
      <c r="BD535">
        <f t="shared" si="451"/>
        <v>-240.68037115781777</v>
      </c>
      <c r="BF535">
        <f t="shared" si="452"/>
        <v>-49.949833711661498</v>
      </c>
      <c r="BG535">
        <f t="shared" si="453"/>
        <v>-229.0927824494859</v>
      </c>
      <c r="BH535">
        <f t="shared" si="464"/>
        <v>-49.092782449485895</v>
      </c>
      <c r="BI535">
        <f t="shared" si="465"/>
        <v>-49.092782449485895</v>
      </c>
      <c r="BJ535">
        <f t="shared" si="454"/>
        <v>0</v>
      </c>
      <c r="BK535">
        <f t="shared" si="466"/>
        <v>0</v>
      </c>
      <c r="BM535">
        <f t="shared" si="467"/>
        <v>-57.440271163244965</v>
      </c>
      <c r="BN535">
        <f t="shared" si="455"/>
        <v>-168.41241129166812</v>
      </c>
      <c r="BQ535" s="56">
        <f t="shared" si="468"/>
        <v>24.392398251868602</v>
      </c>
    </row>
    <row r="536" spans="1:69" x14ac:dyDescent="0.2">
      <c r="A536">
        <f t="shared" si="420"/>
        <v>1610000</v>
      </c>
      <c r="B536">
        <f t="shared" si="456"/>
        <v>1610</v>
      </c>
      <c r="C536">
        <f t="shared" si="425"/>
        <v>1.0202611442250247</v>
      </c>
      <c r="D536">
        <f t="shared" si="426"/>
        <v>0.19962395358672244</v>
      </c>
      <c r="F536">
        <f t="shared" si="427"/>
        <v>8.7203696474643866E-5</v>
      </c>
      <c r="G536">
        <f t="shared" si="428"/>
        <v>3.2113004561179562E-3</v>
      </c>
      <c r="H536">
        <f t="shared" si="429"/>
        <v>-3.1383813495438821</v>
      </c>
      <c r="J536">
        <f t="shared" si="430"/>
        <v>15</v>
      </c>
      <c r="M536">
        <f t="shared" si="431"/>
        <v>1.1272761507602569E-3</v>
      </c>
      <c r="N536">
        <f t="shared" si="432"/>
        <v>-1.5707963250000001</v>
      </c>
      <c r="O536">
        <f t="shared" si="433"/>
        <v>192.13442919092265</v>
      </c>
      <c r="P536">
        <f t="shared" si="434"/>
        <v>1.5655916140369364</v>
      </c>
      <c r="Q536">
        <f t="shared" si="435"/>
        <v>125.4054857541287</v>
      </c>
      <c r="R536">
        <f t="shared" si="436"/>
        <v>1.5628221094623078</v>
      </c>
      <c r="S536">
        <f t="shared" si="437"/>
        <v>0.97928508300445116</v>
      </c>
      <c r="T536">
        <f t="shared" si="438"/>
        <v>-0.20389621219415752</v>
      </c>
      <c r="U536">
        <f t="shared" si="439"/>
        <v>0.29060566751269862</v>
      </c>
      <c r="V536">
        <f t="shared" si="440"/>
        <v>-1.275936564516484</v>
      </c>
      <c r="X536">
        <f t="shared" si="457"/>
        <v>-39.729944639058424</v>
      </c>
      <c r="Y536">
        <f t="shared" si="441"/>
        <v>-163.92166544900093</v>
      </c>
      <c r="Z536">
        <f t="shared" si="458"/>
        <v>16.078334550999074</v>
      </c>
      <c r="AC536">
        <v>1</v>
      </c>
      <c r="AD536">
        <f t="shared" si="442"/>
        <v>192.13182682866901</v>
      </c>
      <c r="AE536">
        <f t="shared" si="443"/>
        <v>-0.13216424176672842</v>
      </c>
      <c r="AF536">
        <f t="shared" si="444"/>
        <v>4.0140003625344006E-2</v>
      </c>
      <c r="AG536">
        <f t="shared" si="421"/>
        <v>397.30406448044761</v>
      </c>
      <c r="AH536">
        <f t="shared" si="422"/>
        <v>-1333.0688988556151</v>
      </c>
      <c r="AJ536">
        <f t="shared" si="445"/>
        <v>22100</v>
      </c>
      <c r="AK536">
        <f t="shared" si="446"/>
        <v>4569.6076102960924</v>
      </c>
      <c r="AL536">
        <v>1</v>
      </c>
      <c r="AM536">
        <f t="shared" si="447"/>
        <v>125.40149862433454</v>
      </c>
      <c r="AN536">
        <f t="shared" si="423"/>
        <v>37.842767654564533</v>
      </c>
      <c r="AO536">
        <f t="shared" si="424"/>
        <v>-175.93216567879361</v>
      </c>
      <c r="AQ536">
        <f t="shared" si="448"/>
        <v>9.6446887036872903E-4</v>
      </c>
      <c r="AR536">
        <f t="shared" si="449"/>
        <v>-3.1055897625873072</v>
      </c>
      <c r="AT536">
        <f t="shared" si="470"/>
        <v>-4139.5819377072703</v>
      </c>
      <c r="AU536">
        <f t="shared" si="471"/>
        <v>-1235.1491387398084</v>
      </c>
      <c r="AV536">
        <f t="shared" si="459"/>
        <v>-2.8516270450731138</v>
      </c>
      <c r="AW536">
        <f t="shared" si="460"/>
        <v>-399.21440759597129</v>
      </c>
      <c r="AX536">
        <f t="shared" si="461"/>
        <v>-1784.6143982626279</v>
      </c>
      <c r="AY536">
        <f t="shared" si="469"/>
        <v>-1.790871020872056</v>
      </c>
      <c r="BA536">
        <f t="shared" si="450"/>
        <v>2.362264423222467</v>
      </c>
      <c r="BB536">
        <f t="shared" si="462"/>
        <v>7.4665701866245824</v>
      </c>
      <c r="BC536">
        <f t="shared" si="463"/>
        <v>-1.0607560242010579</v>
      </c>
      <c r="BD536">
        <f t="shared" si="451"/>
        <v>-240.7768433492453</v>
      </c>
      <c r="BF536">
        <f t="shared" si="452"/>
        <v>-50.026679795262005</v>
      </c>
      <c r="BG536">
        <f t="shared" si="453"/>
        <v>-229.15523934284704</v>
      </c>
      <c r="BH536">
        <f t="shared" si="464"/>
        <v>-49.15523934284704</v>
      </c>
      <c r="BI536">
        <f t="shared" si="465"/>
        <v>-49.15523934284704</v>
      </c>
      <c r="BJ536">
        <f t="shared" si="454"/>
        <v>0</v>
      </c>
      <c r="BK536">
        <f t="shared" si="466"/>
        <v>0</v>
      </c>
      <c r="BM536">
        <f t="shared" si="467"/>
        <v>-57.493249981886585</v>
      </c>
      <c r="BN536">
        <f t="shared" si="455"/>
        <v>-168.37839599360177</v>
      </c>
      <c r="BQ536" s="56">
        <f t="shared" si="468"/>
        <v>24.368530986909718</v>
      </c>
    </row>
    <row r="537" spans="1:69" x14ac:dyDescent="0.2">
      <c r="A537">
        <f t="shared" si="420"/>
        <v>1615000</v>
      </c>
      <c r="B537">
        <f t="shared" si="456"/>
        <v>1615</v>
      </c>
      <c r="C537">
        <f t="shared" si="425"/>
        <v>1.0203859261124308</v>
      </c>
      <c r="D537">
        <f t="shared" si="426"/>
        <v>0.20022749084704458</v>
      </c>
      <c r="F537">
        <f t="shared" si="427"/>
        <v>8.6664527223300698E-5</v>
      </c>
      <c r="G537">
        <f t="shared" si="428"/>
        <v>3.2013566850755044E-3</v>
      </c>
      <c r="H537">
        <f t="shared" si="429"/>
        <v>-3.1383912933149247</v>
      </c>
      <c r="J537">
        <f t="shared" si="430"/>
        <v>15</v>
      </c>
      <c r="M537">
        <f t="shared" si="431"/>
        <v>1.1237861317176553E-3</v>
      </c>
      <c r="N537">
        <f t="shared" si="432"/>
        <v>-1.5707963250000001</v>
      </c>
      <c r="O537">
        <f t="shared" si="433"/>
        <v>192.73110382619672</v>
      </c>
      <c r="P537">
        <f t="shared" si="434"/>
        <v>1.5656077274090749</v>
      </c>
      <c r="Q537">
        <f t="shared" si="435"/>
        <v>125.79491905836591</v>
      </c>
      <c r="R537">
        <f t="shared" si="436"/>
        <v>1.5628467963999586</v>
      </c>
      <c r="S537">
        <f t="shared" si="437"/>
        <v>0.97916021947819354</v>
      </c>
      <c r="T537">
        <f t="shared" si="438"/>
        <v>-0.20451194698222072</v>
      </c>
      <c r="U537">
        <f t="shared" si="439"/>
        <v>0.28978161852358608</v>
      </c>
      <c r="V537">
        <f t="shared" si="440"/>
        <v>-1.2767976686162545</v>
      </c>
      <c r="X537">
        <f t="shared" si="457"/>
        <v>-39.781594741236205</v>
      </c>
      <c r="Y537">
        <f t="shared" si="441"/>
        <v>-163.9699339971138</v>
      </c>
      <c r="Z537">
        <f t="shared" si="458"/>
        <v>16.030066002886201</v>
      </c>
      <c r="AC537">
        <v>1</v>
      </c>
      <c r="AD537">
        <f t="shared" si="442"/>
        <v>192.7285095206835</v>
      </c>
      <c r="AE537">
        <f t="shared" si="443"/>
        <v>-0.13298641236141553</v>
      </c>
      <c r="AF537">
        <f t="shared" si="444"/>
        <v>4.0264662021696006E-2</v>
      </c>
      <c r="AG537">
        <f t="shared" si="421"/>
        <v>395.05404763567213</v>
      </c>
      <c r="AH537">
        <f t="shared" si="422"/>
        <v>-1329.6229943536168</v>
      </c>
      <c r="AJ537">
        <f t="shared" si="445"/>
        <v>22100</v>
      </c>
      <c r="AK537">
        <f t="shared" si="446"/>
        <v>4583.798938278378</v>
      </c>
      <c r="AL537">
        <v>1</v>
      </c>
      <c r="AM537">
        <f t="shared" si="447"/>
        <v>125.79094427223619</v>
      </c>
      <c r="AN537">
        <f t="shared" si="423"/>
        <v>37.834094646572218</v>
      </c>
      <c r="AO537">
        <f t="shared" si="424"/>
        <v>-175.38755299909815</v>
      </c>
      <c r="AQ537">
        <f t="shared" si="448"/>
        <v>9.5850617196501723E-4</v>
      </c>
      <c r="AR537">
        <f t="shared" si="449"/>
        <v>-3.0959749354470056</v>
      </c>
      <c r="AT537">
        <f t="shared" si="470"/>
        <v>-4116.1008023698741</v>
      </c>
      <c r="AU537">
        <f t="shared" si="471"/>
        <v>-1224.3518814734027</v>
      </c>
      <c r="AV537">
        <f t="shared" si="459"/>
        <v>-2.8524729972836447</v>
      </c>
      <c r="AW537">
        <f t="shared" si="460"/>
        <v>-396.4661531494973</v>
      </c>
      <c r="AX537">
        <f t="shared" si="461"/>
        <v>-1779.2435911569289</v>
      </c>
      <c r="AY537">
        <f t="shared" si="469"/>
        <v>-1.7900429308242676</v>
      </c>
      <c r="BA537">
        <f t="shared" si="450"/>
        <v>2.3557969327575936</v>
      </c>
      <c r="BB537">
        <f t="shared" si="462"/>
        <v>7.4427570399268443</v>
      </c>
      <c r="BC537">
        <f t="shared" si="463"/>
        <v>-1.0624300664593771</v>
      </c>
      <c r="BD537">
        <f t="shared" si="451"/>
        <v>-240.87275890548312</v>
      </c>
      <c r="BF537">
        <f t="shared" si="452"/>
        <v>-50.103301137834741</v>
      </c>
      <c r="BG537">
        <f t="shared" si="453"/>
        <v>-229.21714449736388</v>
      </c>
      <c r="BH537">
        <f t="shared" si="464"/>
        <v>-49.217144497363876</v>
      </c>
      <c r="BI537">
        <f t="shared" si="465"/>
        <v>-49.217144497363876</v>
      </c>
      <c r="BJ537">
        <f t="shared" si="454"/>
        <v>0</v>
      </c>
      <c r="BK537">
        <f t="shared" si="466"/>
        <v>0</v>
      </c>
      <c r="BM537">
        <f t="shared" si="467"/>
        <v>-57.546058177761587</v>
      </c>
      <c r="BN537">
        <f t="shared" si="455"/>
        <v>-168.34438559188072</v>
      </c>
      <c r="BQ537" s="56">
        <f t="shared" si="468"/>
        <v>24.344717840211981</v>
      </c>
    </row>
    <row r="538" spans="1:69" x14ac:dyDescent="0.2">
      <c r="A538">
        <f t="shared" ref="A538:A591" si="472">A537+5000</f>
        <v>1620000</v>
      </c>
      <c r="B538">
        <f t="shared" si="456"/>
        <v>1620</v>
      </c>
      <c r="C538">
        <f t="shared" si="425"/>
        <v>1.0205110795918091</v>
      </c>
      <c r="D538">
        <f t="shared" si="426"/>
        <v>0.20083088029385654</v>
      </c>
      <c r="F538">
        <f t="shared" si="427"/>
        <v>8.6130343113246477E-5</v>
      </c>
      <c r="G538">
        <f t="shared" si="428"/>
        <v>3.1914743106769366E-3</v>
      </c>
      <c r="H538">
        <f t="shared" si="429"/>
        <v>-3.1384011756893231</v>
      </c>
      <c r="J538">
        <f t="shared" si="430"/>
        <v>15</v>
      </c>
      <c r="M538">
        <f t="shared" si="431"/>
        <v>1.1203176560024774E-3</v>
      </c>
      <c r="N538">
        <f t="shared" si="432"/>
        <v>-1.5707963250000001</v>
      </c>
      <c r="O538">
        <f t="shared" si="433"/>
        <v>193.32777851120272</v>
      </c>
      <c r="P538">
        <f t="shared" si="434"/>
        <v>1.5656237413186227</v>
      </c>
      <c r="Q538">
        <f t="shared" si="435"/>
        <v>126.18435243879499</v>
      </c>
      <c r="R538">
        <f t="shared" si="436"/>
        <v>1.5628713309587059</v>
      </c>
      <c r="S538">
        <f t="shared" si="437"/>
        <v>0.9790350167504136</v>
      </c>
      <c r="T538">
        <f t="shared" si="438"/>
        <v>-0.20512752453873406</v>
      </c>
      <c r="U538">
        <f t="shared" si="439"/>
        <v>0.28896201725827908</v>
      </c>
      <c r="V538">
        <f t="shared" si="440"/>
        <v>-1.2776539023556786</v>
      </c>
      <c r="X538">
        <f t="shared" si="457"/>
        <v>-39.833098187066113</v>
      </c>
      <c r="Y538">
        <f t="shared" si="441"/>
        <v>-164.01793386620602</v>
      </c>
      <c r="Z538">
        <f t="shared" si="458"/>
        <v>15.982066133793978</v>
      </c>
      <c r="AC538">
        <v>1</v>
      </c>
      <c r="AD538">
        <f t="shared" si="442"/>
        <v>193.325192212698</v>
      </c>
      <c r="AE538">
        <f t="shared" si="443"/>
        <v>-0.13381113232228772</v>
      </c>
      <c r="AF538">
        <f t="shared" si="444"/>
        <v>4.0389320418048005E-2</v>
      </c>
      <c r="AG538">
        <f t="shared" si="421"/>
        <v>392.82251266669152</v>
      </c>
      <c r="AH538">
        <f t="shared" si="422"/>
        <v>-1326.192782329684</v>
      </c>
      <c r="AJ538">
        <f t="shared" si="445"/>
        <v>22100</v>
      </c>
      <c r="AK538">
        <f t="shared" si="446"/>
        <v>4597.9902662606646</v>
      </c>
      <c r="AL538">
        <v>1</v>
      </c>
      <c r="AM538">
        <f t="shared" si="447"/>
        <v>126.18038992013784</v>
      </c>
      <c r="AN538">
        <f t="shared" si="423"/>
        <v>37.825501813492245</v>
      </c>
      <c r="AO538">
        <f t="shared" si="424"/>
        <v>-174.84630149066831</v>
      </c>
      <c r="AQ538">
        <f t="shared" si="448"/>
        <v>9.5259859847978605E-4</v>
      </c>
      <c r="AR538">
        <f t="shared" si="449"/>
        <v>-3.0864194590745067</v>
      </c>
      <c r="AT538">
        <f t="shared" si="470"/>
        <v>-4092.8130076914804</v>
      </c>
      <c r="AU538">
        <f t="shared" si="471"/>
        <v>-1213.6783764427798</v>
      </c>
      <c r="AV538">
        <f t="shared" si="459"/>
        <v>-2.8533141726613405</v>
      </c>
      <c r="AW538">
        <f t="shared" si="460"/>
        <v>-393.7439231308212</v>
      </c>
      <c r="AX538">
        <f t="shared" si="461"/>
        <v>-1773.9047019532156</v>
      </c>
      <c r="AY538">
        <f t="shared" si="469"/>
        <v>-1.7892196935802953</v>
      </c>
      <c r="BA538">
        <f t="shared" si="450"/>
        <v>2.3493617464412182</v>
      </c>
      <c r="BB538">
        <f t="shared" si="462"/>
        <v>7.4189978612009124</v>
      </c>
      <c r="BC538">
        <f t="shared" si="463"/>
        <v>-1.0640944790810452</v>
      </c>
      <c r="BD538">
        <f t="shared" si="451"/>
        <v>-240.968122724182</v>
      </c>
      <c r="BF538">
        <f t="shared" si="452"/>
        <v>-50.179698928306252</v>
      </c>
      <c r="BG538">
        <f t="shared" si="453"/>
        <v>-229.27850286566337</v>
      </c>
      <c r="BH538">
        <f t="shared" si="464"/>
        <v>-49.27850286566337</v>
      </c>
      <c r="BI538">
        <f t="shared" si="465"/>
        <v>-49.27850286566337</v>
      </c>
      <c r="BJ538">
        <f t="shared" si="454"/>
        <v>0</v>
      </c>
      <c r="BK538">
        <f t="shared" si="466"/>
        <v>0</v>
      </c>
      <c r="BM538">
        <f t="shared" si="467"/>
        <v>-57.598696789507173</v>
      </c>
      <c r="BN538">
        <f t="shared" si="455"/>
        <v>-168.3103801414814</v>
      </c>
      <c r="BQ538" s="56">
        <f t="shared" si="468"/>
        <v>24.320958661486046</v>
      </c>
    </row>
    <row r="539" spans="1:69" x14ac:dyDescent="0.2">
      <c r="A539">
        <f t="shared" si="472"/>
        <v>1625000</v>
      </c>
      <c r="B539">
        <f t="shared" si="456"/>
        <v>1625</v>
      </c>
      <c r="C539">
        <f t="shared" si="425"/>
        <v>1.0206366045264623</v>
      </c>
      <c r="D539">
        <f t="shared" si="426"/>
        <v>0.20143412154225265</v>
      </c>
      <c r="F539">
        <f t="shared" si="427"/>
        <v>8.5601082875105334E-5</v>
      </c>
      <c r="G539">
        <f t="shared" si="428"/>
        <v>3.1816527659960341E-3</v>
      </c>
      <c r="H539">
        <f t="shared" si="429"/>
        <v>-3.1384109972340042</v>
      </c>
      <c r="J539">
        <f t="shared" si="430"/>
        <v>15</v>
      </c>
      <c r="M539">
        <f t="shared" si="431"/>
        <v>1.116870524753239E-3</v>
      </c>
      <c r="N539">
        <f t="shared" si="432"/>
        <v>-1.5707963250000001</v>
      </c>
      <c r="O539">
        <f t="shared" si="433"/>
        <v>193.9244532454816</v>
      </c>
      <c r="P539">
        <f t="shared" si="434"/>
        <v>1.5656396566836634</v>
      </c>
      <c r="Q539">
        <f t="shared" si="435"/>
        <v>126.57378589471266</v>
      </c>
      <c r="R539">
        <f t="shared" si="436"/>
        <v>1.5628957145450064</v>
      </c>
      <c r="S539">
        <f t="shared" si="437"/>
        <v>0.97890947523582073</v>
      </c>
      <c r="T539">
        <f t="shared" si="438"/>
        <v>-0.20574294445756519</v>
      </c>
      <c r="U539">
        <f t="shared" si="439"/>
        <v>0.28814682967430616</v>
      </c>
      <c r="V539">
        <f t="shared" si="440"/>
        <v>-1.2785053056931057</v>
      </c>
      <c r="X539">
        <f t="shared" si="457"/>
        <v>-39.884455776762479</v>
      </c>
      <c r="Y539">
        <f t="shared" si="441"/>
        <v>-164.06566724380241</v>
      </c>
      <c r="Z539">
        <f t="shared" si="458"/>
        <v>15.934332756197591</v>
      </c>
      <c r="AC539">
        <v>1</v>
      </c>
      <c r="AD539">
        <f t="shared" si="442"/>
        <v>193.9218749047125</v>
      </c>
      <c r="AE539">
        <f t="shared" si="443"/>
        <v>-0.13463840164934501</v>
      </c>
      <c r="AF539">
        <f t="shared" si="444"/>
        <v>4.0513978814400005E-2</v>
      </c>
      <c r="AG539">
        <f t="shared" si="421"/>
        <v>390.60926438025621</v>
      </c>
      <c r="AH539">
        <f t="shared" si="422"/>
        <v>-1322.7781766656826</v>
      </c>
      <c r="AJ539">
        <f t="shared" si="445"/>
        <v>22100</v>
      </c>
      <c r="AK539">
        <f t="shared" si="446"/>
        <v>4612.1815942429503</v>
      </c>
      <c r="AL539">
        <v>1</v>
      </c>
      <c r="AM539">
        <f t="shared" si="447"/>
        <v>126.56983556803951</v>
      </c>
      <c r="AN539">
        <f t="shared" si="423"/>
        <v>37.816988170178924</v>
      </c>
      <c r="AO539">
        <f t="shared" si="424"/>
        <v>-174.30838013509123</v>
      </c>
      <c r="AQ539">
        <f t="shared" si="448"/>
        <v>9.4674547249747011E-4</v>
      </c>
      <c r="AR539">
        <f t="shared" si="449"/>
        <v>-3.0769227856167776</v>
      </c>
      <c r="AT539">
        <f t="shared" si="470"/>
        <v>-4069.7165045466863</v>
      </c>
      <c r="AU539">
        <f t="shared" si="471"/>
        <v>-1203.1268800944949</v>
      </c>
      <c r="AV539">
        <f t="shared" si="459"/>
        <v>-2.8541506103012528</v>
      </c>
      <c r="AW539">
        <f t="shared" si="460"/>
        <v>-391.04738924522502</v>
      </c>
      <c r="AX539">
        <f t="shared" si="461"/>
        <v>-1768.5974485913584</v>
      </c>
      <c r="AY539">
        <f t="shared" si="469"/>
        <v>-1.7884012637309283</v>
      </c>
      <c r="BA539">
        <f t="shared" si="450"/>
        <v>2.3429586553999688</v>
      </c>
      <c r="BB539">
        <f t="shared" si="462"/>
        <v>7.3952924992966995</v>
      </c>
      <c r="BC539">
        <f t="shared" si="463"/>
        <v>-1.0657493465703245</v>
      </c>
      <c r="BD539">
        <f t="shared" si="451"/>
        <v>-241.06293964707945</v>
      </c>
      <c r="BF539">
        <f t="shared" si="452"/>
        <v>-50.255874346884909</v>
      </c>
      <c r="BG539">
        <f t="shared" si="453"/>
        <v>-229.33931934401923</v>
      </c>
      <c r="BH539">
        <f t="shared" si="464"/>
        <v>-49.339319344019231</v>
      </c>
      <c r="BI539">
        <f t="shared" si="465"/>
        <v>-49.339319344019231</v>
      </c>
      <c r="BJ539">
        <f t="shared" si="454"/>
        <v>0</v>
      </c>
      <c r="BK539">
        <f t="shared" si="466"/>
        <v>0</v>
      </c>
      <c r="BM539">
        <f t="shared" si="467"/>
        <v>-57.65116684618161</v>
      </c>
      <c r="BN539">
        <f t="shared" si="455"/>
        <v>-168.27637969693976</v>
      </c>
      <c r="BQ539" s="56">
        <f t="shared" si="468"/>
        <v>24.29725329958184</v>
      </c>
    </row>
    <row r="540" spans="1:69" x14ac:dyDescent="0.2">
      <c r="A540">
        <f t="shared" si="472"/>
        <v>1630000</v>
      </c>
      <c r="B540">
        <f t="shared" si="456"/>
        <v>1630</v>
      </c>
      <c r="C540">
        <f t="shared" si="425"/>
        <v>1.0207625007793553</v>
      </c>
      <c r="D540">
        <f t="shared" si="426"/>
        <v>0.20203721420794782</v>
      </c>
      <c r="F540">
        <f t="shared" si="427"/>
        <v>8.5076686177923722E-5</v>
      </c>
      <c r="G540">
        <f t="shared" si="428"/>
        <v>3.1718914910655971E-3</v>
      </c>
      <c r="H540">
        <f t="shared" si="429"/>
        <v>-3.1384207585089348</v>
      </c>
      <c r="J540">
        <f t="shared" si="430"/>
        <v>15</v>
      </c>
      <c r="M540">
        <f t="shared" si="431"/>
        <v>1.1134445415484746E-3</v>
      </c>
      <c r="N540">
        <f t="shared" si="432"/>
        <v>-1.5707963250000001</v>
      </c>
      <c r="O540">
        <f t="shared" si="433"/>
        <v>194.52112802858002</v>
      </c>
      <c r="P540">
        <f t="shared" si="434"/>
        <v>1.5656554744110165</v>
      </c>
      <c r="Q540">
        <f t="shared" si="435"/>
        <v>126.96321942542428</v>
      </c>
      <c r="R540">
        <f t="shared" si="436"/>
        <v>1.5629199485480616</v>
      </c>
      <c r="S540">
        <f t="shared" si="437"/>
        <v>0.97878359534995774</v>
      </c>
      <c r="T540">
        <f t="shared" si="438"/>
        <v>-0.20635820633326735</v>
      </c>
      <c r="U540">
        <f t="shared" si="439"/>
        <v>0.2873360220532461</v>
      </c>
      <c r="V540">
        <f t="shared" si="440"/>
        <v>-1.2793519181653215</v>
      </c>
      <c r="X540">
        <f t="shared" si="457"/>
        <v>-39.935668304257568</v>
      </c>
      <c r="Y540">
        <f t="shared" si="441"/>
        <v>-164.11313629451277</v>
      </c>
      <c r="Z540">
        <f t="shared" si="458"/>
        <v>15.886863705487229</v>
      </c>
      <c r="AC540">
        <v>1</v>
      </c>
      <c r="AD540">
        <f t="shared" si="442"/>
        <v>194.51855759672699</v>
      </c>
      <c r="AE540">
        <f t="shared" si="443"/>
        <v>-0.13546822034258738</v>
      </c>
      <c r="AF540">
        <f t="shared" si="444"/>
        <v>4.0638637210752004E-2</v>
      </c>
      <c r="AG540">
        <f t="shared" si="421"/>
        <v>388.41411005636286</v>
      </c>
      <c r="AH540">
        <f t="shared" si="422"/>
        <v>-1319.3790915582026</v>
      </c>
      <c r="AJ540">
        <f t="shared" si="445"/>
        <v>22100</v>
      </c>
      <c r="AK540">
        <f t="shared" si="446"/>
        <v>4626.3729222252368</v>
      </c>
      <c r="AL540">
        <v>1</v>
      </c>
      <c r="AM540">
        <f t="shared" si="447"/>
        <v>126.95928121594116</v>
      </c>
      <c r="AN540">
        <f t="shared" si="423"/>
        <v>37.80855274657111</v>
      </c>
      <c r="AO540">
        <f t="shared" si="424"/>
        <v>-173.77375829442923</v>
      </c>
      <c r="AQ540">
        <f t="shared" si="448"/>
        <v>9.4094612697635143E-4</v>
      </c>
      <c r="AR540">
        <f t="shared" si="449"/>
        <v>-3.0674843739429059</v>
      </c>
      <c r="AT540">
        <f t="shared" si="470"/>
        <v>-4046.8092699092526</v>
      </c>
      <c r="AU540">
        <f t="shared" si="471"/>
        <v>-1192.6956778630483</v>
      </c>
      <c r="AV540">
        <f t="shared" si="459"/>
        <v>-2.8549823488874617</v>
      </c>
      <c r="AW540">
        <f t="shared" si="460"/>
        <v>-388.37622836251757</v>
      </c>
      <c r="AX540">
        <f t="shared" si="461"/>
        <v>-1763.3215523215722</v>
      </c>
      <c r="AY540">
        <f t="shared" si="469"/>
        <v>-1.7875875964184063</v>
      </c>
      <c r="BA540">
        <f t="shared" si="450"/>
        <v>2.3365874520411256</v>
      </c>
      <c r="BB540">
        <f t="shared" si="462"/>
        <v>7.3716408022474367</v>
      </c>
      <c r="BC540">
        <f t="shared" si="463"/>
        <v>-1.0673947524690555</v>
      </c>
      <c r="BD540">
        <f t="shared" si="451"/>
        <v>-241.15721446077038</v>
      </c>
      <c r="BF540">
        <f t="shared" si="452"/>
        <v>-50.331828565134586</v>
      </c>
      <c r="BG540">
        <f t="shared" si="453"/>
        <v>-229.39959877312791</v>
      </c>
      <c r="BH540">
        <f t="shared" si="464"/>
        <v>-49.399598773127906</v>
      </c>
      <c r="BI540">
        <f t="shared" si="465"/>
        <v>-49.399598773127906</v>
      </c>
      <c r="BJ540">
        <f t="shared" si="454"/>
        <v>0</v>
      </c>
      <c r="BK540">
        <f t="shared" si="466"/>
        <v>0</v>
      </c>
      <c r="BM540">
        <f t="shared" si="467"/>
        <v>-57.703469367382013</v>
      </c>
      <c r="BN540">
        <f t="shared" si="455"/>
        <v>-168.24238431235753</v>
      </c>
      <c r="BQ540" s="56">
        <f t="shared" si="468"/>
        <v>24.273601602532576</v>
      </c>
    </row>
    <row r="541" spans="1:69" x14ac:dyDescent="0.2">
      <c r="A541">
        <f t="shared" si="472"/>
        <v>1635000</v>
      </c>
      <c r="B541">
        <f t="shared" si="456"/>
        <v>1635</v>
      </c>
      <c r="C541">
        <f t="shared" si="425"/>
        <v>1.0208887682131147</v>
      </c>
      <c r="D541">
        <f t="shared" si="426"/>
        <v>0.20264015790727838</v>
      </c>
      <c r="F541">
        <f t="shared" si="427"/>
        <v>8.4557093611974953E-5</v>
      </c>
      <c r="G541">
        <f t="shared" si="428"/>
        <v>3.1621899327709869E-3</v>
      </c>
      <c r="H541">
        <f t="shared" si="429"/>
        <v>-3.1384304600672293</v>
      </c>
      <c r="J541">
        <f t="shared" si="430"/>
        <v>15</v>
      </c>
      <c r="M541">
        <f t="shared" si="431"/>
        <v>1.110039512369427E-3</v>
      </c>
      <c r="N541">
        <f t="shared" si="432"/>
        <v>-1.5707963250000001</v>
      </c>
      <c r="O541">
        <f t="shared" si="433"/>
        <v>195.11780286005003</v>
      </c>
      <c r="P541">
        <f t="shared" si="434"/>
        <v>1.5656711953964084</v>
      </c>
      <c r="Q541">
        <f t="shared" si="435"/>
        <v>127.35265303024372</v>
      </c>
      <c r="R541">
        <f t="shared" si="436"/>
        <v>1.5629440343400816</v>
      </c>
      <c r="S541">
        <f t="shared" si="437"/>
        <v>0.97865737750919668</v>
      </c>
      <c r="T541">
        <f t="shared" si="438"/>
        <v>-0.20697330976108072</v>
      </c>
      <c r="U541">
        <f t="shared" si="439"/>
        <v>0.28652956099723031</v>
      </c>
      <c r="V541">
        <f t="shared" si="440"/>
        <v>-1.2801937788928837</v>
      </c>
      <c r="X541">
        <f t="shared" si="457"/>
        <v>-39.986736557264813</v>
      </c>
      <c r="Y541">
        <f t="shared" si="441"/>
        <v>-164.16034316031917</v>
      </c>
      <c r="Z541">
        <f t="shared" si="458"/>
        <v>15.839656839680828</v>
      </c>
      <c r="AC541">
        <v>1</v>
      </c>
      <c r="AD541">
        <f t="shared" si="442"/>
        <v>195.11524028874152</v>
      </c>
      <c r="AE541">
        <f t="shared" si="443"/>
        <v>-0.13630058840201481</v>
      </c>
      <c r="AF541">
        <f t="shared" si="444"/>
        <v>4.0763295607104011E-2</v>
      </c>
      <c r="AG541">
        <f t="shared" si="421"/>
        <v>386.23685941244645</v>
      </c>
      <c r="AH541">
        <f t="shared" si="422"/>
        <v>-1315.9954415244549</v>
      </c>
      <c r="AJ541">
        <f t="shared" si="445"/>
        <v>22100</v>
      </c>
      <c r="AK541">
        <f t="shared" si="446"/>
        <v>4640.5642502075225</v>
      </c>
      <c r="AL541">
        <v>1</v>
      </c>
      <c r="AM541">
        <f t="shared" si="447"/>
        <v>127.34872686384284</v>
      </c>
      <c r="AN541">
        <f t="shared" si="423"/>
        <v>37.80019458741581</v>
      </c>
      <c r="AO541">
        <f t="shared" si="424"/>
        <v>-173.24240570540431</v>
      </c>
      <c r="AQ541">
        <f t="shared" si="448"/>
        <v>9.3519990505850563E-4</v>
      </c>
      <c r="AR541">
        <f t="shared" si="449"/>
        <v>-3.0581036895413134</v>
      </c>
      <c r="AT541">
        <f t="shared" si="470"/>
        <v>-4024.0893064712327</v>
      </c>
      <c r="AU541">
        <f t="shared" si="471"/>
        <v>-1182.3830836180232</v>
      </c>
      <c r="AV541">
        <f t="shared" si="459"/>
        <v>-2.8558094266982477</v>
      </c>
      <c r="AW541">
        <f t="shared" si="460"/>
        <v>-385.73012241989562</v>
      </c>
      <c r="AX541">
        <f t="shared" si="461"/>
        <v>-1758.0767376557935</v>
      </c>
      <c r="AY541">
        <f t="shared" si="469"/>
        <v>-1.7867786473283624</v>
      </c>
      <c r="BA541">
        <f t="shared" si="450"/>
        <v>2.3302479300545249</v>
      </c>
      <c r="BB541">
        <f t="shared" si="462"/>
        <v>7.348042617312446</v>
      </c>
      <c r="BC541">
        <f t="shared" si="463"/>
        <v>-1.0690307793698852</v>
      </c>
      <c r="BD541">
        <f t="shared" si="451"/>
        <v>-241.25095189746492</v>
      </c>
      <c r="BF541">
        <f t="shared" si="452"/>
        <v>-50.407562746047915</v>
      </c>
      <c r="BG541">
        <f t="shared" si="453"/>
        <v>-229.45934593887287</v>
      </c>
      <c r="BH541">
        <f t="shared" si="464"/>
        <v>-49.459345938872872</v>
      </c>
      <c r="BI541">
        <f t="shared" si="465"/>
        <v>-49.459345938872872</v>
      </c>
      <c r="BJ541">
        <f t="shared" si="454"/>
        <v>0</v>
      </c>
      <c r="BK541">
        <f t="shared" si="466"/>
        <v>0</v>
      </c>
      <c r="BM541">
        <f t="shared" si="467"/>
        <v>-57.75560536336036</v>
      </c>
      <c r="BN541">
        <f t="shared" si="455"/>
        <v>-168.20839404140798</v>
      </c>
      <c r="BQ541" s="56">
        <f t="shared" si="468"/>
        <v>24.250003417597583</v>
      </c>
    </row>
    <row r="542" spans="1:69" x14ac:dyDescent="0.2">
      <c r="A542">
        <f t="shared" si="472"/>
        <v>1640000</v>
      </c>
      <c r="B542">
        <f t="shared" si="456"/>
        <v>1640</v>
      </c>
      <c r="C542">
        <f t="shared" si="425"/>
        <v>1.0210154066900303</v>
      </c>
      <c r="D542">
        <f t="shared" si="426"/>
        <v>0.20324295225720365</v>
      </c>
      <c r="F542">
        <f t="shared" si="427"/>
        <v>8.4042246671929891E-5</v>
      </c>
      <c r="G542">
        <f t="shared" si="428"/>
        <v>3.1525475447456144E-3</v>
      </c>
      <c r="H542">
        <f t="shared" si="429"/>
        <v>-3.1384401024552546</v>
      </c>
      <c r="J542">
        <f t="shared" si="430"/>
        <v>15</v>
      </c>
      <c r="M542">
        <f t="shared" si="431"/>
        <v>1.1066552455634227E-3</v>
      </c>
      <c r="N542">
        <f t="shared" si="432"/>
        <v>-1.5707963250000001</v>
      </c>
      <c r="O542">
        <f t="shared" si="433"/>
        <v>195.71447773944928</v>
      </c>
      <c r="P542">
        <f t="shared" si="434"/>
        <v>1.5656868205246437</v>
      </c>
      <c r="Q542">
        <f t="shared" si="435"/>
        <v>127.7420867084932</v>
      </c>
      <c r="R542">
        <f t="shared" si="436"/>
        <v>1.5629679732765438</v>
      </c>
      <c r="S542">
        <f t="shared" si="437"/>
        <v>0.97853082213073528</v>
      </c>
      <c r="T542">
        <f t="shared" si="438"/>
        <v>-0.20758825433693337</v>
      </c>
      <c r="U542">
        <f t="shared" si="439"/>
        <v>0.28572741342548302</v>
      </c>
      <c r="V542">
        <f t="shared" si="440"/>
        <v>-1.2810309265853823</v>
      </c>
      <c r="X542">
        <f t="shared" si="457"/>
        <v>-40.03766131734114</v>
      </c>
      <c r="Y542">
        <f t="shared" si="441"/>
        <v>-164.20728996085859</v>
      </c>
      <c r="Z542">
        <f t="shared" si="458"/>
        <v>15.792710039141411</v>
      </c>
      <c r="AC542">
        <v>1</v>
      </c>
      <c r="AD542">
        <f t="shared" si="442"/>
        <v>195.71192298075599</v>
      </c>
      <c r="AE542">
        <f t="shared" si="443"/>
        <v>-0.13713550582762732</v>
      </c>
      <c r="AF542">
        <f t="shared" si="444"/>
        <v>4.088795400345601E-2</v>
      </c>
      <c r="AG542">
        <f t="shared" si="421"/>
        <v>384.07732456814045</v>
      </c>
      <c r="AH542">
        <f t="shared" si="422"/>
        <v>-1312.6271414078894</v>
      </c>
      <c r="AJ542">
        <f t="shared" si="445"/>
        <v>22100</v>
      </c>
      <c r="AK542">
        <f t="shared" si="446"/>
        <v>4654.7555781898081</v>
      </c>
      <c r="AL542">
        <v>1</v>
      </c>
      <c r="AM542">
        <f t="shared" si="447"/>
        <v>127.73817251174449</v>
      </c>
      <c r="AN542">
        <f t="shared" si="423"/>
        <v>37.791912751997849</v>
      </c>
      <c r="AO542">
        <f t="shared" si="424"/>
        <v>-172.71429247368917</v>
      </c>
      <c r="AQ542">
        <f t="shared" si="448"/>
        <v>9.2950615988379682E-4</v>
      </c>
      <c r="AR542">
        <f t="shared" si="449"/>
        <v>-3.0487802044188537</v>
      </c>
      <c r="AT542">
        <f t="shared" si="470"/>
        <v>-4001.5546422682232</v>
      </c>
      <c r="AU542">
        <f t="shared" si="471"/>
        <v>-1172.187439123071</v>
      </c>
      <c r="AV542">
        <f t="shared" si="459"/>
        <v>-2.8566318816111975</v>
      </c>
      <c r="AW542">
        <f t="shared" si="460"/>
        <v>-383.10875832692687</v>
      </c>
      <c r="AX542">
        <f t="shared" si="461"/>
        <v>-1752.8627323199109</v>
      </c>
      <c r="AY542">
        <f t="shared" si="469"/>
        <v>-1.7859743726819031</v>
      </c>
      <c r="BA542">
        <f t="shared" si="450"/>
        <v>2.3239398844140342</v>
      </c>
      <c r="BB542">
        <f t="shared" si="462"/>
        <v>7.3244977910187279</v>
      </c>
      <c r="BC542">
        <f t="shared" si="463"/>
        <v>-1.0706575089292945</v>
      </c>
      <c r="BD542">
        <f t="shared" si="451"/>
        <v>-241.34415663573475</v>
      </c>
      <c r="BF542">
        <f t="shared" si="452"/>
        <v>-50.483078044118955</v>
      </c>
      <c r="BG542">
        <f t="shared" si="453"/>
        <v>-229.51856557307713</v>
      </c>
      <c r="BH542">
        <f t="shared" si="464"/>
        <v>-49.518565573077126</v>
      </c>
      <c r="BI542">
        <f t="shared" si="465"/>
        <v>-49.518565573077126</v>
      </c>
      <c r="BJ542">
        <f t="shared" si="454"/>
        <v>0</v>
      </c>
      <c r="BK542">
        <f t="shared" si="466"/>
        <v>0</v>
      </c>
      <c r="BM542">
        <f t="shared" si="467"/>
        <v>-57.807575835137683</v>
      </c>
      <c r="BN542">
        <f t="shared" si="455"/>
        <v>-168.17440893734238</v>
      </c>
      <c r="BQ542" s="56">
        <f t="shared" si="468"/>
        <v>24.226458591303867</v>
      </c>
    </row>
    <row r="543" spans="1:69" x14ac:dyDescent="0.2">
      <c r="A543">
        <f t="shared" si="472"/>
        <v>1645000</v>
      </c>
      <c r="B543">
        <f t="shared" si="456"/>
        <v>1645</v>
      </c>
      <c r="C543">
        <f t="shared" si="425"/>
        <v>1.0211424160720561</v>
      </c>
      <c r="D543">
        <f t="shared" si="426"/>
        <v>0.20384559687530662</v>
      </c>
      <c r="F543">
        <f t="shared" si="427"/>
        <v>8.3532087740385526E-5</v>
      </c>
      <c r="G543">
        <f t="shared" si="428"/>
        <v>3.1429637872683359E-3</v>
      </c>
      <c r="H543">
        <f t="shared" si="429"/>
        <v>-3.138449686212732</v>
      </c>
      <c r="J543">
        <f t="shared" si="430"/>
        <v>15</v>
      </c>
      <c r="M543">
        <f t="shared" si="431"/>
        <v>1.1032915518079109E-3</v>
      </c>
      <c r="N543">
        <f t="shared" si="432"/>
        <v>-1.5707963250000001</v>
      </c>
      <c r="O543">
        <f t="shared" si="433"/>
        <v>196.31115266634069</v>
      </c>
      <c r="P543">
        <f t="shared" si="434"/>
        <v>1.5657023506697694</v>
      </c>
      <c r="Q543">
        <f t="shared" si="435"/>
        <v>128.13152045950318</v>
      </c>
      <c r="R543">
        <f t="shared" si="436"/>
        <v>1.5629917666964475</v>
      </c>
      <c r="S543">
        <f t="shared" si="437"/>
        <v>0.97840392963259382</v>
      </c>
      <c r="T543">
        <f t="shared" si="438"/>
        <v>-0.20820303965744277</v>
      </c>
      <c r="U543">
        <f t="shared" si="439"/>
        <v>0.28492954657090053</v>
      </c>
      <c r="V543">
        <f t="shared" si="440"/>
        <v>-1.2818633995466227</v>
      </c>
      <c r="X543">
        <f t="shared" si="457"/>
        <v>-40.088443359948627</v>
      </c>
      <c r="Y543">
        <f t="shared" si="441"/>
        <v>-164.25397879370172</v>
      </c>
      <c r="Z543">
        <f t="shared" si="458"/>
        <v>15.746021206298281</v>
      </c>
      <c r="AC543">
        <v>1</v>
      </c>
      <c r="AD543">
        <f t="shared" si="442"/>
        <v>196.30860567277051</v>
      </c>
      <c r="AE543">
        <f t="shared" si="443"/>
        <v>-0.1379729726194249</v>
      </c>
      <c r="AF543">
        <f t="shared" si="444"/>
        <v>4.1012612399808003E-2</v>
      </c>
      <c r="AG543">
        <f t="shared" si="421"/>
        <v>381.93532001059742</v>
      </c>
      <c r="AH543">
        <f t="shared" si="422"/>
        <v>-1309.2741063835479</v>
      </c>
      <c r="AJ543">
        <f t="shared" si="445"/>
        <v>22100</v>
      </c>
      <c r="AK543">
        <f t="shared" si="446"/>
        <v>4668.9469061720947</v>
      </c>
      <c r="AL543">
        <v>1</v>
      </c>
      <c r="AM543">
        <f t="shared" si="447"/>
        <v>128.12761815964615</v>
      </c>
      <c r="AN543">
        <f t="shared" si="423"/>
        <v>37.783706313875072</v>
      </c>
      <c r="AO543">
        <f t="shared" si="424"/>
        <v>-172.18938906830184</v>
      </c>
      <c r="AQ543">
        <f t="shared" si="448"/>
        <v>9.2386425440782569E-4</v>
      </c>
      <c r="AR543">
        <f t="shared" si="449"/>
        <v>-3.0395133970017465</v>
      </c>
      <c r="AT543">
        <f t="shared" si="470"/>
        <v>-3979.20333031063</v>
      </c>
      <c r="AU543">
        <f t="shared" si="471"/>
        <v>-1162.1071135064697</v>
      </c>
      <c r="AV543">
        <f t="shared" si="459"/>
        <v>-2.8574497511082253</v>
      </c>
      <c r="AW543">
        <f t="shared" si="460"/>
        <v>-380.51182787259853</v>
      </c>
      <c r="AX543">
        <f t="shared" si="461"/>
        <v>-1747.6792672068489</v>
      </c>
      <c r="AY543">
        <f t="shared" si="469"/>
        <v>-1.7851747292278131</v>
      </c>
      <c r="BA543">
        <f t="shared" si="450"/>
        <v>2.3176631113785948</v>
      </c>
      <c r="BB543">
        <f t="shared" si="462"/>
        <v>7.3010061692013428</v>
      </c>
      <c r="BC543">
        <f t="shared" si="463"/>
        <v>-1.0722750218804122</v>
      </c>
      <c r="BD543">
        <f t="shared" si="451"/>
        <v>-241.43683330124745</v>
      </c>
      <c r="BF543">
        <f t="shared" si="452"/>
        <v>-50.558375605415279</v>
      </c>
      <c r="BG543">
        <f t="shared" si="453"/>
        <v>-229.57726235424272</v>
      </c>
      <c r="BH543">
        <f t="shared" si="464"/>
        <v>-49.57726235424272</v>
      </c>
      <c r="BI543">
        <f t="shared" si="465"/>
        <v>-49.57726235424272</v>
      </c>
      <c r="BJ543">
        <f t="shared" si="454"/>
        <v>0</v>
      </c>
      <c r="BK543">
        <f t="shared" si="466"/>
        <v>0</v>
      </c>
      <c r="BM543">
        <f t="shared" si="467"/>
        <v>-57.859381774616629</v>
      </c>
      <c r="BN543">
        <f t="shared" si="455"/>
        <v>-168.1404290529953</v>
      </c>
      <c r="BQ543" s="56">
        <f t="shared" si="468"/>
        <v>24.202966969486482</v>
      </c>
    </row>
    <row r="544" spans="1:69" x14ac:dyDescent="0.2">
      <c r="A544">
        <f t="shared" si="472"/>
        <v>1650000</v>
      </c>
      <c r="B544">
        <f t="shared" si="456"/>
        <v>1650</v>
      </c>
      <c r="C544">
        <f t="shared" si="425"/>
        <v>1.0212697962208097</v>
      </c>
      <c r="D544">
        <f t="shared" si="426"/>
        <v>0.20444809137979542</v>
      </c>
      <c r="F544">
        <f t="shared" si="427"/>
        <v>8.3026560071742497E-5</v>
      </c>
      <c r="G544">
        <f t="shared" si="428"/>
        <v>3.1334381271627175E-3</v>
      </c>
      <c r="H544">
        <f t="shared" si="429"/>
        <v>-3.1384592118728376</v>
      </c>
      <c r="J544">
        <f t="shared" si="430"/>
        <v>15</v>
      </c>
      <c r="M544">
        <f t="shared" si="431"/>
        <v>1.0999482440751595E-3</v>
      </c>
      <c r="N544">
        <f t="shared" si="432"/>
        <v>-1.5707963250000001</v>
      </c>
      <c r="O544">
        <f t="shared" si="433"/>
        <v>196.90782764029251</v>
      </c>
      <c r="P544">
        <f t="shared" si="434"/>
        <v>1.5657177866952381</v>
      </c>
      <c r="Q544">
        <f t="shared" si="435"/>
        <v>128.52095428261225</v>
      </c>
      <c r="R544">
        <f t="shared" si="436"/>
        <v>1.5630154159225629</v>
      </c>
      <c r="S544">
        <f t="shared" si="437"/>
        <v>0.97827670043361104</v>
      </c>
      <c r="T544">
        <f t="shared" si="438"/>
        <v>-0.20881766531991669</v>
      </c>
      <c r="U544">
        <f t="shared" si="439"/>
        <v>0.28413592797666726</v>
      </c>
      <c r="V544">
        <f t="shared" si="440"/>
        <v>-1.2826912356797338</v>
      </c>
      <c r="X544">
        <f t="shared" si="457"/>
        <v>-40.139083454515372</v>
      </c>
      <c r="Y544">
        <f t="shared" si="441"/>
        <v>-164.30041173462777</v>
      </c>
      <c r="Z544">
        <f t="shared" si="458"/>
        <v>15.699588265372228</v>
      </c>
      <c r="AC544">
        <v>1</v>
      </c>
      <c r="AD544">
        <f t="shared" si="442"/>
        <v>196.90528836478501</v>
      </c>
      <c r="AE544">
        <f t="shared" si="443"/>
        <v>-0.13881298877740755</v>
      </c>
      <c r="AF544">
        <f t="shared" si="444"/>
        <v>4.1137270796160003E-2</v>
      </c>
      <c r="AG544">
        <f t="shared" si="421"/>
        <v>379.81066256035598</v>
      </c>
      <c r="AH544">
        <f t="shared" si="422"/>
        <v>-1305.9362519631518</v>
      </c>
      <c r="AJ544">
        <f t="shared" si="445"/>
        <v>22100</v>
      </c>
      <c r="AK544">
        <f t="shared" si="446"/>
        <v>4683.1382341543804</v>
      </c>
      <c r="AL544">
        <v>1</v>
      </c>
      <c r="AM544">
        <f t="shared" si="447"/>
        <v>128.5170638075478</v>
      </c>
      <c r="AN544">
        <f t="shared" si="423"/>
        <v>37.775574360619352</v>
      </c>
      <c r="AO544">
        <f t="shared" si="424"/>
        <v>-171.66766631610261</v>
      </c>
      <c r="AQ544">
        <f t="shared" si="448"/>
        <v>9.1827356122373171E-4</v>
      </c>
      <c r="AR544">
        <f t="shared" si="449"/>
        <v>-3.0303027520383146</v>
      </c>
      <c r="AT544">
        <f t="shared" si="470"/>
        <v>-3957.0334482208409</v>
      </c>
      <c r="AU544">
        <f t="shared" si="471"/>
        <v>-1152.1405027429637</v>
      </c>
      <c r="AV544">
        <f t="shared" si="459"/>
        <v>-2.858263072280534</v>
      </c>
      <c r="AW544">
        <f t="shared" si="460"/>
        <v>-377.93902763438837</v>
      </c>
      <c r="AX544">
        <f t="shared" si="461"/>
        <v>-1742.5260763304741</v>
      </c>
      <c r="AY544">
        <f t="shared" si="469"/>
        <v>-1.7843796742348961</v>
      </c>
      <c r="BA544">
        <f t="shared" si="450"/>
        <v>2.3114174084928636</v>
      </c>
      <c r="BB544">
        <f t="shared" si="462"/>
        <v>7.2775675970426468</v>
      </c>
      <c r="BC544">
        <f t="shared" si="463"/>
        <v>-1.0738833980456379</v>
      </c>
      <c r="BD544">
        <f t="shared" si="451"/>
        <v>-241.5289864674896</v>
      </c>
      <c r="BF544">
        <f t="shared" si="452"/>
        <v>-50.633456567649553</v>
      </c>
      <c r="BG544">
        <f t="shared" si="453"/>
        <v>-229.63544090828017</v>
      </c>
      <c r="BH544">
        <f t="shared" si="464"/>
        <v>-49.635440908280174</v>
      </c>
      <c r="BI544">
        <f t="shared" si="465"/>
        <v>-49.635440908280174</v>
      </c>
      <c r="BJ544">
        <f t="shared" si="454"/>
        <v>0</v>
      </c>
      <c r="BK544">
        <f t="shared" si="466"/>
        <v>0</v>
      </c>
      <c r="BM544">
        <f t="shared" si="467"/>
        <v>-57.911024164692193</v>
      </c>
      <c r="BN544">
        <f t="shared" si="455"/>
        <v>-168.10645444079057</v>
      </c>
      <c r="BQ544" s="56">
        <f t="shared" si="468"/>
        <v>24.179528397327779</v>
      </c>
    </row>
    <row r="545" spans="1:69" x14ac:dyDescent="0.2">
      <c r="A545">
        <f t="shared" si="472"/>
        <v>1655000</v>
      </c>
      <c r="B545">
        <f t="shared" si="456"/>
        <v>1655</v>
      </c>
      <c r="C545">
        <f t="shared" si="425"/>
        <v>1.0213975469975747</v>
      </c>
      <c r="D545">
        <f t="shared" si="426"/>
        <v>0.20505043538950421</v>
      </c>
      <c r="F545">
        <f t="shared" si="427"/>
        <v>8.2525607776422899E-5</v>
      </c>
      <c r="G545">
        <f t="shared" si="428"/>
        <v>3.1239700376981226E-3</v>
      </c>
      <c r="H545">
        <f t="shared" si="429"/>
        <v>-3.1384686799623021</v>
      </c>
      <c r="J545">
        <f t="shared" si="430"/>
        <v>15</v>
      </c>
      <c r="M545">
        <f t="shared" si="431"/>
        <v>1.0966251375975913E-3</v>
      </c>
      <c r="N545">
        <f t="shared" si="432"/>
        <v>-1.5707963250000001</v>
      </c>
      <c r="O545">
        <f t="shared" si="433"/>
        <v>197.5045026608783</v>
      </c>
      <c r="P545">
        <f t="shared" si="434"/>
        <v>1.5657331294540693</v>
      </c>
      <c r="Q545">
        <f t="shared" si="435"/>
        <v>128.91038817716705</v>
      </c>
      <c r="R545">
        <f t="shared" si="436"/>
        <v>1.5630389222616774</v>
      </c>
      <c r="S545">
        <f t="shared" si="437"/>
        <v>0.9781491349534408</v>
      </c>
      <c r="T545">
        <f t="shared" si="438"/>
        <v>-0.20943213092235463</v>
      </c>
      <c r="U545">
        <f t="shared" si="439"/>
        <v>0.28334652549290945</v>
      </c>
      <c r="V545">
        <f t="shared" si="440"/>
        <v>-1.2835144724922041</v>
      </c>
      <c r="X545">
        <f t="shared" si="457"/>
        <v>-40.189582364495642</v>
      </c>
      <c r="Y545">
        <f t="shared" si="441"/>
        <v>-164.34659083789546</v>
      </c>
      <c r="Z545">
        <f t="shared" si="458"/>
        <v>15.653409162104538</v>
      </c>
      <c r="AC545">
        <v>1</v>
      </c>
      <c r="AD545">
        <f t="shared" si="442"/>
        <v>197.5019710567995</v>
      </c>
      <c r="AE545">
        <f t="shared" si="443"/>
        <v>-0.13965555430157528</v>
      </c>
      <c r="AF545">
        <f t="shared" si="444"/>
        <v>4.1261929192512009E-2</v>
      </c>
      <c r="AG545">
        <f t="shared" si="421"/>
        <v>377.7031713377504</v>
      </c>
      <c r="AH545">
        <f t="shared" si="422"/>
        <v>-1302.6134939999449</v>
      </c>
      <c r="AJ545">
        <f t="shared" si="445"/>
        <v>22100</v>
      </c>
      <c r="AK545">
        <f t="shared" si="446"/>
        <v>4697.3295621366669</v>
      </c>
      <c r="AL545">
        <v>1</v>
      </c>
      <c r="AM545">
        <f t="shared" si="447"/>
        <v>128.90650945544948</v>
      </c>
      <c r="AN545">
        <f t="shared" si="423"/>
        <v>37.767515993562917</v>
      </c>
      <c r="AO545">
        <f t="shared" si="424"/>
        <v>-171.14909539639052</v>
      </c>
      <c r="AQ545">
        <f t="shared" si="448"/>
        <v>9.1273346238776002E-4</v>
      </c>
      <c r="AR545">
        <f t="shared" si="449"/>
        <v>-3.0211477605034855</v>
      </c>
      <c r="AT545">
        <f t="shared" si="470"/>
        <v>-3935.0430978762238</v>
      </c>
      <c r="AU545">
        <f t="shared" si="471"/>
        <v>-1142.2860291466404</v>
      </c>
      <c r="AV545">
        <f t="shared" si="459"/>
        <v>-2.8590718818334944</v>
      </c>
      <c r="AW545">
        <f t="shared" si="460"/>
        <v>-375.39005888930063</v>
      </c>
      <c r="AX545">
        <f t="shared" si="461"/>
        <v>-1737.4028967803147</v>
      </c>
      <c r="AY545">
        <f t="shared" si="469"/>
        <v>-1.7835891654844394</v>
      </c>
      <c r="BA545">
        <f t="shared" si="450"/>
        <v>2.3052025745874611</v>
      </c>
      <c r="BB545">
        <f t="shared" si="462"/>
        <v>7.2541819191103949</v>
      </c>
      <c r="BC545">
        <f t="shared" si="463"/>
        <v>-1.075482716349055</v>
      </c>
      <c r="BD545">
        <f t="shared" si="451"/>
        <v>-241.62062065647814</v>
      </c>
      <c r="BF545">
        <f t="shared" si="452"/>
        <v>-50.70832206025046</v>
      </c>
      <c r="BG545">
        <f t="shared" si="453"/>
        <v>-229.69310580922496</v>
      </c>
      <c r="BH545">
        <f t="shared" si="464"/>
        <v>-49.69310580922496</v>
      </c>
      <c r="BI545">
        <f t="shared" si="465"/>
        <v>-49.69310580922496</v>
      </c>
      <c r="BJ545">
        <f t="shared" si="454"/>
        <v>0</v>
      </c>
      <c r="BK545">
        <f t="shared" si="466"/>
        <v>0</v>
      </c>
      <c r="BM545">
        <f t="shared" si="467"/>
        <v>-57.962503979360854</v>
      </c>
      <c r="BN545">
        <f t="shared" si="455"/>
        <v>-168.07248515274682</v>
      </c>
      <c r="BQ545" s="56">
        <f t="shared" si="468"/>
        <v>24.156142719395532</v>
      </c>
    </row>
    <row r="546" spans="1:69" x14ac:dyDescent="0.2">
      <c r="A546">
        <f t="shared" si="472"/>
        <v>1660000</v>
      </c>
      <c r="B546">
        <f t="shared" si="456"/>
        <v>1660</v>
      </c>
      <c r="C546">
        <f t="shared" si="425"/>
        <v>1.0215256682632998</v>
      </c>
      <c r="D546">
        <f t="shared" si="426"/>
        <v>0.20565262852389435</v>
      </c>
      <c r="F546">
        <f t="shared" si="427"/>
        <v>8.2029175805420592E-5</v>
      </c>
      <c r="G546">
        <f t="shared" si="428"/>
        <v>3.114558998492591E-3</v>
      </c>
      <c r="H546">
        <f t="shared" si="429"/>
        <v>-3.1384780910015078</v>
      </c>
      <c r="J546">
        <f t="shared" si="430"/>
        <v>15</v>
      </c>
      <c r="M546">
        <f t="shared" si="431"/>
        <v>1.0933220498337429E-3</v>
      </c>
      <c r="N546">
        <f t="shared" si="432"/>
        <v>-1.5707963250000001</v>
      </c>
      <c r="O546">
        <f t="shared" si="433"/>
        <v>198.10117772767663</v>
      </c>
      <c r="P546">
        <f t="shared" si="434"/>
        <v>1.5657483797890046</v>
      </c>
      <c r="Q546">
        <f t="shared" si="435"/>
        <v>129.29982214252189</v>
      </c>
      <c r="R546">
        <f t="shared" si="436"/>
        <v>1.563062287004835</v>
      </c>
      <c r="S546">
        <f t="shared" si="437"/>
        <v>0.978021233612548</v>
      </c>
      <c r="T546">
        <f t="shared" si="438"/>
        <v>-0.21004643606344889</v>
      </c>
      <c r="U546">
        <f t="shared" si="439"/>
        <v>0.28256130727338669</v>
      </c>
      <c r="V546">
        <f t="shared" si="440"/>
        <v>-1.2843331471008437</v>
      </c>
      <c r="X546">
        <f t="shared" si="457"/>
        <v>-40.239940847429366</v>
      </c>
      <c r="Y546">
        <f t="shared" si="441"/>
        <v>-164.39251813651012</v>
      </c>
      <c r="Z546">
        <f t="shared" si="458"/>
        <v>15.60748186348988</v>
      </c>
      <c r="AC546">
        <v>1</v>
      </c>
      <c r="AD546">
        <f t="shared" si="442"/>
        <v>198.098653748814</v>
      </c>
      <c r="AE546">
        <f t="shared" si="443"/>
        <v>-0.14050066919192811</v>
      </c>
      <c r="AF546">
        <f t="shared" si="444"/>
        <v>4.1386587588864009E-2</v>
      </c>
      <c r="AG546">
        <f t="shared" si="421"/>
        <v>375.61266772984931</v>
      </c>
      <c r="AH546">
        <f t="shared" si="422"/>
        <v>-1299.3057486932851</v>
      </c>
      <c r="AJ546">
        <f t="shared" si="445"/>
        <v>22100</v>
      </c>
      <c r="AK546">
        <f t="shared" si="446"/>
        <v>4711.5208901189526</v>
      </c>
      <c r="AL546">
        <v>1</v>
      </c>
      <c r="AM546">
        <f t="shared" si="447"/>
        <v>129.29595510335113</v>
      </c>
      <c r="AN546">
        <f t="shared" si="423"/>
        <v>37.759530327550152</v>
      </c>
      <c r="AO546">
        <f t="shared" si="424"/>
        <v>-170.63364783559751</v>
      </c>
      <c r="AQ546">
        <f t="shared" si="448"/>
        <v>9.0724334924849857E-4</v>
      </c>
      <c r="AR546">
        <f t="shared" si="449"/>
        <v>-3.0120479195050152</v>
      </c>
      <c r="AT546">
        <f t="shared" si="470"/>
        <v>-3913.2304050578236</v>
      </c>
      <c r="AU546">
        <f t="shared" si="471"/>
        <v>-1132.5421408745633</v>
      </c>
      <c r="AV546">
        <f t="shared" si="459"/>
        <v>-2.8598762160914641</v>
      </c>
      <c r="AW546">
        <f t="shared" si="460"/>
        <v>-372.86462752682314</v>
      </c>
      <c r="AX546">
        <f t="shared" si="461"/>
        <v>-1732.3094686770676</v>
      </c>
      <c r="AY546">
        <f t="shared" si="469"/>
        <v>-1.7828031612628044</v>
      </c>
      <c r="BA546">
        <f t="shared" si="450"/>
        <v>2.2990184097788515</v>
      </c>
      <c r="BB546">
        <f t="shared" si="462"/>
        <v>7.2308489793947714</v>
      </c>
      <c r="BC546">
        <f t="shared" si="463"/>
        <v>-1.0770730548286598</v>
      </c>
      <c r="BD546">
        <f t="shared" si="451"/>
        <v>-241.71174033946085</v>
      </c>
      <c r="BF546">
        <f t="shared" si="452"/>
        <v>-50.782973204433254</v>
      </c>
      <c r="BG546">
        <f t="shared" si="453"/>
        <v>-229.75026157994387</v>
      </c>
      <c r="BH546">
        <f t="shared" si="464"/>
        <v>-49.750261579943867</v>
      </c>
      <c r="BI546">
        <f t="shared" si="465"/>
        <v>-49.750261579943867</v>
      </c>
      <c r="BJ546">
        <f t="shared" si="454"/>
        <v>0</v>
      </c>
      <c r="BK546">
        <f t="shared" si="466"/>
        <v>0</v>
      </c>
      <c r="BM546">
        <f t="shared" si="467"/>
        <v>-58.013822183828026</v>
      </c>
      <c r="BN546">
        <f t="shared" si="455"/>
        <v>-168.03852124048302</v>
      </c>
      <c r="BQ546" s="56">
        <f t="shared" si="468"/>
        <v>24.13280977967991</v>
      </c>
    </row>
    <row r="547" spans="1:69" x14ac:dyDescent="0.2">
      <c r="A547">
        <f t="shared" si="472"/>
        <v>1665000</v>
      </c>
      <c r="B547">
        <f t="shared" si="456"/>
        <v>1665</v>
      </c>
      <c r="C547">
        <f t="shared" si="425"/>
        <v>1.0216541598786011</v>
      </c>
      <c r="D547">
        <f t="shared" si="426"/>
        <v>0.20625467040305559</v>
      </c>
      <c r="F547">
        <f t="shared" si="427"/>
        <v>8.1537209935175908E-5</v>
      </c>
      <c r="G547">
        <f t="shared" si="428"/>
        <v>3.1052044954174695E-3</v>
      </c>
      <c r="H547">
        <f t="shared" si="429"/>
        <v>-3.1384874455045826</v>
      </c>
      <c r="J547">
        <f t="shared" si="430"/>
        <v>15</v>
      </c>
      <c r="M547">
        <f t="shared" si="431"/>
        <v>1.090038800434843E-3</v>
      </c>
      <c r="N547">
        <f t="shared" si="432"/>
        <v>-1.5707963250000001</v>
      </c>
      <c r="O547">
        <f t="shared" si="433"/>
        <v>198.69785284027117</v>
      </c>
      <c r="P547">
        <f t="shared" si="434"/>
        <v>1.5657635385326636</v>
      </c>
      <c r="Q547">
        <f t="shared" si="435"/>
        <v>129.68925617803905</v>
      </c>
      <c r="R547">
        <f t="shared" si="436"/>
        <v>1.5630855114275735</v>
      </c>
      <c r="S547">
        <f t="shared" si="437"/>
        <v>0.97789299683220587</v>
      </c>
      <c r="T547">
        <f t="shared" si="438"/>
        <v>-0.21066058034258572</v>
      </c>
      <c r="U547">
        <f t="shared" si="439"/>
        <v>0.28178024177221889</v>
      </c>
      <c r="V547">
        <f t="shared" si="440"/>
        <v>-1.2851472962366761</v>
      </c>
      <c r="X547">
        <f t="shared" si="457"/>
        <v>-40.290159655000721</v>
      </c>
      <c r="Y547">
        <f t="shared" si="441"/>
        <v>-164.43819564248702</v>
      </c>
      <c r="Z547">
        <f t="shared" si="458"/>
        <v>15.561804357512983</v>
      </c>
      <c r="AC547">
        <v>1</v>
      </c>
      <c r="AD547">
        <f t="shared" si="442"/>
        <v>198.69533644082853</v>
      </c>
      <c r="AE547">
        <f t="shared" si="443"/>
        <v>-0.14134833344846601</v>
      </c>
      <c r="AF547">
        <f t="shared" si="444"/>
        <v>4.1511245985216008E-2</v>
      </c>
      <c r="AG547">
        <f t="shared" si="421"/>
        <v>373.53897535791867</v>
      </c>
      <c r="AH547">
        <f t="shared" si="422"/>
        <v>-1296.0129325930054</v>
      </c>
      <c r="AJ547">
        <f t="shared" si="445"/>
        <v>22100</v>
      </c>
      <c r="AK547">
        <f t="shared" si="446"/>
        <v>4725.7122181012392</v>
      </c>
      <c r="AL547">
        <v>1</v>
      </c>
      <c r="AM547">
        <f t="shared" si="447"/>
        <v>129.68540075125279</v>
      </c>
      <c r="AN547">
        <f t="shared" si="423"/>
        <v>37.751616490694481</v>
      </c>
      <c r="AO547">
        <f t="shared" si="424"/>
        <v>-170.12129550207814</v>
      </c>
      <c r="AQ547">
        <f t="shared" si="448"/>
        <v>9.0180262227970113E-4</v>
      </c>
      <c r="AR547">
        <f t="shared" si="449"/>
        <v>-3.0030027321914048</v>
      </c>
      <c r="AT547">
        <f t="shared" si="470"/>
        <v>-3891.5935191046888</v>
      </c>
      <c r="AU547">
        <f t="shared" si="471"/>
        <v>-1122.9073114409282</v>
      </c>
      <c r="AV547">
        <f t="shared" si="459"/>
        <v>-2.8606761110025323</v>
      </c>
      <c r="AW547">
        <f t="shared" si="460"/>
        <v>-370.36244396375582</v>
      </c>
      <c r="AX547">
        <f t="shared" si="461"/>
        <v>-1727.2455351288895</v>
      </c>
      <c r="AY547">
        <f t="shared" si="469"/>
        <v>-1.7820216203541379</v>
      </c>
      <c r="BA547">
        <f t="shared" si="450"/>
        <v>2.2928647154688617</v>
      </c>
      <c r="BB547">
        <f t="shared" si="462"/>
        <v>7.2075686213443513</v>
      </c>
      <c r="BC547">
        <f t="shared" si="463"/>
        <v>-1.0786544906483944</v>
      </c>
      <c r="BD547">
        <f t="shared" si="451"/>
        <v>-241.80234993760601</v>
      </c>
      <c r="BF547">
        <f t="shared" si="452"/>
        <v>-50.857411113269535</v>
      </c>
      <c r="BG547">
        <f t="shared" si="453"/>
        <v>-229.80691269282977</v>
      </c>
      <c r="BH547">
        <f t="shared" si="464"/>
        <v>-49.806912692829769</v>
      </c>
      <c r="BI547">
        <f t="shared" si="465"/>
        <v>-49.806912692829769</v>
      </c>
      <c r="BJ547">
        <f t="shared" si="454"/>
        <v>0</v>
      </c>
      <c r="BK547">
        <f t="shared" si="466"/>
        <v>0</v>
      </c>
      <c r="BM547">
        <f t="shared" si="467"/>
        <v>-58.064979734613893</v>
      </c>
      <c r="BN547">
        <f t="shared" si="455"/>
        <v>-168.00456275522379</v>
      </c>
      <c r="BQ547" s="56">
        <f t="shared" si="468"/>
        <v>24.109529421629489</v>
      </c>
    </row>
    <row r="548" spans="1:69" x14ac:dyDescent="0.2">
      <c r="A548">
        <f t="shared" si="472"/>
        <v>1670000</v>
      </c>
      <c r="B548">
        <f t="shared" si="456"/>
        <v>1670</v>
      </c>
      <c r="C548">
        <f t="shared" si="425"/>
        <v>1.0217830217037616</v>
      </c>
      <c r="D548">
        <f t="shared" si="426"/>
        <v>0.20685656064770702</v>
      </c>
      <c r="F548">
        <f t="shared" si="427"/>
        <v>8.1049656752766715E-5</v>
      </c>
      <c r="G548">
        <f t="shared" si="428"/>
        <v>3.095906020503753E-3</v>
      </c>
      <c r="H548">
        <f t="shared" si="429"/>
        <v>-3.1384967439794966</v>
      </c>
      <c r="J548">
        <f t="shared" si="430"/>
        <v>15</v>
      </c>
      <c r="M548">
        <f t="shared" si="431"/>
        <v>1.0867752112119842E-3</v>
      </c>
      <c r="N548">
        <f t="shared" si="432"/>
        <v>-1.5707963250000001</v>
      </c>
      <c r="O548">
        <f t="shared" si="433"/>
        <v>199.29452799825057</v>
      </c>
      <c r="P548">
        <f t="shared" si="434"/>
        <v>1.5657786065076948</v>
      </c>
      <c r="Q548">
        <f t="shared" si="435"/>
        <v>130.07869028308835</v>
      </c>
      <c r="R548">
        <f t="shared" si="436"/>
        <v>1.5631085967901557</v>
      </c>
      <c r="S548">
        <f t="shared" si="437"/>
        <v>0.97776442503449157</v>
      </c>
      <c r="T548">
        <f t="shared" si="438"/>
        <v>-0.21127456335984662</v>
      </c>
      <c r="U548">
        <f t="shared" si="439"/>
        <v>0.28100329774065108</v>
      </c>
      <c r="V548">
        <f t="shared" si="440"/>
        <v>-1.2859569562497588</v>
      </c>
      <c r="X548">
        <f t="shared" si="457"/>
        <v>-40.340239533096266</v>
      </c>
      <c r="Y548">
        <f t="shared" si="441"/>
        <v>-164.48362534711111</v>
      </c>
      <c r="Z548">
        <f t="shared" si="458"/>
        <v>15.516374652888885</v>
      </c>
      <c r="AC548">
        <v>1</v>
      </c>
      <c r="AD548">
        <f t="shared" si="442"/>
        <v>199.292019132843</v>
      </c>
      <c r="AE548">
        <f t="shared" si="443"/>
        <v>-0.14219854707118898</v>
      </c>
      <c r="AF548">
        <f t="shared" si="444"/>
        <v>4.1635904381568008E-2</v>
      </c>
      <c r="AG548">
        <f t="shared" si="421"/>
        <v>371.48192004539658</v>
      </c>
      <c r="AH548">
        <f t="shared" si="422"/>
        <v>-1292.7349626035425</v>
      </c>
      <c r="AJ548">
        <f t="shared" si="445"/>
        <v>22100</v>
      </c>
      <c r="AK548">
        <f t="shared" si="446"/>
        <v>4739.9035460835248</v>
      </c>
      <c r="AL548">
        <v>1</v>
      </c>
      <c r="AM548">
        <f t="shared" si="447"/>
        <v>130.07484639915444</v>
      </c>
      <c r="AN548">
        <f t="shared" si="423"/>
        <v>37.743773624140395</v>
      </c>
      <c r="AO548">
        <f t="shared" si="424"/>
        <v>-169.61201060099256</v>
      </c>
      <c r="AQ548">
        <f t="shared" si="448"/>
        <v>8.9641069091660772E-4</v>
      </c>
      <c r="AR548">
        <f t="shared" si="449"/>
        <v>-2.9940117076614698</v>
      </c>
      <c r="AT548">
        <f t="shared" si="470"/>
        <v>-3870.1306125737074</v>
      </c>
      <c r="AU548">
        <f t="shared" si="471"/>
        <v>-1113.3800392414789</v>
      </c>
      <c r="AV548">
        <f t="shared" si="459"/>
        <v>-2.8614716021431987</v>
      </c>
      <c r="AW548">
        <f t="shared" si="460"/>
        <v>-367.88322306086587</v>
      </c>
      <c r="AX548">
        <f t="shared" si="461"/>
        <v>-1722.2108421884432</v>
      </c>
      <c r="AY548">
        <f t="shared" si="469"/>
        <v>-1.7812445020332053</v>
      </c>
      <c r="BA548">
        <f t="shared" si="450"/>
        <v>2.286741294343853</v>
      </c>
      <c r="BB548">
        <f t="shared" si="462"/>
        <v>7.1843406879010088</v>
      </c>
      <c r="BC548">
        <f t="shared" si="463"/>
        <v>-1.0802271001099935</v>
      </c>
      <c r="BD548">
        <f t="shared" si="451"/>
        <v>-241.89245382268092</v>
      </c>
      <c r="BF548">
        <f t="shared" si="452"/>
        <v>-50.931636891756668</v>
      </c>
      <c r="BG548">
        <f t="shared" si="453"/>
        <v>-229.86306357048574</v>
      </c>
      <c r="BH548">
        <f t="shared" si="464"/>
        <v>-49.863063570485735</v>
      </c>
      <c r="BI548">
        <f t="shared" si="465"/>
        <v>-49.863063570485735</v>
      </c>
      <c r="BJ548">
        <f t="shared" si="454"/>
        <v>0</v>
      </c>
      <c r="BK548">
        <f t="shared" si="466"/>
        <v>0</v>
      </c>
      <c r="BM548">
        <f t="shared" si="467"/>
        <v>-58.115977579657674</v>
      </c>
      <c r="BN548">
        <f t="shared" si="455"/>
        <v>-167.97060974780484</v>
      </c>
      <c r="BQ548" s="56">
        <f t="shared" si="468"/>
        <v>24.086301488186145</v>
      </c>
    </row>
    <row r="549" spans="1:69" x14ac:dyDescent="0.2">
      <c r="A549">
        <f t="shared" si="472"/>
        <v>1675000</v>
      </c>
      <c r="B549">
        <f t="shared" si="456"/>
        <v>1675</v>
      </c>
      <c r="C549">
        <f t="shared" si="425"/>
        <v>1.0219122535987319</v>
      </c>
      <c r="D549">
        <f t="shared" si="426"/>
        <v>0.20745829887919828</v>
      </c>
      <c r="F549">
        <f t="shared" si="427"/>
        <v>8.0566463641408714E-5</v>
      </c>
      <c r="G549">
        <f t="shared" si="428"/>
        <v>3.0866630718501082E-3</v>
      </c>
      <c r="H549">
        <f t="shared" si="429"/>
        <v>-3.1385059869281502</v>
      </c>
      <c r="J549">
        <f t="shared" si="430"/>
        <v>15</v>
      </c>
      <c r="M549">
        <f t="shared" si="431"/>
        <v>1.0835311061038885E-3</v>
      </c>
      <c r="N549">
        <f t="shared" si="432"/>
        <v>-1.5707963250000001</v>
      </c>
      <c r="O549">
        <f t="shared" si="433"/>
        <v>199.89120320120847</v>
      </c>
      <c r="P549">
        <f t="shared" si="434"/>
        <v>1.5657935845269242</v>
      </c>
      <c r="Q549">
        <f t="shared" si="435"/>
        <v>130.46812445704717</v>
      </c>
      <c r="R549">
        <f t="shared" si="436"/>
        <v>1.5631315443377991</v>
      </c>
      <c r="S549">
        <f t="shared" si="437"/>
        <v>0.97763551864228337</v>
      </c>
      <c r="T549">
        <f t="shared" si="438"/>
        <v>-0.21188838471600926</v>
      </c>
      <c r="U549">
        <f t="shared" si="439"/>
        <v>0.2802304442238529</v>
      </c>
      <c r="V549">
        <f t="shared" si="440"/>
        <v>-1.2867621631139363</v>
      </c>
      <c r="X549">
        <f t="shared" si="457"/>
        <v>-40.390181221862207</v>
      </c>
      <c r="Y549">
        <f t="shared" si="441"/>
        <v>-164.52880922119274</v>
      </c>
      <c r="Z549">
        <f t="shared" si="458"/>
        <v>15.471190778807255</v>
      </c>
      <c r="AC549">
        <v>1</v>
      </c>
      <c r="AD549">
        <f t="shared" si="442"/>
        <v>199.88870182485749</v>
      </c>
      <c r="AE549">
        <f t="shared" si="443"/>
        <v>-0.143051310060097</v>
      </c>
      <c r="AF549">
        <f t="shared" si="444"/>
        <v>4.1760562777920007E-2</v>
      </c>
      <c r="AG549">
        <f t="shared" si="421"/>
        <v>369.44132978637487</v>
      </c>
      <c r="AH549">
        <f t="shared" si="422"/>
        <v>-1289.4717559878477</v>
      </c>
      <c r="AJ549">
        <f t="shared" si="445"/>
        <v>22100</v>
      </c>
      <c r="AK549">
        <f t="shared" si="446"/>
        <v>4754.0948740658105</v>
      </c>
      <c r="AL549">
        <v>1</v>
      </c>
      <c r="AM549">
        <f t="shared" si="447"/>
        <v>130.46429204705609</v>
      </c>
      <c r="AN549">
        <f t="shared" si="423"/>
        <v>37.736000881830442</v>
      </c>
      <c r="AO549">
        <f t="shared" si="424"/>
        <v>-169.10576566928148</v>
      </c>
      <c r="AQ549">
        <f t="shared" si="448"/>
        <v>8.9106697339568072E-4</v>
      </c>
      <c r="AR549">
        <f t="shared" si="449"/>
        <v>-2.9850743608755304</v>
      </c>
      <c r="AT549">
        <f t="shared" si="470"/>
        <v>-3848.8398809048922</v>
      </c>
      <c r="AU549">
        <f t="shared" si="471"/>
        <v>-1103.9588470879564</v>
      </c>
      <c r="AV549">
        <f t="shared" si="459"/>
        <v>-2.862262724722985</v>
      </c>
      <c r="AW549">
        <f t="shared" si="460"/>
        <v>-365.42668404132581</v>
      </c>
      <c r="AX549">
        <f t="shared" si="461"/>
        <v>-1717.2051388106909</v>
      </c>
      <c r="AY549">
        <f t="shared" si="469"/>
        <v>-1.7804717660583407</v>
      </c>
      <c r="BA549">
        <f t="shared" si="450"/>
        <v>2.2806479503735764</v>
      </c>
      <c r="BB549">
        <f t="shared" si="462"/>
        <v>7.1611650215338667</v>
      </c>
      <c r="BC549">
        <f t="shared" si="463"/>
        <v>-1.0817909586646444</v>
      </c>
      <c r="BD549">
        <f t="shared" si="451"/>
        <v>-241.98205631772024</v>
      </c>
      <c r="BF549">
        <f t="shared" si="452"/>
        <v>-51.005651636886483</v>
      </c>
      <c r="BG549">
        <f t="shared" si="453"/>
        <v>-229.91871858639831</v>
      </c>
      <c r="BH549">
        <f t="shared" si="464"/>
        <v>-49.918718586398313</v>
      </c>
      <c r="BI549">
        <f t="shared" si="465"/>
        <v>-49.918718586398313</v>
      </c>
      <c r="BJ549">
        <f t="shared" si="454"/>
        <v>0</v>
      </c>
      <c r="BK549">
        <f t="shared" si="466"/>
        <v>0</v>
      </c>
      <c r="BM549">
        <f t="shared" si="467"/>
        <v>-58.166816658420345</v>
      </c>
      <c r="BN549">
        <f t="shared" si="455"/>
        <v>-167.93666226867808</v>
      </c>
      <c r="BQ549" s="56">
        <f t="shared" si="468"/>
        <v>24.063125821819003</v>
      </c>
    </row>
    <row r="550" spans="1:69" x14ac:dyDescent="0.2">
      <c r="A550">
        <f t="shared" si="472"/>
        <v>1680000</v>
      </c>
      <c r="B550">
        <f t="shared" si="456"/>
        <v>1680</v>
      </c>
      <c r="C550">
        <f t="shared" si="425"/>
        <v>1.0220418554231323</v>
      </c>
      <c r="D550">
        <f t="shared" si="426"/>
        <v>0.20805988471951053</v>
      </c>
      <c r="F550">
        <f t="shared" si="427"/>
        <v>8.0087578766257489E-5</v>
      </c>
      <c r="G550">
        <f t="shared" si="428"/>
        <v>3.0774751535325388E-3</v>
      </c>
      <c r="H550">
        <f t="shared" si="429"/>
        <v>-3.1385151748464675</v>
      </c>
      <c r="J550">
        <f t="shared" si="430"/>
        <v>15</v>
      </c>
      <c r="M550">
        <f t="shared" si="431"/>
        <v>1.0803063111452461E-3</v>
      </c>
      <c r="N550">
        <f t="shared" si="432"/>
        <v>-1.5707963250000001</v>
      </c>
      <c r="O550">
        <f t="shared" si="433"/>
        <v>200.4878784487432</v>
      </c>
      <c r="P550">
        <f t="shared" si="434"/>
        <v>1.565808473393502</v>
      </c>
      <c r="Q550">
        <f t="shared" si="435"/>
        <v>130.85755869930026</v>
      </c>
      <c r="R550">
        <f t="shared" si="436"/>
        <v>1.5631543553008975</v>
      </c>
      <c r="S550">
        <f t="shared" si="437"/>
        <v>0.97750627807925528</v>
      </c>
      <c r="T550">
        <f t="shared" si="438"/>
        <v>-0.21250204401254902</v>
      </c>
      <c r="U550">
        <f t="shared" si="439"/>
        <v>0.27946165055775507</v>
      </c>
      <c r="V550">
        <f t="shared" si="440"/>
        <v>-1.2875629524315231</v>
      </c>
      <c r="X550">
        <f t="shared" si="457"/>
        <v>-40.439985455761047</v>
      </c>
      <c r="Y550">
        <f t="shared" si="441"/>
        <v>-164.57374921532022</v>
      </c>
      <c r="Z550">
        <f t="shared" si="458"/>
        <v>15.42625078467978</v>
      </c>
      <c r="AC550">
        <v>1</v>
      </c>
      <c r="AD550">
        <f t="shared" si="442"/>
        <v>200.48538451687202</v>
      </c>
      <c r="AE550">
        <f t="shared" si="443"/>
        <v>-0.14390662241519012</v>
      </c>
      <c r="AF550">
        <f t="shared" si="444"/>
        <v>4.1885221174272007E-2</v>
      </c>
      <c r="AG550">
        <f t="shared" si="421"/>
        <v>367.41703471457555</v>
      </c>
      <c r="AH550">
        <f t="shared" si="422"/>
        <v>-1286.223230371078</v>
      </c>
      <c r="AJ550">
        <f t="shared" si="445"/>
        <v>22100</v>
      </c>
      <c r="AK550">
        <f t="shared" si="446"/>
        <v>4768.286202048097</v>
      </c>
      <c r="AL550">
        <v>1</v>
      </c>
      <c r="AM550">
        <f t="shared" si="447"/>
        <v>130.85373769495777</v>
      </c>
      <c r="AN550">
        <f t="shared" si="423"/>
        <v>37.728297430277095</v>
      </c>
      <c r="AO550">
        <f t="shared" si="424"/>
        <v>-168.60253357073083</v>
      </c>
      <c r="AQ550">
        <f t="shared" si="448"/>
        <v>8.8577089659767428E-4</v>
      </c>
      <c r="AR550">
        <f t="shared" si="449"/>
        <v>-2.9761902125681856</v>
      </c>
      <c r="AT550">
        <f t="shared" si="470"/>
        <v>-3827.7195420919729</v>
      </c>
      <c r="AU550">
        <f t="shared" si="471"/>
        <v>-1094.6422817523357</v>
      </c>
      <c r="AV550">
        <f t="shared" si="459"/>
        <v>-2.8630495135889826</v>
      </c>
      <c r="AW550">
        <f t="shared" si="460"/>
        <v>-362.99255041089066</v>
      </c>
      <c r="AX550">
        <f t="shared" si="461"/>
        <v>-1712.2281768114176</v>
      </c>
      <c r="AY550">
        <f t="shared" si="469"/>
        <v>-1.7797033726645146</v>
      </c>
      <c r="BA550">
        <f t="shared" si="450"/>
        <v>2.2745844888096967</v>
      </c>
      <c r="BB550">
        <f t="shared" si="462"/>
        <v>7.1380414642722103</v>
      </c>
      <c r="BC550">
        <f t="shared" si="463"/>
        <v>-1.083346140924468</v>
      </c>
      <c r="BD550">
        <f t="shared" si="451"/>
        <v>-242.07116169768358</v>
      </c>
      <c r="BF550">
        <f t="shared" si="452"/>
        <v>-51.079456437713546</v>
      </c>
      <c r="BG550">
        <f t="shared" si="453"/>
        <v>-229.97388206560018</v>
      </c>
      <c r="BH550">
        <f t="shared" si="464"/>
        <v>-49.973882065600179</v>
      </c>
      <c r="BI550">
        <f t="shared" si="465"/>
        <v>-49.973882065600179</v>
      </c>
      <c r="BJ550">
        <f t="shared" si="454"/>
        <v>0</v>
      </c>
      <c r="BK550">
        <f t="shared" si="466"/>
        <v>0</v>
      </c>
      <c r="BM550">
        <f t="shared" si="467"/>
        <v>-58.217497901985752</v>
      </c>
      <c r="BN550">
        <f t="shared" si="455"/>
        <v>-167.90272036791663</v>
      </c>
      <c r="BQ550" s="56">
        <f t="shared" si="468"/>
        <v>24.040002264557344</v>
      </c>
    </row>
    <row r="551" spans="1:69" x14ac:dyDescent="0.2">
      <c r="A551">
        <f t="shared" si="472"/>
        <v>1685000</v>
      </c>
      <c r="B551">
        <f t="shared" si="456"/>
        <v>1685</v>
      </c>
      <c r="C551">
        <f t="shared" si="425"/>
        <v>1.0221718270362519</v>
      </c>
      <c r="D551">
        <f t="shared" si="426"/>
        <v>0.20866131779125763</v>
      </c>
      <c r="F551">
        <f t="shared" si="427"/>
        <v>7.9612951060504733E-5</v>
      </c>
      <c r="G551">
        <f t="shared" si="428"/>
        <v>3.0683417755156565E-3</v>
      </c>
      <c r="H551">
        <f t="shared" si="429"/>
        <v>-3.1385243082244845</v>
      </c>
      <c r="J551">
        <f t="shared" si="430"/>
        <v>15</v>
      </c>
      <c r="M551">
        <f t="shared" si="431"/>
        <v>1.0771006544356163E-3</v>
      </c>
      <c r="N551">
        <f t="shared" si="432"/>
        <v>-1.5707963250000001</v>
      </c>
      <c r="O551">
        <f t="shared" si="433"/>
        <v>201.08455374045806</v>
      </c>
      <c r="P551">
        <f t="shared" si="434"/>
        <v>1.5658232739010456</v>
      </c>
      <c r="Q551">
        <f t="shared" si="435"/>
        <v>131.2469930092397</v>
      </c>
      <c r="R551">
        <f t="shared" si="436"/>
        <v>1.5631770308952428</v>
      </c>
      <c r="S551">
        <f t="shared" si="437"/>
        <v>0.97737670376987595</v>
      </c>
      <c r="T551">
        <f t="shared" si="438"/>
        <v>-0.2131155408516397</v>
      </c>
      <c r="U551">
        <f t="shared" si="439"/>
        <v>0.27869688636592055</v>
      </c>
      <c r="V551">
        <f t="shared" si="440"/>
        <v>-1.2883593594379219</v>
      </c>
      <c r="X551">
        <f t="shared" si="457"/>
        <v>-40.489652963627556</v>
      </c>
      <c r="Y551">
        <f t="shared" si="441"/>
        <v>-164.61844726010861</v>
      </c>
      <c r="Z551">
        <f t="shared" si="458"/>
        <v>15.38155273989139</v>
      </c>
      <c r="AC551">
        <v>1</v>
      </c>
      <c r="AD551">
        <f t="shared" si="442"/>
        <v>201.08206720888651</v>
      </c>
      <c r="AE551">
        <f t="shared" si="443"/>
        <v>-0.14476448413646834</v>
      </c>
      <c r="AF551">
        <f t="shared" si="444"/>
        <v>4.2009879570624006E-2</v>
      </c>
      <c r="AG551">
        <f t="shared" si="421"/>
        <v>365.40886707281777</v>
      </c>
      <c r="AH551">
        <f t="shared" si="422"/>
        <v>-1282.9893037440859</v>
      </c>
      <c r="AJ551">
        <f t="shared" si="445"/>
        <v>22100</v>
      </c>
      <c r="AK551">
        <f t="shared" si="446"/>
        <v>4782.4775300303827</v>
      </c>
      <c r="AL551">
        <v>1</v>
      </c>
      <c r="AM551">
        <f t="shared" si="447"/>
        <v>131.24318334285942</v>
      </c>
      <c r="AN551">
        <f t="shared" si="423"/>
        <v>37.720662448339297</v>
      </c>
      <c r="AO551">
        <f t="shared" si="424"/>
        <v>-168.10228749112409</v>
      </c>
      <c r="AQ551">
        <f t="shared" si="448"/>
        <v>8.8052189589395906E-4</v>
      </c>
      <c r="AR551">
        <f t="shared" si="449"/>
        <v>-2.9673587891626423</v>
      </c>
      <c r="AT551">
        <f t="shared" si="470"/>
        <v>-3806.7678363582609</v>
      </c>
      <c r="AU551">
        <f t="shared" si="471"/>
        <v>-1085.4289135206338</v>
      </c>
      <c r="AV551">
        <f t="shared" si="459"/>
        <v>-2.8638320032303346</v>
      </c>
      <c r="AW551">
        <f t="shared" si="460"/>
        <v>-360.58054987977124</v>
      </c>
      <c r="AX551">
        <f t="shared" si="461"/>
        <v>-1707.2797108264704</v>
      </c>
      <c r="AY551">
        <f t="shared" si="469"/>
        <v>-1.7789392825565138</v>
      </c>
      <c r="BA551">
        <f t="shared" si="450"/>
        <v>2.2685507161840266</v>
      </c>
      <c r="BB551">
        <f t="shared" si="462"/>
        <v>7.1149698577374956</v>
      </c>
      <c r="BC551">
        <f t="shared" si="463"/>
        <v>-1.0848927206738208</v>
      </c>
      <c r="BD551">
        <f t="shared" si="451"/>
        <v>-242.15977419010315</v>
      </c>
      <c r="BF551">
        <f t="shared" si="452"/>
        <v>-51.153052375422831</v>
      </c>
      <c r="BG551">
        <f t="shared" si="453"/>
        <v>-230.02855828532338</v>
      </c>
      <c r="BH551">
        <f t="shared" si="464"/>
        <v>-50.028558285323385</v>
      </c>
      <c r="BI551">
        <f t="shared" si="465"/>
        <v>-50.028558285323385</v>
      </c>
      <c r="BJ551">
        <f t="shared" si="454"/>
        <v>0</v>
      </c>
      <c r="BK551">
        <f t="shared" si="466"/>
        <v>0</v>
      </c>
      <c r="BM551">
        <f t="shared" si="467"/>
        <v>-58.26802223316033</v>
      </c>
      <c r="BN551">
        <f t="shared" si="455"/>
        <v>-167.86878409522024</v>
      </c>
      <c r="BQ551" s="56">
        <f t="shared" si="468"/>
        <v>24.01693065802263</v>
      </c>
    </row>
    <row r="552" spans="1:69" x14ac:dyDescent="0.2">
      <c r="A552">
        <f t="shared" si="472"/>
        <v>1690000</v>
      </c>
      <c r="B552">
        <f t="shared" si="456"/>
        <v>1690</v>
      </c>
      <c r="C552">
        <f t="shared" si="425"/>
        <v>1.0223021682970499</v>
      </c>
      <c r="D552">
        <f t="shared" si="426"/>
        <v>0.2092625977176871</v>
      </c>
      <c r="F552">
        <f t="shared" si="427"/>
        <v>7.9142530211762471E-5</v>
      </c>
      <c r="G552">
        <f t="shared" si="428"/>
        <v>3.0592624535655364E-3</v>
      </c>
      <c r="H552">
        <f t="shared" si="429"/>
        <v>-3.1385333875464347</v>
      </c>
      <c r="J552">
        <f t="shared" si="430"/>
        <v>15</v>
      </c>
      <c r="M552">
        <f t="shared" si="431"/>
        <v>1.0739139661088836E-3</v>
      </c>
      <c r="N552">
        <f t="shared" si="432"/>
        <v>-1.5707963250000001</v>
      </c>
      <c r="O552">
        <f t="shared" si="433"/>
        <v>201.68122907596083</v>
      </c>
      <c r="P552">
        <f t="shared" si="434"/>
        <v>1.5658379868337808</v>
      </c>
      <c r="Q552">
        <f t="shared" si="435"/>
        <v>131.63642738626478</v>
      </c>
      <c r="R552">
        <f t="shared" si="436"/>
        <v>1.5631995723222398</v>
      </c>
      <c r="S552">
        <f t="shared" si="437"/>
        <v>0.97724679613940357</v>
      </c>
      <c r="T552">
        <f t="shared" si="438"/>
        <v>-0.21372887483615499</v>
      </c>
      <c r="U552">
        <f t="shared" si="439"/>
        <v>0.27793612155645114</v>
      </c>
      <c r="V552">
        <f t="shared" si="440"/>
        <v>-1.2891514190061752</v>
      </c>
      <c r="X552">
        <f t="shared" si="457"/>
        <v>-40.539184468724052</v>
      </c>
      <c r="Y552">
        <f t="shared" si="441"/>
        <v>-164.66290526644511</v>
      </c>
      <c r="Z552">
        <f t="shared" si="458"/>
        <v>15.337094733554892</v>
      </c>
      <c r="AC552">
        <v>1</v>
      </c>
      <c r="AD552">
        <f t="shared" si="442"/>
        <v>201.67874990090098</v>
      </c>
      <c r="AE552">
        <f t="shared" si="443"/>
        <v>-0.1456248952239316</v>
      </c>
      <c r="AF552">
        <f t="shared" si="444"/>
        <v>4.2134537966976006E-2</v>
      </c>
      <c r="AG552">
        <f t="shared" ref="AG552:AG615" si="473">AC552*AE552/(AE552^2+AF552^2)+AD552*AF552/(AE552^2+AF552^2)</f>
        <v>363.41666118296411</v>
      </c>
      <c r="AH552">
        <f t="shared" ref="AH552:AH615" si="474">AD552*AE552/(AE552^2+AF552^2)-AC552*AF552/(AE552^2+AF552^2)</f>
        <v>-1279.7698944667036</v>
      </c>
      <c r="AJ552">
        <f t="shared" si="445"/>
        <v>22100</v>
      </c>
      <c r="AK552">
        <f t="shared" si="446"/>
        <v>4796.6688580126684</v>
      </c>
      <c r="AL552">
        <v>1</v>
      </c>
      <c r="AM552">
        <f t="shared" si="447"/>
        <v>131.63262899076108</v>
      </c>
      <c r="AN552">
        <f t="shared" ref="AN552:AN615" si="475">AJ552*AL552/(AL552^2+AM552^2)+AK552*AM552/(AL552^2+AM552^2)</f>
        <v>37.713095127003633</v>
      </c>
      <c r="AO552">
        <f t="shared" ref="AO552:AO615" si="476">AK552*AL552/(AL552^2+AM552^2)-AJ552*AM552/(AL552^2+AM552^2)</f>
        <v>-167.60500093348045</v>
      </c>
      <c r="AQ552">
        <f t="shared" si="448"/>
        <v>8.7531941499602469E-4</v>
      </c>
      <c r="AR552">
        <f t="shared" si="449"/>
        <v>-2.9585796226865635</v>
      </c>
      <c r="AT552">
        <f t="shared" si="470"/>
        <v>-3785.9830258376564</v>
      </c>
      <c r="AU552">
        <f t="shared" si="471"/>
        <v>-1076.3173357560588</v>
      </c>
      <c r="AV552">
        <f t="shared" si="459"/>
        <v>-2.8646102277826544</v>
      </c>
      <c r="AW552">
        <f t="shared" si="460"/>
        <v>-358.19041428616168</v>
      </c>
      <c r="AX552">
        <f t="shared" si="461"/>
        <v>-1702.3594982716957</v>
      </c>
      <c r="AY552">
        <f t="shared" si="469"/>
        <v>-1.7781794569022329</v>
      </c>
      <c r="BA552">
        <f t="shared" si="450"/>
        <v>2.262546440306473</v>
      </c>
      <c r="BB552">
        <f t="shared" si="462"/>
        <v>7.091950043174422</v>
      </c>
      <c r="BC552">
        <f t="shared" si="463"/>
        <v>-1.0864307708804215</v>
      </c>
      <c r="BD552">
        <f t="shared" si="451"/>
        <v>-242.24789797572129</v>
      </c>
      <c r="BF552">
        <f t="shared" si="452"/>
        <v>-51.226440523396811</v>
      </c>
      <c r="BG552">
        <f t="shared" si="453"/>
        <v>-230.08275147564098</v>
      </c>
      <c r="BH552">
        <f t="shared" si="464"/>
        <v>-50.082751475640976</v>
      </c>
      <c r="BI552">
        <f t="shared" si="465"/>
        <v>-50.082751475640976</v>
      </c>
      <c r="BJ552">
        <f t="shared" si="454"/>
        <v>0</v>
      </c>
      <c r="BK552">
        <f t="shared" si="466"/>
        <v>0</v>
      </c>
      <c r="BM552">
        <f t="shared" si="467"/>
        <v>-58.318390566571232</v>
      </c>
      <c r="BN552">
        <f t="shared" si="455"/>
        <v>-167.83485349991969</v>
      </c>
      <c r="BQ552" s="56">
        <f t="shared" si="468"/>
        <v>23.99391084345956</v>
      </c>
    </row>
    <row r="553" spans="1:69" x14ac:dyDescent="0.2">
      <c r="A553">
        <f t="shared" si="472"/>
        <v>1695000</v>
      </c>
      <c r="B553">
        <f t="shared" si="456"/>
        <v>1695</v>
      </c>
      <c r="C553">
        <f t="shared" si="425"/>
        <v>1.0224328790641566</v>
      </c>
      <c r="D553">
        <f t="shared" si="426"/>
        <v>0.20986372412268137</v>
      </c>
      <c r="F553">
        <f t="shared" si="427"/>
        <v>7.8676266648727882E-5</v>
      </c>
      <c r="G553">
        <f t="shared" si="428"/>
        <v>3.0502367091641081E-3</v>
      </c>
      <c r="H553">
        <f t="shared" si="429"/>
        <v>-3.1385424132908359</v>
      </c>
      <c r="J553">
        <f t="shared" si="430"/>
        <v>15</v>
      </c>
      <c r="M553">
        <f t="shared" si="431"/>
        <v>1.0707460783032528E-3</v>
      </c>
      <c r="N553">
        <f t="shared" si="432"/>
        <v>-1.5707963250000001</v>
      </c>
      <c r="O553">
        <f t="shared" si="433"/>
        <v>202.27790445486409</v>
      </c>
      <c r="P553">
        <f t="shared" si="434"/>
        <v>1.5658526129666808</v>
      </c>
      <c r="Q553">
        <f t="shared" si="435"/>
        <v>132.0258618297818</v>
      </c>
      <c r="R553">
        <f t="shared" si="436"/>
        <v>1.563221980769119</v>
      </c>
      <c r="S553">
        <f t="shared" si="437"/>
        <v>0.97711655561388178</v>
      </c>
      <c r="T553">
        <f t="shared" si="438"/>
        <v>-0.21434204556966943</v>
      </c>
      <c r="U553">
        <f t="shared" si="439"/>
        <v>0.27717932631892833</v>
      </c>
      <c r="V553">
        <f t="shared" si="440"/>
        <v>-1.2899391656514514</v>
      </c>
      <c r="X553">
        <f t="shared" si="457"/>
        <v>-40.588580688795084</v>
      </c>
      <c r="Y553">
        <f t="shared" si="441"/>
        <v>-164.70712512573061</v>
      </c>
      <c r="Z553">
        <f t="shared" si="458"/>
        <v>15.292874874269387</v>
      </c>
      <c r="AC553">
        <v>1</v>
      </c>
      <c r="AD553">
        <f t="shared" si="442"/>
        <v>202.27543259291551</v>
      </c>
      <c r="AE553">
        <f t="shared" si="443"/>
        <v>-0.14648785567757994</v>
      </c>
      <c r="AF553">
        <f t="shared" si="444"/>
        <v>4.2259196363328005E-2</v>
      </c>
      <c r="AG553">
        <f t="shared" si="473"/>
        <v>361.4402534163392</v>
      </c>
      <c r="AH553">
        <f t="shared" si="474"/>
        <v>-1276.5649212708358</v>
      </c>
      <c r="AJ553">
        <f t="shared" si="445"/>
        <v>22100</v>
      </c>
      <c r="AK553">
        <f t="shared" si="446"/>
        <v>4810.8601859949549</v>
      </c>
      <c r="AL553">
        <v>1</v>
      </c>
      <c r="AM553">
        <f t="shared" si="447"/>
        <v>132.02207463866273</v>
      </c>
      <c r="AN553">
        <f t="shared" si="475"/>
        <v>37.705594669170061</v>
      </c>
      <c r="AO553">
        <f t="shared" si="476"/>
        <v>-167.11064771337777</v>
      </c>
      <c r="AQ553">
        <f t="shared" si="448"/>
        <v>8.7016290580808507E-4</v>
      </c>
      <c r="AR553">
        <f t="shared" si="449"/>
        <v>-2.9498522506894083</v>
      </c>
      <c r="AT553">
        <f t="shared" si="470"/>
        <v>-3765.3633942607335</v>
      </c>
      <c r="AU553">
        <f t="shared" si="471"/>
        <v>-1067.3061644712841</v>
      </c>
      <c r="AV553">
        <f t="shared" si="459"/>
        <v>-2.8653842210323823</v>
      </c>
      <c r="AW553">
        <f t="shared" si="460"/>
        <v>-355.82187952138611</v>
      </c>
      <c r="AX553">
        <f t="shared" si="461"/>
        <v>-1697.4672993035672</v>
      </c>
      <c r="AY553">
        <f t="shared" si="469"/>
        <v>-1.7774238573260781</v>
      </c>
      <c r="BA553">
        <f t="shared" si="450"/>
        <v>2.256571470262696</v>
      </c>
      <c r="BB553">
        <f t="shared" si="462"/>
        <v>7.0689818614810784</v>
      </c>
      <c r="BC553">
        <f t="shared" si="463"/>
        <v>-1.0879603637063042</v>
      </c>
      <c r="BD553">
        <f t="shared" si="451"/>
        <v>-242.33553718911799</v>
      </c>
      <c r="BF553">
        <f t="shared" si="452"/>
        <v>-51.29962194728202</v>
      </c>
      <c r="BG553">
        <f t="shared" si="453"/>
        <v>-230.13646582010006</v>
      </c>
      <c r="BH553">
        <f t="shared" si="464"/>
        <v>-50.136465820100057</v>
      </c>
      <c r="BI553">
        <f t="shared" si="465"/>
        <v>-50.136465820100057</v>
      </c>
      <c r="BJ553">
        <f t="shared" si="454"/>
        <v>0</v>
      </c>
      <c r="BK553">
        <f t="shared" si="466"/>
        <v>0</v>
      </c>
      <c r="BM553">
        <f t="shared" si="467"/>
        <v>-58.368603808763105</v>
      </c>
      <c r="BN553">
        <f t="shared" si="455"/>
        <v>-167.80092863098207</v>
      </c>
      <c r="BQ553" s="56">
        <f t="shared" si="468"/>
        <v>23.970942661766216</v>
      </c>
    </row>
    <row r="554" spans="1:69" x14ac:dyDescent="0.2">
      <c r="A554">
        <f t="shared" si="472"/>
        <v>1700000</v>
      </c>
      <c r="B554">
        <f t="shared" si="456"/>
        <v>1700</v>
      </c>
      <c r="C554">
        <f t="shared" si="425"/>
        <v>1.0225639591958742</v>
      </c>
      <c r="D554">
        <f t="shared" si="426"/>
        <v>0.21046469663075854</v>
      </c>
      <c r="F554">
        <f t="shared" si="427"/>
        <v>7.8214111528122234E-5</v>
      </c>
      <c r="G554">
        <f t="shared" si="428"/>
        <v>3.0412640694250574E-3</v>
      </c>
      <c r="H554">
        <f t="shared" si="429"/>
        <v>-3.1385513859305751</v>
      </c>
      <c r="J554">
        <f t="shared" si="430"/>
        <v>15</v>
      </c>
      <c r="M554">
        <f t="shared" si="431"/>
        <v>1.0675968251317725E-3</v>
      </c>
      <c r="N554">
        <f t="shared" si="432"/>
        <v>-1.5707963250000001</v>
      </c>
      <c r="O554">
        <f t="shared" si="433"/>
        <v>202.87457987678485</v>
      </c>
      <c r="P554">
        <f t="shared" si="434"/>
        <v>1.5658671530656016</v>
      </c>
      <c r="Q554">
        <f t="shared" si="435"/>
        <v>132.41529633920416</v>
      </c>
      <c r="R554">
        <f t="shared" si="436"/>
        <v>1.5632442574091445</v>
      </c>
      <c r="S554">
        <f t="shared" si="437"/>
        <v>0.97698598262013736</v>
      </c>
      <c r="T554">
        <f t="shared" si="438"/>
        <v>-0.21495505265645967</v>
      </c>
      <c r="U554">
        <f t="shared" si="439"/>
        <v>0.27642647112138946</v>
      </c>
      <c r="V554">
        <f t="shared" si="440"/>
        <v>-1.2907226335354671</v>
      </c>
      <c r="X554">
        <f t="shared" si="457"/>
        <v>-40.637842336121338</v>
      </c>
      <c r="Y554">
        <f t="shared" si="441"/>
        <v>-164.75110871011853</v>
      </c>
      <c r="Z554">
        <f t="shared" si="458"/>
        <v>15.24889128988147</v>
      </c>
      <c r="AC554">
        <v>1</v>
      </c>
      <c r="AD554">
        <f t="shared" si="442"/>
        <v>202.87211528493</v>
      </c>
      <c r="AE554">
        <f t="shared" si="443"/>
        <v>-0.14735336549741335</v>
      </c>
      <c r="AF554">
        <f t="shared" si="444"/>
        <v>4.2383854759680012E-2</v>
      </c>
      <c r="AG554">
        <f t="shared" si="473"/>
        <v>359.47948216461236</v>
      </c>
      <c r="AH554">
        <f t="shared" si="474"/>
        <v>-1273.3743032633608</v>
      </c>
      <c r="AJ554">
        <f t="shared" si="445"/>
        <v>22100</v>
      </c>
      <c r="AK554">
        <f t="shared" si="446"/>
        <v>4825.0515139772406</v>
      </c>
      <c r="AL554">
        <v>1</v>
      </c>
      <c r="AM554">
        <f t="shared" si="447"/>
        <v>132.41152028656441</v>
      </c>
      <c r="AN554">
        <f t="shared" si="475"/>
        <v>37.698160289441937</v>
      </c>
      <c r="AO554">
        <f t="shared" si="476"/>
        <v>-166.61920195435732</v>
      </c>
      <c r="AQ554">
        <f t="shared" si="448"/>
        <v>8.6505182828271383E-4</v>
      </c>
      <c r="AR554">
        <f t="shared" si="449"/>
        <v>-2.9411762161612272</v>
      </c>
      <c r="AT554">
        <f t="shared" si="470"/>
        <v>-3744.9072466457937</v>
      </c>
      <c r="AU554">
        <f t="shared" si="471"/>
        <v>-1058.394037909638</v>
      </c>
      <c r="AV554">
        <f t="shared" si="459"/>
        <v>-2.8661540164210808</v>
      </c>
      <c r="AW554">
        <f t="shared" si="460"/>
        <v>-353.4746854566186</v>
      </c>
      <c r="AX554">
        <f t="shared" si="461"/>
        <v>-1692.6028767804785</v>
      </c>
      <c r="AY554">
        <f t="shared" si="469"/>
        <v>-1.7766724459024754</v>
      </c>
      <c r="BA554">
        <f t="shared" si="450"/>
        <v>2.2506256164115173</v>
      </c>
      <c r="BB554">
        <f t="shared" si="462"/>
        <v>7.0460651532382537</v>
      </c>
      <c r="BC554">
        <f t="shared" si="463"/>
        <v>-1.0894815705186054</v>
      </c>
      <c r="BD554">
        <f t="shared" si="451"/>
        <v>-242.42269591932899</v>
      </c>
      <c r="BF554">
        <f t="shared" si="452"/>
        <v>-51.372597705055128</v>
      </c>
      <c r="BG554">
        <f t="shared" si="453"/>
        <v>-230.1897054563442</v>
      </c>
      <c r="BH554">
        <f t="shared" si="464"/>
        <v>-50.1897054563442</v>
      </c>
      <c r="BI554">
        <f t="shared" si="465"/>
        <v>-50.1897054563442</v>
      </c>
      <c r="BJ554">
        <f t="shared" si="454"/>
        <v>0</v>
      </c>
      <c r="BK554">
        <f t="shared" si="466"/>
        <v>0</v>
      </c>
      <c r="BM554">
        <f t="shared" si="467"/>
        <v>-58.418662858293388</v>
      </c>
      <c r="BN554">
        <f t="shared" si="455"/>
        <v>-167.76700953701524</v>
      </c>
      <c r="BQ554" s="56">
        <f t="shared" si="468"/>
        <v>23.948025953523388</v>
      </c>
    </row>
    <row r="555" spans="1:69" x14ac:dyDescent="0.2">
      <c r="A555">
        <f t="shared" si="472"/>
        <v>1705000</v>
      </c>
      <c r="B555">
        <f t="shared" si="456"/>
        <v>1705</v>
      </c>
      <c r="C555">
        <f t="shared" si="425"/>
        <v>1.0226954085501765</v>
      </c>
      <c r="D555">
        <f t="shared" si="426"/>
        <v>0.21106551486707376</v>
      </c>
      <c r="F555">
        <f t="shared" si="427"/>
        <v>7.7756016721897784E-5</v>
      </c>
      <c r="G555">
        <f t="shared" si="428"/>
        <v>3.0323440670112184E-3</v>
      </c>
      <c r="H555">
        <f t="shared" si="429"/>
        <v>-3.1385603059329892</v>
      </c>
      <c r="J555">
        <f t="shared" si="430"/>
        <v>15</v>
      </c>
      <c r="M555">
        <f t="shared" si="431"/>
        <v>1.0644660426533804E-3</v>
      </c>
      <c r="N555">
        <f t="shared" si="432"/>
        <v>-1.5707963250000001</v>
      </c>
      <c r="O555">
        <f t="shared" si="433"/>
        <v>203.47125534134466</v>
      </c>
      <c r="P555">
        <f t="shared" si="434"/>
        <v>1.5658816078874156</v>
      </c>
      <c r="Q555">
        <f t="shared" si="435"/>
        <v>132.80473091395206</v>
      </c>
      <c r="R555">
        <f t="shared" si="436"/>
        <v>1.5632664034018198</v>
      </c>
      <c r="S555">
        <f t="shared" si="437"/>
        <v>0.97685507758577605</v>
      </c>
      <c r="T555">
        <f t="shared" si="438"/>
        <v>-0.21556789570150542</v>
      </c>
      <c r="U555">
        <f t="shared" si="439"/>
        <v>0.27567752670733703</v>
      </c>
      <c r="V555">
        <f t="shared" si="440"/>
        <v>-1.2915018564708485</v>
      </c>
      <c r="X555">
        <f t="shared" si="457"/>
        <v>-40.686970117573146</v>
      </c>
      <c r="Y555">
        <f t="shared" si="441"/>
        <v>-164.79485787274999</v>
      </c>
      <c r="Z555">
        <f t="shared" si="458"/>
        <v>15.205142127250014</v>
      </c>
      <c r="AC555">
        <v>1</v>
      </c>
      <c r="AD555">
        <f t="shared" si="442"/>
        <v>203.46879797694453</v>
      </c>
      <c r="AE555">
        <f t="shared" si="443"/>
        <v>-0.14822142468343183</v>
      </c>
      <c r="AF555">
        <f t="shared" si="444"/>
        <v>4.2508513156032011E-2</v>
      </c>
      <c r="AG555">
        <f t="shared" si="473"/>
        <v>357.53418781113919</v>
      </c>
      <c r="AH555">
        <f t="shared" si="474"/>
        <v>-1270.1979599288547</v>
      </c>
      <c r="AJ555">
        <f t="shared" si="445"/>
        <v>22100</v>
      </c>
      <c r="AK555">
        <f t="shared" si="446"/>
        <v>4839.2428419595262</v>
      </c>
      <c r="AL555">
        <v>1</v>
      </c>
      <c r="AM555">
        <f t="shared" si="447"/>
        <v>132.80096593446606</v>
      </c>
      <c r="AN555">
        <f t="shared" si="475"/>
        <v>37.690791213920555</v>
      </c>
      <c r="AO555">
        <f t="shared" si="476"/>
        <v>-166.13063808341028</v>
      </c>
      <c r="AQ555">
        <f t="shared" si="448"/>
        <v>8.5998565027943941E-4</v>
      </c>
      <c r="AR555">
        <f t="shared" si="449"/>
        <v>-2.9325510674528883</v>
      </c>
      <c r="AT555">
        <f t="shared" si="470"/>
        <v>-3724.6129089948422</v>
      </c>
      <c r="AU555">
        <f t="shared" si="471"/>
        <v>-1049.5796161350108</v>
      </c>
      <c r="AV555">
        <f t="shared" si="459"/>
        <v>-2.8669196470496674</v>
      </c>
      <c r="AW555">
        <f t="shared" si="460"/>
        <v>-351.14857587114579</v>
      </c>
      <c r="AX555">
        <f t="shared" si="461"/>
        <v>-1687.7659962247067</v>
      </c>
      <c r="AY555">
        <f t="shared" si="469"/>
        <v>-1.7759251851494882</v>
      </c>
      <c r="BA555">
        <f t="shared" si="450"/>
        <v>2.244708690382065</v>
      </c>
      <c r="BB555">
        <f t="shared" si="462"/>
        <v>7.023199758737853</v>
      </c>
      <c r="BC555">
        <f t="shared" si="463"/>
        <v>-1.0909944619001792</v>
      </c>
      <c r="BD555">
        <f t="shared" si="451"/>
        <v>-242.50937821045395</v>
      </c>
      <c r="BF555">
        <f t="shared" si="452"/>
        <v>-51.445368847088332</v>
      </c>
      <c r="BG555">
        <f t="shared" si="453"/>
        <v>-230.24247447672664</v>
      </c>
      <c r="BH555">
        <f t="shared" si="464"/>
        <v>-50.242474476726642</v>
      </c>
      <c r="BI555">
        <f t="shared" si="465"/>
        <v>-50.242474476726642</v>
      </c>
      <c r="BJ555">
        <f t="shared" si="454"/>
        <v>0</v>
      </c>
      <c r="BK555">
        <f t="shared" si="466"/>
        <v>0</v>
      </c>
      <c r="BM555">
        <f t="shared" si="467"/>
        <v>-58.468568605826178</v>
      </c>
      <c r="BN555">
        <f t="shared" si="455"/>
        <v>-167.7330962662727</v>
      </c>
      <c r="BQ555" s="56">
        <f t="shared" si="468"/>
        <v>23.925160559022988</v>
      </c>
    </row>
    <row r="556" spans="1:69" x14ac:dyDescent="0.2">
      <c r="A556">
        <f t="shared" si="472"/>
        <v>1710000</v>
      </c>
      <c r="B556">
        <f t="shared" si="456"/>
        <v>1710</v>
      </c>
      <c r="C556">
        <f t="shared" si="425"/>
        <v>1.0228272269847114</v>
      </c>
      <c r="D556">
        <f t="shared" si="426"/>
        <v>0.21166617845742</v>
      </c>
      <c r="F556">
        <f t="shared" si="427"/>
        <v>7.7301934804706053E-5</v>
      </c>
      <c r="G556">
        <f t="shared" si="428"/>
        <v>3.0234762400534044E-3</v>
      </c>
      <c r="H556">
        <f t="shared" si="429"/>
        <v>-3.1385691737599468</v>
      </c>
      <c r="J556">
        <f t="shared" si="430"/>
        <v>15</v>
      </c>
      <c r="M556">
        <f t="shared" si="431"/>
        <v>1.0613535688444521E-3</v>
      </c>
      <c r="N556">
        <f t="shared" si="432"/>
        <v>-1.5707963250000001</v>
      </c>
      <c r="O556">
        <f t="shared" si="433"/>
        <v>204.06793084816954</v>
      </c>
      <c r="P556">
        <f t="shared" si="434"/>
        <v>1.5658959781801438</v>
      </c>
      <c r="Q556">
        <f t="shared" si="435"/>
        <v>133.19416555345254</v>
      </c>
      <c r="R556">
        <f t="shared" si="436"/>
        <v>1.5632884198930876</v>
      </c>
      <c r="S556">
        <f t="shared" si="437"/>
        <v>0.97672384093917819</v>
      </c>
      <c r="T556">
        <f t="shared" si="438"/>
        <v>-0.21618057431049073</v>
      </c>
      <c r="U556">
        <f t="shared" si="439"/>
        <v>0.27493246409278232</v>
      </c>
      <c r="V556">
        <f t="shared" si="440"/>
        <v>-1.2922768679254288</v>
      </c>
      <c r="X556">
        <f t="shared" si="457"/>
        <v>-40.735964734663057</v>
      </c>
      <c r="Y556">
        <f t="shared" si="441"/>
        <v>-164.83837444798536</v>
      </c>
      <c r="Z556">
        <f t="shared" si="458"/>
        <v>15.161625552014641</v>
      </c>
      <c r="AC556">
        <v>1</v>
      </c>
      <c r="AD556">
        <f t="shared" si="442"/>
        <v>204.065480668959</v>
      </c>
      <c r="AE556">
        <f t="shared" si="443"/>
        <v>-0.14909203323563539</v>
      </c>
      <c r="AF556">
        <f t="shared" si="444"/>
        <v>4.2633171552384004E-2</v>
      </c>
      <c r="AG556">
        <f t="shared" si="473"/>
        <v>355.60421270274929</v>
      </c>
      <c r="AH556">
        <f t="shared" si="474"/>
        <v>-1267.0358111321332</v>
      </c>
      <c r="AJ556">
        <f t="shared" si="445"/>
        <v>22100</v>
      </c>
      <c r="AK556">
        <f t="shared" si="446"/>
        <v>4853.4341699418119</v>
      </c>
      <c r="AL556">
        <v>1</v>
      </c>
      <c r="AM556">
        <f t="shared" si="447"/>
        <v>133.19041158236772</v>
      </c>
      <c r="AN556">
        <f t="shared" si="475"/>
        <v>37.683486680003625</v>
      </c>
      <c r="AO556">
        <f t="shared" si="476"/>
        <v>-165.64493082654229</v>
      </c>
      <c r="AQ556">
        <f t="shared" si="448"/>
        <v>8.549638474262297E-4</v>
      </c>
      <c r="AR556">
        <f t="shared" si="449"/>
        <v>-2.9239763581977054</v>
      </c>
      <c r="AT556">
        <f t="shared" si="470"/>
        <v>-3704.4787279943571</v>
      </c>
      <c r="AU556">
        <f t="shared" si="471"/>
        <v>-1040.8615806302594</v>
      </c>
      <c r="AV556">
        <f t="shared" si="459"/>
        <v>-2.8676811456825924</v>
      </c>
      <c r="AW556">
        <f t="shared" si="460"/>
        <v>-348.84329838212903</v>
      </c>
      <c r="AX556">
        <f t="shared" si="461"/>
        <v>-1682.9564257850077</v>
      </c>
      <c r="AY556">
        <f t="shared" si="469"/>
        <v>-1.775182038022536</v>
      </c>
      <c r="BA556">
        <f t="shared" si="450"/>
        <v>2.2388205050706849</v>
      </c>
      <c r="BB556">
        <f t="shared" si="462"/>
        <v>7.0003855180105177</v>
      </c>
      <c r="BC556">
        <f t="shared" si="463"/>
        <v>-1.0924991076600563</v>
      </c>
      <c r="BD556">
        <f t="shared" si="451"/>
        <v>-242.59558806225567</v>
      </c>
      <c r="BF556">
        <f t="shared" si="452"/>
        <v>-51.517936416214326</v>
      </c>
      <c r="BG556">
        <f t="shared" si="453"/>
        <v>-230.29477692891368</v>
      </c>
      <c r="BH556">
        <f t="shared" si="464"/>
        <v>-50.294776928913677</v>
      </c>
      <c r="BI556">
        <f t="shared" si="465"/>
        <v>-50.294776928913677</v>
      </c>
      <c r="BJ556">
        <f t="shared" si="454"/>
        <v>0</v>
      </c>
      <c r="BK556">
        <f t="shared" si="466"/>
        <v>0</v>
      </c>
      <c r="BM556">
        <f t="shared" si="467"/>
        <v>-58.518321934224844</v>
      </c>
      <c r="BN556">
        <f t="shared" si="455"/>
        <v>-167.69918886665806</v>
      </c>
      <c r="BQ556" s="56">
        <f t="shared" si="468"/>
        <v>23.902346318295656</v>
      </c>
    </row>
    <row r="557" spans="1:69" x14ac:dyDescent="0.2">
      <c r="A557">
        <f t="shared" si="472"/>
        <v>1715000</v>
      </c>
      <c r="B557">
        <f t="shared" si="456"/>
        <v>1715</v>
      </c>
      <c r="C557">
        <f t="shared" si="425"/>
        <v>1.0229594143567995</v>
      </c>
      <c r="D557">
        <f t="shared" si="426"/>
        <v>0.21226668702822929</v>
      </c>
      <c r="F557">
        <f t="shared" si="427"/>
        <v>7.6851819041621607E-5</v>
      </c>
      <c r="G557">
        <f t="shared" si="428"/>
        <v>3.0146601320706636E-3</v>
      </c>
      <c r="H557">
        <f t="shared" si="429"/>
        <v>-3.1385779898679296</v>
      </c>
      <c r="J557">
        <f t="shared" si="430"/>
        <v>15</v>
      </c>
      <c r="M557">
        <f t="shared" si="431"/>
        <v>1.0582592435708534E-3</v>
      </c>
      <c r="N557">
        <f t="shared" si="432"/>
        <v>-1.5707963250000001</v>
      </c>
      <c r="O557">
        <f t="shared" si="433"/>
        <v>204.66460639688981</v>
      </c>
      <c r="P557">
        <f t="shared" si="434"/>
        <v>1.5659102646830838</v>
      </c>
      <c r="Q557">
        <f t="shared" si="435"/>
        <v>133.58360025713918</v>
      </c>
      <c r="R557">
        <f t="shared" si="436"/>
        <v>1.5633103080155282</v>
      </c>
      <c r="S557">
        <f t="shared" si="437"/>
        <v>0.97659227310949615</v>
      </c>
      <c r="T557">
        <f t="shared" si="438"/>
        <v>-0.21679308808980499</v>
      </c>
      <c r="U557">
        <f t="shared" si="439"/>
        <v>0.27419125456332227</v>
      </c>
      <c r="V557">
        <f t="shared" si="440"/>
        <v>-1.293047701026486</v>
      </c>
      <c r="X557">
        <f t="shared" si="457"/>
        <v>-40.784826883598086</v>
      </c>
      <c r="Y557">
        <f t="shared" si="441"/>
        <v>-164.88166025163324</v>
      </c>
      <c r="Z557">
        <f t="shared" si="458"/>
        <v>15.118339748366765</v>
      </c>
      <c r="AC557">
        <v>1</v>
      </c>
      <c r="AD557">
        <f t="shared" si="442"/>
        <v>204.66216336097349</v>
      </c>
      <c r="AE557">
        <f t="shared" si="443"/>
        <v>-0.14996519115402404</v>
      </c>
      <c r="AF557">
        <f t="shared" si="444"/>
        <v>4.2757829948736004E-2</v>
      </c>
      <c r="AG557">
        <f t="shared" si="473"/>
        <v>353.68940112197856</v>
      </c>
      <c r="AH557">
        <f t="shared" si="474"/>
        <v>-1263.8877771206289</v>
      </c>
      <c r="AJ557">
        <f t="shared" si="445"/>
        <v>22100</v>
      </c>
      <c r="AK557">
        <f t="shared" si="446"/>
        <v>4867.6254979240985</v>
      </c>
      <c r="AL557">
        <v>1</v>
      </c>
      <c r="AM557">
        <f t="shared" si="447"/>
        <v>133.5798572302694</v>
      </c>
      <c r="AN557">
        <f t="shared" si="475"/>
        <v>37.676245936188032</v>
      </c>
      <c r="AO557">
        <f t="shared" si="476"/>
        <v>-165.16205520441636</v>
      </c>
      <c r="AQ557">
        <f t="shared" si="448"/>
        <v>8.49985902983799E-4</v>
      </c>
      <c r="AR557">
        <f t="shared" si="449"/>
        <v>-2.9154516472344305</v>
      </c>
      <c r="AT557">
        <f t="shared" si="470"/>
        <v>-3684.5030707208116</v>
      </c>
      <c r="AU557">
        <f t="shared" si="471"/>
        <v>-1032.2386339039376</v>
      </c>
      <c r="AV557">
        <f t="shared" si="459"/>
        <v>-2.8684385447519514</v>
      </c>
      <c r="AW557">
        <f t="shared" si="460"/>
        <v>-346.55860437583368</v>
      </c>
      <c r="AX557">
        <f t="shared" si="461"/>
        <v>-1678.1739361998582</v>
      </c>
      <c r="AY557">
        <f t="shared" si="469"/>
        <v>-1.7744429679082163</v>
      </c>
      <c r="BA557">
        <f t="shared" si="450"/>
        <v>2.2329608746376177</v>
      </c>
      <c r="BB557">
        <f t="shared" si="462"/>
        <v>6.9776222708524198</v>
      </c>
      <c r="BC557">
        <f t="shared" si="463"/>
        <v>-1.0939955768437351</v>
      </c>
      <c r="BD557">
        <f t="shared" si="451"/>
        <v>-242.68132943074983</v>
      </c>
      <c r="BF557">
        <f t="shared" si="452"/>
        <v>-51.590301447790708</v>
      </c>
      <c r="BG557">
        <f t="shared" si="453"/>
        <v>-230.34661681647944</v>
      </c>
      <c r="BH557">
        <f t="shared" si="464"/>
        <v>-50.34661681647944</v>
      </c>
      <c r="BI557">
        <f t="shared" si="465"/>
        <v>-50.34661681647944</v>
      </c>
      <c r="BJ557">
        <f t="shared" si="454"/>
        <v>0</v>
      </c>
      <c r="BK557">
        <f t="shared" si="466"/>
        <v>0</v>
      </c>
      <c r="BM557">
        <f t="shared" si="467"/>
        <v>-58.567923718643122</v>
      </c>
      <c r="BN557">
        <f t="shared" si="455"/>
        <v>-167.66528738572967</v>
      </c>
      <c r="BQ557" s="56">
        <f t="shared" si="468"/>
        <v>23.879583071137557</v>
      </c>
    </row>
    <row r="558" spans="1:69" x14ac:dyDescent="0.2">
      <c r="A558">
        <f t="shared" si="472"/>
        <v>1720000</v>
      </c>
      <c r="B558">
        <f t="shared" si="456"/>
        <v>1720</v>
      </c>
      <c r="C558">
        <f t="shared" si="425"/>
        <v>1.0230919705234365</v>
      </c>
      <c r="D558">
        <f t="shared" si="426"/>
        <v>0.2128670402065736</v>
      </c>
      <c r="F558">
        <f t="shared" si="427"/>
        <v>7.6405623376115265E-5</v>
      </c>
      <c r="G558">
        <f t="shared" si="428"/>
        <v>3.0058952918919318E-3</v>
      </c>
      <c r="H558">
        <f t="shared" si="429"/>
        <v>-3.1385867547081081</v>
      </c>
      <c r="J558">
        <f t="shared" si="430"/>
        <v>15</v>
      </c>
      <c r="M558">
        <f t="shared" si="431"/>
        <v>1.0551829085604727E-3</v>
      </c>
      <c r="N558">
        <f t="shared" si="432"/>
        <v>-1.5707963250000001</v>
      </c>
      <c r="O558">
        <f t="shared" si="433"/>
        <v>205.26128198714011</v>
      </c>
      <c r="P558">
        <f t="shared" si="434"/>
        <v>1.5659244681269375</v>
      </c>
      <c r="Q558">
        <f t="shared" si="435"/>
        <v>133.97303502445232</v>
      </c>
      <c r="R558">
        <f t="shared" si="436"/>
        <v>1.5633320688885535</v>
      </c>
      <c r="S558">
        <f t="shared" si="437"/>
        <v>0.97646037452665047</v>
      </c>
      <c r="T558">
        <f t="shared" si="438"/>
        <v>-0.21740543664654405</v>
      </c>
      <c r="U558">
        <f t="shared" si="439"/>
        <v>0.27345386967124924</v>
      </c>
      <c r="V558">
        <f t="shared" si="440"/>
        <v>-1.29381438856492</v>
      </c>
      <c r="X558">
        <f t="shared" si="457"/>
        <v>-40.833557255331129</v>
      </c>
      <c r="Y558">
        <f t="shared" si="441"/>
        <v>-164.92471708117577</v>
      </c>
      <c r="Z558">
        <f t="shared" si="458"/>
        <v>15.075282918824229</v>
      </c>
      <c r="AC558">
        <v>1</v>
      </c>
      <c r="AD558">
        <f t="shared" si="442"/>
        <v>205.25884605298802</v>
      </c>
      <c r="AE558">
        <f t="shared" si="443"/>
        <v>-0.15084089843859777</v>
      </c>
      <c r="AF558">
        <f t="shared" si="444"/>
        <v>4.2882488345088003E-2</v>
      </c>
      <c r="AG558">
        <f t="shared" si="473"/>
        <v>351.78959925973436</v>
      </c>
      <c r="AH558">
        <f t="shared" si="474"/>
        <v>-1260.7537785266004</v>
      </c>
      <c r="AJ558">
        <f t="shared" si="445"/>
        <v>22100</v>
      </c>
      <c r="AK558">
        <f t="shared" si="446"/>
        <v>4881.8168259063841</v>
      </c>
      <c r="AL558">
        <v>1</v>
      </c>
      <c r="AM558">
        <f t="shared" si="447"/>
        <v>133.96930287817105</v>
      </c>
      <c r="AN558">
        <f t="shared" si="475"/>
        <v>37.669068241876559</v>
      </c>
      <c r="AO558">
        <f t="shared" si="476"/>
        <v>-164.68198652807172</v>
      </c>
      <c r="AQ558">
        <f t="shared" si="448"/>
        <v>8.4505130771267347E-4</v>
      </c>
      <c r="AR558">
        <f t="shared" si="449"/>
        <v>-2.9069764985315967</v>
      </c>
      <c r="AT558">
        <f t="shared" si="470"/>
        <v>-3664.6843243508429</v>
      </c>
      <c r="AU558">
        <f t="shared" si="471"/>
        <v>-1023.7094991051438</v>
      </c>
      <c r="AV558">
        <f t="shared" si="459"/>
        <v>-2.8691918763615454</v>
      </c>
      <c r="AW558">
        <f t="shared" si="460"/>
        <v>-344.2942489402929</v>
      </c>
      <c r="AX558">
        <f t="shared" si="461"/>
        <v>-1673.4183007613067</v>
      </c>
      <c r="AY558">
        <f t="shared" si="469"/>
        <v>-1.7737079386182277</v>
      </c>
      <c r="BA558">
        <f t="shared" si="450"/>
        <v>2.2271296145034594</v>
      </c>
      <c r="BB558">
        <f t="shared" si="462"/>
        <v>6.9549098568512822</v>
      </c>
      <c r="BC558">
        <f t="shared" si="463"/>
        <v>-1.0954839377433176</v>
      </c>
      <c r="BD558">
        <f t="shared" si="451"/>
        <v>-242.76660622878563</v>
      </c>
      <c r="BF558">
        <f t="shared" si="452"/>
        <v>-51.662464969763747</v>
      </c>
      <c r="BG558">
        <f t="shared" si="453"/>
        <v>-230.39799809949048</v>
      </c>
      <c r="BH558">
        <f t="shared" si="464"/>
        <v>-50.397998099490479</v>
      </c>
      <c r="BI558">
        <f t="shared" si="465"/>
        <v>-50.397998099490479</v>
      </c>
      <c r="BJ558">
        <f t="shared" si="454"/>
        <v>0</v>
      </c>
      <c r="BK558">
        <f t="shared" si="466"/>
        <v>0</v>
      </c>
      <c r="BM558">
        <f t="shared" si="467"/>
        <v>-58.617374826615027</v>
      </c>
      <c r="BN558">
        <f t="shared" si="455"/>
        <v>-167.63139187070487</v>
      </c>
      <c r="BQ558" s="56">
        <f t="shared" si="468"/>
        <v>23.856870657136419</v>
      </c>
    </row>
    <row r="559" spans="1:69" x14ac:dyDescent="0.2">
      <c r="A559">
        <f t="shared" si="472"/>
        <v>1725000</v>
      </c>
      <c r="B559">
        <f t="shared" si="456"/>
        <v>1725</v>
      </c>
      <c r="C559">
        <f t="shared" si="425"/>
        <v>1.0232248953412932</v>
      </c>
      <c r="D559">
        <f t="shared" si="426"/>
        <v>0.21346723762016603</v>
      </c>
      <c r="F559">
        <f t="shared" si="427"/>
        <v>7.596330241827104E-5</v>
      </c>
      <c r="G559">
        <f t="shared" si="428"/>
        <v>2.9971812735790373E-3</v>
      </c>
      <c r="H559">
        <f t="shared" si="429"/>
        <v>-3.1385954687264213</v>
      </c>
      <c r="J559">
        <f t="shared" si="430"/>
        <v>15</v>
      </c>
      <c r="M559">
        <f t="shared" si="431"/>
        <v>1.0521244073762397E-3</v>
      </c>
      <c r="N559">
        <f t="shared" si="432"/>
        <v>-1.5707963250000001</v>
      </c>
      <c r="O559">
        <f t="shared" si="433"/>
        <v>205.85795761855934</v>
      </c>
      <c r="P559">
        <f t="shared" si="434"/>
        <v>1.565938589233935</v>
      </c>
      <c r="Q559">
        <f t="shared" si="435"/>
        <v>134.36246985483871</v>
      </c>
      <c r="R559">
        <f t="shared" si="436"/>
        <v>1.5633537036185985</v>
      </c>
      <c r="S559">
        <f t="shared" si="437"/>
        <v>0.97632814562132619</v>
      </c>
      <c r="T559">
        <f t="shared" si="438"/>
        <v>-0.2180176195885114</v>
      </c>
      <c r="U559">
        <f t="shared" si="439"/>
        <v>0.27272028123269404</v>
      </c>
      <c r="V559">
        <f t="shared" si="440"/>
        <v>-1.2945769629993711</v>
      </c>
      <c r="X559">
        <f t="shared" si="457"/>
        <v>-40.882156535611884</v>
      </c>
      <c r="Y559">
        <f t="shared" si="441"/>
        <v>-164.96754671599095</v>
      </c>
      <c r="Z559">
        <f t="shared" si="458"/>
        <v>15.032453284009051</v>
      </c>
      <c r="AC559">
        <v>1</v>
      </c>
      <c r="AD559">
        <f t="shared" si="442"/>
        <v>205.85552874500249</v>
      </c>
      <c r="AE559">
        <f t="shared" si="443"/>
        <v>-0.15171915508935657</v>
      </c>
      <c r="AF559">
        <f t="shared" si="444"/>
        <v>4.300714674144001E-2</v>
      </c>
      <c r="AG559">
        <f t="shared" si="473"/>
        <v>349.90465518838749</v>
      </c>
      <c r="AH559">
        <f t="shared" si="474"/>
        <v>-1257.6337363691796</v>
      </c>
      <c r="AJ559">
        <f t="shared" si="445"/>
        <v>22100</v>
      </c>
      <c r="AK559">
        <f t="shared" si="446"/>
        <v>4896.0081538886707</v>
      </c>
      <c r="AL559">
        <v>1</v>
      </c>
      <c r="AM559">
        <f t="shared" si="447"/>
        <v>134.3587485260727</v>
      </c>
      <c r="AN559">
        <f t="shared" si="475"/>
        <v>37.661952867188539</v>
      </c>
      <c r="AO559">
        <f t="shared" si="476"/>
        <v>-164.20470039471641</v>
      </c>
      <c r="AQ559">
        <f t="shared" si="448"/>
        <v>8.4015955974294811E-4</v>
      </c>
      <c r="AR559">
        <f t="shared" si="449"/>
        <v>-2.8985504811131713</v>
      </c>
      <c r="AT559">
        <f t="shared" si="470"/>
        <v>-3645.0208958759858</v>
      </c>
      <c r="AU559">
        <f t="shared" si="471"/>
        <v>-1015.2729196463047</v>
      </c>
      <c r="AV559">
        <f t="shared" si="459"/>
        <v>-2.8699411722908827</v>
      </c>
      <c r="AW559">
        <f t="shared" si="460"/>
        <v>-342.04999079936488</v>
      </c>
      <c r="AX559">
        <f t="shared" si="461"/>
        <v>-1668.6892952794383</v>
      </c>
      <c r="AY559">
        <f t="shared" si="469"/>
        <v>-1.7729769143833902</v>
      </c>
      <c r="BA559">
        <f t="shared" si="450"/>
        <v>2.2213265413454035</v>
      </c>
      <c r="BB559">
        <f t="shared" si="462"/>
        <v>6.9322481154116087</v>
      </c>
      <c r="BC559">
        <f t="shared" si="463"/>
        <v>-1.0969642579074925</v>
      </c>
      <c r="BD559">
        <f t="shared" si="451"/>
        <v>-242.85142232661789</v>
      </c>
      <c r="BF559">
        <f t="shared" si="452"/>
        <v>-51.734428002731747</v>
      </c>
      <c r="BG559">
        <f t="shared" si="453"/>
        <v>-230.44892469508244</v>
      </c>
      <c r="BH559">
        <f t="shared" si="464"/>
        <v>-50.448924695082439</v>
      </c>
      <c r="BI559">
        <f t="shared" si="465"/>
        <v>-50.448924695082439</v>
      </c>
      <c r="BJ559">
        <f t="shared" si="454"/>
        <v>0</v>
      </c>
      <c r="BK559">
        <f t="shared" si="466"/>
        <v>0</v>
      </c>
      <c r="BM559">
        <f t="shared" si="467"/>
        <v>-58.666676118143357</v>
      </c>
      <c r="BN559">
        <f t="shared" si="455"/>
        <v>-167.59750236846457</v>
      </c>
      <c r="BQ559" s="56">
        <f t="shared" si="468"/>
        <v>23.834208915696745</v>
      </c>
    </row>
    <row r="560" spans="1:69" x14ac:dyDescent="0.2">
      <c r="A560">
        <f t="shared" si="472"/>
        <v>1730000</v>
      </c>
      <c r="B560">
        <f t="shared" si="456"/>
        <v>1730</v>
      </c>
      <c r="C560">
        <f t="shared" si="425"/>
        <v>1.0233581886667167</v>
      </c>
      <c r="D560">
        <f t="shared" si="426"/>
        <v>0.21406727889736166</v>
      </c>
      <c r="F560">
        <f t="shared" si="427"/>
        <v>7.5524811433241227E-5</v>
      </c>
      <c r="G560">
        <f t="shared" si="428"/>
        <v>2.9885176363510517E-3</v>
      </c>
      <c r="H560">
        <f t="shared" si="429"/>
        <v>-3.1386041323636493</v>
      </c>
      <c r="J560">
        <f t="shared" si="430"/>
        <v>15</v>
      </c>
      <c r="M560">
        <f t="shared" si="431"/>
        <v>1.0490835853896032E-3</v>
      </c>
      <c r="N560">
        <f t="shared" si="432"/>
        <v>-1.5707963250000001</v>
      </c>
      <c r="O560">
        <f t="shared" si="433"/>
        <v>206.45463329079053</v>
      </c>
      <c r="P560">
        <f t="shared" si="434"/>
        <v>1.565952628717957</v>
      </c>
      <c r="Q560">
        <f t="shared" si="435"/>
        <v>134.75190474775155</v>
      </c>
      <c r="R560">
        <f t="shared" si="436"/>
        <v>1.5633752132993073</v>
      </c>
      <c r="S560">
        <f t="shared" si="437"/>
        <v>0.9761955868249681</v>
      </c>
      <c r="T560">
        <f t="shared" si="438"/>
        <v>-0.2186296365242191</v>
      </c>
      <c r="U560">
        <f t="shared" si="439"/>
        <v>0.27199046132480076</v>
      </c>
      <c r="V560">
        <f t="shared" si="440"/>
        <v>-1.2953354564602815</v>
      </c>
      <c r="X560">
        <f t="shared" si="457"/>
        <v>-40.930625405037162</v>
      </c>
      <c r="Y560">
        <f t="shared" si="441"/>
        <v>-165.01015091757176</v>
      </c>
      <c r="Z560">
        <f t="shared" si="458"/>
        <v>14.989849082428236</v>
      </c>
      <c r="AC560">
        <v>1</v>
      </c>
      <c r="AD560">
        <f t="shared" si="442"/>
        <v>206.45221143701698</v>
      </c>
      <c r="AE560">
        <f t="shared" si="443"/>
        <v>-0.15259996110630045</v>
      </c>
      <c r="AF560">
        <f t="shared" si="444"/>
        <v>4.3131805137792009E-2</v>
      </c>
      <c r="AG560">
        <f t="shared" si="473"/>
        <v>348.03441883528575</v>
      </c>
      <c r="AH560">
        <f t="shared" si="474"/>
        <v>-1254.5275720562727</v>
      </c>
      <c r="AJ560">
        <f t="shared" si="445"/>
        <v>22100</v>
      </c>
      <c r="AK560">
        <f t="shared" si="446"/>
        <v>4910.1994818709563</v>
      </c>
      <c r="AL560">
        <v>1</v>
      </c>
      <c r="AM560">
        <f t="shared" si="447"/>
        <v>134.74819417397438</v>
      </c>
      <c r="AN560">
        <f t="shared" si="475"/>
        <v>37.654899092774201</v>
      </c>
      <c r="AO560">
        <f t="shared" si="476"/>
        <v>-163.73017268359359</v>
      </c>
      <c r="AQ560">
        <f t="shared" si="448"/>
        <v>8.3531016444667679E-4</v>
      </c>
      <c r="AR560">
        <f t="shared" si="449"/>
        <v>-2.8901731689855015</v>
      </c>
      <c r="AT560">
        <f t="shared" si="470"/>
        <v>-3625.5112118219345</v>
      </c>
      <c r="AU560">
        <f t="shared" si="471"/>
        <v>-1006.9276588337223</v>
      </c>
      <c r="AV560">
        <f t="shared" si="459"/>
        <v>-2.8706864639991245</v>
      </c>
      <c r="AW560">
        <f t="shared" si="460"/>
        <v>-339.82559224815907</v>
      </c>
      <c r="AX560">
        <f t="shared" si="461"/>
        <v>-1663.9866980474358</v>
      </c>
      <c r="AY560">
        <f t="shared" si="469"/>
        <v>-1.772249859847763</v>
      </c>
      <c r="BA560">
        <f t="shared" si="450"/>
        <v>2.2155514730932953</v>
      </c>
      <c r="BB560">
        <f t="shared" si="462"/>
        <v>6.9096368857792081</v>
      </c>
      <c r="BC560">
        <f t="shared" si="463"/>
        <v>-1.0984366041513616</v>
      </c>
      <c r="BD560">
        <f t="shared" si="451"/>
        <v>-242.9357815524699</v>
      </c>
      <c r="BF560">
        <f t="shared" si="452"/>
        <v>-51.806191560007768</v>
      </c>
      <c r="BG560">
        <f t="shared" si="453"/>
        <v>-230.49940047802721</v>
      </c>
      <c r="BH560">
        <f t="shared" si="464"/>
        <v>-50.499400478027212</v>
      </c>
      <c r="BI560">
        <f t="shared" si="465"/>
        <v>-50.499400478027212</v>
      </c>
      <c r="BJ560">
        <f t="shared" si="454"/>
        <v>0</v>
      </c>
      <c r="BK560">
        <f t="shared" si="466"/>
        <v>0</v>
      </c>
      <c r="BM560">
        <f t="shared" si="467"/>
        <v>-58.715828445786975</v>
      </c>
      <c r="BN560">
        <f t="shared" si="455"/>
        <v>-167.56361892555734</v>
      </c>
      <c r="BQ560" s="56">
        <f t="shared" si="468"/>
        <v>23.811597686064342</v>
      </c>
    </row>
    <row r="561" spans="1:69" x14ac:dyDescent="0.2">
      <c r="A561">
        <f t="shared" si="472"/>
        <v>1735000</v>
      </c>
      <c r="B561">
        <f t="shared" si="456"/>
        <v>1735</v>
      </c>
      <c r="C561">
        <f t="shared" si="425"/>
        <v>1.02349185035573</v>
      </c>
      <c r="D561">
        <f t="shared" si="426"/>
        <v>0.21466716366715863</v>
      </c>
      <c r="F561">
        <f t="shared" si="427"/>
        <v>7.5090106329934022E-5</v>
      </c>
      <c r="G561">
        <f t="shared" si="428"/>
        <v>2.979903944509945E-3</v>
      </c>
      <c r="H561">
        <f t="shared" si="429"/>
        <v>-3.1386127460554905</v>
      </c>
      <c r="J561">
        <f t="shared" si="430"/>
        <v>15</v>
      </c>
      <c r="M561">
        <f t="shared" si="431"/>
        <v>1.0460602897544745E-3</v>
      </c>
      <c r="N561">
        <f t="shared" si="432"/>
        <v>-1.5707963250000001</v>
      </c>
      <c r="O561">
        <f t="shared" si="433"/>
        <v>207.05130900348084</v>
      </c>
      <c r="P561">
        <f t="shared" si="434"/>
        <v>1.5659665872846558</v>
      </c>
      <c r="Q561">
        <f t="shared" si="435"/>
        <v>135.14133970265019</v>
      </c>
      <c r="R561">
        <f t="shared" si="436"/>
        <v>1.5633965990117193</v>
      </c>
      <c r="S561">
        <f t="shared" si="437"/>
        <v>0.97606269856977945</v>
      </c>
      <c r="T561">
        <f t="shared" si="438"/>
        <v>-0.21924148706288904</v>
      </c>
      <c r="U561">
        <f t="shared" si="439"/>
        <v>0.27126438228293404</v>
      </c>
      <c r="V561">
        <f t="shared" si="440"/>
        <v>-1.2960899007538977</v>
      </c>
      <c r="X561">
        <f t="shared" si="457"/>
        <v>-40.97896453910063</v>
      </c>
      <c r="Y561">
        <f t="shared" si="441"/>
        <v>-165.05253142974271</v>
      </c>
      <c r="Z561">
        <f t="shared" si="458"/>
        <v>14.947468570257286</v>
      </c>
      <c r="AC561">
        <v>1</v>
      </c>
      <c r="AD561">
        <f t="shared" si="442"/>
        <v>207.04889412903151</v>
      </c>
      <c r="AE561">
        <f t="shared" si="443"/>
        <v>-0.15348331648942942</v>
      </c>
      <c r="AF561">
        <f t="shared" si="444"/>
        <v>4.3256463534144009E-2</v>
      </c>
      <c r="AG561">
        <f t="shared" si="473"/>
        <v>346.17874195667929</v>
      </c>
      <c r="AH561">
        <f t="shared" si="474"/>
        <v>-1251.4352073863022</v>
      </c>
      <c r="AJ561">
        <f t="shared" si="445"/>
        <v>22100</v>
      </c>
      <c r="AK561">
        <f t="shared" si="446"/>
        <v>4924.3908098532429</v>
      </c>
      <c r="AL561">
        <v>1</v>
      </c>
      <c r="AM561">
        <f t="shared" si="447"/>
        <v>135.13763982187604</v>
      </c>
      <c r="AN561">
        <f t="shared" si="475"/>
        <v>37.647906209633057</v>
      </c>
      <c r="AO561">
        <f t="shared" si="476"/>
        <v>-163.25837955191901</v>
      </c>
      <c r="AQ561">
        <f t="shared" si="448"/>
        <v>8.3050263431283088E-4</v>
      </c>
      <c r="AR561">
        <f t="shared" si="449"/>
        <v>-2.8818441410655233</v>
      </c>
      <c r="AT561">
        <f t="shared" si="470"/>
        <v>-3606.153717972195</v>
      </c>
      <c r="AU561">
        <f t="shared" si="471"/>
        <v>-998.67249950569601</v>
      </c>
      <c r="AV561">
        <f t="shared" si="459"/>
        <v>-2.8714277826289729</v>
      </c>
      <c r="AW561">
        <f t="shared" si="460"/>
        <v>-337.62081908979297</v>
      </c>
      <c r="AX561">
        <f t="shared" si="461"/>
        <v>-1659.3102898072218</v>
      </c>
      <c r="AY561">
        <f t="shared" si="469"/>
        <v>-1.7715267400628574</v>
      </c>
      <c r="BA561">
        <f t="shared" si="450"/>
        <v>2.2098042289254862</v>
      </c>
      <c r="BB561">
        <f t="shared" si="462"/>
        <v>6.887076007064965</v>
      </c>
      <c r="BC561">
        <f t="shared" si="463"/>
        <v>-1.0999010425661155</v>
      </c>
      <c r="BD561">
        <f t="shared" si="451"/>
        <v>-243.01968769308803</v>
      </c>
      <c r="BF561">
        <f t="shared" si="452"/>
        <v>-51.877756647681863</v>
      </c>
      <c r="BG561">
        <f t="shared" si="453"/>
        <v>-230.54942928129162</v>
      </c>
      <c r="BH561">
        <f t="shared" si="464"/>
        <v>-50.549429281291623</v>
      </c>
      <c r="BI561">
        <f t="shared" si="465"/>
        <v>-50.549429281291623</v>
      </c>
      <c r="BJ561">
        <f t="shared" si="454"/>
        <v>0</v>
      </c>
      <c r="BK561">
        <f t="shared" si="466"/>
        <v>0</v>
      </c>
      <c r="BM561">
        <f t="shared" si="467"/>
        <v>-58.764832654746833</v>
      </c>
      <c r="BN561">
        <f t="shared" si="455"/>
        <v>-167.52974158820362</v>
      </c>
      <c r="BQ561" s="56">
        <f t="shared" si="468"/>
        <v>23.789036807350104</v>
      </c>
    </row>
    <row r="562" spans="1:69" x14ac:dyDescent="0.2">
      <c r="A562">
        <f t="shared" si="472"/>
        <v>1740000</v>
      </c>
      <c r="B562">
        <f t="shared" si="456"/>
        <v>1740</v>
      </c>
      <c r="C562">
        <f t="shared" si="425"/>
        <v>1.0236258802640346</v>
      </c>
      <c r="D562">
        <f t="shared" si="426"/>
        <v>0.21526689155919917</v>
      </c>
      <c r="F562">
        <f t="shared" si="427"/>
        <v>7.4659143649928383E-5</v>
      </c>
      <c r="G562">
        <f t="shared" si="428"/>
        <v>2.9713397673675232E-3</v>
      </c>
      <c r="H562">
        <f t="shared" si="429"/>
        <v>-3.1386213102326326</v>
      </c>
      <c r="J562">
        <f t="shared" si="430"/>
        <v>15</v>
      </c>
      <c r="M562">
        <f t="shared" si="431"/>
        <v>1.0430543693816169E-3</v>
      </c>
      <c r="N562">
        <f t="shared" si="432"/>
        <v>-1.5707963250000001</v>
      </c>
      <c r="O562">
        <f t="shared" si="433"/>
        <v>207.64798475628155</v>
      </c>
      <c r="P562">
        <f t="shared" si="434"/>
        <v>1.5659804656315728</v>
      </c>
      <c r="Q562">
        <f t="shared" si="435"/>
        <v>135.53077471900036</v>
      </c>
      <c r="R562">
        <f t="shared" si="436"/>
        <v>1.5634178618244483</v>
      </c>
      <c r="S562">
        <f t="shared" si="437"/>
        <v>0.97592948128871559</v>
      </c>
      <c r="T562">
        <f t="shared" si="438"/>
        <v>-0.21985317081445377</v>
      </c>
      <c r="U562">
        <f t="shared" si="439"/>
        <v>0.27054201669791794</v>
      </c>
      <c r="V562">
        <f t="shared" si="440"/>
        <v>-1.2968403273662183</v>
      </c>
      <c r="X562">
        <f t="shared" si="457"/>
        <v>-41.027174608241872</v>
      </c>
      <c r="Y562">
        <f t="shared" si="441"/>
        <v>-165.09468997887268</v>
      </c>
      <c r="Z562">
        <f t="shared" si="458"/>
        <v>14.90531002112732</v>
      </c>
      <c r="AC562">
        <v>1</v>
      </c>
      <c r="AD562">
        <f t="shared" si="442"/>
        <v>207.64557682104603</v>
      </c>
      <c r="AE562">
        <f t="shared" si="443"/>
        <v>-0.15436922123874347</v>
      </c>
      <c r="AF562">
        <f t="shared" si="444"/>
        <v>4.3381121930496001E-2</v>
      </c>
      <c r="AG562">
        <f t="shared" si="473"/>
        <v>344.33747811205279</v>
      </c>
      <c r="AH562">
        <f t="shared" si="474"/>
        <v>-1248.3565645498111</v>
      </c>
      <c r="AJ562">
        <f t="shared" si="445"/>
        <v>22100</v>
      </c>
      <c r="AK562">
        <f t="shared" si="446"/>
        <v>4938.5821378355286</v>
      </c>
      <c r="AL562">
        <v>1</v>
      </c>
      <c r="AM562">
        <f t="shared" si="447"/>
        <v>135.52708546977769</v>
      </c>
      <c r="AN562">
        <f t="shared" si="475"/>
        <v>37.640973518935553</v>
      </c>
      <c r="AO562">
        <f t="shared" si="476"/>
        <v>-162.78929743088835</v>
      </c>
      <c r="AQ562">
        <f t="shared" si="448"/>
        <v>8.2573648882477133E-4</v>
      </c>
      <c r="AR562">
        <f t="shared" si="449"/>
        <v>-2.8735629811102044</v>
      </c>
      <c r="AT562">
        <f t="shared" si="470"/>
        <v>-3586.9468790961014</v>
      </c>
      <c r="AU562">
        <f t="shared" si="471"/>
        <v>-990.5062436780529</v>
      </c>
      <c r="AV562">
        <f t="shared" si="459"/>
        <v>-2.8721651590105091</v>
      </c>
      <c r="AW562">
        <f t="shared" si="460"/>
        <v>-335.43544057345059</v>
      </c>
      <c r="AX562">
        <f t="shared" si="461"/>
        <v>-1654.6598537156731</v>
      </c>
      <c r="AY562">
        <f t="shared" si="469"/>
        <v>-1.7708075204819427</v>
      </c>
      <c r="BA562">
        <f t="shared" si="450"/>
        <v>2.2040846292645098</v>
      </c>
      <c r="BB562">
        <f t="shared" si="462"/>
        <v>6.8645653182679167</v>
      </c>
      <c r="BC562">
        <f t="shared" si="463"/>
        <v>-1.1013576385285664</v>
      </c>
      <c r="BD562">
        <f t="shared" si="451"/>
        <v>-243.10314449428762</v>
      </c>
      <c r="BF562">
        <f t="shared" si="452"/>
        <v>-51.94912426468278</v>
      </c>
      <c r="BG562">
        <f t="shared" si="453"/>
        <v>-230.59901489658751</v>
      </c>
      <c r="BH562">
        <f t="shared" si="464"/>
        <v>-50.599014896587505</v>
      </c>
      <c r="BI562">
        <f t="shared" si="465"/>
        <v>-50.599014896587505</v>
      </c>
      <c r="BJ562">
        <f t="shared" si="454"/>
        <v>0</v>
      </c>
      <c r="BK562">
        <f t="shared" si="466"/>
        <v>0</v>
      </c>
      <c r="BM562">
        <f t="shared" si="467"/>
        <v>-58.813689582950701</v>
      </c>
      <c r="BN562">
        <f t="shared" si="455"/>
        <v>-167.49587040229991</v>
      </c>
      <c r="BQ562" s="56">
        <f t="shared" si="468"/>
        <v>23.766526118553056</v>
      </c>
    </row>
    <row r="563" spans="1:69" x14ac:dyDescent="0.2">
      <c r="A563">
        <f t="shared" si="472"/>
        <v>1745000</v>
      </c>
      <c r="B563">
        <f t="shared" si="456"/>
        <v>1745</v>
      </c>
      <c r="C563">
        <f t="shared" si="425"/>
        <v>1.0237602782470088</v>
      </c>
      <c r="D563">
        <f t="shared" si="426"/>
        <v>0.21586646220377068</v>
      </c>
      <c r="F563">
        <f t="shared" si="427"/>
        <v>7.4231880556611067E-5</v>
      </c>
      <c r="G563">
        <f t="shared" si="428"/>
        <v>2.9628246791736212E-3</v>
      </c>
      <c r="H563">
        <f t="shared" si="429"/>
        <v>-3.1386298253208267</v>
      </c>
      <c r="J563">
        <f t="shared" si="430"/>
        <v>15</v>
      </c>
      <c r="M563">
        <f t="shared" si="431"/>
        <v>1.0400656749134747E-3</v>
      </c>
      <c r="N563">
        <f t="shared" si="432"/>
        <v>-1.5707963250000001</v>
      </c>
      <c r="O563">
        <f t="shared" si="433"/>
        <v>208.24466054884783</v>
      </c>
      <c r="P563">
        <f t="shared" si="434"/>
        <v>1.565994264448255</v>
      </c>
      <c r="Q563">
        <f t="shared" si="435"/>
        <v>135.92020979627384</v>
      </c>
      <c r="R563">
        <f t="shared" si="436"/>
        <v>1.5634390027938625</v>
      </c>
      <c r="S563">
        <f t="shared" si="437"/>
        <v>0.97579593541548282</v>
      </c>
      <c r="T563">
        <f t="shared" si="438"/>
        <v>-0.22046468738955782</v>
      </c>
      <c r="U563">
        <f t="shared" si="439"/>
        <v>0.2698233374133065</v>
      </c>
      <c r="V563">
        <f t="shared" si="440"/>
        <v>-1.2975867674668857</v>
      </c>
      <c r="X563">
        <f t="shared" si="457"/>
        <v>-41.075256277895029</v>
      </c>
      <c r="Y563">
        <f t="shared" si="441"/>
        <v>-165.13662827408535</v>
      </c>
      <c r="Z563">
        <f t="shared" si="458"/>
        <v>14.863371725914647</v>
      </c>
      <c r="AC563">
        <v>1</v>
      </c>
      <c r="AD563">
        <f t="shared" si="442"/>
        <v>208.2422595130605</v>
      </c>
      <c r="AE563">
        <f t="shared" si="443"/>
        <v>-0.15525767535424256</v>
      </c>
      <c r="AF563">
        <f t="shared" si="444"/>
        <v>4.3505780326848008E-2</v>
      </c>
      <c r="AG563">
        <f t="shared" si="473"/>
        <v>342.51048263885713</v>
      </c>
      <c r="AH563">
        <f t="shared" si="474"/>
        <v>-1245.2915661309264</v>
      </c>
      <c r="AJ563">
        <f t="shared" si="445"/>
        <v>22100</v>
      </c>
      <c r="AK563">
        <f t="shared" si="446"/>
        <v>4952.7734658178151</v>
      </c>
      <c r="AL563">
        <v>1</v>
      </c>
      <c r="AM563">
        <f t="shared" si="447"/>
        <v>135.91653111767937</v>
      </c>
      <c r="AN563">
        <f t="shared" si="475"/>
        <v>37.634100331848607</v>
      </c>
      <c r="AO563">
        <f t="shared" si="476"/>
        <v>-162.32290302175306</v>
      </c>
      <c r="AQ563">
        <f t="shared" si="448"/>
        <v>8.2101125434017334E-4</v>
      </c>
      <c r="AR563">
        <f t="shared" si="449"/>
        <v>-2.8653292776472052</v>
      </c>
      <c r="AT563">
        <f t="shared" si="470"/>
        <v>-3567.8891786811082</v>
      </c>
      <c r="AU563">
        <f t="shared" si="471"/>
        <v>-982.42771219692054</v>
      </c>
      <c r="AV563">
        <f t="shared" si="459"/>
        <v>-2.8728986236649758</v>
      </c>
      <c r="AW563">
        <f t="shared" si="460"/>
        <v>-333.26922933371122</v>
      </c>
      <c r="AX563">
        <f t="shared" si="461"/>
        <v>-1650.0351753114032</v>
      </c>
      <c r="AY563">
        <f t="shared" si="469"/>
        <v>-1.7700921669544429</v>
      </c>
      <c r="BA563">
        <f t="shared" si="450"/>
        <v>2.198392495772584</v>
      </c>
      <c r="BB563">
        <f t="shared" si="462"/>
        <v>6.842104658297643</v>
      </c>
      <c r="BC563">
        <f t="shared" si="463"/>
        <v>-1.1028064567105329</v>
      </c>
      <c r="BD563">
        <f t="shared" si="451"/>
        <v>-243.18615566149097</v>
      </c>
      <c r="BF563">
        <f t="shared" si="452"/>
        <v>-52.020295402839096</v>
      </c>
      <c r="BG563">
        <f t="shared" si="453"/>
        <v>-230.64816107491399</v>
      </c>
      <c r="BH563">
        <f t="shared" si="464"/>
        <v>-50.648161074913986</v>
      </c>
      <c r="BI563">
        <f t="shared" si="465"/>
        <v>-50.648161074913986</v>
      </c>
      <c r="BJ563">
        <f t="shared" si="454"/>
        <v>0</v>
      </c>
      <c r="BK563">
        <f t="shared" si="466"/>
        <v>0</v>
      </c>
      <c r="BM563">
        <f t="shared" si="467"/>
        <v>-58.862400061136746</v>
      </c>
      <c r="BN563">
        <f t="shared" si="455"/>
        <v>-167.46200541342304</v>
      </c>
      <c r="BQ563" s="56">
        <f t="shared" si="468"/>
        <v>23.744065458582778</v>
      </c>
    </row>
    <row r="564" spans="1:69" x14ac:dyDescent="0.2">
      <c r="A564">
        <f t="shared" si="472"/>
        <v>1750000</v>
      </c>
      <c r="B564">
        <f t="shared" si="456"/>
        <v>1750</v>
      </c>
      <c r="C564">
        <f t="shared" si="425"/>
        <v>1.023895044159711</v>
      </c>
      <c r="D564">
        <f t="shared" si="426"/>
        <v>0.21646587523180646</v>
      </c>
      <c r="F564">
        <f t="shared" si="427"/>
        <v>7.3808274824530533E-5</v>
      </c>
      <c r="G564">
        <f t="shared" si="428"/>
        <v>2.9543582590455348E-3</v>
      </c>
      <c r="H564">
        <f t="shared" si="429"/>
        <v>-3.1386382917409548</v>
      </c>
      <c r="J564">
        <f t="shared" si="430"/>
        <v>15</v>
      </c>
      <c r="M564">
        <f t="shared" si="431"/>
        <v>1.0370940586994363E-3</v>
      </c>
      <c r="N564">
        <f t="shared" si="432"/>
        <v>-1.5707963250000001</v>
      </c>
      <c r="O564">
        <f t="shared" si="433"/>
        <v>208.84133638083884</v>
      </c>
      <c r="P564">
        <f t="shared" si="434"/>
        <v>1.5660079844163692</v>
      </c>
      <c r="Q564">
        <f t="shared" si="435"/>
        <v>136.3096449339485</v>
      </c>
      <c r="R564">
        <f t="shared" si="436"/>
        <v>1.5634600229642577</v>
      </c>
      <c r="S564">
        <f t="shared" si="437"/>
        <v>0.97566206138453304</v>
      </c>
      <c r="T564">
        <f t="shared" si="438"/>
        <v>-0.22107603639955864</v>
      </c>
      <c r="U564">
        <f t="shared" si="439"/>
        <v>0.26910831752268499</v>
      </c>
      <c r="V564">
        <f t="shared" si="440"/>
        <v>-1.2983292519130234</v>
      </c>
      <c r="X564">
        <f t="shared" si="457"/>
        <v>-41.123210208536783</v>
      </c>
      <c r="Y564">
        <f t="shared" si="441"/>
        <v>-165.17834800746638</v>
      </c>
      <c r="Z564">
        <f t="shared" si="458"/>
        <v>14.821651992533617</v>
      </c>
      <c r="AC564">
        <v>1</v>
      </c>
      <c r="AD564">
        <f t="shared" si="442"/>
        <v>208.838942205075</v>
      </c>
      <c r="AE564">
        <f t="shared" si="443"/>
        <v>-0.15614867883592676</v>
      </c>
      <c r="AF564">
        <f t="shared" si="444"/>
        <v>4.3630438723200007E-2</v>
      </c>
      <c r="AG564">
        <f t="shared" si="473"/>
        <v>340.69761262763291</v>
      </c>
      <c r="AH564">
        <f t="shared" si="474"/>
        <v>-1242.2401351086862</v>
      </c>
      <c r="AJ564">
        <f t="shared" si="445"/>
        <v>22100</v>
      </c>
      <c r="AK564">
        <f t="shared" si="446"/>
        <v>4966.9647938001008</v>
      </c>
      <c r="AL564">
        <v>1</v>
      </c>
      <c r="AM564">
        <f t="shared" si="447"/>
        <v>136.30597676558102</v>
      </c>
      <c r="AN564">
        <f t="shared" si="475"/>
        <v>37.627285969364458</v>
      </c>
      <c r="AO564">
        <f t="shared" si="476"/>
        <v>-161.85917329196428</v>
      </c>
      <c r="AQ564">
        <f t="shared" si="448"/>
        <v>8.163264639733499E-4</v>
      </c>
      <c r="AR564">
        <f t="shared" si="449"/>
        <v>-2.8571426239067246</v>
      </c>
      <c r="AT564">
        <f t="shared" si="470"/>
        <v>-3548.9791186692751</v>
      </c>
      <c r="AU564">
        <f t="shared" si="471"/>
        <v>-974.43574439857093</v>
      </c>
      <c r="AV564">
        <f t="shared" si="459"/>
        <v>-2.8736282068085073</v>
      </c>
      <c r="AW564">
        <f t="shared" si="460"/>
        <v>-331.12196133112326</v>
      </c>
      <c r="AX564">
        <f t="shared" si="461"/>
        <v>-1645.4360424820868</v>
      </c>
      <c r="AY564">
        <f t="shared" si="469"/>
        <v>-1.7693806457204264</v>
      </c>
      <c r="BA564">
        <f t="shared" si="450"/>
        <v>2.1927276513469498</v>
      </c>
      <c r="BB564">
        <f t="shared" si="462"/>
        <v>6.819693865995986</v>
      </c>
      <c r="BC564">
        <f t="shared" si="463"/>
        <v>-1.1042475610880809</v>
      </c>
      <c r="BD564">
        <f t="shared" si="451"/>
        <v>-243.26872486025664</v>
      </c>
      <c r="BF564">
        <f t="shared" si="452"/>
        <v>-52.09127104693988</v>
      </c>
      <c r="BG564">
        <f t="shared" si="453"/>
        <v>-230.69687152709028</v>
      </c>
      <c r="BH564">
        <f t="shared" si="464"/>
        <v>-50.696871527090281</v>
      </c>
      <c r="BI564">
        <f t="shared" si="465"/>
        <v>-50.696871527090281</v>
      </c>
      <c r="BJ564">
        <f t="shared" si="454"/>
        <v>0</v>
      </c>
      <c r="BK564">
        <f t="shared" si="466"/>
        <v>0</v>
      </c>
      <c r="BM564">
        <f t="shared" si="467"/>
        <v>-58.910964912935867</v>
      </c>
      <c r="BN564">
        <f t="shared" si="455"/>
        <v>-167.4281466668337</v>
      </c>
      <c r="BQ564" s="56">
        <f t="shared" si="468"/>
        <v>23.721654666281125</v>
      </c>
    </row>
    <row r="565" spans="1:69" x14ac:dyDescent="0.2">
      <c r="A565">
        <f t="shared" si="472"/>
        <v>1755000</v>
      </c>
      <c r="B565">
        <f t="shared" si="456"/>
        <v>1755</v>
      </c>
      <c r="C565">
        <f t="shared" si="425"/>
        <v>1.0240301778568788</v>
      </c>
      <c r="D565">
        <f t="shared" si="426"/>
        <v>0.21706513027488708</v>
      </c>
      <c r="F565">
        <f t="shared" si="427"/>
        <v>7.3388284828962956E-5</v>
      </c>
      <c r="G565">
        <f t="shared" si="428"/>
        <v>2.9459400908986477E-3</v>
      </c>
      <c r="H565">
        <f t="shared" si="429"/>
        <v>-3.1386467099091018</v>
      </c>
      <c r="J565">
        <f t="shared" si="430"/>
        <v>15</v>
      </c>
      <c r="M565">
        <f t="shared" si="431"/>
        <v>1.0341393747715177E-3</v>
      </c>
      <c r="N565">
        <f t="shared" si="432"/>
        <v>-1.5707963250000001</v>
      </c>
      <c r="O565">
        <f t="shared" si="433"/>
        <v>209.43801225191763</v>
      </c>
      <c r="P565">
        <f t="shared" si="434"/>
        <v>1.5660216262098143</v>
      </c>
      <c r="Q565">
        <f t="shared" si="435"/>
        <v>136.69908013150805</v>
      </c>
      <c r="R565">
        <f t="shared" si="436"/>
        <v>1.5634809233680298</v>
      </c>
      <c r="S565">
        <f t="shared" si="437"/>
        <v>0.97552785963106037</v>
      </c>
      <c r="T565">
        <f t="shared" si="438"/>
        <v>-0.22168721745652761</v>
      </c>
      <c r="U565">
        <f t="shared" si="439"/>
        <v>0.26839693036700224</v>
      </c>
      <c r="V565">
        <f t="shared" si="440"/>
        <v>-1.2990678112530194</v>
      </c>
      <c r="X565">
        <f t="shared" si="457"/>
        <v>-41.171037055733805</v>
      </c>
      <c r="Y565">
        <f t="shared" si="441"/>
        <v>-165.21985085426817</v>
      </c>
      <c r="Z565">
        <f t="shared" si="458"/>
        <v>14.780149145731826</v>
      </c>
      <c r="AC565">
        <v>1</v>
      </c>
      <c r="AD565">
        <f t="shared" si="442"/>
        <v>209.43562489708953</v>
      </c>
      <c r="AE565">
        <f t="shared" si="443"/>
        <v>-0.15704223168379602</v>
      </c>
      <c r="AF565">
        <f t="shared" si="444"/>
        <v>4.3755097119552007E-2</v>
      </c>
      <c r="AG565">
        <f t="shared" si="473"/>
        <v>338.89872689752218</v>
      </c>
      <c r="AH565">
        <f t="shared" si="474"/>
        <v>-1239.2021948582378</v>
      </c>
      <c r="AJ565">
        <f t="shared" si="445"/>
        <v>22100</v>
      </c>
      <c r="AK565">
        <f t="shared" si="446"/>
        <v>4981.1561217823864</v>
      </c>
      <c r="AL565">
        <v>1</v>
      </c>
      <c r="AM565">
        <f t="shared" si="447"/>
        <v>136.69542241348267</v>
      </c>
      <c r="AN565">
        <f t="shared" si="475"/>
        <v>37.620529762133003</v>
      </c>
      <c r="AO565">
        <f t="shared" si="476"/>
        <v>-161.39808547138145</v>
      </c>
      <c r="AQ565">
        <f t="shared" si="448"/>
        <v>8.1168165747991835E-4</v>
      </c>
      <c r="AR565">
        <f t="shared" si="449"/>
        <v>-2.8490026177545134</v>
      </c>
      <c r="AT565">
        <f t="shared" si="470"/>
        <v>-3530.2152191978921</v>
      </c>
      <c r="AU565">
        <f t="shared" si="471"/>
        <v>-966.52919777618797</v>
      </c>
      <c r="AV565">
        <f t="shared" si="459"/>
        <v>-2.8743539383558061</v>
      </c>
      <c r="AW565">
        <f t="shared" si="460"/>
        <v>-328.99341579398475</v>
      </c>
      <c r="AX565">
        <f t="shared" si="461"/>
        <v>-1640.8622454323288</v>
      </c>
      <c r="AY565">
        <f t="shared" si="469"/>
        <v>-1.7686729234051803</v>
      </c>
      <c r="BA565">
        <f t="shared" si="450"/>
        <v>2.187089920115052</v>
      </c>
      <c r="BB565">
        <f t="shared" si="462"/>
        <v>6.7973327801581291</v>
      </c>
      <c r="BC565">
        <f t="shared" si="463"/>
        <v>-1.1056810149506258</v>
      </c>
      <c r="BD565">
        <f t="shared" si="451"/>
        <v>-243.35085571680105</v>
      </c>
      <c r="BF565">
        <f t="shared" si="452"/>
        <v>-52.162052174794752</v>
      </c>
      <c r="BG565">
        <f t="shared" si="453"/>
        <v>-230.74514992428161</v>
      </c>
      <c r="BH565">
        <f t="shared" si="464"/>
        <v>-50.745149924281606</v>
      </c>
      <c r="BI565">
        <f t="shared" si="465"/>
        <v>-50.745149924281606</v>
      </c>
      <c r="BJ565">
        <f t="shared" si="454"/>
        <v>0</v>
      </c>
      <c r="BK565">
        <f t="shared" si="466"/>
        <v>0</v>
      </c>
      <c r="BM565">
        <f t="shared" si="467"/>
        <v>-58.959384954952874</v>
      </c>
      <c r="BN565">
        <f t="shared" si="455"/>
        <v>-167.39429420748058</v>
      </c>
      <c r="BQ565" s="56">
        <f t="shared" si="468"/>
        <v>23.699293580443268</v>
      </c>
    </row>
    <row r="566" spans="1:69" x14ac:dyDescent="0.2">
      <c r="A566">
        <f t="shared" si="472"/>
        <v>1760000</v>
      </c>
      <c r="B566">
        <f t="shared" si="456"/>
        <v>1760</v>
      </c>
      <c r="C566">
        <f t="shared" si="425"/>
        <v>1.0241656791929297</v>
      </c>
      <c r="D566">
        <f t="shared" si="426"/>
        <v>0.21766422696524096</v>
      </c>
      <c r="F566">
        <f t="shared" si="427"/>
        <v>7.2971869535685496E-5</v>
      </c>
      <c r="G566">
        <f t="shared" si="428"/>
        <v>2.9375697633782496E-3</v>
      </c>
      <c r="H566">
        <f t="shared" si="429"/>
        <v>-3.1386550802366218</v>
      </c>
      <c r="J566">
        <f t="shared" si="430"/>
        <v>15</v>
      </c>
      <c r="M566">
        <f t="shared" si="431"/>
        <v>1.031201478820462E-3</v>
      </c>
      <c r="N566">
        <f t="shared" si="432"/>
        <v>-1.5707963250000001</v>
      </c>
      <c r="O566">
        <f t="shared" si="433"/>
        <v>210.03468816175106</v>
      </c>
      <c r="P566">
        <f t="shared" si="434"/>
        <v>1.5660351904948313</v>
      </c>
      <c r="Q566">
        <f t="shared" si="435"/>
        <v>137.08851538844218</v>
      </c>
      <c r="R566">
        <f t="shared" si="436"/>
        <v>1.5635017050258448</v>
      </c>
      <c r="S566">
        <f t="shared" si="437"/>
        <v>0.97539333059099842</v>
      </c>
      <c r="T566">
        <f t="shared" si="438"/>
        <v>-0.22229823017325115</v>
      </c>
      <c r="U566">
        <f t="shared" si="439"/>
        <v>0.26768914953193318</v>
      </c>
      <c r="V566">
        <f t="shared" si="440"/>
        <v>-1.2998024757302578</v>
      </c>
      <c r="X566">
        <f t="shared" si="457"/>
        <v>-41.218737470189623</v>
      </c>
      <c r="Y566">
        <f t="shared" si="441"/>
        <v>-165.26113847311123</v>
      </c>
      <c r="Z566">
        <f t="shared" si="458"/>
        <v>14.738861526888769</v>
      </c>
      <c r="AC566">
        <v>1</v>
      </c>
      <c r="AD566">
        <f t="shared" si="442"/>
        <v>210.03230758910399</v>
      </c>
      <c r="AE566">
        <f t="shared" si="443"/>
        <v>-0.15793833389785036</v>
      </c>
      <c r="AF566">
        <f t="shared" si="444"/>
        <v>4.3879755515904006E-2</v>
      </c>
      <c r="AG566">
        <f t="shared" si="473"/>
        <v>337.11368597215824</v>
      </c>
      <c r="AH566">
        <f t="shared" si="474"/>
        <v>-1236.1776691519083</v>
      </c>
      <c r="AJ566">
        <f t="shared" si="445"/>
        <v>22100</v>
      </c>
      <c r="AK566">
        <f t="shared" si="446"/>
        <v>4995.347449764673</v>
      </c>
      <c r="AL566">
        <v>1</v>
      </c>
      <c r="AM566">
        <f t="shared" si="447"/>
        <v>137.08486806138433</v>
      </c>
      <c r="AN566">
        <f t="shared" si="475"/>
        <v>37.613831050297392</v>
      </c>
      <c r="AO566">
        <f t="shared" si="476"/>
        <v>-160.93961704854638</v>
      </c>
      <c r="AQ566">
        <f t="shared" si="448"/>
        <v>8.0707638114375794E-4</v>
      </c>
      <c r="AR566">
        <f t="shared" si="449"/>
        <v>-2.8409088616260281</v>
      </c>
      <c r="AT566">
        <f t="shared" si="470"/>
        <v>-3511.5960183441562</v>
      </c>
      <c r="AU566">
        <f t="shared" si="471"/>
        <v>-958.70694765338817</v>
      </c>
      <c r="AV566">
        <f t="shared" si="459"/>
        <v>-2.8750758479237715</v>
      </c>
      <c r="AW566">
        <f t="shared" si="460"/>
        <v>-326.8833751613127</v>
      </c>
      <c r="AX566">
        <f t="shared" si="461"/>
        <v>-1636.3135766520609</v>
      </c>
      <c r="AY566">
        <f t="shared" si="469"/>
        <v>-1.7679689670138747</v>
      </c>
      <c r="BA566">
        <f t="shared" si="450"/>
        <v>2.1814791274295708</v>
      </c>
      <c r="BB566">
        <f t="shared" si="462"/>
        <v>6.7750212395530252</v>
      </c>
      <c r="BC566">
        <f t="shared" si="463"/>
        <v>-1.1071068809098967</v>
      </c>
      <c r="BD566">
        <f t="shared" si="451"/>
        <v>-243.432551818512</v>
      </c>
      <c r="BF566">
        <f t="shared" si="452"/>
        <v>-52.232639757293519</v>
      </c>
      <c r="BG566">
        <f t="shared" si="453"/>
        <v>-230.7929998985164</v>
      </c>
      <c r="BH566">
        <f t="shared" si="464"/>
        <v>-50.792999898516399</v>
      </c>
      <c r="BI566">
        <f t="shared" si="465"/>
        <v>-50.792999898516399</v>
      </c>
      <c r="BJ566">
        <f t="shared" si="454"/>
        <v>0</v>
      </c>
      <c r="BK566">
        <f t="shared" si="466"/>
        <v>0</v>
      </c>
      <c r="BM566">
        <f t="shared" si="467"/>
        <v>-59.007660996846539</v>
      </c>
      <c r="BN566">
        <f t="shared" si="455"/>
        <v>-167.3604480800044</v>
      </c>
      <c r="BQ566" s="56">
        <f t="shared" si="468"/>
        <v>23.676982039838165</v>
      </c>
    </row>
    <row r="567" spans="1:69" x14ac:dyDescent="0.2">
      <c r="A567">
        <f t="shared" si="472"/>
        <v>1765000</v>
      </c>
      <c r="B567">
        <f t="shared" si="456"/>
        <v>1765</v>
      </c>
      <c r="C567">
        <f t="shared" si="425"/>
        <v>1.024301548021963</v>
      </c>
      <c r="D567">
        <f t="shared" si="426"/>
        <v>0.21826316493574568</v>
      </c>
      <c r="F567">
        <f t="shared" si="427"/>
        <v>7.2558988490952034E-5</v>
      </c>
      <c r="G567">
        <f t="shared" si="428"/>
        <v>2.9292468697925162E-3</v>
      </c>
      <c r="H567">
        <f t="shared" si="429"/>
        <v>-3.1386634031302076</v>
      </c>
      <c r="J567">
        <f t="shared" si="430"/>
        <v>15</v>
      </c>
      <c r="M567">
        <f t="shared" si="431"/>
        <v>1.0282802281722455E-3</v>
      </c>
      <c r="N567">
        <f t="shared" si="432"/>
        <v>-1.5707963250000001</v>
      </c>
      <c r="O567">
        <f t="shared" si="433"/>
        <v>210.63136411000983</v>
      </c>
      <c r="P567">
        <f t="shared" si="434"/>
        <v>1.5660486779301124</v>
      </c>
      <c r="Q567">
        <f t="shared" si="435"/>
        <v>137.4779507042463</v>
      </c>
      <c r="R567">
        <f t="shared" si="436"/>
        <v>1.5635223689468036</v>
      </c>
      <c r="S567">
        <f t="shared" si="437"/>
        <v>0.97525847470101568</v>
      </c>
      <c r="T567">
        <f t="shared" si="438"/>
        <v>-0.22290907416323172</v>
      </c>
      <c r="U567">
        <f t="shared" si="439"/>
        <v>0.26698494884527169</v>
      </c>
      <c r="V567">
        <f t="shared" si="440"/>
        <v>-1.3005332752867973</v>
      </c>
      <c r="X567">
        <f t="shared" si="457"/>
        <v>-41.266312097791022</v>
      </c>
      <c r="Y567">
        <f t="shared" si="441"/>
        <v>-165.30221250618328</v>
      </c>
      <c r="Z567">
        <f t="shared" si="458"/>
        <v>14.697787493816719</v>
      </c>
      <c r="AC567">
        <v>1</v>
      </c>
      <c r="AD567">
        <f t="shared" si="442"/>
        <v>210.62899028111849</v>
      </c>
      <c r="AE567">
        <f t="shared" si="443"/>
        <v>-0.15883698547808978</v>
      </c>
      <c r="AF567">
        <f t="shared" si="444"/>
        <v>4.4004413912256006E-2</v>
      </c>
      <c r="AG567">
        <f t="shared" si="473"/>
        <v>335.34235205592984</v>
      </c>
      <c r="AH567">
        <f t="shared" si="474"/>
        <v>-1233.1664821601566</v>
      </c>
      <c r="AJ567">
        <f t="shared" si="445"/>
        <v>22100</v>
      </c>
      <c r="AK567">
        <f t="shared" si="446"/>
        <v>5009.5387777469587</v>
      </c>
      <c r="AL567">
        <v>1</v>
      </c>
      <c r="AM567">
        <f t="shared" si="447"/>
        <v>137.47431370928598</v>
      </c>
      <c r="AN567">
        <f t="shared" si="475"/>
        <v>37.607189183332935</v>
      </c>
      <c r="AO567">
        <f t="shared" si="476"/>
        <v>-160.48374576702045</v>
      </c>
      <c r="AQ567">
        <f t="shared" si="448"/>
        <v>8.0251018766620483E-4</v>
      </c>
      <c r="AR567">
        <f t="shared" si="449"/>
        <v>-2.8328609624617034</v>
      </c>
      <c r="AT567">
        <f t="shared" si="470"/>
        <v>-3493.1200718738537</v>
      </c>
      <c r="AU567">
        <f t="shared" si="471"/>
        <v>-950.9678868643548</v>
      </c>
      <c r="AV567">
        <f t="shared" si="459"/>
        <v>-2.8757939648350757</v>
      </c>
      <c r="AW567">
        <f t="shared" si="460"/>
        <v>-324.79162502696778</v>
      </c>
      <c r="AX567">
        <f t="shared" si="461"/>
        <v>-1631.7898308854597</v>
      </c>
      <c r="AY567">
        <f t="shared" si="469"/>
        <v>-1.7672687439263104</v>
      </c>
      <c r="BA567">
        <f t="shared" si="450"/>
        <v>2.1758950998633146</v>
      </c>
      <c r="BB567">
        <f t="shared" si="462"/>
        <v>6.752759082943224</v>
      </c>
      <c r="BC567">
        <f t="shared" si="463"/>
        <v>-1.1085252209087653</v>
      </c>
      <c r="BD567">
        <f t="shared" si="451"/>
        <v>-243.51381671445461</v>
      </c>
      <c r="BF567">
        <f t="shared" si="452"/>
        <v>-52.303034758465216</v>
      </c>
      <c r="BG567">
        <f t="shared" si="453"/>
        <v>-230.84042504319612</v>
      </c>
      <c r="BH567">
        <f t="shared" si="464"/>
        <v>-50.84042504319612</v>
      </c>
      <c r="BI567">
        <f t="shared" si="465"/>
        <v>-50.84042504319612</v>
      </c>
      <c r="BJ567">
        <f t="shared" si="454"/>
        <v>0</v>
      </c>
      <c r="BK567">
        <f t="shared" si="466"/>
        <v>0</v>
      </c>
      <c r="BM567">
        <f t="shared" si="467"/>
        <v>-59.055793841408438</v>
      </c>
      <c r="BN567">
        <f t="shared" si="455"/>
        <v>-167.32660832874151</v>
      </c>
      <c r="BQ567" s="56">
        <f t="shared" si="468"/>
        <v>23.65471988322836</v>
      </c>
    </row>
    <row r="568" spans="1:69" x14ac:dyDescent="0.2">
      <c r="A568">
        <f t="shared" si="472"/>
        <v>1770000</v>
      </c>
      <c r="B568">
        <f t="shared" si="456"/>
        <v>1770</v>
      </c>
      <c r="C568">
        <f t="shared" si="425"/>
        <v>1.0244377841977592</v>
      </c>
      <c r="D568">
        <f t="shared" si="426"/>
        <v>0.21886194381992879</v>
      </c>
      <c r="F568">
        <f t="shared" si="427"/>
        <v>7.2149601811666978E-5</v>
      </c>
      <c r="G568">
        <f t="shared" si="428"/>
        <v>2.9209710080466151E-3</v>
      </c>
      <c r="H568">
        <f t="shared" si="429"/>
        <v>-3.1386716789919538</v>
      </c>
      <c r="J568">
        <f t="shared" si="430"/>
        <v>15</v>
      </c>
      <c r="M568">
        <f t="shared" si="431"/>
        <v>1.0253754817649793E-3</v>
      </c>
      <c r="N568">
        <f t="shared" si="432"/>
        <v>-1.5707963250000001</v>
      </c>
      <c r="O568">
        <f t="shared" si="433"/>
        <v>211.22804009636823</v>
      </c>
      <c r="P568">
        <f t="shared" si="434"/>
        <v>1.5660620891669068</v>
      </c>
      <c r="Q568">
        <f t="shared" si="435"/>
        <v>137.86738607842156</v>
      </c>
      <c r="R568">
        <f t="shared" si="436"/>
        <v>1.5635429161286056</v>
      </c>
      <c r="S568">
        <f t="shared" si="437"/>
        <v>0.97512329239851236</v>
      </c>
      <c r="T568">
        <f t="shared" si="438"/>
        <v>-0.22351974904068889</v>
      </c>
      <c r="U568">
        <f t="shared" si="439"/>
        <v>0.2662843023743533</v>
      </c>
      <c r="V568">
        <f t="shared" si="440"/>
        <v>-1.301260239566999</v>
      </c>
      <c r="X568">
        <f t="shared" si="457"/>
        <v>-41.313761579653878</v>
      </c>
      <c r="Y568">
        <f t="shared" si="441"/>
        <v>-165.34307457943541</v>
      </c>
      <c r="Z568">
        <f t="shared" si="458"/>
        <v>14.65692542056459</v>
      </c>
      <c r="AC568">
        <v>1</v>
      </c>
      <c r="AD568">
        <f t="shared" si="442"/>
        <v>211.22567297313302</v>
      </c>
      <c r="AE568">
        <f t="shared" si="443"/>
        <v>-0.15973818642451426</v>
      </c>
      <c r="AF568">
        <f t="shared" si="444"/>
        <v>4.4129072308608012E-2</v>
      </c>
      <c r="AG568">
        <f t="shared" si="473"/>
        <v>333.58458901061317</v>
      </c>
      <c r="AH568">
        <f t="shared" si="474"/>
        <v>-1230.1685584524057</v>
      </c>
      <c r="AJ568">
        <f t="shared" si="445"/>
        <v>22100</v>
      </c>
      <c r="AK568">
        <f t="shared" si="446"/>
        <v>5023.7301057292452</v>
      </c>
      <c r="AL568">
        <v>1</v>
      </c>
      <c r="AM568">
        <f t="shared" si="447"/>
        <v>137.86375935718766</v>
      </c>
      <c r="AN568">
        <f t="shared" si="475"/>
        <v>37.600603519889205</v>
      </c>
      <c r="AO568">
        <f t="shared" si="476"/>
        <v>-160.03044962178356</v>
      </c>
      <c r="AQ568">
        <f t="shared" si="448"/>
        <v>7.9798263605743592E-4</v>
      </c>
      <c r="AR568">
        <f t="shared" si="449"/>
        <v>-2.824858531643323</v>
      </c>
      <c r="AT568">
        <f t="shared" si="470"/>
        <v>-3474.7859529939597</v>
      </c>
      <c r="AU568">
        <f t="shared" si="471"/>
        <v>-943.31092544043099</v>
      </c>
      <c r="AV568">
        <f t="shared" si="459"/>
        <v>-2.8765083181216928</v>
      </c>
      <c r="AW568">
        <f t="shared" si="460"/>
        <v>-322.7179540849084</v>
      </c>
      <c r="AX568">
        <f t="shared" si="461"/>
        <v>-1627.2908051003701</v>
      </c>
      <c r="AY568">
        <f t="shared" si="469"/>
        <v>-1.7665722218917514</v>
      </c>
      <c r="BA568">
        <f t="shared" si="450"/>
        <v>2.1703376652039807</v>
      </c>
      <c r="BB568">
        <f t="shared" si="462"/>
        <v>6.7305461491041161</v>
      </c>
      <c r="BC568">
        <f t="shared" si="463"/>
        <v>-1.1099360962299414</v>
      </c>
      <c r="BD568">
        <f t="shared" si="451"/>
        <v>-243.59465391586954</v>
      </c>
      <c r="BF568">
        <f t="shared" si="452"/>
        <v>-52.373238135536624</v>
      </c>
      <c r="BG568">
        <f t="shared" si="453"/>
        <v>-230.88742891359701</v>
      </c>
      <c r="BH568">
        <f t="shared" si="464"/>
        <v>-50.887428913597006</v>
      </c>
      <c r="BI568">
        <f t="shared" si="465"/>
        <v>-50.887428913597006</v>
      </c>
      <c r="BJ568">
        <f t="shared" si="454"/>
        <v>0</v>
      </c>
      <c r="BK568">
        <f t="shared" si="466"/>
        <v>0</v>
      </c>
      <c r="BM568">
        <f t="shared" si="467"/>
        <v>-59.103784284640746</v>
      </c>
      <c r="BN568">
        <f t="shared" si="455"/>
        <v>-167.29277499772749</v>
      </c>
      <c r="BQ568" s="56">
        <f t="shared" si="468"/>
        <v>23.632506949389253</v>
      </c>
    </row>
    <row r="569" spans="1:69" x14ac:dyDescent="0.2">
      <c r="A569">
        <f t="shared" si="472"/>
        <v>1775000</v>
      </c>
      <c r="B569">
        <f t="shared" si="456"/>
        <v>1775</v>
      </c>
      <c r="C569">
        <f t="shared" si="425"/>
        <v>1.0245743875737818</v>
      </c>
      <c r="D569">
        <f t="shared" si="426"/>
        <v>0.21946056325196872</v>
      </c>
      <c r="F569">
        <f t="shared" si="427"/>
        <v>7.1743670175752574E-5</v>
      </c>
      <c r="G569">
        <f t="shared" si="428"/>
        <v>2.9127417805779377E-3</v>
      </c>
      <c r="H569">
        <f t="shared" si="429"/>
        <v>-3.1386799082194221</v>
      </c>
      <c r="J569">
        <f t="shared" si="430"/>
        <v>15</v>
      </c>
      <c r="M569">
        <f t="shared" si="431"/>
        <v>1.0224871001262047E-3</v>
      </c>
      <c r="N569">
        <f t="shared" si="432"/>
        <v>-1.5707963250000001</v>
      </c>
      <c r="O569">
        <f t="shared" si="433"/>
        <v>211.82471612050438</v>
      </c>
      <c r="P569">
        <f t="shared" si="434"/>
        <v>1.5660754248491264</v>
      </c>
      <c r="Q569">
        <f t="shared" si="435"/>
        <v>138.25682151047468</v>
      </c>
      <c r="R569">
        <f t="shared" si="436"/>
        <v>1.5635633475577102</v>
      </c>
      <c r="S569">
        <f t="shared" si="437"/>
        <v>0.97498778412161624</v>
      </c>
      <c r="T569">
        <f t="shared" si="438"/>
        <v>-0.22413025442056028</v>
      </c>
      <c r="U569">
        <f t="shared" si="439"/>
        <v>0.26558718442350676</v>
      </c>
      <c r="V569">
        <f t="shared" si="440"/>
        <v>-1.3019833979211035</v>
      </c>
      <c r="X569">
        <f t="shared" si="457"/>
        <v>-41.36108655216843</v>
      </c>
      <c r="Y569">
        <f t="shared" si="441"/>
        <v>-165.3837263027753</v>
      </c>
      <c r="Z569">
        <f t="shared" si="458"/>
        <v>14.616273697224699</v>
      </c>
      <c r="AC569">
        <v>1</v>
      </c>
      <c r="AD569">
        <f t="shared" si="442"/>
        <v>211.82235566514751</v>
      </c>
      <c r="AE569">
        <f t="shared" si="443"/>
        <v>-0.16064193673712385</v>
      </c>
      <c r="AF569">
        <f t="shared" si="444"/>
        <v>4.4253730704960005E-2</v>
      </c>
      <c r="AG569">
        <f t="shared" si="473"/>
        <v>331.84026233236364</v>
      </c>
      <c r="AH569">
        <f t="shared" si="474"/>
        <v>-1227.1838229977593</v>
      </c>
      <c r="AJ569">
        <f t="shared" si="445"/>
        <v>22100</v>
      </c>
      <c r="AK569">
        <f t="shared" si="446"/>
        <v>5037.9214337115309</v>
      </c>
      <c r="AL569">
        <v>1</v>
      </c>
      <c r="AM569">
        <f t="shared" si="447"/>
        <v>138.25320500508931</v>
      </c>
      <c r="AN569">
        <f t="shared" si="475"/>
        <v>37.594073427635159</v>
      </c>
      <c r="AO569">
        <f t="shared" si="476"/>
        <v>-159.5797068556943</v>
      </c>
      <c r="AQ569">
        <f t="shared" si="448"/>
        <v>7.9349329152999073E-4</v>
      </c>
      <c r="AR569">
        <f t="shared" si="449"/>
        <v>-2.8169011849314671</v>
      </c>
      <c r="AT569">
        <f t="shared" si="470"/>
        <v>-3456.5922521090961</v>
      </c>
      <c r="AU569">
        <f t="shared" si="471"/>
        <v>-935.73499030302685</v>
      </c>
      <c r="AV569">
        <f t="shared" si="459"/>
        <v>-2.8772189365283758</v>
      </c>
      <c r="AW569">
        <f t="shared" si="460"/>
        <v>-320.66215407555103</v>
      </c>
      <c r="AX569">
        <f t="shared" si="461"/>
        <v>-1622.81629845823</v>
      </c>
      <c r="AY569">
        <f t="shared" si="469"/>
        <v>-1.7658793690238399</v>
      </c>
      <c r="BA569">
        <f t="shared" si="450"/>
        <v>2.1648066524487812</v>
      </c>
      <c r="BB569">
        <f t="shared" si="462"/>
        <v>6.7083822768425527</v>
      </c>
      <c r="BC569">
        <f t="shared" si="463"/>
        <v>-1.1113395675045359</v>
      </c>
      <c r="BD569">
        <f t="shared" si="451"/>
        <v>-243.67506689666351</v>
      </c>
      <c r="BF569">
        <f t="shared" si="452"/>
        <v>-52.443250838990345</v>
      </c>
      <c r="BG569">
        <f t="shared" si="453"/>
        <v>-230.9340150273645</v>
      </c>
      <c r="BH569">
        <f t="shared" si="464"/>
        <v>-50.934015027364495</v>
      </c>
      <c r="BI569">
        <f t="shared" si="465"/>
        <v>-50.934015027364495</v>
      </c>
      <c r="BJ569">
        <f t="shared" si="454"/>
        <v>0</v>
      </c>
      <c r="BK569">
        <f t="shared" si="466"/>
        <v>0</v>
      </c>
      <c r="BM569">
        <f t="shared" si="467"/>
        <v>-59.151633115832894</v>
      </c>
      <c r="BN569">
        <f t="shared" si="455"/>
        <v>-167.25894813070101</v>
      </c>
      <c r="BQ569" s="56">
        <f t="shared" si="468"/>
        <v>23.610343077127688</v>
      </c>
    </row>
    <row r="570" spans="1:69" x14ac:dyDescent="0.2">
      <c r="A570">
        <f t="shared" si="472"/>
        <v>1780000</v>
      </c>
      <c r="B570">
        <f t="shared" si="456"/>
        <v>1780</v>
      </c>
      <c r="C570">
        <f t="shared" si="425"/>
        <v>1.0247113580031773</v>
      </c>
      <c r="D570">
        <f t="shared" si="426"/>
        <v>0.2200590228666959</v>
      </c>
      <c r="F570">
        <f t="shared" si="427"/>
        <v>7.1341154812705238E-5</v>
      </c>
      <c r="G570">
        <f t="shared" si="428"/>
        <v>2.9045587942924155E-3</v>
      </c>
      <c r="H570">
        <f t="shared" si="429"/>
        <v>-3.1386880912057076</v>
      </c>
      <c r="J570">
        <f t="shared" si="430"/>
        <v>15</v>
      </c>
      <c r="M570">
        <f t="shared" si="431"/>
        <v>1.0196149453505694E-3</v>
      </c>
      <c r="N570">
        <f t="shared" si="432"/>
        <v>-1.5707963250000001</v>
      </c>
      <c r="O570">
        <f t="shared" si="433"/>
        <v>212.42139218209988</v>
      </c>
      <c r="P570">
        <f t="shared" si="434"/>
        <v>1.5660886856134479</v>
      </c>
      <c r="Q570">
        <f t="shared" si="435"/>
        <v>138.64625699991794</v>
      </c>
      <c r="R570">
        <f t="shared" si="436"/>
        <v>1.5635836642094931</v>
      </c>
      <c r="S570">
        <f t="shared" si="437"/>
        <v>0.97485195030917982</v>
      </c>
      <c r="T570">
        <f t="shared" si="438"/>
        <v>-0.22474058991850274</v>
      </c>
      <c r="U570">
        <f t="shared" si="439"/>
        <v>0.26489356953153609</v>
      </c>
      <c r="V570">
        <f t="shared" si="440"/>
        <v>-1.3027027794087589</v>
      </c>
      <c r="X570">
        <f t="shared" si="457"/>
        <v>-41.408287647044048</v>
      </c>
      <c r="Y570">
        <f t="shared" si="441"/>
        <v>-165.42416927025843</v>
      </c>
      <c r="Z570">
        <f t="shared" si="458"/>
        <v>14.575830729741568</v>
      </c>
      <c r="AC570">
        <v>1</v>
      </c>
      <c r="AD570">
        <f t="shared" si="442"/>
        <v>212.41903835716198</v>
      </c>
      <c r="AE570">
        <f t="shared" si="443"/>
        <v>-0.16154823641591848</v>
      </c>
      <c r="AF570">
        <f t="shared" si="444"/>
        <v>4.4378389101312005E-2</v>
      </c>
      <c r="AG570">
        <f t="shared" si="473"/>
        <v>330.1092391290652</v>
      </c>
      <c r="AH570">
        <f t="shared" si="474"/>
        <v>-1224.2122011656122</v>
      </c>
      <c r="AJ570">
        <f t="shared" si="445"/>
        <v>22100</v>
      </c>
      <c r="AK570">
        <f t="shared" si="446"/>
        <v>5052.1127616938165</v>
      </c>
      <c r="AL570">
        <v>1</v>
      </c>
      <c r="AM570">
        <f t="shared" si="447"/>
        <v>138.64265065299097</v>
      </c>
      <c r="AN570">
        <f t="shared" si="475"/>
        <v>37.587598283107432</v>
      </c>
      <c r="AO570">
        <f t="shared" si="476"/>
        <v>-159.13149595600964</v>
      </c>
      <c r="AQ570">
        <f t="shared" si="448"/>
        <v>7.8904172539438473E-4</v>
      </c>
      <c r="AR570">
        <f t="shared" si="449"/>
        <v>-2.8089885424040095</v>
      </c>
      <c r="AT570">
        <f t="shared" si="470"/>
        <v>-3438.5375765817862</v>
      </c>
      <c r="AU570">
        <f t="shared" si="471"/>
        <v>-928.23902496270603</v>
      </c>
      <c r="AV570">
        <f t="shared" si="459"/>
        <v>-2.8779258485160875</v>
      </c>
      <c r="AW570">
        <f t="shared" si="460"/>
        <v>-318.62401973320664</v>
      </c>
      <c r="AX570">
        <f t="shared" si="461"/>
        <v>-1618.3661122844842</v>
      </c>
      <c r="AY570">
        <f t="shared" si="469"/>
        <v>-1.765190153795591</v>
      </c>
      <c r="BA570">
        <f t="shared" si="450"/>
        <v>2.1593018917989575</v>
      </c>
      <c r="BB570">
        <f t="shared" si="462"/>
        <v>6.6862673050149297</v>
      </c>
      <c r="BC570">
        <f t="shared" si="463"/>
        <v>-1.1127356947204965</v>
      </c>
      <c r="BD570">
        <f t="shared" si="451"/>
        <v>-243.75505909389284</v>
      </c>
      <c r="BF570">
        <f t="shared" si="452"/>
        <v>-52.513073812622267</v>
      </c>
      <c r="BG570">
        <f t="shared" si="453"/>
        <v>-230.98018686500026</v>
      </c>
      <c r="BH570">
        <f t="shared" si="464"/>
        <v>-50.980186865000263</v>
      </c>
      <c r="BI570">
        <f t="shared" si="465"/>
        <v>-50.980186865000263</v>
      </c>
      <c r="BJ570">
        <f t="shared" si="454"/>
        <v>0</v>
      </c>
      <c r="BK570">
        <f t="shared" si="466"/>
        <v>0</v>
      </c>
      <c r="BM570">
        <f t="shared" si="467"/>
        <v>-59.199341117637196</v>
      </c>
      <c r="BN570">
        <f t="shared" si="455"/>
        <v>-167.22512777110745</v>
      </c>
      <c r="BQ570" s="56">
        <f t="shared" si="468"/>
        <v>23.588228105300068</v>
      </c>
    </row>
    <row r="571" spans="1:69" x14ac:dyDescent="0.2">
      <c r="A571">
        <f t="shared" si="472"/>
        <v>1785000</v>
      </c>
      <c r="B571">
        <f t="shared" si="456"/>
        <v>1785</v>
      </c>
      <c r="C571">
        <f t="shared" si="425"/>
        <v>1.0248486953387759</v>
      </c>
      <c r="D571">
        <f t="shared" si="426"/>
        <v>0.22065732229959362</v>
      </c>
      <c r="F571">
        <f t="shared" si="427"/>
        <v>7.0942017494337101E-5</v>
      </c>
      <c r="G571">
        <f t="shared" si="428"/>
        <v>2.896421660501909E-3</v>
      </c>
      <c r="H571">
        <f t="shared" si="429"/>
        <v>-3.1386962283394984</v>
      </c>
      <c r="J571">
        <f t="shared" si="430"/>
        <v>15</v>
      </c>
      <c r="M571">
        <f t="shared" si="431"/>
        <v>1.0167588810778786E-3</v>
      </c>
      <c r="N571">
        <f t="shared" si="432"/>
        <v>-1.5707963250000001</v>
      </c>
      <c r="O571">
        <f t="shared" si="433"/>
        <v>213.01806828083997</v>
      </c>
      <c r="P571">
        <f t="shared" si="434"/>
        <v>1.5661018720894149</v>
      </c>
      <c r="Q571">
        <f t="shared" si="435"/>
        <v>139.03569254626916</v>
      </c>
      <c r="R571">
        <f t="shared" si="436"/>
        <v>1.5636038670484029</v>
      </c>
      <c r="S571">
        <f t="shared" si="437"/>
        <v>0.97471579140077591</v>
      </c>
      <c r="T571">
        <f t="shared" si="438"/>
        <v>-0.22535075515089309</v>
      </c>
      <c r="U571">
        <f t="shared" si="439"/>
        <v>0.26420343246922956</v>
      </c>
      <c r="V571">
        <f t="shared" si="440"/>
        <v>-1.3034184128024995</v>
      </c>
      <c r="X571">
        <f t="shared" si="457"/>
        <v>-41.455365491353547</v>
      </c>
      <c r="Y571">
        <f t="shared" si="441"/>
        <v>-165.46440506027611</v>
      </c>
      <c r="Z571">
        <f t="shared" si="458"/>
        <v>14.535594939723893</v>
      </c>
      <c r="AC571">
        <v>1</v>
      </c>
      <c r="AD571">
        <f t="shared" si="442"/>
        <v>213.01572104917651</v>
      </c>
      <c r="AE571">
        <f t="shared" si="443"/>
        <v>-0.16245708546089821</v>
      </c>
      <c r="AF571">
        <f t="shared" si="444"/>
        <v>4.4503047497664004E-2</v>
      </c>
      <c r="AG571">
        <f t="shared" si="473"/>
        <v>328.39138809802682</v>
      </c>
      <c r="AH571">
        <f t="shared" si="474"/>
        <v>-1221.2536187261553</v>
      </c>
      <c r="AJ571">
        <f t="shared" si="445"/>
        <v>22100</v>
      </c>
      <c r="AK571">
        <f t="shared" si="446"/>
        <v>5066.3040896761022</v>
      </c>
      <c r="AL571">
        <v>1</v>
      </c>
      <c r="AM571">
        <f t="shared" si="447"/>
        <v>139.03209630089262</v>
      </c>
      <c r="AN571">
        <f t="shared" si="475"/>
        <v>37.581177471561432</v>
      </c>
      <c r="AO571">
        <f t="shared" si="476"/>
        <v>-158.68579565096289</v>
      </c>
      <c r="AQ571">
        <f t="shared" si="448"/>
        <v>7.8462751495676579E-4</v>
      </c>
      <c r="AR571">
        <f t="shared" si="449"/>
        <v>-2.801120228395654</v>
      </c>
      <c r="AT571">
        <f t="shared" si="470"/>
        <v>-3420.6205504964505</v>
      </c>
      <c r="AU571">
        <f t="shared" si="471"/>
        <v>-920.82198922430382</v>
      </c>
      <c r="AV571">
        <f t="shared" si="459"/>
        <v>-2.8786290822653857</v>
      </c>
      <c r="AW571">
        <f t="shared" si="460"/>
        <v>-316.60334873457418</v>
      </c>
      <c r="AX571">
        <f t="shared" si="461"/>
        <v>-1613.9400500394815</v>
      </c>
      <c r="AY571">
        <f t="shared" si="469"/>
        <v>-1.7645045450344681</v>
      </c>
      <c r="BA571">
        <f t="shared" si="450"/>
        <v>2.1538232146541758</v>
      </c>
      <c r="BB571">
        <f t="shared" si="462"/>
        <v>6.6642010725447118</v>
      </c>
      <c r="BC571">
        <f t="shared" si="463"/>
        <v>-1.1141245372309176</v>
      </c>
      <c r="BD571">
        <f t="shared" si="451"/>
        <v>-243.83463390823923</v>
      </c>
      <c r="BF571">
        <f t="shared" si="452"/>
        <v>-52.582707993598639</v>
      </c>
      <c r="BG571">
        <f t="shared" si="453"/>
        <v>-231.02594787034147</v>
      </c>
      <c r="BH571">
        <f t="shared" si="464"/>
        <v>-51.025947870341469</v>
      </c>
      <c r="BI571">
        <f t="shared" si="465"/>
        <v>-51.025947870341469</v>
      </c>
      <c r="BJ571">
        <f t="shared" si="454"/>
        <v>0</v>
      </c>
      <c r="BK571">
        <f t="shared" si="466"/>
        <v>0</v>
      </c>
      <c r="BM571">
        <f t="shared" si="467"/>
        <v>-59.24690906614336</v>
      </c>
      <c r="BN571">
        <f t="shared" si="455"/>
        <v>-167.19131396210224</v>
      </c>
      <c r="BQ571" s="56">
        <f t="shared" si="468"/>
        <v>23.566161872829849</v>
      </c>
    </row>
    <row r="572" spans="1:69" x14ac:dyDescent="0.2">
      <c r="A572">
        <f t="shared" si="472"/>
        <v>1790000</v>
      </c>
      <c r="B572">
        <f t="shared" si="456"/>
        <v>1790</v>
      </c>
      <c r="C572">
        <f t="shared" si="425"/>
        <v>1.0249863994330937</v>
      </c>
      <c r="D572">
        <f t="shared" si="426"/>
        <v>0.22125546118679898</v>
      </c>
      <c r="F572">
        <f t="shared" si="427"/>
        <v>7.0546220525698124E-5</v>
      </c>
      <c r="G572">
        <f t="shared" si="428"/>
        <v>2.8883299948626487E-3</v>
      </c>
      <c r="H572">
        <f t="shared" si="429"/>
        <v>-3.1387043200051377</v>
      </c>
      <c r="J572">
        <f t="shared" si="430"/>
        <v>15</v>
      </c>
      <c r="M572">
        <f t="shared" si="431"/>
        <v>1.0139187724715159E-3</v>
      </c>
      <c r="N572">
        <f t="shared" si="432"/>
        <v>-1.5707963250000001</v>
      </c>
      <c r="O572">
        <f t="shared" si="433"/>
        <v>213.61474441641337</v>
      </c>
      <c r="P572">
        <f t="shared" si="434"/>
        <v>1.5661149848995375</v>
      </c>
      <c r="Q572">
        <f t="shared" si="435"/>
        <v>139.4251281490514</v>
      </c>
      <c r="R572">
        <f t="shared" si="436"/>
        <v>1.5636239570281134</v>
      </c>
      <c r="S572">
        <f t="shared" si="437"/>
        <v>0.97457930783669444</v>
      </c>
      <c r="T572">
        <f t="shared" si="438"/>
        <v>-0.22596074973482946</v>
      </c>
      <c r="U572">
        <f t="shared" si="439"/>
        <v>0.26351674823689925</v>
      </c>
      <c r="V572">
        <f t="shared" si="440"/>
        <v>-1.3041303265911766</v>
      </c>
      <c r="X572">
        <f t="shared" si="457"/>
        <v>-41.502320707576928</v>
      </c>
      <c r="Y572">
        <f t="shared" si="441"/>
        <v>-165.50443523574094</v>
      </c>
      <c r="Z572">
        <f t="shared" si="458"/>
        <v>14.495564764259058</v>
      </c>
      <c r="AC572">
        <v>1</v>
      </c>
      <c r="AD572">
        <f t="shared" si="442"/>
        <v>213.612403741191</v>
      </c>
      <c r="AE572">
        <f t="shared" si="443"/>
        <v>-0.16336848387206301</v>
      </c>
      <c r="AF572">
        <f t="shared" si="444"/>
        <v>4.4627705894016011E-2</v>
      </c>
      <c r="AG572">
        <f t="shared" si="473"/>
        <v>326.68657950402417</v>
      </c>
      <c r="AH572">
        <f t="shared" si="474"/>
        <v>-1218.3080018507731</v>
      </c>
      <c r="AJ572">
        <f t="shared" si="445"/>
        <v>22100</v>
      </c>
      <c r="AK572">
        <f t="shared" si="446"/>
        <v>5080.4954176583888</v>
      </c>
      <c r="AL572">
        <v>1</v>
      </c>
      <c r="AM572">
        <f t="shared" si="447"/>
        <v>139.4215419487943</v>
      </c>
      <c r="AN572">
        <f t="shared" si="475"/>
        <v>37.57481038682554</v>
      </c>
      <c r="AO572">
        <f t="shared" si="476"/>
        <v>-158.24258490639917</v>
      </c>
      <c r="AQ572">
        <f t="shared" si="448"/>
        <v>7.8025024341856972E-4</v>
      </c>
      <c r="AR572">
        <f t="shared" si="449"/>
        <v>-2.7932958714384797</v>
      </c>
      <c r="AT572">
        <f t="shared" si="470"/>
        <v>-3402.8398144270486</v>
      </c>
      <c r="AU572">
        <f t="shared" si="471"/>
        <v>-913.48285889795216</v>
      </c>
      <c r="AV572">
        <f t="shared" si="459"/>
        <v>-2.8793286656797585</v>
      </c>
      <c r="AW572">
        <f t="shared" si="460"/>
        <v>-314.59994164826134</v>
      </c>
      <c r="AX572">
        <f t="shared" si="461"/>
        <v>-1609.5379172898338</v>
      </c>
      <c r="AY572">
        <f t="shared" si="469"/>
        <v>-1.7638225119175359</v>
      </c>
      <c r="BA572">
        <f t="shared" si="450"/>
        <v>2.1483704536068222</v>
      </c>
      <c r="BB572">
        <f t="shared" si="462"/>
        <v>6.6421834184394299</v>
      </c>
      <c r="BC572">
        <f t="shared" si="463"/>
        <v>-1.1155061537622226</v>
      </c>
      <c r="BD572">
        <f t="shared" si="451"/>
        <v>-243.91379470447896</v>
      </c>
      <c r="BF572">
        <f t="shared" si="452"/>
        <v>-52.652154312512501</v>
      </c>
      <c r="BG572">
        <f t="shared" si="453"/>
        <v>-231.07130145103341</v>
      </c>
      <c r="BH572">
        <f t="shared" si="464"/>
        <v>-51.071301451033406</v>
      </c>
      <c r="BI572">
        <f t="shared" si="465"/>
        <v>-51.071301451033406</v>
      </c>
      <c r="BJ572">
        <f t="shared" si="454"/>
        <v>0</v>
      </c>
      <c r="BK572">
        <f t="shared" si="466"/>
        <v>0</v>
      </c>
      <c r="BM572">
        <f t="shared" si="467"/>
        <v>-59.294337730951938</v>
      </c>
      <c r="BN572">
        <f t="shared" si="455"/>
        <v>-167.15750674655445</v>
      </c>
      <c r="BQ572" s="56">
        <f t="shared" si="468"/>
        <v>23.544144218724568</v>
      </c>
    </row>
    <row r="573" spans="1:69" x14ac:dyDescent="0.2">
      <c r="A573">
        <f t="shared" si="472"/>
        <v>1795000</v>
      </c>
      <c r="B573">
        <f t="shared" si="456"/>
        <v>1795</v>
      </c>
      <c r="C573">
        <f t="shared" si="425"/>
        <v>1.0251244701383309</v>
      </c>
      <c r="D573">
        <f t="shared" si="426"/>
        <v>0.22185343916510383</v>
      </c>
      <c r="F573">
        <f t="shared" si="427"/>
        <v>7.0153726736175122E-5</v>
      </c>
      <c r="G573">
        <f t="shared" si="428"/>
        <v>2.8802834173147036E-3</v>
      </c>
      <c r="H573">
        <f t="shared" si="429"/>
        <v>-3.1387123665826855</v>
      </c>
      <c r="J573">
        <f t="shared" si="430"/>
        <v>15</v>
      </c>
      <c r="M573">
        <f t="shared" si="431"/>
        <v>1.0110944861972219E-3</v>
      </c>
      <c r="N573">
        <f t="shared" si="432"/>
        <v>-1.5707963250000001</v>
      </c>
      <c r="O573">
        <f t="shared" si="433"/>
        <v>214.21142058851234</v>
      </c>
      <c r="P573">
        <f t="shared" si="434"/>
        <v>1.5661280246593894</v>
      </c>
      <c r="Q573">
        <f t="shared" si="435"/>
        <v>139.81456380779318</v>
      </c>
      <c r="R573">
        <f t="shared" si="436"/>
        <v>1.5636439350916727</v>
      </c>
      <c r="S573">
        <f t="shared" si="437"/>
        <v>0.97444250005793831</v>
      </c>
      <c r="T573">
        <f t="shared" si="438"/>
        <v>-0.22657057328813196</v>
      </c>
      <c r="U573">
        <f t="shared" si="439"/>
        <v>0.26283349206194717</v>
      </c>
      <c r="V573">
        <f t="shared" si="440"/>
        <v>-1.3048385489833414</v>
      </c>
      <c r="X573">
        <f t="shared" si="457"/>
        <v>-41.549153913644645</v>
      </c>
      <c r="Y573">
        <f t="shared" si="441"/>
        <v>-165.54426134427032</v>
      </c>
      <c r="Z573">
        <f t="shared" si="458"/>
        <v>14.455738655729675</v>
      </c>
      <c r="AC573">
        <v>1</v>
      </c>
      <c r="AD573">
        <f t="shared" si="442"/>
        <v>214.20908643320553</v>
      </c>
      <c r="AE573">
        <f t="shared" si="443"/>
        <v>-0.16428243164941289</v>
      </c>
      <c r="AF573">
        <f t="shared" si="444"/>
        <v>4.475236429036801E-2</v>
      </c>
      <c r="AG573">
        <f t="shared" si="473"/>
        <v>324.99468515767859</v>
      </c>
      <c r="AH573">
        <f t="shared" si="474"/>
        <v>-1215.3752771123484</v>
      </c>
      <c r="AJ573">
        <f t="shared" si="445"/>
        <v>22100</v>
      </c>
      <c r="AK573">
        <f t="shared" si="446"/>
        <v>5094.6867456406744</v>
      </c>
      <c r="AL573">
        <v>1</v>
      </c>
      <c r="AM573">
        <f t="shared" si="447"/>
        <v>139.81098759669595</v>
      </c>
      <c r="AN573">
        <f t="shared" si="475"/>
        <v>37.568496431157961</v>
      </c>
      <c r="AO573">
        <f t="shared" si="476"/>
        <v>-157.80184292246733</v>
      </c>
      <c r="AQ573">
        <f t="shared" si="448"/>
        <v>7.7590949977812869E-4</v>
      </c>
      <c r="AR573">
        <f t="shared" si="449"/>
        <v>-2.785515104203482</v>
      </c>
      <c r="AT573">
        <f t="shared" si="470"/>
        <v>-3385.1940252083477</v>
      </c>
      <c r="AU573">
        <f t="shared" si="471"/>
        <v>-906.22062551587578</v>
      </c>
      <c r="AV573">
        <f t="shared" si="459"/>
        <v>-2.880024626388916</v>
      </c>
      <c r="AW573">
        <f t="shared" si="460"/>
        <v>-312.61360188531489</v>
      </c>
      <c r="AX573">
        <f t="shared" si="461"/>
        <v>-1605.1595216802509</v>
      </c>
      <c r="AY573">
        <f t="shared" si="469"/>
        <v>-1.76314402396669</v>
      </c>
      <c r="BA573">
        <f t="shared" si="450"/>
        <v>2.1429434424361835</v>
      </c>
      <c r="BB573">
        <f t="shared" si="462"/>
        <v>6.6202141818071114</v>
      </c>
      <c r="BC573">
        <f t="shared" si="463"/>
        <v>-1.116880602422226</v>
      </c>
      <c r="BD573">
        <f t="shared" si="451"/>
        <v>-243.99254481194455</v>
      </c>
      <c r="BF573">
        <f t="shared" si="452"/>
        <v>-52.721413693439757</v>
      </c>
      <c r="BG573">
        <f t="shared" si="453"/>
        <v>-231.1162509789948</v>
      </c>
      <c r="BH573">
        <f t="shared" si="464"/>
        <v>-51.116250978994799</v>
      </c>
      <c r="BI573">
        <f t="shared" si="465"/>
        <v>-51.116250978994799</v>
      </c>
      <c r="BJ573">
        <f t="shared" si="454"/>
        <v>0</v>
      </c>
      <c r="BK573">
        <f t="shared" si="466"/>
        <v>0</v>
      </c>
      <c r="BM573">
        <f t="shared" si="467"/>
        <v>-59.341627875246857</v>
      </c>
      <c r="BN573">
        <f t="shared" si="455"/>
        <v>-167.12370616705022</v>
      </c>
      <c r="BQ573" s="56">
        <f t="shared" si="468"/>
        <v>23.522174982092245</v>
      </c>
    </row>
    <row r="574" spans="1:69" x14ac:dyDescent="0.2">
      <c r="A574">
        <f t="shared" si="472"/>
        <v>1800000</v>
      </c>
      <c r="B574">
        <f t="shared" si="456"/>
        <v>1800</v>
      </c>
      <c r="C574">
        <f t="shared" si="425"/>
        <v>1.025262907306375</v>
      </c>
      <c r="D574">
        <f t="shared" si="426"/>
        <v>0.22245125587195566</v>
      </c>
      <c r="F574">
        <f t="shared" si="427"/>
        <v>6.9764499470763636E-5</v>
      </c>
      <c r="G574">
        <f t="shared" si="428"/>
        <v>2.8722815520224585E-3</v>
      </c>
      <c r="H574">
        <f t="shared" si="429"/>
        <v>-3.1387203684479776</v>
      </c>
      <c r="J574">
        <f t="shared" si="430"/>
        <v>15</v>
      </c>
      <c r="M574">
        <f t="shared" si="431"/>
        <v>1.0082858904022296E-3</v>
      </c>
      <c r="N574">
        <f t="shared" si="432"/>
        <v>-1.5707963250000001</v>
      </c>
      <c r="O574">
        <f t="shared" si="433"/>
        <v>214.80809679683244</v>
      </c>
      <c r="P574">
        <f t="shared" si="434"/>
        <v>1.5661409919777056</v>
      </c>
      <c r="Q574">
        <f t="shared" si="435"/>
        <v>140.20399952202814</v>
      </c>
      <c r="R574">
        <f t="shared" si="436"/>
        <v>1.563663802171652</v>
      </c>
      <c r="S574">
        <f t="shared" si="437"/>
        <v>0.97430536850622063</v>
      </c>
      <c r="T574">
        <f t="shared" si="438"/>
        <v>-0.22718022542934388</v>
      </c>
      <c r="U574">
        <f t="shared" si="439"/>
        <v>0.26215363939646019</v>
      </c>
      <c r="V574">
        <f t="shared" si="440"/>
        <v>-1.3055431079105828</v>
      </c>
      <c r="X574">
        <f t="shared" si="457"/>
        <v>-41.595865722980328</v>
      </c>
      <c r="Y574">
        <f t="shared" si="441"/>
        <v>-165.58388491836661</v>
      </c>
      <c r="Z574">
        <f t="shared" si="458"/>
        <v>14.416115081633393</v>
      </c>
      <c r="AC574">
        <v>1</v>
      </c>
      <c r="AD574">
        <f t="shared" si="442"/>
        <v>214.80576912522</v>
      </c>
      <c r="AE574">
        <f t="shared" si="443"/>
        <v>-0.16519892879294784</v>
      </c>
      <c r="AF574">
        <f t="shared" si="444"/>
        <v>4.487702268672001E-2</v>
      </c>
      <c r="AG574">
        <f t="shared" si="473"/>
        <v>323.31557839416786</v>
      </c>
      <c r="AH574">
        <f t="shared" si="474"/>
        <v>-1212.4553714854678</v>
      </c>
      <c r="AJ574">
        <f t="shared" si="445"/>
        <v>22100</v>
      </c>
      <c r="AK574">
        <f t="shared" si="446"/>
        <v>5108.8780736229601</v>
      </c>
      <c r="AL574">
        <v>1</v>
      </c>
      <c r="AM574">
        <f t="shared" si="447"/>
        <v>140.2004332445976</v>
      </c>
      <c r="AN574">
        <f t="shared" si="475"/>
        <v>37.562235015106509</v>
      </c>
      <c r="AO574">
        <f t="shared" si="476"/>
        <v>-157.36354913036644</v>
      </c>
      <c r="AQ574">
        <f t="shared" si="448"/>
        <v>7.7160487873419148E-4</v>
      </c>
      <c r="AR574">
        <f t="shared" si="449"/>
        <v>-2.7777775634430895</v>
      </c>
      <c r="AT574">
        <f t="shared" si="470"/>
        <v>-3367.681855710729</v>
      </c>
      <c r="AU574">
        <f t="shared" si="471"/>
        <v>-899.03429605483041</v>
      </c>
      <c r="AV574">
        <f t="shared" si="459"/>
        <v>-2.8807169917520374</v>
      </c>
      <c r="AW574">
        <f t="shared" si="460"/>
        <v>-310.64413565073284</v>
      </c>
      <c r="AX574">
        <f t="shared" si="461"/>
        <v>-1600.8046729058156</v>
      </c>
      <c r="AY574">
        <f t="shared" si="469"/>
        <v>-1.7624690510439622</v>
      </c>
      <c r="BA574">
        <f t="shared" si="450"/>
        <v>2.1375420161025507</v>
      </c>
      <c r="BB574">
        <f t="shared" si="462"/>
        <v>6.5982932018722762</v>
      </c>
      <c r="BC574">
        <f t="shared" si="463"/>
        <v>-1.1182479407080752</v>
      </c>
      <c r="BD574">
        <f t="shared" si="451"/>
        <v>-244.0708875249799</v>
      </c>
      <c r="BF574">
        <f t="shared" si="452"/>
        <v>-52.790487053994596</v>
      </c>
      <c r="BG574">
        <f t="shared" si="453"/>
        <v>-231.16079979087596</v>
      </c>
      <c r="BH574">
        <f t="shared" si="464"/>
        <v>-51.160799790875956</v>
      </c>
      <c r="BI574">
        <f t="shared" si="465"/>
        <v>-51.160799790875956</v>
      </c>
      <c r="BJ574">
        <f t="shared" si="454"/>
        <v>0</v>
      </c>
      <c r="BK574">
        <f t="shared" si="466"/>
        <v>0</v>
      </c>
      <c r="BM574">
        <f t="shared" si="467"/>
        <v>-59.388780255866862</v>
      </c>
      <c r="BN574">
        <f t="shared" si="455"/>
        <v>-167.08991226589609</v>
      </c>
      <c r="BQ574" s="56">
        <f t="shared" si="468"/>
        <v>23.500254002157416</v>
      </c>
    </row>
    <row r="575" spans="1:69" x14ac:dyDescent="0.2">
      <c r="A575">
        <f t="shared" si="472"/>
        <v>1805000</v>
      </c>
      <c r="B575">
        <f t="shared" si="456"/>
        <v>1805</v>
      </c>
      <c r="C575">
        <f t="shared" si="425"/>
        <v>1.0254017107887998</v>
      </c>
      <c r="D575">
        <f t="shared" si="426"/>
        <v>0.2230489109454587</v>
      </c>
      <c r="F575">
        <f t="shared" si="427"/>
        <v>6.9378502581508839E-5</v>
      </c>
      <c r="G575">
        <f t="shared" si="428"/>
        <v>2.8643240273160814E-3</v>
      </c>
      <c r="H575">
        <f t="shared" si="429"/>
        <v>-3.1387283259726839</v>
      </c>
      <c r="J575">
        <f t="shared" si="430"/>
        <v>15</v>
      </c>
      <c r="M575">
        <f t="shared" si="431"/>
        <v>1.0054928546947442E-3</v>
      </c>
      <c r="N575">
        <f t="shared" si="432"/>
        <v>-1.5707963250000001</v>
      </c>
      <c r="O575">
        <f t="shared" si="433"/>
        <v>215.40477304107273</v>
      </c>
      <c r="P575">
        <f t="shared" si="434"/>
        <v>1.5661538874564755</v>
      </c>
      <c r="Q575">
        <f t="shared" si="435"/>
        <v>140.59343529129521</v>
      </c>
      <c r="R575">
        <f t="shared" si="436"/>
        <v>1.56368355919029</v>
      </c>
      <c r="S575">
        <f t="shared" si="437"/>
        <v>0.97416791362395949</v>
      </c>
      <c r="T575">
        <f t="shared" si="438"/>
        <v>-0.22778970577773255</v>
      </c>
      <c r="U575">
        <f t="shared" si="439"/>
        <v>0.26147716591483228</v>
      </c>
      <c r="V575">
        <f t="shared" si="440"/>
        <v>-1.3062440310308174</v>
      </c>
      <c r="X575">
        <f t="shared" si="457"/>
        <v>-41.642456744543182</v>
      </c>
      <c r="Y575">
        <f t="shared" si="441"/>
        <v>-165.62330747559579</v>
      </c>
      <c r="Z575">
        <f t="shared" si="458"/>
        <v>14.376692524404206</v>
      </c>
      <c r="AC575">
        <v>1</v>
      </c>
      <c r="AD575">
        <f t="shared" si="442"/>
        <v>215.40245181723449</v>
      </c>
      <c r="AE575">
        <f t="shared" si="443"/>
        <v>-0.16611797530266786</v>
      </c>
      <c r="AF575">
        <f t="shared" si="444"/>
        <v>4.5001681083072002E-2</v>
      </c>
      <c r="AG575">
        <f t="shared" si="473"/>
        <v>321.64913405226542</v>
      </c>
      <c r="AH575">
        <f t="shared" si="474"/>
        <v>-1209.5482123465374</v>
      </c>
      <c r="AJ575">
        <f t="shared" si="445"/>
        <v>22100</v>
      </c>
      <c r="AK575">
        <f t="shared" si="446"/>
        <v>5123.0694016052466</v>
      </c>
      <c r="AL575">
        <v>1</v>
      </c>
      <c r="AM575">
        <f t="shared" si="447"/>
        <v>140.58987889249926</v>
      </c>
      <c r="AN575">
        <f t="shared" si="475"/>
        <v>37.556025557370987</v>
      </c>
      <c r="AO575">
        <f t="shared" si="476"/>
        <v>-156.92768318914671</v>
      </c>
      <c r="AQ575">
        <f t="shared" si="448"/>
        <v>7.6733598059131069E-4</v>
      </c>
      <c r="AR575">
        <f t="shared" si="449"/>
        <v>-2.7700828899346313</v>
      </c>
      <c r="AT575">
        <f t="shared" si="470"/>
        <v>-3350.3019946184791</v>
      </c>
      <c r="AU575">
        <f t="shared" si="471"/>
        <v>-891.92289266406442</v>
      </c>
      <c r="AV575">
        <f t="shared" si="459"/>
        <v>-2.8814057888609712</v>
      </c>
      <c r="AW575">
        <f t="shared" si="460"/>
        <v>-308.69135189593749</v>
      </c>
      <c r="AX575">
        <f t="shared" si="461"/>
        <v>-1596.4731826847135</v>
      </c>
      <c r="AY575">
        <f t="shared" si="469"/>
        <v>-1.7617975633468987</v>
      </c>
      <c r="BA575">
        <f t="shared" si="450"/>
        <v>2.1321660107412153</v>
      </c>
      <c r="BB575">
        <f t="shared" si="462"/>
        <v>6.5764203179913592</v>
      </c>
      <c r="BC575">
        <f t="shared" si="463"/>
        <v>-1.1196082255140725</v>
      </c>
      <c r="BD575">
        <f t="shared" si="451"/>
        <v>-244.14882610338839</v>
      </c>
      <c r="BF575">
        <f t="shared" si="452"/>
        <v>-52.859375305384575</v>
      </c>
      <c r="BG575">
        <f t="shared" si="453"/>
        <v>-231.20495118851053</v>
      </c>
      <c r="BH575">
        <f t="shared" si="464"/>
        <v>-51.204951188510535</v>
      </c>
      <c r="BI575">
        <f t="shared" si="465"/>
        <v>-51.204951188510535</v>
      </c>
      <c r="BJ575">
        <f t="shared" si="454"/>
        <v>0</v>
      </c>
      <c r="BK575">
        <f t="shared" si="466"/>
        <v>0</v>
      </c>
      <c r="BM575">
        <f t="shared" si="467"/>
        <v>-59.435795623375931</v>
      </c>
      <c r="BN575">
        <f t="shared" si="455"/>
        <v>-167.05612508512218</v>
      </c>
      <c r="BQ575" s="56">
        <f t="shared" si="468"/>
        <v>23.478381118276495</v>
      </c>
    </row>
    <row r="576" spans="1:69" x14ac:dyDescent="0.2">
      <c r="A576">
        <f t="shared" si="472"/>
        <v>1810000</v>
      </c>
      <c r="B576">
        <f t="shared" si="456"/>
        <v>1810</v>
      </c>
      <c r="C576">
        <f t="shared" si="425"/>
        <v>1.0255408804368671</v>
      </c>
      <c r="D576">
        <f t="shared" si="426"/>
        <v>0.22364640402437458</v>
      </c>
      <c r="F576">
        <f t="shared" si="427"/>
        <v>6.8995700419111734E-5</v>
      </c>
      <c r="G576">
        <f t="shared" si="428"/>
        <v>2.8564104756339638E-3</v>
      </c>
      <c r="H576">
        <f t="shared" si="429"/>
        <v>-3.1387362395243663</v>
      </c>
      <c r="J576">
        <f t="shared" si="430"/>
        <v>15</v>
      </c>
      <c r="M576">
        <f t="shared" si="431"/>
        <v>1.0027152501237643E-3</v>
      </c>
      <c r="N576">
        <f t="shared" si="432"/>
        <v>-1.5707963250000001</v>
      </c>
      <c r="O576">
        <f t="shared" si="433"/>
        <v>216.00144932093548</v>
      </c>
      <c r="P576">
        <f t="shared" si="434"/>
        <v>1.5661667116910378</v>
      </c>
      <c r="Q576">
        <f t="shared" si="435"/>
        <v>140.98287111513829</v>
      </c>
      <c r="R576">
        <f t="shared" si="436"/>
        <v>1.5637032070596359</v>
      </c>
      <c r="S576">
        <f t="shared" si="437"/>
        <v>0.97403013585427611</v>
      </c>
      <c r="T576">
        <f t="shared" si="438"/>
        <v>-0.22839901395329046</v>
      </c>
      <c r="U576">
        <f t="shared" si="439"/>
        <v>0.26080404751141412</v>
      </c>
      <c r="V576">
        <f t="shared" si="440"/>
        <v>-1.3069413457315351</v>
      </c>
      <c r="X576">
        <f t="shared" si="457"/>
        <v>-41.688927582869688</v>
      </c>
      <c r="Y576">
        <f t="shared" si="441"/>
        <v>-165.66253051876276</v>
      </c>
      <c r="Z576">
        <f t="shared" si="458"/>
        <v>14.337469481237235</v>
      </c>
      <c r="AC576">
        <v>1</v>
      </c>
      <c r="AD576">
        <f t="shared" si="442"/>
        <v>215.99913450924902</v>
      </c>
      <c r="AE576">
        <f t="shared" si="443"/>
        <v>-0.16703957117857296</v>
      </c>
      <c r="AF576">
        <f t="shared" si="444"/>
        <v>4.5126339479424009E-2</v>
      </c>
      <c r="AG576">
        <f t="shared" si="473"/>
        <v>319.99522845369944</v>
      </c>
      <c r="AH576">
        <f t="shared" si="474"/>
        <v>-1206.653727473808</v>
      </c>
      <c r="AJ576">
        <f t="shared" si="445"/>
        <v>22100</v>
      </c>
      <c r="AK576">
        <f t="shared" si="446"/>
        <v>5137.2607295875323</v>
      </c>
      <c r="AL576">
        <v>1</v>
      </c>
      <c r="AM576">
        <f t="shared" si="447"/>
        <v>140.97932454040091</v>
      </c>
      <c r="AN576">
        <f t="shared" si="475"/>
        <v>37.549867484668276</v>
      </c>
      <c r="AO576">
        <f t="shared" si="476"/>
        <v>-156.49422498256348</v>
      </c>
      <c r="AQ576">
        <f t="shared" si="448"/>
        <v>7.6310241116705753E-4</v>
      </c>
      <c r="AR576">
        <f t="shared" si="449"/>
        <v>-2.7624307284247482</v>
      </c>
      <c r="AT576">
        <f t="shared" si="470"/>
        <v>-3333.0531462115136</v>
      </c>
      <c r="AU576">
        <f t="shared" si="471"/>
        <v>-884.88545239867562</v>
      </c>
      <c r="AV576">
        <f t="shared" si="459"/>
        <v>-2.8820910445433943</v>
      </c>
      <c r="AW576">
        <f t="shared" si="460"/>
        <v>-306.75506227219165</v>
      </c>
      <c r="AX576">
        <f t="shared" si="461"/>
        <v>-1592.1648647313918</v>
      </c>
      <c r="AY576">
        <f t="shared" si="469"/>
        <v>-1.7611295314040132</v>
      </c>
      <c r="BA576">
        <f t="shared" si="450"/>
        <v>2.1268152636563959</v>
      </c>
      <c r="BB576">
        <f t="shared" si="462"/>
        <v>6.5545953696677142</v>
      </c>
      <c r="BC576">
        <f t="shared" si="463"/>
        <v>-1.1209615131393811</v>
      </c>
      <c r="BD576">
        <f t="shared" si="451"/>
        <v>-244.22636377287444</v>
      </c>
      <c r="BF576">
        <f t="shared" si="452"/>
        <v>-52.928079352465083</v>
      </c>
      <c r="BG576">
        <f t="shared" si="453"/>
        <v>-231.24870843936023</v>
      </c>
      <c r="BH576">
        <f t="shared" si="464"/>
        <v>-51.248708439360229</v>
      </c>
      <c r="BI576">
        <f t="shared" si="465"/>
        <v>-51.248708439360229</v>
      </c>
      <c r="BJ576">
        <f t="shared" si="454"/>
        <v>0</v>
      </c>
      <c r="BK576">
        <f t="shared" si="466"/>
        <v>0</v>
      </c>
      <c r="BM576">
        <f t="shared" si="467"/>
        <v>-59.482674722132799</v>
      </c>
      <c r="BN576">
        <f t="shared" si="455"/>
        <v>-167.02234466648579</v>
      </c>
      <c r="BQ576" s="56">
        <f t="shared" si="468"/>
        <v>23.456556169952847</v>
      </c>
    </row>
    <row r="577" spans="1:69" x14ac:dyDescent="0.2">
      <c r="A577">
        <f t="shared" si="472"/>
        <v>1815000</v>
      </c>
      <c r="B577">
        <f t="shared" si="456"/>
        <v>1815</v>
      </c>
      <c r="C577">
        <f t="shared" si="425"/>
        <v>1.0256804161015272</v>
      </c>
      <c r="D577">
        <f t="shared" si="426"/>
        <v>0.22424373474812351</v>
      </c>
      <c r="F577">
        <f t="shared" si="427"/>
        <v>6.8616057824696971E-5</v>
      </c>
      <c r="G577">
        <f t="shared" si="428"/>
        <v>2.8485405334661099E-3</v>
      </c>
      <c r="H577">
        <f t="shared" si="429"/>
        <v>-3.138744109466534</v>
      </c>
      <c r="J577">
        <f t="shared" si="430"/>
        <v>15</v>
      </c>
      <c r="M577">
        <f t="shared" si="431"/>
        <v>9.9995294915923615E-4</v>
      </c>
      <c r="N577">
        <f t="shared" si="432"/>
        <v>-1.5707963250000001</v>
      </c>
      <c r="O577">
        <f t="shared" si="433"/>
        <v>216.59812563612635</v>
      </c>
      <c r="P577">
        <f t="shared" si="434"/>
        <v>1.5661794652701706</v>
      </c>
      <c r="Q577">
        <f t="shared" si="435"/>
        <v>141.37230699310638</v>
      </c>
      <c r="R577">
        <f t="shared" si="436"/>
        <v>1.5637227466816896</v>
      </c>
      <c r="S577">
        <f t="shared" si="437"/>
        <v>0.97389203564099058</v>
      </c>
      <c r="T577">
        <f t="shared" si="438"/>
        <v>-0.22900814957673601</v>
      </c>
      <c r="U577">
        <f t="shared" si="439"/>
        <v>0.26013426029818965</v>
      </c>
      <c r="V577">
        <f t="shared" si="440"/>
        <v>-1.3076350791330005</v>
      </c>
      <c r="X577">
        <f t="shared" si="457"/>
        <v>-41.735278838114979</v>
      </c>
      <c r="Y577">
        <f t="shared" si="441"/>
        <v>-165.70155553608501</v>
      </c>
      <c r="Z577">
        <f t="shared" si="458"/>
        <v>14.29844446391499</v>
      </c>
      <c r="AC577">
        <v>1</v>
      </c>
      <c r="AD577">
        <f t="shared" si="442"/>
        <v>216.59581720126349</v>
      </c>
      <c r="AE577">
        <f t="shared" si="443"/>
        <v>-0.16796371642066313</v>
      </c>
      <c r="AF577">
        <f t="shared" si="444"/>
        <v>4.5250997875776008E-2</v>
      </c>
      <c r="AG577">
        <f t="shared" si="473"/>
        <v>318.35373938282817</v>
      </c>
      <c r="AH577">
        <f t="shared" si="474"/>
        <v>-1203.7718450473158</v>
      </c>
      <c r="AJ577">
        <f t="shared" si="445"/>
        <v>22100</v>
      </c>
      <c r="AK577">
        <f t="shared" si="446"/>
        <v>5151.4520575698189</v>
      </c>
      <c r="AL577">
        <v>1</v>
      </c>
      <c r="AM577">
        <f t="shared" si="447"/>
        <v>141.36877018830259</v>
      </c>
      <c r="AN577">
        <f t="shared" si="475"/>
        <v>37.543760231600046</v>
      </c>
      <c r="AO577">
        <f t="shared" si="476"/>
        <v>-156.06315461598274</v>
      </c>
      <c r="AQ577">
        <f t="shared" si="448"/>
        <v>7.5890378170102358E-4</v>
      </c>
      <c r="AR577">
        <f t="shared" si="449"/>
        <v>-2.7548207275747156</v>
      </c>
      <c r="AT577">
        <f t="shared" si="470"/>
        <v>-3315.9340301504681</v>
      </c>
      <c r="AU577">
        <f t="shared" si="471"/>
        <v>-877.92102695824576</v>
      </c>
      <c r="AV577">
        <f t="shared" si="459"/>
        <v>-2.882772785365928</v>
      </c>
      <c r="AW577">
        <f t="shared" si="460"/>
        <v>-304.83508108492941</v>
      </c>
      <c r="AX577">
        <f t="shared" si="461"/>
        <v>-1587.8795347301523</v>
      </c>
      <c r="AY577">
        <f t="shared" si="469"/>
        <v>-1.7604649260703091</v>
      </c>
      <c r="BA577">
        <f t="shared" si="450"/>
        <v>2.1214896133150756</v>
      </c>
      <c r="BB577">
        <f t="shared" si="462"/>
        <v>6.5328181965661001</v>
      </c>
      <c r="BC577">
        <f t="shared" si="463"/>
        <v>-1.1223078592956188</v>
      </c>
      <c r="BD577">
        <f t="shared" si="451"/>
        <v>-244.30350372547866</v>
      </c>
      <c r="BF577">
        <f t="shared" si="452"/>
        <v>-52.99660009379339</v>
      </c>
      <c r="BG577">
        <f t="shared" si="453"/>
        <v>-231.29207477695275</v>
      </c>
      <c r="BH577">
        <f t="shared" si="464"/>
        <v>-51.292074776952745</v>
      </c>
      <c r="BI577">
        <f t="shared" si="465"/>
        <v>-51.292074776952745</v>
      </c>
      <c r="BJ577">
        <f t="shared" si="454"/>
        <v>0</v>
      </c>
      <c r="BK577">
        <f t="shared" si="466"/>
        <v>0</v>
      </c>
      <c r="BM577">
        <f t="shared" si="467"/>
        <v>-59.529418290359494</v>
      </c>
      <c r="BN577">
        <f t="shared" si="455"/>
        <v>-166.98857105147411</v>
      </c>
      <c r="BQ577" s="56">
        <f t="shared" si="468"/>
        <v>23.434778996851236</v>
      </c>
    </row>
    <row r="578" spans="1:69" x14ac:dyDescent="0.2">
      <c r="A578">
        <f t="shared" si="472"/>
        <v>1820000</v>
      </c>
      <c r="B578">
        <f t="shared" si="456"/>
        <v>1820</v>
      </c>
      <c r="C578">
        <f t="shared" si="425"/>
        <v>1.0258203176334195</v>
      </c>
      <c r="D578">
        <f t="shared" si="426"/>
        <v>0.22484090275678498</v>
      </c>
      <c r="F578">
        <f t="shared" si="427"/>
        <v>6.8239540121738983E-5</v>
      </c>
      <c r="G578">
        <f t="shared" si="428"/>
        <v>2.8407138412984605E-3</v>
      </c>
      <c r="H578">
        <f t="shared" si="429"/>
        <v>-3.1387519361587017</v>
      </c>
      <c r="J578">
        <f t="shared" si="430"/>
        <v>15</v>
      </c>
      <c r="M578">
        <f t="shared" si="431"/>
        <v>9.9720582567253482E-4</v>
      </c>
      <c r="N578">
        <f t="shared" si="432"/>
        <v>-1.5707963250000001</v>
      </c>
      <c r="O578">
        <f t="shared" si="433"/>
        <v>217.19480198635412</v>
      </c>
      <c r="P578">
        <f t="shared" si="434"/>
        <v>1.5661921487761821</v>
      </c>
      <c r="Q578">
        <f t="shared" si="435"/>
        <v>141.76174292475338</v>
      </c>
      <c r="R578">
        <f t="shared" si="436"/>
        <v>1.5637421789485397</v>
      </c>
      <c r="S578">
        <f t="shared" si="437"/>
        <v>0.97375361342861677</v>
      </c>
      <c r="T578">
        <f t="shared" si="438"/>
        <v>-0.22961711226951464</v>
      </c>
      <c r="U578">
        <f t="shared" si="439"/>
        <v>0.2594677806024791</v>
      </c>
      <c r="V578">
        <f t="shared" si="440"/>
        <v>-1.30832525809141</v>
      </c>
      <c r="X578">
        <f t="shared" si="457"/>
        <v>-41.781511106093731</v>
      </c>
      <c r="Y578">
        <f t="shared" si="441"/>
        <v>-165.74038400136362</v>
      </c>
      <c r="Z578">
        <f t="shared" si="458"/>
        <v>14.259615998636377</v>
      </c>
      <c r="AC578">
        <v>1</v>
      </c>
      <c r="AD578">
        <f t="shared" si="442"/>
        <v>217.19249989327801</v>
      </c>
      <c r="AE578">
        <f t="shared" si="443"/>
        <v>-0.1688904110289384</v>
      </c>
      <c r="AF578">
        <f t="shared" si="444"/>
        <v>4.5375656272128008E-2</v>
      </c>
      <c r="AG578">
        <f t="shared" si="473"/>
        <v>316.72454606662757</v>
      </c>
      <c r="AH578">
        <f t="shared" si="474"/>
        <v>-1200.902493648741</v>
      </c>
      <c r="AJ578">
        <f t="shared" si="445"/>
        <v>22100</v>
      </c>
      <c r="AK578">
        <f t="shared" si="446"/>
        <v>5165.6433855521045</v>
      </c>
      <c r="AL578">
        <v>1</v>
      </c>
      <c r="AM578">
        <f t="shared" si="447"/>
        <v>141.75821583620424</v>
      </c>
      <c r="AN578">
        <f t="shared" si="475"/>
        <v>37.537703240523001</v>
      </c>
      <c r="AO578">
        <f t="shared" si="476"/>
        <v>-155.63445241333838</v>
      </c>
      <c r="AQ578">
        <f t="shared" si="448"/>
        <v>7.547397087655696E-4</v>
      </c>
      <c r="AR578">
        <f t="shared" si="449"/>
        <v>-2.7472525399066736</v>
      </c>
      <c r="AT578">
        <f t="shared" si="470"/>
        <v>-3298.9433812651046</v>
      </c>
      <c r="AU578">
        <f t="shared" si="471"/>
        <v>-871.02868243064313</v>
      </c>
      <c r="AV578">
        <f t="shared" si="459"/>
        <v>-2.8834510376372071</v>
      </c>
      <c r="AW578">
        <f t="shared" si="460"/>
        <v>-302.93122524898894</v>
      </c>
      <c r="AX578">
        <f t="shared" si="461"/>
        <v>-1583.6170103091602</v>
      </c>
      <c r="AY578">
        <f t="shared" si="469"/>
        <v>-1.7598037185228734</v>
      </c>
      <c r="BA578">
        <f t="shared" si="450"/>
        <v>2.1161888993407691</v>
      </c>
      <c r="BB578">
        <f t="shared" si="462"/>
        <v>6.5110886385267408</v>
      </c>
      <c r="BC578">
        <f t="shared" si="463"/>
        <v>-1.1236473191143337</v>
      </c>
      <c r="BD578">
        <f t="shared" si="451"/>
        <v>-244.38024912000606</v>
      </c>
      <c r="BF578">
        <f t="shared" si="452"/>
        <v>-53.064938421682164</v>
      </c>
      <c r="BG578">
        <f t="shared" si="453"/>
        <v>-231.33505340131381</v>
      </c>
      <c r="BH578">
        <f t="shared" si="464"/>
        <v>-51.335053401313814</v>
      </c>
      <c r="BI578">
        <f t="shared" si="465"/>
        <v>-51.335053401313814</v>
      </c>
      <c r="BJ578">
        <f t="shared" si="454"/>
        <v>0</v>
      </c>
      <c r="BK578">
        <f t="shared" si="466"/>
        <v>0</v>
      </c>
      <c r="BM578">
        <f t="shared" si="467"/>
        <v>-59.576027060208901</v>
      </c>
      <c r="BN578">
        <f t="shared" si="455"/>
        <v>-166.95480428130779</v>
      </c>
      <c r="BQ578" s="56">
        <f t="shared" si="468"/>
        <v>23.413049438811875</v>
      </c>
    </row>
    <row r="579" spans="1:69" x14ac:dyDescent="0.2">
      <c r="A579">
        <f t="shared" si="472"/>
        <v>1825000</v>
      </c>
      <c r="B579">
        <f t="shared" si="456"/>
        <v>1825</v>
      </c>
      <c r="C579">
        <f t="shared" si="425"/>
        <v>1.0259605848828734</v>
      </c>
      <c r="D579">
        <f t="shared" si="426"/>
        <v>0.22543790769109875</v>
      </c>
      <c r="F579">
        <f t="shared" si="427"/>
        <v>6.7866113108142539E-5</v>
      </c>
      <c r="G579">
        <f t="shared" si="428"/>
        <v>2.8329300435581306E-3</v>
      </c>
      <c r="H579">
        <f t="shared" si="429"/>
        <v>-3.1387597199564419</v>
      </c>
      <c r="J579">
        <f t="shared" si="430"/>
        <v>15</v>
      </c>
      <c r="M579">
        <f t="shared" si="431"/>
        <v>9.9447375491726765E-4</v>
      </c>
      <c r="N579">
        <f t="shared" si="432"/>
        <v>-1.5707963250000001</v>
      </c>
      <c r="O579">
        <f t="shared" si="433"/>
        <v>217.79147837133092</v>
      </c>
      <c r="P579">
        <f t="shared" si="434"/>
        <v>1.566204762785</v>
      </c>
      <c r="Q579">
        <f t="shared" si="435"/>
        <v>142.15117890963822</v>
      </c>
      <c r="R579">
        <f t="shared" si="436"/>
        <v>1.5637615047424991</v>
      </c>
      <c r="S579">
        <f t="shared" si="437"/>
        <v>0.97361486966236099</v>
      </c>
      <c r="T579">
        <f t="shared" si="438"/>
        <v>-0.2302259016537998</v>
      </c>
      <c r="U579">
        <f t="shared" si="439"/>
        <v>0.2588045849646689</v>
      </c>
      <c r="V579">
        <f t="shared" si="440"/>
        <v>-1.3090119092020065</v>
      </c>
      <c r="X579">
        <f t="shared" si="457"/>
        <v>-41.827624978320507</v>
      </c>
      <c r="Y579">
        <f t="shared" si="441"/>
        <v>-165.77901737415164</v>
      </c>
      <c r="Z579">
        <f t="shared" si="458"/>
        <v>14.220982625848364</v>
      </c>
      <c r="AC579">
        <v>1</v>
      </c>
      <c r="AD579">
        <f t="shared" si="442"/>
        <v>217.78918258529251</v>
      </c>
      <c r="AE579">
        <f t="shared" si="443"/>
        <v>-0.16981965500339874</v>
      </c>
      <c r="AF579">
        <f t="shared" si="444"/>
        <v>4.5500314668480007E-2</v>
      </c>
      <c r="AG579">
        <f t="shared" si="473"/>
        <v>315.10752915498273</v>
      </c>
      <c r="AH579">
        <f t="shared" si="474"/>
        <v>-1198.0456022611854</v>
      </c>
      <c r="AJ579">
        <f t="shared" si="445"/>
        <v>22100</v>
      </c>
      <c r="AK579">
        <f t="shared" si="446"/>
        <v>5179.8347135343902</v>
      </c>
      <c r="AL579">
        <v>1</v>
      </c>
      <c r="AM579">
        <f t="shared" si="447"/>
        <v>142.1476614841059</v>
      </c>
      <c r="AN579">
        <f t="shared" si="475"/>
        <v>37.531695961421505</v>
      </c>
      <c r="AO579">
        <f t="shared" si="476"/>
        <v>-155.20809891413847</v>
      </c>
      <c r="AQ579">
        <f t="shared" si="448"/>
        <v>7.5060981417828378E-4</v>
      </c>
      <c r="AR579">
        <f t="shared" si="449"/>
        <v>-2.7397258217507359</v>
      </c>
      <c r="AT579">
        <f t="shared" si="470"/>
        <v>-3282.0799493459763</v>
      </c>
      <c r="AU579">
        <f t="shared" si="471"/>
        <v>-864.20749904086938</v>
      </c>
      <c r="AV579">
        <f t="shared" si="459"/>
        <v>-2.8841258274109149</v>
      </c>
      <c r="AW579">
        <f t="shared" si="460"/>
        <v>-301.04331424471894</v>
      </c>
      <c r="AX579">
        <f t="shared" si="461"/>
        <v>-1579.3771110148682</v>
      </c>
      <c r="AY579">
        <f t="shared" si="469"/>
        <v>-1.7591458802565383</v>
      </c>
      <c r="BA579">
        <f t="shared" si="450"/>
        <v>2.1109129625072223</v>
      </c>
      <c r="BB579">
        <f t="shared" si="462"/>
        <v>6.4894065355789241</v>
      </c>
      <c r="BC579">
        <f t="shared" si="463"/>
        <v>-1.1249799471543767</v>
      </c>
      <c r="BD579">
        <f t="shared" si="451"/>
        <v>-244.45660308244857</v>
      </c>
      <c r="BF579">
        <f t="shared" si="452"/>
        <v>-53.133095222252528</v>
      </c>
      <c r="BG579">
        <f t="shared" si="453"/>
        <v>-231.37764747939215</v>
      </c>
      <c r="BH579">
        <f t="shared" si="464"/>
        <v>-51.377647479392152</v>
      </c>
      <c r="BI579">
        <f t="shared" si="465"/>
        <v>-51.377647479392152</v>
      </c>
      <c r="BJ579">
        <f t="shared" si="454"/>
        <v>0</v>
      </c>
      <c r="BK579">
        <f t="shared" si="466"/>
        <v>0</v>
      </c>
      <c r="BM579">
        <f t="shared" si="467"/>
        <v>-59.622501757831458</v>
      </c>
      <c r="BN579">
        <f t="shared" si="455"/>
        <v>-166.92104439694361</v>
      </c>
      <c r="BQ579" s="56">
        <f t="shared" si="468"/>
        <v>23.391367335864061</v>
      </c>
    </row>
    <row r="580" spans="1:69" x14ac:dyDescent="0.2">
      <c r="A580">
        <f t="shared" si="472"/>
        <v>1830000</v>
      </c>
      <c r="B580">
        <f t="shared" si="456"/>
        <v>1830</v>
      </c>
      <c r="C580">
        <f t="shared" si="425"/>
        <v>1.0261012176999089</v>
      </c>
      <c r="D580">
        <f t="shared" si="426"/>
        <v>0.2260347491924658</v>
      </c>
      <c r="F580">
        <f t="shared" si="427"/>
        <v>6.7495743048474682E-5</v>
      </c>
      <c r="G580">
        <f t="shared" si="428"/>
        <v>2.825188788559552E-3</v>
      </c>
      <c r="H580">
        <f t="shared" si="429"/>
        <v>-3.1387674612114407</v>
      </c>
      <c r="J580">
        <f t="shared" si="430"/>
        <v>15</v>
      </c>
      <c r="M580">
        <f t="shared" si="431"/>
        <v>9.9175661351038973E-4</v>
      </c>
      <c r="N580">
        <f t="shared" si="432"/>
        <v>-1.5707963250000001</v>
      </c>
      <c r="O580">
        <f t="shared" si="433"/>
        <v>218.38815479077181</v>
      </c>
      <c r="P580">
        <f t="shared" si="434"/>
        <v>1.5662173078662571</v>
      </c>
      <c r="Q580">
        <f t="shared" si="435"/>
        <v>142.54061494732443</v>
      </c>
      <c r="R580">
        <f t="shared" si="436"/>
        <v>1.5637807249362388</v>
      </c>
      <c r="S580">
        <f t="shared" si="437"/>
        <v>0.97347580478811668</v>
      </c>
      <c r="T580">
        <f t="shared" si="438"/>
        <v>-0.23083451735249366</v>
      </c>
      <c r="U580">
        <f t="shared" si="439"/>
        <v>0.25814465013596727</v>
      </c>
      <c r="V580">
        <f t="shared" si="440"/>
        <v>-1.3096950588021501</v>
      </c>
      <c r="X580">
        <f t="shared" si="457"/>
        <v>-41.873621042049784</v>
      </c>
      <c r="Y580">
        <f t="shared" si="441"/>
        <v>-165.817457099921</v>
      </c>
      <c r="Z580">
        <f t="shared" si="458"/>
        <v>14.182542900079</v>
      </c>
      <c r="AC580">
        <v>1</v>
      </c>
      <c r="AD580">
        <f t="shared" si="442"/>
        <v>218.38586527730703</v>
      </c>
      <c r="AE580">
        <f t="shared" si="443"/>
        <v>-0.17075144834404413</v>
      </c>
      <c r="AF580">
        <f t="shared" si="444"/>
        <v>4.5624973064832007E-2</v>
      </c>
      <c r="AG580">
        <f t="shared" si="473"/>
        <v>313.50257070128197</v>
      </c>
      <c r="AH580">
        <f t="shared" si="474"/>
        <v>-1195.2011002688748</v>
      </c>
      <c r="AJ580">
        <f t="shared" si="445"/>
        <v>22100</v>
      </c>
      <c r="AK580">
        <f t="shared" si="446"/>
        <v>5194.0260415166767</v>
      </c>
      <c r="AL580">
        <v>1</v>
      </c>
      <c r="AM580">
        <f t="shared" si="447"/>
        <v>142.53710713200755</v>
      </c>
      <c r="AN580">
        <f t="shared" si="475"/>
        <v>37.525737851782822</v>
      </c>
      <c r="AO580">
        <f t="shared" si="476"/>
        <v>-154.78407487052164</v>
      </c>
      <c r="AQ580">
        <f t="shared" si="448"/>
        <v>7.4651372491611235E-4</v>
      </c>
      <c r="AR580">
        <f t="shared" si="449"/>
        <v>-2.7322402331929712</v>
      </c>
      <c r="AT580">
        <f t="shared" si="470"/>
        <v>-3265.3424989393015</v>
      </c>
      <c r="AU580">
        <f t="shared" si="471"/>
        <v>-857.45657090485213</v>
      </c>
      <c r="AV580">
        <f t="shared" si="459"/>
        <v>-2.8847971804887691</v>
      </c>
      <c r="AW580">
        <f t="shared" si="460"/>
        <v>-299.17117007494835</v>
      </c>
      <c r="AX580">
        <f t="shared" si="461"/>
        <v>-1575.1596582868431</v>
      </c>
      <c r="AY580">
        <f t="shared" si="469"/>
        <v>-1.7584913830796125</v>
      </c>
      <c r="BA580">
        <f t="shared" si="450"/>
        <v>2.1056616447320469</v>
      </c>
      <c r="BB580">
        <f t="shared" si="462"/>
        <v>6.4677717279541902</v>
      </c>
      <c r="BC580">
        <f t="shared" si="463"/>
        <v>-1.1263057974091566</v>
      </c>
      <c r="BD580">
        <f t="shared" si="451"/>
        <v>-244.53256870640061</v>
      </c>
      <c r="BF580">
        <f t="shared" si="452"/>
        <v>-53.201071375486634</v>
      </c>
      <c r="BG580">
        <f t="shared" si="453"/>
        <v>-231.41986014547862</v>
      </c>
      <c r="BH580">
        <f t="shared" si="464"/>
        <v>-51.419860145478623</v>
      </c>
      <c r="BI580">
        <f t="shared" si="465"/>
        <v>-51.419860145478623</v>
      </c>
      <c r="BJ580">
        <f t="shared" si="454"/>
        <v>0</v>
      </c>
      <c r="BK580">
        <f t="shared" si="466"/>
        <v>0</v>
      </c>
      <c r="BM580">
        <f t="shared" si="467"/>
        <v>-59.668843103440821</v>
      </c>
      <c r="BN580">
        <f t="shared" si="455"/>
        <v>-166.88729143907801</v>
      </c>
      <c r="BQ580" s="56">
        <f t="shared" si="468"/>
        <v>23.369732528239329</v>
      </c>
    </row>
    <row r="581" spans="1:69" x14ac:dyDescent="0.2">
      <c r="A581">
        <f t="shared" si="472"/>
        <v>1835000</v>
      </c>
      <c r="B581">
        <f t="shared" si="456"/>
        <v>1835</v>
      </c>
      <c r="C581">
        <f t="shared" si="425"/>
        <v>1.0262422159342377</v>
      </c>
      <c r="D581">
        <f t="shared" si="426"/>
        <v>0.22663142690294907</v>
      </c>
      <c r="F581">
        <f t="shared" si="427"/>
        <v>6.7128396666344694E-5</v>
      </c>
      <c r="G581">
        <f t="shared" si="428"/>
        <v>2.8174897284514869E-3</v>
      </c>
      <c r="H581">
        <f t="shared" si="429"/>
        <v>-3.1387751602715488</v>
      </c>
      <c r="J581">
        <f t="shared" si="430"/>
        <v>15</v>
      </c>
      <c r="M581">
        <f t="shared" si="431"/>
        <v>9.8905427941363118E-4</v>
      </c>
      <c r="N581">
        <f t="shared" si="432"/>
        <v>-1.5707963250000001</v>
      </c>
      <c r="O581">
        <f t="shared" si="433"/>
        <v>218.98483124439514</v>
      </c>
      <c r="P581">
        <f t="shared" si="434"/>
        <v>1.5662297845833784</v>
      </c>
      <c r="Q581">
        <f t="shared" si="435"/>
        <v>142.93005103738045</v>
      </c>
      <c r="R581">
        <f t="shared" si="436"/>
        <v>1.5637998403929196</v>
      </c>
      <c r="S581">
        <f t="shared" si="437"/>
        <v>0.97333641925246139</v>
      </c>
      <c r="T581">
        <f t="shared" si="438"/>
        <v>-0.23144295898922837</v>
      </c>
      <c r="U581">
        <f t="shared" si="439"/>
        <v>0.25748795307618555</v>
      </c>
      <c r="V581">
        <f t="shared" si="440"/>
        <v>-1.310374732974348</v>
      </c>
      <c r="X581">
        <f t="shared" si="457"/>
        <v>-41.919499880315399</v>
      </c>
      <c r="Y581">
        <f t="shared" si="441"/>
        <v>-165.8557046102263</v>
      </c>
      <c r="Z581">
        <f t="shared" si="458"/>
        <v>14.144295389773703</v>
      </c>
      <c r="AC581">
        <v>1</v>
      </c>
      <c r="AD581">
        <f t="shared" si="442"/>
        <v>218.9825479693215</v>
      </c>
      <c r="AE581">
        <f t="shared" si="443"/>
        <v>-0.17168579105087461</v>
      </c>
      <c r="AF581">
        <f t="shared" si="444"/>
        <v>4.5749631461184007E-2</v>
      </c>
      <c r="AG581">
        <f t="shared" si="473"/>
        <v>311.90955414330443</v>
      </c>
      <c r="AH581">
        <f t="shared" si="474"/>
        <v>-1192.3689174567846</v>
      </c>
      <c r="AJ581">
        <f t="shared" si="445"/>
        <v>22100</v>
      </c>
      <c r="AK581">
        <f t="shared" si="446"/>
        <v>5208.2173694989624</v>
      </c>
      <c r="AL581">
        <v>1</v>
      </c>
      <c r="AM581">
        <f t="shared" si="447"/>
        <v>142.92655277990923</v>
      </c>
      <c r="AN581">
        <f t="shared" si="475"/>
        <v>37.519828376474528</v>
      </c>
      <c r="AO581">
        <f t="shared" si="476"/>
        <v>-154.36236124436064</v>
      </c>
      <c r="AQ581">
        <f t="shared" si="448"/>
        <v>7.4245107303112551E-4</v>
      </c>
      <c r="AR581">
        <f t="shared" si="449"/>
        <v>-2.724795438024231</v>
      </c>
      <c r="AT581">
        <f t="shared" si="470"/>
        <v>-3248.7298091449752</v>
      </c>
      <c r="AU581">
        <f t="shared" si="471"/>
        <v>-850.77500578806246</v>
      </c>
      <c r="AV581">
        <f t="shared" si="459"/>
        <v>-2.8854651224234735</v>
      </c>
      <c r="AW581">
        <f t="shared" si="460"/>
        <v>-297.3146172227913</v>
      </c>
      <c r="AX581">
        <f t="shared" si="461"/>
        <v>-1570.9644754329897</v>
      </c>
      <c r="AY581">
        <f t="shared" si="469"/>
        <v>-1.7578401991096773</v>
      </c>
      <c r="BA581">
        <f t="shared" si="450"/>
        <v>2.1004347890702917</v>
      </c>
      <c r="BB581">
        <f t="shared" si="462"/>
        <v>6.4461840560990584</v>
      </c>
      <c r="BC581">
        <f t="shared" si="463"/>
        <v>-1.1276249233137963</v>
      </c>
      <c r="BD581">
        <f t="shared" si="451"/>
        <v>-244.60814905346922</v>
      </c>
      <c r="BF581">
        <f t="shared" si="452"/>
        <v>-53.268867755279757</v>
      </c>
      <c r="BG581">
        <f t="shared" si="453"/>
        <v>-231.46169450161887</v>
      </c>
      <c r="BH581">
        <f t="shared" si="464"/>
        <v>-51.461694501618865</v>
      </c>
      <c r="BI581">
        <f t="shared" si="465"/>
        <v>-51.461694501618865</v>
      </c>
      <c r="BJ581">
        <f t="shared" si="454"/>
        <v>0</v>
      </c>
      <c r="BK581">
        <f t="shared" si="466"/>
        <v>0</v>
      </c>
      <c r="BM581">
        <f t="shared" si="467"/>
        <v>-59.715051811378821</v>
      </c>
      <c r="BN581">
        <f t="shared" si="455"/>
        <v>-166.85354544814965</v>
      </c>
      <c r="BQ581" s="56">
        <f t="shared" si="468"/>
        <v>23.348144856384195</v>
      </c>
    </row>
    <row r="582" spans="1:69" x14ac:dyDescent="0.2">
      <c r="A582">
        <f t="shared" si="472"/>
        <v>1840000</v>
      </c>
      <c r="B582">
        <f t="shared" si="456"/>
        <v>1840</v>
      </c>
      <c r="C582">
        <f t="shared" si="425"/>
        <v>1.0263835794352634</v>
      </c>
      <c r="D582">
        <f t="shared" si="426"/>
        <v>0.22722794046527459</v>
      </c>
      <c r="F582">
        <f t="shared" si="427"/>
        <v>6.6764041136928756E-5</v>
      </c>
      <c r="G582">
        <f t="shared" si="428"/>
        <v>2.8098325191649128E-3</v>
      </c>
      <c r="H582">
        <f t="shared" si="429"/>
        <v>-3.1387828174808354</v>
      </c>
      <c r="J582">
        <f t="shared" si="430"/>
        <v>15</v>
      </c>
      <c r="M582">
        <f t="shared" si="431"/>
        <v>9.8636663191522481E-4</v>
      </c>
      <c r="N582">
        <f t="shared" si="432"/>
        <v>-1.5707963250000001</v>
      </c>
      <c r="O582">
        <f t="shared" si="433"/>
        <v>219.58150773192222</v>
      </c>
      <c r="P582">
        <f t="shared" si="434"/>
        <v>1.5662421934936643</v>
      </c>
      <c r="Q582">
        <f t="shared" si="435"/>
        <v>143.31948717937939</v>
      </c>
      <c r="R582">
        <f t="shared" si="436"/>
        <v>1.5638188519663203</v>
      </c>
      <c r="S582">
        <f t="shared" si="437"/>
        <v>0.97319671350265269</v>
      </c>
      <c r="T582">
        <f t="shared" si="438"/>
        <v>-0.23205122618836674</v>
      </c>
      <c r="U582">
        <f t="shared" si="439"/>
        <v>0.25683447095154527</v>
      </c>
      <c r="V582">
        <f t="shared" si="440"/>
        <v>-1.3110509575492439</v>
      </c>
      <c r="X582">
        <f t="shared" si="457"/>
        <v>-41.965262071969669</v>
      </c>
      <c r="Y582">
        <f t="shared" si="441"/>
        <v>-165.89376132286711</v>
      </c>
      <c r="Z582">
        <f t="shared" si="458"/>
        <v>14.106238677132893</v>
      </c>
      <c r="AC582">
        <v>1</v>
      </c>
      <c r="AD582">
        <f t="shared" si="442"/>
        <v>219.579230661336</v>
      </c>
      <c r="AE582">
        <f t="shared" si="443"/>
        <v>-0.1726226831238902</v>
      </c>
      <c r="AF582">
        <f t="shared" si="444"/>
        <v>4.5874289857536006E-2</v>
      </c>
      <c r="AG582">
        <f t="shared" si="473"/>
        <v>310.32836428440146</v>
      </c>
      <c r="AH582">
        <f t="shared" si="474"/>
        <v>-1189.5489840102002</v>
      </c>
      <c r="AJ582">
        <f t="shared" si="445"/>
        <v>22100</v>
      </c>
      <c r="AK582">
        <f t="shared" si="446"/>
        <v>5222.408697481249</v>
      </c>
      <c r="AL582">
        <v>1</v>
      </c>
      <c r="AM582">
        <f t="shared" si="447"/>
        <v>143.31599842781088</v>
      </c>
      <c r="AN582">
        <f t="shared" si="475"/>
        <v>37.513967007624508</v>
      </c>
      <c r="AO582">
        <f t="shared" si="476"/>
        <v>-153.94293920441393</v>
      </c>
      <c r="AQ582">
        <f t="shared" si="448"/>
        <v>7.3842149556788345E-4</v>
      </c>
      <c r="AR582">
        <f t="shared" si="449"/>
        <v>-2.7173911036898111</v>
      </c>
      <c r="AT582">
        <f t="shared" si="470"/>
        <v>-3232.2406734176993</v>
      </c>
      <c r="AU582">
        <f t="shared" si="471"/>
        <v>-844.16192486886746</v>
      </c>
      <c r="AV582">
        <f t="shared" si="459"/>
        <v>-2.8861296785216264</v>
      </c>
      <c r="AW582">
        <f t="shared" si="460"/>
        <v>-295.47348261027497</v>
      </c>
      <c r="AX582">
        <f t="shared" si="461"/>
        <v>-1566.7913876051691</v>
      </c>
      <c r="AY582">
        <f t="shared" si="469"/>
        <v>-1.7571923007694483</v>
      </c>
      <c r="BA582">
        <f t="shared" si="450"/>
        <v>2.0952322397079626</v>
      </c>
      <c r="BB582">
        <f t="shared" si="462"/>
        <v>6.4246433606873845</v>
      </c>
      <c r="BC582">
        <f t="shared" si="463"/>
        <v>-1.1289373777521781</v>
      </c>
      <c r="BD582">
        <f t="shared" si="451"/>
        <v>-244.68334715367763</v>
      </c>
      <c r="BF582">
        <f t="shared" si="452"/>
        <v>-53.336485229491963</v>
      </c>
      <c r="BG582">
        <f t="shared" si="453"/>
        <v>-231.50315361802012</v>
      </c>
      <c r="BH582">
        <f t="shared" si="464"/>
        <v>-51.503153618020121</v>
      </c>
      <c r="BI582">
        <f t="shared" si="465"/>
        <v>-51.503153618020121</v>
      </c>
      <c r="BJ582">
        <f t="shared" si="454"/>
        <v>0</v>
      </c>
      <c r="BK582">
        <f t="shared" si="466"/>
        <v>0</v>
      </c>
      <c r="BM582">
        <f t="shared" si="467"/>
        <v>-59.761128590179347</v>
      </c>
      <c r="BN582">
        <f t="shared" si="455"/>
        <v>-166.81980646434249</v>
      </c>
      <c r="BQ582" s="56">
        <f t="shared" si="468"/>
        <v>23.326604160972519</v>
      </c>
    </row>
    <row r="583" spans="1:69" x14ac:dyDescent="0.2">
      <c r="A583">
        <f t="shared" si="472"/>
        <v>1845000</v>
      </c>
      <c r="B583">
        <f t="shared" si="456"/>
        <v>1845</v>
      </c>
      <c r="C583">
        <f t="shared" si="425"/>
        <v>1.0265253080520824</v>
      </c>
      <c r="D583">
        <f t="shared" si="426"/>
        <v>0.22782428952283204</v>
      </c>
      <c r="F583">
        <f t="shared" si="427"/>
        <v>6.6402644079636324E-5</v>
      </c>
      <c r="G583">
        <f t="shared" si="428"/>
        <v>2.802216820361754E-3</v>
      </c>
      <c r="H583">
        <f t="shared" si="429"/>
        <v>-3.1387904331796386</v>
      </c>
      <c r="J583">
        <f t="shared" si="430"/>
        <v>15</v>
      </c>
      <c r="M583">
        <f t="shared" si="431"/>
        <v>9.8369355161193137E-4</v>
      </c>
      <c r="N583">
        <f t="shared" si="432"/>
        <v>-1.5707963250000001</v>
      </c>
      <c r="O583">
        <f t="shared" si="433"/>
        <v>220.17818425307746</v>
      </c>
      <c r="P583">
        <f t="shared" si="434"/>
        <v>1.5662545351483754</v>
      </c>
      <c r="Q583">
        <f t="shared" si="435"/>
        <v>143.70892337289897</v>
      </c>
      <c r="R583">
        <f t="shared" si="436"/>
        <v>1.5638377605009659</v>
      </c>
      <c r="S583">
        <f t="shared" si="437"/>
        <v>0.97305668798662504</v>
      </c>
      <c r="T583">
        <f t="shared" si="438"/>
        <v>-0.23265931857500333</v>
      </c>
      <c r="U583">
        <f t="shared" si="439"/>
        <v>0.25618418113251074</v>
      </c>
      <c r="V583">
        <f t="shared" si="440"/>
        <v>-1.3117237581085646</v>
      </c>
      <c r="X583">
        <f t="shared" si="457"/>
        <v>-42.010908191721924</v>
      </c>
      <c r="Y583">
        <f t="shared" si="441"/>
        <v>-165.93162864204751</v>
      </c>
      <c r="Z583">
        <f t="shared" si="458"/>
        <v>14.068371357952486</v>
      </c>
      <c r="AC583">
        <v>1</v>
      </c>
      <c r="AD583">
        <f t="shared" si="442"/>
        <v>220.17591335335052</v>
      </c>
      <c r="AE583">
        <f t="shared" si="443"/>
        <v>-0.17356212456309084</v>
      </c>
      <c r="AF583">
        <f t="shared" si="444"/>
        <v>4.5998948253888006E-2</v>
      </c>
      <c r="AG583">
        <f t="shared" si="473"/>
        <v>308.75888727496118</v>
      </c>
      <c r="AH583">
        <f t="shared" si="474"/>
        <v>-1186.7412305142018</v>
      </c>
      <c r="AJ583">
        <f t="shared" si="445"/>
        <v>22100</v>
      </c>
      <c r="AK583">
        <f t="shared" si="446"/>
        <v>5236.6000254635346</v>
      </c>
      <c r="AL583">
        <v>1</v>
      </c>
      <c r="AM583">
        <f t="shared" si="447"/>
        <v>143.70544407571253</v>
      </c>
      <c r="AN583">
        <f t="shared" si="475"/>
        <v>37.508153224502898</v>
      </c>
      <c r="AO583">
        <f t="shared" si="476"/>
        <v>-153.52579012352288</v>
      </c>
      <c r="AQ583">
        <f t="shared" si="448"/>
        <v>7.3442463448236759E-4</v>
      </c>
      <c r="AR583">
        <f t="shared" si="449"/>
        <v>-2.7100269012399365</v>
      </c>
      <c r="AT583">
        <f t="shared" si="470"/>
        <v>-3215.8738993711413</v>
      </c>
      <c r="AU583">
        <f t="shared" si="471"/>
        <v>-837.61646250649937</v>
      </c>
      <c r="AV583">
        <f t="shared" si="459"/>
        <v>-2.8867908738465897</v>
      </c>
      <c r="AW583">
        <f t="shared" si="460"/>
        <v>-293.64759555776942</v>
      </c>
      <c r="AX583">
        <f t="shared" si="461"/>
        <v>-1562.6402217751927</v>
      </c>
      <c r="AY583">
        <f t="shared" si="469"/>
        <v>-1.7565476607827033</v>
      </c>
      <c r="BA583">
        <f t="shared" si="450"/>
        <v>2.0900538419554868</v>
      </c>
      <c r="BB583">
        <f t="shared" si="462"/>
        <v>6.4031494826322923</v>
      </c>
      <c r="BC583">
        <f t="shared" si="463"/>
        <v>-1.1302432130638864</v>
      </c>
      <c r="BD583">
        <f t="shared" si="451"/>
        <v>-244.75816600586316</v>
      </c>
      <c r="BF583">
        <f t="shared" si="452"/>
        <v>-53.403924659999177</v>
      </c>
      <c r="BG583">
        <f t="shared" si="453"/>
        <v>-231.54424053345195</v>
      </c>
      <c r="BH583">
        <f t="shared" si="464"/>
        <v>-51.544240533451955</v>
      </c>
      <c r="BI583">
        <f t="shared" si="465"/>
        <v>-51.544240533451955</v>
      </c>
      <c r="BJ583">
        <f t="shared" si="454"/>
        <v>0</v>
      </c>
      <c r="BK583">
        <f t="shared" si="466"/>
        <v>0</v>
      </c>
      <c r="BM583">
        <f t="shared" si="467"/>
        <v>-59.807074142631471</v>
      </c>
      <c r="BN583">
        <f t="shared" si="455"/>
        <v>-166.7860745275888</v>
      </c>
      <c r="BQ583" s="56">
        <f t="shared" si="468"/>
        <v>23.305110282917425</v>
      </c>
    </row>
    <row r="584" spans="1:69" x14ac:dyDescent="0.2">
      <c r="A584">
        <f t="shared" si="472"/>
        <v>1850000</v>
      </c>
      <c r="B584">
        <f t="shared" si="456"/>
        <v>1850</v>
      </c>
      <c r="C584">
        <f t="shared" si="425"/>
        <v>1.0266674016334854</v>
      </c>
      <c r="D584">
        <f t="shared" si="426"/>
        <v>0.22842047371967586</v>
      </c>
      <c r="F584">
        <f t="shared" si="427"/>
        <v>6.6044173550914992E-5</v>
      </c>
      <c r="G584">
        <f t="shared" si="428"/>
        <v>2.794642295384443E-3</v>
      </c>
      <c r="H584">
        <f t="shared" si="429"/>
        <v>-3.1387980077046156</v>
      </c>
      <c r="J584">
        <f t="shared" si="430"/>
        <v>15</v>
      </c>
      <c r="M584">
        <f t="shared" si="431"/>
        <v>9.810349203913586E-4</v>
      </c>
      <c r="N584">
        <f t="shared" si="432"/>
        <v>-1.5707963250000001</v>
      </c>
      <c r="O584">
        <f t="shared" si="433"/>
        <v>220.7748608075882</v>
      </c>
      <c r="P584">
        <f t="shared" si="434"/>
        <v>1.5662668100928117</v>
      </c>
      <c r="Q584">
        <f t="shared" si="435"/>
        <v>144.09835961752145</v>
      </c>
      <c r="R584">
        <f t="shared" si="436"/>
        <v>1.5638565668322517</v>
      </c>
      <c r="S584">
        <f t="shared" si="437"/>
        <v>0.97291634315298581</v>
      </c>
      <c r="T584">
        <f t="shared" si="438"/>
        <v>-0.23326723577496516</v>
      </c>
      <c r="U584">
        <f t="shared" si="439"/>
        <v>0.25553706119164532</v>
      </c>
      <c r="V584">
        <f t="shared" si="440"/>
        <v>-1.312393159988029</v>
      </c>
      <c r="X584">
        <f t="shared" si="457"/>
        <v>-42.056438810176793</v>
      </c>
      <c r="Y584">
        <f t="shared" si="441"/>
        <v>-165.96930795853393</v>
      </c>
      <c r="Z584">
        <f t="shared" si="458"/>
        <v>14.030692041466068</v>
      </c>
      <c r="AC584">
        <v>1</v>
      </c>
      <c r="AD584">
        <f t="shared" si="442"/>
        <v>220.77259604536502</v>
      </c>
      <c r="AE584">
        <f t="shared" si="443"/>
        <v>-0.17450411536847654</v>
      </c>
      <c r="AF584">
        <f t="shared" si="444"/>
        <v>4.6123606650240005E-2</v>
      </c>
      <c r="AG584">
        <f t="shared" si="473"/>
        <v>307.20101059415623</v>
      </c>
      <c r="AH584">
        <f t="shared" si="474"/>
        <v>-1183.9455879530849</v>
      </c>
      <c r="AJ584">
        <f t="shared" si="445"/>
        <v>22100</v>
      </c>
      <c r="AK584">
        <f t="shared" si="446"/>
        <v>5250.7913534458212</v>
      </c>
      <c r="AL584">
        <v>1</v>
      </c>
      <c r="AM584">
        <f t="shared" si="447"/>
        <v>144.09488972361422</v>
      </c>
      <c r="AN584">
        <f t="shared" si="475"/>
        <v>37.502386513406563</v>
      </c>
      <c r="AO584">
        <f t="shared" si="476"/>
        <v>-153.11089557585467</v>
      </c>
      <c r="AQ584">
        <f t="shared" si="448"/>
        <v>7.3046013656244435E-4</v>
      </c>
      <c r="AR584">
        <f t="shared" si="449"/>
        <v>-2.7027025052810441</v>
      </c>
      <c r="AT584">
        <f t="shared" si="470"/>
        <v>-3199.6283085850905</v>
      </c>
      <c r="AU584">
        <f t="shared" si="471"/>
        <v>-831.13776601355323</v>
      </c>
      <c r="AV584">
        <f t="shared" si="459"/>
        <v>-2.887448733221321</v>
      </c>
      <c r="AW584">
        <f t="shared" si="460"/>
        <v>-291.83678774420048</v>
      </c>
      <c r="AX584">
        <f t="shared" si="461"/>
        <v>-1558.510806711193</v>
      </c>
      <c r="AY584">
        <f t="shared" si="469"/>
        <v>-1.7559062521702697</v>
      </c>
      <c r="BA584">
        <f t="shared" si="450"/>
        <v>2.084899442241138</v>
      </c>
      <c r="BB584">
        <f t="shared" si="462"/>
        <v>6.3817022630977425</v>
      </c>
      <c r="BC584">
        <f t="shared" si="463"/>
        <v>-1.1315424810510513</v>
      </c>
      <c r="BD584">
        <f t="shared" si="451"/>
        <v>-244.83260857806923</v>
      </c>
      <c r="BF584">
        <f t="shared" si="452"/>
        <v>-53.471186902743959</v>
      </c>
      <c r="BG584">
        <f t="shared" si="453"/>
        <v>-231.58495825564091</v>
      </c>
      <c r="BH584">
        <f t="shared" si="464"/>
        <v>-51.584958255640913</v>
      </c>
      <c r="BI584">
        <f t="shared" si="465"/>
        <v>-51.584958255640913</v>
      </c>
      <c r="BJ584">
        <f t="shared" si="454"/>
        <v>0</v>
      </c>
      <c r="BK584">
        <f t="shared" si="466"/>
        <v>0</v>
      </c>
      <c r="BM584">
        <f t="shared" si="467"/>
        <v>-59.852889165841702</v>
      </c>
      <c r="BN584">
        <f t="shared" si="455"/>
        <v>-166.75234967757171</v>
      </c>
      <c r="BQ584" s="56">
        <f t="shared" si="468"/>
        <v>23.283663063382882</v>
      </c>
    </row>
    <row r="585" spans="1:69" x14ac:dyDescent="0.2">
      <c r="A585">
        <f t="shared" si="472"/>
        <v>1855000</v>
      </c>
      <c r="B585">
        <f t="shared" si="456"/>
        <v>1855</v>
      </c>
      <c r="C585">
        <f t="shared" ref="C585:C626" si="477">SQRT((A585/Fesr)^2+1)</f>
        <v>1.0268098600279567</v>
      </c>
      <c r="D585">
        <f t="shared" ref="D585:D614" si="478">ATAN(A585/Fesr)</f>
        <v>0.22901649270052607</v>
      </c>
      <c r="F585">
        <f t="shared" ref="F585:F626" si="479">(Ro/(Ro+Rdcr))/SQRT((A585/(Q*Fo))^2+(1-(A585^2/Fo^2))^2)</f>
        <v>6.5688598037191043E-5</v>
      </c>
      <c r="G585">
        <f t="shared" ref="G585:G614" si="480">-ATAN(A585*Fo/(Q*(Fo^2-A585^2)))</f>
        <v>2.7871086112062973E-3</v>
      </c>
      <c r="H585">
        <f t="shared" ref="H585:H648" si="481">IF(G585&gt;0,G585-Pi,G585)</f>
        <v>-3.1388055413887939</v>
      </c>
      <c r="J585">
        <f t="shared" ref="J585:J648" si="482">Vin/Vramp</f>
        <v>15</v>
      </c>
      <c r="M585">
        <f t="shared" ref="M585:M614" si="483">1/(2*Pi*_Rfb1*(Cc1ea_u+Cc2ea_u)*A585)</f>
        <v>9.7839062141456237E-4</v>
      </c>
      <c r="N585">
        <f t="shared" ref="N585:N648" si="484">-Pi/2</f>
        <v>-1.5707963250000001</v>
      </c>
      <c r="O585">
        <f t="shared" ref="O585:O614" si="485">SQRT(1+(A585/Fz1_u)^2)</f>
        <v>221.37153739518465</v>
      </c>
      <c r="P585">
        <f t="shared" ref="P585:P648" si="486">ATAN2(Fz1_u,A585)</f>
        <v>1.5662790188663946</v>
      </c>
      <c r="Q585">
        <f t="shared" ref="Q585:Q614" si="487">SQRT(1+(A585/Fz2_u)^2)</f>
        <v>144.48779591283366</v>
      </c>
      <c r="R585">
        <f t="shared" ref="R585:R648" si="488">ATAN2(Fz2_u,A585)</f>
        <v>1.5638752717865669</v>
      </c>
      <c r="S585">
        <f t="shared" ref="S585:S614" si="489">1/SQRT(1+(A585/Fp1_u)^2)</f>
        <v>0.97277567945101184</v>
      </c>
      <c r="T585">
        <f t="shared" ref="T585:T648" si="490">-ATAN2(Fp1_u,A585)</f>
        <v>-0.23387497741481292</v>
      </c>
      <c r="U585">
        <f t="shared" ref="U585:U626" si="491">1/SQRT(1+(A585/Fp2_u)^2)</f>
        <v>0.25489308890149409</v>
      </c>
      <c r="V585">
        <f t="shared" ref="V585:V648" si="492">-ATAN2(Fp2_u,A585)</f>
        <v>-1.3130591882802161</v>
      </c>
      <c r="X585">
        <f t="shared" si="457"/>
        <v>-42.101854493871954</v>
      </c>
      <c r="Y585">
        <f t="shared" ref="Y585:Y614" si="493">(180/Pi)*(D585+H585+N585+P585+R585+T585+V585)</f>
        <v>-166.00680064981063</v>
      </c>
      <c r="Z585">
        <f t="shared" si="458"/>
        <v>13.993199350189371</v>
      </c>
      <c r="AC585">
        <v>1</v>
      </c>
      <c r="AD585">
        <f t="shared" ref="AD585:AD626" si="494">Rcea1_u*Cc1ea_u*A585*2*Pi</f>
        <v>221.36927873737949</v>
      </c>
      <c r="AE585">
        <f t="shared" ref="AE585:AE626" si="495">-Rcea1_u*Cc1ea_u*Cc2ea_u*(A585*2*Pi)^2</f>
        <v>-0.17544865554004732</v>
      </c>
      <c r="AF585">
        <f t="shared" ref="AF585:AF626" si="496">(Cc2ea_u+Cc1ea_u)*A585*2*Pi</f>
        <v>4.6248265046592005E-2</v>
      </c>
      <c r="AG585">
        <f t="shared" si="473"/>
        <v>305.65462303196784</v>
      </c>
      <c r="AH585">
        <f t="shared" si="474"/>
        <v>-1181.1619877097235</v>
      </c>
      <c r="AJ585">
        <f t="shared" ref="AJ585:AJ648" si="497">_Rfb1</f>
        <v>22100</v>
      </c>
      <c r="AK585">
        <f t="shared" ref="AK585:AK626" si="498">_Rfb1*Rcea2_u*Cc3ea_u*A585*2*Pi</f>
        <v>5264.9826814281068</v>
      </c>
      <c r="AL585">
        <v>1</v>
      </c>
      <c r="AM585">
        <f t="shared" ref="AM585:AM626" si="499">(_Rfb1+Rcea2_u)*Cc3ea_u*A585*2*Pi</f>
        <v>144.48433537151587</v>
      </c>
      <c r="AN585">
        <f t="shared" si="475"/>
        <v>37.496666367545593</v>
      </c>
      <c r="AO585">
        <f t="shared" si="476"/>
        <v>-152.69823733419014</v>
      </c>
      <c r="AQ585">
        <f t="shared" ref="AQ585:AQ626" si="500">Eadcg/(1+(Eadcg*A585/GBP)^2)</f>
        <v>7.2652765334982653E-4</v>
      </c>
      <c r="AR585">
        <f t="shared" ref="AR585:AR626" si="501">-(A585*Eadcg*Eadcg/GBP)/(1+(Eadcg*A585/GBP)^2)</f>
        <v>-2.6954175939278562</v>
      </c>
      <c r="AT585">
        <f t="shared" si="470"/>
        <v>-3183.5027364155799</v>
      </c>
      <c r="AU585">
        <f t="shared" si="471"/>
        <v>-824.7249954329094</v>
      </c>
      <c r="AV585">
        <f t="shared" si="459"/>
        <v>-2.8881032812311664</v>
      </c>
      <c r="AW585">
        <f t="shared" si="460"/>
        <v>-290.04089316803453</v>
      </c>
      <c r="AX585">
        <f t="shared" si="461"/>
        <v>-1554.4029729543715</v>
      </c>
      <c r="AY585">
        <f t="shared" si="469"/>
        <v>-1.7552680482460785</v>
      </c>
      <c r="BA585">
        <f t="shared" ref="BA585:BA648" si="502">SQRT(AT585^2+AU585^2)/SQRT(AW585^2+AX585^2)</f>
        <v>2.0797688881044047</v>
      </c>
      <c r="BB585">
        <f t="shared" si="462"/>
        <v>6.3603015435096841</v>
      </c>
      <c r="BC585">
        <f t="shared" si="463"/>
        <v>-1.1328352329850879</v>
      </c>
      <c r="BD585">
        <f t="shared" ref="BD585:BD648" si="503">BC585*180/Pi-180</f>
        <v>-244.90667780793154</v>
      </c>
      <c r="BF585">
        <f t="shared" ref="BF585:BF648" si="504">20*LOG(BA585*J585*F585*C585)</f>
        <v>-53.538272807785674</v>
      </c>
      <c r="BG585">
        <f t="shared" ref="BG585:BG648" si="505">(180/Pi)*(D585+H585+BC585)</f>
        <v>-231.62530976165988</v>
      </c>
      <c r="BH585">
        <f t="shared" si="464"/>
        <v>-51.625309761659878</v>
      </c>
      <c r="BI585">
        <f t="shared" si="465"/>
        <v>-51.625309761659878</v>
      </c>
      <c r="BJ585">
        <f t="shared" ref="BJ585:BJ648" si="506">SUM((BF586&lt;0)*(BF585&gt;0))*A585</f>
        <v>0</v>
      </c>
      <c r="BK585">
        <f t="shared" si="466"/>
        <v>0</v>
      </c>
      <c r="BM585">
        <f t="shared" si="467"/>
        <v>-59.898574351295359</v>
      </c>
      <c r="BN585">
        <f t="shared" ref="BN585:BN648" si="507">(H585+D585)*180/Pi</f>
        <v>-166.71863195372833</v>
      </c>
      <c r="BQ585" s="56">
        <f t="shared" si="468"/>
        <v>23.262262343794823</v>
      </c>
    </row>
    <row r="586" spans="1:69" x14ac:dyDescent="0.2">
      <c r="A586">
        <f t="shared" si="472"/>
        <v>1860000</v>
      </c>
      <c r="B586">
        <f t="shared" ref="B586:B649" si="508">A586/1000</f>
        <v>1860</v>
      </c>
      <c r="C586">
        <f t="shared" si="477"/>
        <v>1.0269526830836766</v>
      </c>
      <c r="D586">
        <f t="shared" si="478"/>
        <v>0.22961234611076906</v>
      </c>
      <c r="F586">
        <f t="shared" si="479"/>
        <v>6.5335886447942689E-5</v>
      </c>
      <c r="G586">
        <f t="shared" si="480"/>
        <v>2.7796154383827013E-3</v>
      </c>
      <c r="H586">
        <f t="shared" si="481"/>
        <v>-3.1388130345616174</v>
      </c>
      <c r="J586">
        <f t="shared" si="482"/>
        <v>15</v>
      </c>
      <c r="M586">
        <f t="shared" si="483"/>
        <v>9.7576053909893183E-4</v>
      </c>
      <c r="N586">
        <f t="shared" si="484"/>
        <v>-1.5707963250000001</v>
      </c>
      <c r="O586">
        <f t="shared" si="485"/>
        <v>221.9682140156001</v>
      </c>
      <c r="P586">
        <f t="shared" si="486"/>
        <v>1.566291162002746</v>
      </c>
      <c r="Q586">
        <f t="shared" si="487"/>
        <v>144.8772322584268</v>
      </c>
      <c r="R586">
        <f t="shared" si="488"/>
        <v>1.5638938761814161</v>
      </c>
      <c r="S586">
        <f t="shared" si="489"/>
        <v>0.97263469733064523</v>
      </c>
      <c r="T586">
        <f t="shared" si="490"/>
        <v>-0.23448254312184158</v>
      </c>
      <c r="U586">
        <f t="shared" si="491"/>
        <v>0.25425224223248927</v>
      </c>
      <c r="V586">
        <f t="shared" si="492"/>
        <v>-1.3137218678373948</v>
      </c>
      <c r="X586">
        <f t="shared" ref="X586:X614" si="509">20*LOG(C586*J586*O586*Q586*F586*M586*S586*U586)</f>
        <v>-42.147155805315407</v>
      </c>
      <c r="Y586">
        <f t="shared" si="493"/>
        <v>-166.04410808023312</v>
      </c>
      <c r="Z586">
        <f t="shared" ref="Z586:Z649" si="510">Y586+180</f>
        <v>13.955891919766884</v>
      </c>
      <c r="AC586">
        <v>1</v>
      </c>
      <c r="AD586">
        <f t="shared" si="494"/>
        <v>221.96596142939401</v>
      </c>
      <c r="AE586">
        <f t="shared" si="495"/>
        <v>-0.1763957450778032</v>
      </c>
      <c r="AF586">
        <f t="shared" si="496"/>
        <v>4.6372923442944011E-2</v>
      </c>
      <c r="AG586">
        <f t="shared" si="473"/>
        <v>304.11961467148194</v>
      </c>
      <c r="AH586">
        <f t="shared" si="474"/>
        <v>-1178.3903615648619</v>
      </c>
      <c r="AJ586">
        <f t="shared" si="497"/>
        <v>22100</v>
      </c>
      <c r="AK586">
        <f t="shared" si="498"/>
        <v>5279.1740094103934</v>
      </c>
      <c r="AL586">
        <v>1</v>
      </c>
      <c r="AM586">
        <f t="shared" si="499"/>
        <v>144.87378101941755</v>
      </c>
      <c r="AN586">
        <f t="shared" si="475"/>
        <v>37.49099228693192</v>
      </c>
      <c r="AO586">
        <f t="shared" si="476"/>
        <v>-152.28779736725454</v>
      </c>
      <c r="AQ586">
        <f t="shared" si="500"/>
        <v>7.2262684106350148E-4</v>
      </c>
      <c r="AR586">
        <f t="shared" si="501"/>
        <v>-2.6881718487562254</v>
      </c>
      <c r="AT586">
        <f t="shared" si="470"/>
        <v>-3167.4960318078761</v>
      </c>
      <c r="AU586">
        <f t="shared" si="471"/>
        <v>-818.37732331898576</v>
      </c>
      <c r="AV586">
        <f t="shared" ref="AV586:AV649" si="511">ATAN2(AT586,AU586)</f>
        <v>-2.8887545422266161</v>
      </c>
      <c r="AW586">
        <f t="shared" ref="AW586:AW649" si="512">AG586-AH586*AO586/_Rfb2+AG586*AN586/_Rfb2+AN586-AO586*AR586+AQ586*AN586</f>
        <v>-288.25974810900777</v>
      </c>
      <c r="AX586">
        <f t="shared" ref="AX586:AX649" si="513">AH586+AH586*AN586/_Rfb2+AG586*AO586/_Rfb2+AO586+AO586*AQ586+AN586*AR586</f>
        <v>-1550.316552796095</v>
      </c>
      <c r="AY586">
        <f t="shared" si="469"/>
        <v>-1.7546330226132749</v>
      </c>
      <c r="BA586">
        <f t="shared" si="502"/>
        <v>2.0746620281893327</v>
      </c>
      <c r="BB586">
        <f t="shared" ref="BB586:BB649" si="514">20*LOG(BA586)</f>
        <v>6.3389471655668839</v>
      </c>
      <c r="BC586">
        <f t="shared" ref="BC586:BC649" si="515">AV586-AY586</f>
        <v>-1.1341215196133412</v>
      </c>
      <c r="BD586">
        <f t="shared" si="503"/>
        <v>-244.98037660305877</v>
      </c>
      <c r="BF586">
        <f t="shared" si="504"/>
        <v>-53.605183219350295</v>
      </c>
      <c r="BG586">
        <f t="shared" si="505"/>
        <v>-231.66529799831116</v>
      </c>
      <c r="BH586">
        <f t="shared" ref="BH586:BH649" si="516">IF(BG586&gt;180,BG586-180,BG586+180)</f>
        <v>-51.665297998311161</v>
      </c>
      <c r="BI586">
        <f t="shared" ref="BI586:BI649" si="517">IF(BH586&gt;180,BH586-360,BH586)</f>
        <v>-51.665297998311161</v>
      </c>
      <c r="BJ586">
        <f t="shared" si="506"/>
        <v>0</v>
      </c>
      <c r="BK586">
        <f t="shared" ref="BK586:BK649" si="518">IF(BJ586&gt;0,BI586,0)</f>
        <v>0</v>
      </c>
      <c r="BM586">
        <f t="shared" ref="BM586:BM649" si="519">20*LOG(J586*F586*C586)</f>
        <v>-59.94413038491718</v>
      </c>
      <c r="BN586">
        <f t="shared" si="507"/>
        <v>-166.68492139525239</v>
      </c>
      <c r="BQ586" s="56">
        <f t="shared" ref="BQ586:BQ649" si="520">20*LOG(BA586*7)</f>
        <v>23.240907965852017</v>
      </c>
    </row>
    <row r="587" spans="1:69" x14ac:dyDescent="0.2">
      <c r="A587">
        <f t="shared" si="472"/>
        <v>1865000</v>
      </c>
      <c r="B587">
        <f t="shared" si="508"/>
        <v>1865</v>
      </c>
      <c r="C587">
        <f t="shared" si="477"/>
        <v>1.0270958706485205</v>
      </c>
      <c r="D587">
        <f t="shared" si="478"/>
        <v>0.23020803359645847</v>
      </c>
      <c r="F587">
        <f t="shared" si="479"/>
        <v>6.4986008108902971E-5</v>
      </c>
      <c r="G587">
        <f t="shared" si="480"/>
        <v>2.772162451003072E-3</v>
      </c>
      <c r="H587">
        <f t="shared" si="481"/>
        <v>-3.1388204875489971</v>
      </c>
      <c r="J587">
        <f t="shared" si="482"/>
        <v>15</v>
      </c>
      <c r="M587">
        <f t="shared" si="483"/>
        <v>9.7314455910134769E-4</v>
      </c>
      <c r="N587">
        <f t="shared" si="484"/>
        <v>-1.5707963250000001</v>
      </c>
      <c r="O587">
        <f t="shared" si="485"/>
        <v>222.56489066857051</v>
      </c>
      <c r="P587">
        <f t="shared" si="486"/>
        <v>1.5663032400297645</v>
      </c>
      <c r="Q587">
        <f t="shared" si="487"/>
        <v>145.26666865389652</v>
      </c>
      <c r="R587">
        <f t="shared" si="488"/>
        <v>1.5639123808255366</v>
      </c>
      <c r="S587">
        <f t="shared" si="489"/>
        <v>0.97249339724249018</v>
      </c>
      <c r="T587">
        <f t="shared" si="490"/>
        <v>-0.23508993252408145</v>
      </c>
      <c r="U587">
        <f t="shared" si="491"/>
        <v>0.25361449935088076</v>
      </c>
      <c r="V587">
        <f t="shared" si="492"/>
        <v>-1.3143812232743162</v>
      </c>
      <c r="X587">
        <f t="shared" si="509"/>
        <v>-42.192343303022525</v>
      </c>
      <c r="Y587">
        <f t="shared" si="493"/>
        <v>-166.08123160117981</v>
      </c>
      <c r="Z587">
        <f t="shared" si="510"/>
        <v>13.918768398820191</v>
      </c>
      <c r="AC587">
        <v>1</v>
      </c>
      <c r="AD587">
        <f t="shared" si="494"/>
        <v>222.56264412140851</v>
      </c>
      <c r="AE587">
        <f t="shared" si="495"/>
        <v>-0.1773453839817441</v>
      </c>
      <c r="AF587">
        <f t="shared" si="496"/>
        <v>4.6497581839296011E-2</v>
      </c>
      <c r="AG587">
        <f t="shared" si="473"/>
        <v>302.59587687145324</v>
      </c>
      <c r="AH587">
        <f t="shared" si="474"/>
        <v>-1175.6306416963569</v>
      </c>
      <c r="AJ587">
        <f t="shared" si="497"/>
        <v>22100</v>
      </c>
      <c r="AK587">
        <f t="shared" si="498"/>
        <v>5293.3653373926791</v>
      </c>
      <c r="AL587">
        <v>1</v>
      </c>
      <c r="AM587">
        <f t="shared" si="499"/>
        <v>145.2632266673192</v>
      </c>
      <c r="AN587">
        <f t="shared" si="475"/>
        <v>37.485363778270127</v>
      </c>
      <c r="AO587">
        <f t="shared" si="476"/>
        <v>-151.87955783709214</v>
      </c>
      <c r="AQ587">
        <f t="shared" si="500"/>
        <v>7.1875736052459508E-4</v>
      </c>
      <c r="AR587">
        <f t="shared" si="501"/>
        <v>-2.6809649547567398</v>
      </c>
      <c r="AT587">
        <f t="shared" si="470"/>
        <v>-3151.6070571123446</v>
      </c>
      <c r="AU587">
        <f t="shared" si="471"/>
        <v>-812.09393452322911</v>
      </c>
      <c r="AV587">
        <f t="shared" si="511"/>
        <v>-2.8894025403260226</v>
      </c>
      <c r="AW587">
        <f t="shared" si="512"/>
        <v>-286.4931910905961</v>
      </c>
      <c r="AX587">
        <f t="shared" si="513"/>
        <v>-1546.2513802553599</v>
      </c>
      <c r="AY587">
        <f t="shared" ref="AY587:AY650" si="521">ATAN2(AW587,AX587)</f>
        <v>-1.7540011491603922</v>
      </c>
      <c r="BA587">
        <f t="shared" si="502"/>
        <v>2.0695787122378206</v>
      </c>
      <c r="BB587">
        <f t="shared" si="514"/>
        <v>6.3176389712513554</v>
      </c>
      <c r="BC587">
        <f t="shared" si="515"/>
        <v>-1.1354013911656304</v>
      </c>
      <c r="BD587">
        <f t="shared" si="503"/>
        <v>-245.0537078414076</v>
      </c>
      <c r="BF587">
        <f t="shared" si="504"/>
        <v>-53.671918975879706</v>
      </c>
      <c r="BG587">
        <f t="shared" si="505"/>
        <v>-231.70492588250431</v>
      </c>
      <c r="BH587">
        <f t="shared" si="516"/>
        <v>-51.704925882504313</v>
      </c>
      <c r="BI587">
        <f t="shared" si="517"/>
        <v>-51.704925882504313</v>
      </c>
      <c r="BJ587">
        <f t="shared" si="506"/>
        <v>0</v>
      </c>
      <c r="BK587">
        <f t="shared" si="518"/>
        <v>0</v>
      </c>
      <c r="BM587">
        <f t="shared" si="519"/>
        <v>-59.989557947131061</v>
      </c>
      <c r="BN587">
        <f t="shared" si="507"/>
        <v>-166.65121804109674</v>
      </c>
      <c r="BQ587" s="56">
        <f t="shared" si="520"/>
        <v>23.219599771536494</v>
      </c>
    </row>
    <row r="588" spans="1:69" x14ac:dyDescent="0.2">
      <c r="A588">
        <f t="shared" si="472"/>
        <v>1870000</v>
      </c>
      <c r="B588">
        <f t="shared" si="508"/>
        <v>1870</v>
      </c>
      <c r="C588">
        <f t="shared" si="477"/>
        <v>1.0272394225700614</v>
      </c>
      <c r="D588">
        <f t="shared" si="478"/>
        <v>0.23080355480431616</v>
      </c>
      <c r="F588">
        <f t="shared" si="479"/>
        <v>6.463893275539003E-5</v>
      </c>
      <c r="G588">
        <f t="shared" si="480"/>
        <v>2.7647493266435906E-3</v>
      </c>
      <c r="H588">
        <f t="shared" si="481"/>
        <v>-3.1388279006733568</v>
      </c>
      <c r="J588">
        <f t="shared" si="482"/>
        <v>15</v>
      </c>
      <c r="M588">
        <f t="shared" si="483"/>
        <v>9.7054256830161141E-4</v>
      </c>
      <c r="N588">
        <f t="shared" si="484"/>
        <v>-1.5707963250000001</v>
      </c>
      <c r="O588">
        <f t="shared" si="485"/>
        <v>223.16156735383484</v>
      </c>
      <c r="P588">
        <f t="shared" si="486"/>
        <v>1.5663152534697036</v>
      </c>
      <c r="Q588">
        <f t="shared" si="487"/>
        <v>145.65610509884269</v>
      </c>
      <c r="R588">
        <f t="shared" si="488"/>
        <v>1.5639307865190177</v>
      </c>
      <c r="S588">
        <f t="shared" si="489"/>
        <v>0.97235177963780894</v>
      </c>
      <c r="T588">
        <f t="shared" si="490"/>
        <v>-0.23569714525029906</v>
      </c>
      <c r="U588">
        <f t="shared" si="491"/>
        <v>0.2529798386166901</v>
      </c>
      <c r="V588">
        <f t="shared" si="492"/>
        <v>-1.3150372789709663</v>
      </c>
      <c r="X588">
        <f t="shared" si="509"/>
        <v>-42.237417541552475</v>
      </c>
      <c r="Y588">
        <f t="shared" si="493"/>
        <v>-166.11817255120116</v>
      </c>
      <c r="Z588">
        <f t="shared" si="510"/>
        <v>13.881827448798845</v>
      </c>
      <c r="AC588">
        <v>1</v>
      </c>
      <c r="AD588">
        <f t="shared" si="494"/>
        <v>223.15932681342298</v>
      </c>
      <c r="AE588">
        <f t="shared" si="495"/>
        <v>-0.1782975722518701</v>
      </c>
      <c r="AF588">
        <f t="shared" si="496"/>
        <v>4.6622240235648003E-2</v>
      </c>
      <c r="AG588">
        <f t="shared" si="473"/>
        <v>301.08330224913215</v>
      </c>
      <c r="AH588">
        <f t="shared" si="474"/>
        <v>-1172.8827606783543</v>
      </c>
      <c r="AJ588">
        <f t="shared" si="497"/>
        <v>22100</v>
      </c>
      <c r="AK588">
        <f t="shared" si="498"/>
        <v>5307.5566653749647</v>
      </c>
      <c r="AL588">
        <v>1</v>
      </c>
      <c r="AM588">
        <f t="shared" si="499"/>
        <v>145.65267231522085</v>
      </c>
      <c r="AN588">
        <f t="shared" si="475"/>
        <v>37.479780354850192</v>
      </c>
      <c r="AO588">
        <f t="shared" si="476"/>
        <v>-151.47350109648207</v>
      </c>
      <c r="AQ588">
        <f t="shared" si="500"/>
        <v>7.1491887708263909E-4</v>
      </c>
      <c r="AR588">
        <f t="shared" si="501"/>
        <v>-2.6737966002890703</v>
      </c>
      <c r="AT588">
        <f t="shared" si="470"/>
        <v>-3135.834687903091</v>
      </c>
      <c r="AU588">
        <f t="shared" si="471"/>
        <v>-805.87402598374979</v>
      </c>
      <c r="AV588">
        <f t="shared" si="511"/>
        <v>-2.8900472994182831</v>
      </c>
      <c r="AW588">
        <f t="shared" si="512"/>
        <v>-284.74106284319714</v>
      </c>
      <c r="AX588">
        <f t="shared" si="513"/>
        <v>-1542.2072910565937</v>
      </c>
      <c r="AY588">
        <f t="shared" si="521"/>
        <v>-1.7533724020575834</v>
      </c>
      <c r="BA588">
        <f t="shared" si="502"/>
        <v>2.0645187910828895</v>
      </c>
      <c r="BB588">
        <f t="shared" si="514"/>
        <v>6.2963768028384735</v>
      </c>
      <c r="BC588">
        <f t="shared" si="515"/>
        <v>-1.1366748973606997</v>
      </c>
      <c r="BD588">
        <f t="shared" si="503"/>
        <v>-245.1266743716522</v>
      </c>
      <c r="BF588">
        <f t="shared" si="504"/>
        <v>-53.73848091008054</v>
      </c>
      <c r="BG588">
        <f t="shared" si="505"/>
        <v>-231.74419630162845</v>
      </c>
      <c r="BH588">
        <f t="shared" si="516"/>
        <v>-51.744196301628449</v>
      </c>
      <c r="BI588">
        <f t="shared" si="517"/>
        <v>-51.744196301628449</v>
      </c>
      <c r="BJ588">
        <f t="shared" si="506"/>
        <v>0</v>
      </c>
      <c r="BK588">
        <f t="shared" si="518"/>
        <v>0</v>
      </c>
      <c r="BM588">
        <f t="shared" si="519"/>
        <v>-60.03485771291902</v>
      </c>
      <c r="BN588">
        <f t="shared" si="507"/>
        <v>-166.61752192997625</v>
      </c>
      <c r="BQ588" s="56">
        <f t="shared" si="520"/>
        <v>23.198337603123612</v>
      </c>
    </row>
    <row r="589" spans="1:69" x14ac:dyDescent="0.2">
      <c r="A589">
        <f t="shared" si="472"/>
        <v>1875000</v>
      </c>
      <c r="B589">
        <f t="shared" si="508"/>
        <v>1875</v>
      </c>
      <c r="C589">
        <f t="shared" si="477"/>
        <v>1.0273833386955689</v>
      </c>
      <c r="D589">
        <f t="shared" si="478"/>
        <v>0.2313989093817328</v>
      </c>
      <c r="F589">
        <f t="shared" si="479"/>
        <v>6.4294630525761422E-5</v>
      </c>
      <c r="G589">
        <f t="shared" si="480"/>
        <v>2.7573757463206982E-3</v>
      </c>
      <c r="H589">
        <f t="shared" si="481"/>
        <v>-3.1388352742536796</v>
      </c>
      <c r="J589">
        <f t="shared" si="482"/>
        <v>15</v>
      </c>
      <c r="M589">
        <f t="shared" si="483"/>
        <v>9.6795445478614042E-4</v>
      </c>
      <c r="N589">
        <f t="shared" si="484"/>
        <v>-1.5707963250000001</v>
      </c>
      <c r="O589">
        <f t="shared" si="485"/>
        <v>223.75824407113464</v>
      </c>
      <c r="P589">
        <f t="shared" si="486"/>
        <v>1.5663272028392463</v>
      </c>
      <c r="Q589">
        <f t="shared" si="487"/>
        <v>146.04554159286954</v>
      </c>
      <c r="R589">
        <f t="shared" si="488"/>
        <v>1.5639490940534151</v>
      </c>
      <c r="S589">
        <f t="shared" si="489"/>
        <v>0.97220984496851881</v>
      </c>
      <c r="T589">
        <f t="shared" si="490"/>
        <v>-0.23630418092999794</v>
      </c>
      <c r="U589">
        <f t="shared" si="491"/>
        <v>0.25234823858168759</v>
      </c>
      <c r="V589">
        <f t="shared" si="492"/>
        <v>-1.3156900590752845</v>
      </c>
      <c r="X589">
        <f t="shared" si="509"/>
        <v>-42.282379071544398</v>
      </c>
      <c r="Y589">
        <f t="shared" si="493"/>
        <v>-166.15493225616697</v>
      </c>
      <c r="Z589">
        <f t="shared" si="510"/>
        <v>13.845067743833027</v>
      </c>
      <c r="AC589">
        <v>1</v>
      </c>
      <c r="AD589">
        <f t="shared" si="494"/>
        <v>223.7560095054375</v>
      </c>
      <c r="AE589">
        <f t="shared" si="495"/>
        <v>-0.17925230988818119</v>
      </c>
      <c r="AF589">
        <f t="shared" si="496"/>
        <v>4.6746898632000003E-2</v>
      </c>
      <c r="AG589">
        <f t="shared" si="473"/>
        <v>299.58178466335193</v>
      </c>
      <c r="AH589">
        <f t="shared" si="474"/>
        <v>-1170.146651480422</v>
      </c>
      <c r="AJ589">
        <f t="shared" si="497"/>
        <v>22100</v>
      </c>
      <c r="AK589">
        <f t="shared" si="498"/>
        <v>5321.7479933572504</v>
      </c>
      <c r="AL589">
        <v>1</v>
      </c>
      <c r="AM589">
        <f t="shared" si="499"/>
        <v>146.04211796312251</v>
      </c>
      <c r="AN589">
        <f t="shared" si="475"/>
        <v>37.474241536442264</v>
      </c>
      <c r="AO589">
        <f t="shared" si="476"/>
        <v>-151.06960968639626</v>
      </c>
      <c r="AQ589">
        <f t="shared" si="500"/>
        <v>7.1111106054321351E-4</v>
      </c>
      <c r="AR589">
        <f t="shared" si="501"/>
        <v>-2.6666664770370505</v>
      </c>
      <c r="AT589">
        <f t="shared" si="470"/>
        <v>-3120.1778127993871</v>
      </c>
      <c r="AU589">
        <f t="shared" si="471"/>
        <v>-799.71680651901829</v>
      </c>
      <c r="AV589">
        <f t="shared" si="511"/>
        <v>-2.8906888431654858</v>
      </c>
      <c r="AW589">
        <f t="shared" si="512"/>
        <v>-283.00320626801999</v>
      </c>
      <c r="AX589">
        <f t="shared" si="513"/>
        <v>-1538.184122607812</v>
      </c>
      <c r="AY589">
        <f t="shared" si="521"/>
        <v>-1.7527467557529097</v>
      </c>
      <c r="BA589">
        <f t="shared" si="502"/>
        <v>2.0594821166419188</v>
      </c>
      <c r="BB589">
        <f t="shared" si="514"/>
        <v>6.2751605029067212</v>
      </c>
      <c r="BC589">
        <f t="shared" si="515"/>
        <v>-1.1379420874125761</v>
      </c>
      <c r="BD589">
        <f t="shared" si="503"/>
        <v>-245.19927901354865</v>
      </c>
      <c r="BF589">
        <f t="shared" si="504"/>
        <v>-53.804869848972636</v>
      </c>
      <c r="BG589">
        <f t="shared" si="505"/>
        <v>-231.783112113919</v>
      </c>
      <c r="BH589">
        <f t="shared" si="516"/>
        <v>-51.783112113919003</v>
      </c>
      <c r="BI589">
        <f t="shared" si="517"/>
        <v>-51.783112113919003</v>
      </c>
      <c r="BJ589">
        <f t="shared" si="506"/>
        <v>0</v>
      </c>
      <c r="BK589">
        <f t="shared" si="518"/>
        <v>0</v>
      </c>
      <c r="BM589">
        <f t="shared" si="519"/>
        <v>-60.080030351879358</v>
      </c>
      <c r="BN589">
        <f t="shared" si="507"/>
        <v>-166.58383310037038</v>
      </c>
      <c r="BQ589" s="56">
        <f t="shared" si="520"/>
        <v>23.177121303191861</v>
      </c>
    </row>
    <row r="590" spans="1:69" x14ac:dyDescent="0.2">
      <c r="A590">
        <f t="shared" si="472"/>
        <v>1880000</v>
      </c>
      <c r="B590">
        <f t="shared" si="508"/>
        <v>1880</v>
      </c>
      <c r="C590">
        <f t="shared" si="477"/>
        <v>1.0275276188720113</v>
      </c>
      <c r="D590">
        <f t="shared" si="478"/>
        <v>0.23199409697676895</v>
      </c>
      <c r="F590">
        <f t="shared" si="479"/>
        <v>6.3953071954990376E-5</v>
      </c>
      <c r="G590">
        <f t="shared" si="480"/>
        <v>2.7500413944453309E-3</v>
      </c>
      <c r="H590">
        <f t="shared" si="481"/>
        <v>-3.1388426086055548</v>
      </c>
      <c r="J590">
        <f t="shared" si="482"/>
        <v>15</v>
      </c>
      <c r="M590">
        <f t="shared" si="483"/>
        <v>9.6538010783192205E-4</v>
      </c>
      <c r="N590">
        <f t="shared" si="484"/>
        <v>-1.5707963250000001</v>
      </c>
      <c r="O590">
        <f t="shared" si="485"/>
        <v>224.35492082021437</v>
      </c>
      <c r="P590">
        <f t="shared" si="486"/>
        <v>1.5663390886495787</v>
      </c>
      <c r="Q590">
        <f t="shared" si="487"/>
        <v>146.43497813558557</v>
      </c>
      <c r="R590">
        <f t="shared" si="488"/>
        <v>1.5639673042118636</v>
      </c>
      <c r="S590">
        <f t="shared" si="489"/>
        <v>0.97206759368718754</v>
      </c>
      <c r="T590">
        <f t="shared" si="490"/>
        <v>-0.23691103919341963</v>
      </c>
      <c r="U590">
        <f t="shared" si="491"/>
        <v>0.2517196779873937</v>
      </c>
      <c r="V590">
        <f t="shared" si="492"/>
        <v>-1.3163395875058428</v>
      </c>
      <c r="X590">
        <f t="shared" si="509"/>
        <v>-42.3272284397531</v>
      </c>
      <c r="Y590">
        <f t="shared" si="493"/>
        <v>-166.19151202941254</v>
      </c>
      <c r="Z590">
        <f t="shared" si="510"/>
        <v>13.808487970587464</v>
      </c>
      <c r="AC590">
        <v>1</v>
      </c>
      <c r="AD590">
        <f t="shared" si="494"/>
        <v>224.352692197452</v>
      </c>
      <c r="AE590">
        <f t="shared" si="495"/>
        <v>-0.18020959689067736</v>
      </c>
      <c r="AF590">
        <f t="shared" si="496"/>
        <v>4.6871557028352009E-2</v>
      </c>
      <c r="AG590">
        <f t="shared" si="473"/>
        <v>298.09121919786912</v>
      </c>
      <c r="AH590">
        <f t="shared" si="474"/>
        <v>-1167.4222474666196</v>
      </c>
      <c r="AJ590">
        <f t="shared" si="497"/>
        <v>22100</v>
      </c>
      <c r="AK590">
        <f t="shared" si="498"/>
        <v>5335.9393213395369</v>
      </c>
      <c r="AL590">
        <v>1</v>
      </c>
      <c r="AM590">
        <f t="shared" si="499"/>
        <v>146.43156361102419</v>
      </c>
      <c r="AN590">
        <f t="shared" si="475"/>
        <v>37.468746849193465</v>
      </c>
      <c r="AO590">
        <f t="shared" si="476"/>
        <v>-150.66786633349736</v>
      </c>
      <c r="AQ590">
        <f t="shared" si="500"/>
        <v>7.073335850969341E-4</v>
      </c>
      <c r="AR590">
        <f t="shared" si="501"/>
        <v>-2.6595742799644722</v>
      </c>
      <c r="AT590">
        <f t="shared" si="470"/>
        <v>-3104.6353332897797</v>
      </c>
      <c r="AU590">
        <f t="shared" si="471"/>
        <v>-793.6214966255269</v>
      </c>
      <c r="AV590">
        <f t="shared" si="511"/>
        <v>-2.8913271950055193</v>
      </c>
      <c r="AW590">
        <f t="shared" si="512"/>
        <v>-281.27946640165834</v>
      </c>
      <c r="AX590">
        <f t="shared" si="513"/>
        <v>-1534.1817139791001</v>
      </c>
      <c r="AY590">
        <f t="shared" si="521"/>
        <v>-1.7521241849686875</v>
      </c>
      <c r="BA590">
        <f t="shared" si="502"/>
        <v>2.0544685419098605</v>
      </c>
      <c r="BB590">
        <f t="shared" si="514"/>
        <v>6.2539899143471391</v>
      </c>
      <c r="BC590">
        <f t="shared" si="515"/>
        <v>-1.1392030100368318</v>
      </c>
      <c r="BD590">
        <f t="shared" si="503"/>
        <v>-245.27152455829361</v>
      </c>
      <c r="BF590">
        <f t="shared" si="504"/>
        <v>-53.871086613936967</v>
      </c>
      <c r="BG590">
        <f t="shared" si="505"/>
        <v>-231.82167614881934</v>
      </c>
      <c r="BH590">
        <f t="shared" si="516"/>
        <v>-51.821676148819336</v>
      </c>
      <c r="BI590">
        <f t="shared" si="517"/>
        <v>-51.821676148819336</v>
      </c>
      <c r="BJ590">
        <f t="shared" si="506"/>
        <v>0</v>
      </c>
      <c r="BK590">
        <f t="shared" si="518"/>
        <v>0</v>
      </c>
      <c r="BM590">
        <f t="shared" si="519"/>
        <v>-60.125076528284112</v>
      </c>
      <c r="BN590">
        <f t="shared" si="507"/>
        <v>-166.5501515905257</v>
      </c>
      <c r="BQ590" s="56">
        <f t="shared" si="520"/>
        <v>23.155950714632276</v>
      </c>
    </row>
    <row r="591" spans="1:69" x14ac:dyDescent="0.2">
      <c r="A591">
        <f t="shared" si="472"/>
        <v>1885000</v>
      </c>
      <c r="B591">
        <f t="shared" si="508"/>
        <v>1885</v>
      </c>
      <c r="C591">
        <f t="shared" si="477"/>
        <v>1.0276722629460555</v>
      </c>
      <c r="D591">
        <f t="shared" si="478"/>
        <v>0.23258911723815576</v>
      </c>
      <c r="F591">
        <f t="shared" si="479"/>
        <v>6.3614227968361098E-5</v>
      </c>
      <c r="G591">
        <f t="shared" si="480"/>
        <v>2.7427459587778804E-3</v>
      </c>
      <c r="H591">
        <f t="shared" si="481"/>
        <v>-3.1388499040412223</v>
      </c>
      <c r="J591">
        <f t="shared" si="482"/>
        <v>15</v>
      </c>
      <c r="M591">
        <f t="shared" si="483"/>
        <v>9.6281941789072329E-4</v>
      </c>
      <c r="N591">
        <f t="shared" si="484"/>
        <v>-1.5707963250000001</v>
      </c>
      <c r="O591">
        <f t="shared" si="485"/>
        <v>224.95159760082115</v>
      </c>
      <c r="P591">
        <f t="shared" si="486"/>
        <v>1.5663509114064638</v>
      </c>
      <c r="Q591">
        <f t="shared" si="487"/>
        <v>146.82441472660324</v>
      </c>
      <c r="R591">
        <f t="shared" si="488"/>
        <v>1.5639854177691903</v>
      </c>
      <c r="S591">
        <f t="shared" si="489"/>
        <v>0.97192502624703048</v>
      </c>
      <c r="T591">
        <f t="shared" si="490"/>
        <v>-0.23751771967154442</v>
      </c>
      <c r="U591">
        <f t="shared" si="491"/>
        <v>0.25109413576310191</v>
      </c>
      <c r="V591">
        <f t="shared" si="492"/>
        <v>-1.3169858879544909</v>
      </c>
      <c r="X591">
        <f t="shared" si="509"/>
        <v>-42.371966189084404</v>
      </c>
      <c r="Y591">
        <f t="shared" si="493"/>
        <v>-166.22791317188128</v>
      </c>
      <c r="Z591">
        <f t="shared" si="510"/>
        <v>13.772086828118717</v>
      </c>
      <c r="AC591">
        <v>1</v>
      </c>
      <c r="AD591">
        <f t="shared" si="494"/>
        <v>224.94937488946653</v>
      </c>
      <c r="AE591">
        <f t="shared" si="495"/>
        <v>-0.18116943325935864</v>
      </c>
      <c r="AF591">
        <f t="shared" si="496"/>
        <v>4.6996215424704009E-2</v>
      </c>
      <c r="AG591">
        <f t="shared" si="473"/>
        <v>296.61150214495552</v>
      </c>
      <c r="AH591">
        <f t="shared" si="474"/>
        <v>-1164.7094823945256</v>
      </c>
      <c r="AJ591">
        <f t="shared" si="497"/>
        <v>22100</v>
      </c>
      <c r="AK591">
        <f t="shared" si="498"/>
        <v>5350.1306493218226</v>
      </c>
      <c r="AL591">
        <v>1</v>
      </c>
      <c r="AM591">
        <f t="shared" si="499"/>
        <v>146.82100925892584</v>
      </c>
      <c r="AN591">
        <f t="shared" si="475"/>
        <v>37.463295825526465</v>
      </c>
      <c r="AO591">
        <f t="shared" si="476"/>
        <v>-150.26825394767678</v>
      </c>
      <c r="AQ591">
        <f t="shared" si="500"/>
        <v>7.0358612924975692E-4</v>
      </c>
      <c r="AR591">
        <f t="shared" si="501"/>
        <v>-2.6525197072715838</v>
      </c>
      <c r="AT591">
        <f t="shared" si="470"/>
        <v>-3089.2061635588798</v>
      </c>
      <c r="AU591">
        <f t="shared" si="471"/>
        <v>-787.58732827934057</v>
      </c>
      <c r="AV591">
        <f t="shared" si="511"/>
        <v>-2.8919623781546511</v>
      </c>
      <c r="AW591">
        <f t="shared" si="512"/>
        <v>-279.5696903813386</v>
      </c>
      <c r="AX591">
        <f t="shared" si="513"/>
        <v>-1530.1999058814301</v>
      </c>
      <c r="AY591">
        <f t="shared" si="521"/>
        <v>-1.7515046646978905</v>
      </c>
      <c r="BA591">
        <f t="shared" si="502"/>
        <v>2.0494779209524223</v>
      </c>
      <c r="BB591">
        <f t="shared" si="514"/>
        <v>6.2328648803724054</v>
      </c>
      <c r="BC591">
        <f t="shared" si="515"/>
        <v>-1.1404577134567606</v>
      </c>
      <c r="BD591">
        <f t="shared" si="503"/>
        <v>-245.34341376887829</v>
      </c>
      <c r="BF591">
        <f t="shared" si="504"/>
        <v>-53.937132020763201</v>
      </c>
      <c r="BG591">
        <f t="shared" si="505"/>
        <v>-231.8598912073368</v>
      </c>
      <c r="BH591">
        <f t="shared" si="516"/>
        <v>-51.859891207336801</v>
      </c>
      <c r="BI591">
        <f t="shared" si="517"/>
        <v>-51.859891207336801</v>
      </c>
      <c r="BJ591">
        <f t="shared" si="506"/>
        <v>0</v>
      </c>
      <c r="BK591">
        <f t="shared" si="518"/>
        <v>0</v>
      </c>
      <c r="BM591">
        <f t="shared" si="519"/>
        <v>-60.169996901135612</v>
      </c>
      <c r="BN591">
        <f t="shared" si="507"/>
        <v>-166.51647743845848</v>
      </c>
      <c r="BQ591" s="56">
        <f t="shared" si="520"/>
        <v>23.134825680657542</v>
      </c>
    </row>
    <row r="592" spans="1:69" x14ac:dyDescent="0.2">
      <c r="A592">
        <f>A591+5000</f>
        <v>1890000</v>
      </c>
      <c r="B592">
        <f t="shared" si="508"/>
        <v>1890</v>
      </c>
      <c r="C592">
        <f t="shared" si="477"/>
        <v>1.0278172707640685</v>
      </c>
      <c r="D592">
        <f t="shared" si="478"/>
        <v>0.23318396981529582</v>
      </c>
      <c r="F592">
        <f t="shared" si="479"/>
        <v>6.3278069875280678E-5</v>
      </c>
      <c r="G592">
        <f t="shared" si="480"/>
        <v>2.7354891303838745E-3</v>
      </c>
      <c r="H592">
        <f t="shared" si="481"/>
        <v>-3.1388571608696165</v>
      </c>
      <c r="J592">
        <f t="shared" si="482"/>
        <v>15</v>
      </c>
      <c r="M592">
        <f t="shared" si="483"/>
        <v>9.6027227657355201E-4</v>
      </c>
      <c r="N592">
        <f t="shared" si="484"/>
        <v>-1.5707963250000001</v>
      </c>
      <c r="O592">
        <f t="shared" si="485"/>
        <v>225.54827441270476</v>
      </c>
      <c r="P592">
        <f t="shared" si="486"/>
        <v>1.5663626716103125</v>
      </c>
      <c r="Q592">
        <f t="shared" si="487"/>
        <v>147.21385136553928</v>
      </c>
      <c r="R592">
        <f t="shared" si="488"/>
        <v>1.5640034354920234</v>
      </c>
      <c r="S592">
        <f t="shared" si="489"/>
        <v>0.97178214310190647</v>
      </c>
      <c r="T592">
        <f t="shared" si="490"/>
        <v>-0.23812422199609232</v>
      </c>
      <c r="U592">
        <f t="shared" si="491"/>
        <v>0.25047159102392619</v>
      </c>
      <c r="V592">
        <f t="shared" si="492"/>
        <v>-1.3176289838889652</v>
      </c>
      <c r="X592">
        <f t="shared" si="509"/>
        <v>-42.416592858630054</v>
      </c>
      <c r="Y592">
        <f t="shared" si="493"/>
        <v>-166.2641369722671</v>
      </c>
      <c r="Z592">
        <f t="shared" si="510"/>
        <v>13.735863027732904</v>
      </c>
      <c r="AC592">
        <v>1</v>
      </c>
      <c r="AD592">
        <f t="shared" si="494"/>
        <v>225.54605758148099</v>
      </c>
      <c r="AE592">
        <f t="shared" si="495"/>
        <v>-0.18213181899422495</v>
      </c>
      <c r="AF592">
        <f t="shared" si="496"/>
        <v>4.7120873821056009E-2</v>
      </c>
      <c r="AG592">
        <f t="shared" si="473"/>
        <v>295.14253098923677</v>
      </c>
      <c r="AH592">
        <f t="shared" si="474"/>
        <v>-1162.0082904142121</v>
      </c>
      <c r="AJ592">
        <f t="shared" si="497"/>
        <v>22100</v>
      </c>
      <c r="AK592">
        <f t="shared" si="498"/>
        <v>5364.3219773041083</v>
      </c>
      <c r="AL592">
        <v>1</v>
      </c>
      <c r="AM592">
        <f t="shared" si="499"/>
        <v>147.21045490682749</v>
      </c>
      <c r="AN592">
        <f t="shared" si="475"/>
        <v>37.4578880040401</v>
      </c>
      <c r="AO592">
        <f t="shared" si="476"/>
        <v>-149.87075561963172</v>
      </c>
      <c r="AQ592">
        <f t="shared" si="500"/>
        <v>6.9986837575457185E-4</v>
      </c>
      <c r="AR592">
        <f t="shared" si="501"/>
        <v>-2.6455024603522816</v>
      </c>
      <c r="AT592">
        <f t="shared" si="470"/>
        <v>-3073.8892303167672</v>
      </c>
      <c r="AU592">
        <f t="shared" si="471"/>
        <v>-781.61354474145105</v>
      </c>
      <c r="AV592">
        <f t="shared" si="511"/>
        <v>-2.8925944156100671</v>
      </c>
      <c r="AW592">
        <f t="shared" si="512"/>
        <v>-277.87372741082396</v>
      </c>
      <c r="AX592">
        <f t="shared" si="513"/>
        <v>-1526.2385406458038</v>
      </c>
      <c r="AY592">
        <f t="shared" si="521"/>
        <v>-1.7508881702006069</v>
      </c>
      <c r="BA592">
        <f t="shared" si="502"/>
        <v>2.0445101088992415</v>
      </c>
      <c r="BB592">
        <f t="shared" si="514"/>
        <v>6.2117852445256583</v>
      </c>
      <c r="BC592">
        <f t="shared" si="515"/>
        <v>-1.1417062454094602</v>
      </c>
      <c r="BD592">
        <f t="shared" si="503"/>
        <v>-245.41494938043695</v>
      </c>
      <c r="BF592">
        <f t="shared" si="504"/>
        <v>-54.003006879696748</v>
      </c>
      <c r="BG592">
        <f t="shared" si="505"/>
        <v>-231.89776006239398</v>
      </c>
      <c r="BH592">
        <f t="shared" si="516"/>
        <v>-51.897760062393985</v>
      </c>
      <c r="BI592">
        <f t="shared" si="517"/>
        <v>-51.897760062393985</v>
      </c>
      <c r="BJ592">
        <f t="shared" si="506"/>
        <v>0</v>
      </c>
      <c r="BK592">
        <f t="shared" si="518"/>
        <v>0</v>
      </c>
      <c r="BM592">
        <f t="shared" si="519"/>
        <v>-60.214792124222413</v>
      </c>
      <c r="BN592">
        <f t="shared" si="507"/>
        <v>-166.48281068195701</v>
      </c>
      <c r="BQ592" s="56">
        <f t="shared" si="520"/>
        <v>23.113746044810796</v>
      </c>
    </row>
    <row r="593" spans="1:69" x14ac:dyDescent="0.2">
      <c r="A593">
        <f t="shared" ref="A593:A598" si="522">A592+5000</f>
        <v>1895000</v>
      </c>
      <c r="B593">
        <f t="shared" si="508"/>
        <v>1895</v>
      </c>
      <c r="C593">
        <f t="shared" si="477"/>
        <v>1.0279626421721173</v>
      </c>
      <c r="D593">
        <f t="shared" si="478"/>
        <v>0.23377865435826392</v>
      </c>
      <c r="F593">
        <f t="shared" si="479"/>
        <v>6.2944569363205196E-5</v>
      </c>
      <c r="G593">
        <f t="shared" si="480"/>
        <v>2.7282706035903588E-3</v>
      </c>
      <c r="H593">
        <f t="shared" si="481"/>
        <v>-3.1388643793964097</v>
      </c>
      <c r="J593">
        <f t="shared" si="482"/>
        <v>15</v>
      </c>
      <c r="M593">
        <f t="shared" si="483"/>
        <v>9.5773857663536334E-4</v>
      </c>
      <c r="N593">
        <f t="shared" si="484"/>
        <v>-1.5707963250000001</v>
      </c>
      <c r="O593">
        <f t="shared" si="485"/>
        <v>226.14495125561763</v>
      </c>
      <c r="P593">
        <f t="shared" si="486"/>
        <v>1.5663743697562547</v>
      </c>
      <c r="Q593">
        <f t="shared" si="487"/>
        <v>147.60328805201439</v>
      </c>
      <c r="R593">
        <f t="shared" si="488"/>
        <v>1.5640213581389006</v>
      </c>
      <c r="S593">
        <f t="shared" si="489"/>
        <v>0.97163894470631385</v>
      </c>
      <c r="T593">
        <f t="shared" si="490"/>
        <v>-0.23873054579952382</v>
      </c>
      <c r="U593">
        <f t="shared" si="491"/>
        <v>0.24985202306886892</v>
      </c>
      <c r="V593">
        <f t="shared" si="492"/>
        <v>-1.3182688985554631</v>
      </c>
      <c r="X593">
        <f t="shared" si="509"/>
        <v>-42.461108983702317</v>
      </c>
      <c r="Y593">
        <f t="shared" si="493"/>
        <v>-166.30018470715351</v>
      </c>
      <c r="Z593">
        <f t="shared" si="510"/>
        <v>13.699815292846495</v>
      </c>
      <c r="AC593">
        <v>1</v>
      </c>
      <c r="AD593">
        <f t="shared" si="494"/>
        <v>226.14274027349552</v>
      </c>
      <c r="AE593">
        <f t="shared" si="495"/>
        <v>-0.18309675409527637</v>
      </c>
      <c r="AF593">
        <f t="shared" si="496"/>
        <v>4.7245532217408008E-2</v>
      </c>
      <c r="AG593">
        <f t="shared" si="473"/>
        <v>293.68420439177265</v>
      </c>
      <c r="AH593">
        <f t="shared" si="474"/>
        <v>-1159.3186060671753</v>
      </c>
      <c r="AJ593">
        <f t="shared" si="497"/>
        <v>22100</v>
      </c>
      <c r="AK593">
        <f t="shared" si="498"/>
        <v>5378.5133052863948</v>
      </c>
      <c r="AL593">
        <v>1</v>
      </c>
      <c r="AM593">
        <f t="shared" si="499"/>
        <v>147.59990055472915</v>
      </c>
      <c r="AN593">
        <f t="shared" si="475"/>
        <v>37.452522929411664</v>
      </c>
      <c r="AO593">
        <f t="shared" si="476"/>
        <v>-149.47535461848045</v>
      </c>
      <c r="AQ593">
        <f t="shared" si="500"/>
        <v>6.9618001154405696E-4</v>
      </c>
      <c r="AR593">
        <f t="shared" si="501"/>
        <v>-2.638522243751976</v>
      </c>
      <c r="AT593">
        <f t="shared" si="470"/>
        <v>-3058.6834726309726</v>
      </c>
      <c r="AU593">
        <f t="shared" si="471"/>
        <v>-775.69940036684898</v>
      </c>
      <c r="AV593">
        <f t="shared" si="511"/>
        <v>-2.8932233301523804</v>
      </c>
      <c r="AW593">
        <f t="shared" si="512"/>
        <v>-276.19142872696347</v>
      </c>
      <c r="AX593">
        <f t="shared" si="513"/>
        <v>-1522.2974622027109</v>
      </c>
      <c r="AY593">
        <f t="shared" si="521"/>
        <v>-1.7502746770005506</v>
      </c>
      <c r="BA593">
        <f t="shared" si="502"/>
        <v>2.0395649619370291</v>
      </c>
      <c r="BB593">
        <f t="shared" si="514"/>
        <v>6.190750850688965</v>
      </c>
      <c r="BC593">
        <f t="shared" si="515"/>
        <v>-1.1429486531518298</v>
      </c>
      <c r="BD593">
        <f t="shared" si="503"/>
        <v>-245.48613410059045</v>
      </c>
      <c r="BF593">
        <f t="shared" si="504"/>
        <v>-54.068711995485472</v>
      </c>
      <c r="BG593">
        <f t="shared" si="505"/>
        <v>-231.93528545917482</v>
      </c>
      <c r="BH593">
        <f t="shared" si="516"/>
        <v>-51.935285459174821</v>
      </c>
      <c r="BI593">
        <f t="shared" si="517"/>
        <v>-51.935285459174821</v>
      </c>
      <c r="BJ593">
        <f t="shared" si="506"/>
        <v>0</v>
      </c>
      <c r="BK593">
        <f t="shared" si="518"/>
        <v>0</v>
      </c>
      <c r="BM593">
        <f t="shared" si="519"/>
        <v>-60.259462846174436</v>
      </c>
      <c r="BN593">
        <f t="shared" si="507"/>
        <v>-166.44915135858437</v>
      </c>
      <c r="BQ593" s="56">
        <f t="shared" si="520"/>
        <v>23.092711650974103</v>
      </c>
    </row>
    <row r="594" spans="1:69" x14ac:dyDescent="0.2">
      <c r="A594">
        <f t="shared" si="522"/>
        <v>1900000</v>
      </c>
      <c r="B594">
        <f t="shared" si="508"/>
        <v>1900</v>
      </c>
      <c r="C594">
        <f t="shared" si="477"/>
        <v>1.0281083770159702</v>
      </c>
      <c r="D594">
        <f t="shared" si="478"/>
        <v>0.23437317051780807</v>
      </c>
      <c r="F594">
        <f t="shared" si="479"/>
        <v>6.2613698491677562E-5</v>
      </c>
      <c r="G594">
        <f t="shared" si="480"/>
        <v>2.7210900759429648E-3</v>
      </c>
      <c r="H594">
        <f t="shared" si="481"/>
        <v>-3.1388715599240573</v>
      </c>
      <c r="J594">
        <f t="shared" si="482"/>
        <v>15</v>
      </c>
      <c r="M594">
        <f t="shared" si="483"/>
        <v>9.5521821196000703E-4</v>
      </c>
      <c r="N594">
        <f t="shared" si="484"/>
        <v>-1.5707963250000001</v>
      </c>
      <c r="O594">
        <f t="shared" si="485"/>
        <v>226.74162812931476</v>
      </c>
      <c r="P594">
        <f t="shared" si="486"/>
        <v>1.5663860063342085</v>
      </c>
      <c r="Q594">
        <f t="shared" si="487"/>
        <v>147.99272478565331</v>
      </c>
      <c r="R594">
        <f t="shared" si="488"/>
        <v>1.5640391864603758</v>
      </c>
      <c r="S594">
        <f t="shared" si="489"/>
        <v>0.97149543151538753</v>
      </c>
      <c r="T594">
        <f t="shared" si="490"/>
        <v>-0.23933669071504088</v>
      </c>
      <c r="U594">
        <f t="shared" si="491"/>
        <v>0.24923541137891234</v>
      </c>
      <c r="V594">
        <f t="shared" si="492"/>
        <v>-1.3189056549811835</v>
      </c>
      <c r="X594">
        <f t="shared" si="509"/>
        <v>-42.50551509586812</v>
      </c>
      <c r="Y594">
        <f t="shared" si="493"/>
        <v>-166.33605764115222</v>
      </c>
      <c r="Z594">
        <f t="shared" si="510"/>
        <v>13.663942358847777</v>
      </c>
      <c r="AC594">
        <v>1</v>
      </c>
      <c r="AD594">
        <f t="shared" si="494"/>
        <v>226.73942296551002</v>
      </c>
      <c r="AE594">
        <f t="shared" si="495"/>
        <v>-0.18406423856251283</v>
      </c>
      <c r="AF594">
        <f t="shared" si="496"/>
        <v>4.7370190613760008E-2</v>
      </c>
      <c r="AG594">
        <f t="shared" si="473"/>
        <v>292.23642217437674</v>
      </c>
      <c r="AH594">
        <f t="shared" si="474"/>
        <v>-1156.6403642852201</v>
      </c>
      <c r="AJ594">
        <f t="shared" si="497"/>
        <v>22100</v>
      </c>
      <c r="AK594">
        <f t="shared" si="498"/>
        <v>5392.7046332686805</v>
      </c>
      <c r="AL594">
        <v>1</v>
      </c>
      <c r="AM594">
        <f t="shared" si="499"/>
        <v>147.9893462026308</v>
      </c>
      <c r="AN594">
        <f t="shared" si="475"/>
        <v>37.4472001523011</v>
      </c>
      <c r="AO594">
        <f t="shared" si="476"/>
        <v>-149.08203438941536</v>
      </c>
      <c r="AQ594">
        <f t="shared" si="500"/>
        <v>6.9252072766476955E-4</v>
      </c>
      <c r="AR594">
        <f t="shared" si="501"/>
        <v>-2.6315787651261244</v>
      </c>
      <c r="AT594">
        <f t="shared" si="470"/>
        <v>-3043.5878417609961</v>
      </c>
      <c r="AU594">
        <f t="shared" si="471"/>
        <v>-769.84416041724432</v>
      </c>
      <c r="AV594">
        <f t="shared" si="511"/>
        <v>-2.8938491443481058</v>
      </c>
      <c r="AW594">
        <f t="shared" si="512"/>
        <v>-274.52264756686998</v>
      </c>
      <c r="AX594">
        <f t="shared" si="513"/>
        <v>-1518.3765160619009</v>
      </c>
      <c r="AY594">
        <f t="shared" si="521"/>
        <v>-1.7496641608816252</v>
      </c>
      <c r="BA594">
        <f t="shared" si="502"/>
        <v>2.0346423373027114</v>
      </c>
      <c r="BB594">
        <f t="shared" si="514"/>
        <v>6.1697615430915329</v>
      </c>
      <c r="BC594">
        <f t="shared" si="515"/>
        <v>-1.1441849834664806</v>
      </c>
      <c r="BD594">
        <f t="shared" si="503"/>
        <v>-245.55697060978497</v>
      </c>
      <c r="BF594">
        <f t="shared" si="504"/>
        <v>-54.134248167425852</v>
      </c>
      <c r="BG594">
        <f t="shared" si="505"/>
        <v>-231.97247011546557</v>
      </c>
      <c r="BH594">
        <f t="shared" si="516"/>
        <v>-51.972470115465569</v>
      </c>
      <c r="BI594">
        <f t="shared" si="517"/>
        <v>-51.972470115465569</v>
      </c>
      <c r="BJ594">
        <f t="shared" si="506"/>
        <v>0</v>
      </c>
      <c r="BK594">
        <f t="shared" si="518"/>
        <v>0</v>
      </c>
      <c r="BM594">
        <f t="shared" si="519"/>
        <v>-60.304009710517398</v>
      </c>
      <c r="BN594">
        <f t="shared" si="507"/>
        <v>-166.4154995056806</v>
      </c>
      <c r="BQ594" s="56">
        <f t="shared" si="520"/>
        <v>23.07172234337667</v>
      </c>
    </row>
    <row r="595" spans="1:69" x14ac:dyDescent="0.2">
      <c r="A595">
        <f t="shared" si="522"/>
        <v>1905000</v>
      </c>
      <c r="B595">
        <f t="shared" si="508"/>
        <v>1905</v>
      </c>
      <c r="C595">
        <f t="shared" si="477"/>
        <v>1.028254475141098</v>
      </c>
      <c r="D595">
        <f t="shared" si="478"/>
        <v>0.23496751794534998</v>
      </c>
      <c r="F595">
        <f t="shared" si="479"/>
        <v>6.2285429686474773E-5</v>
      </c>
      <c r="G595">
        <f t="shared" si="480"/>
        <v>2.7139472481636567E-3</v>
      </c>
      <c r="H595">
        <f t="shared" si="481"/>
        <v>-3.1388787027518363</v>
      </c>
      <c r="J595">
        <f t="shared" si="482"/>
        <v>15</v>
      </c>
      <c r="M595">
        <f t="shared" si="483"/>
        <v>9.5271107754541385E-4</v>
      </c>
      <c r="N595">
        <f t="shared" si="484"/>
        <v>-1.5707963250000001</v>
      </c>
      <c r="O595">
        <f t="shared" si="485"/>
        <v>227.33830503355381</v>
      </c>
      <c r="P595">
        <f t="shared" si="486"/>
        <v>1.5663975818289486</v>
      </c>
      <c r="Q595">
        <f t="shared" si="487"/>
        <v>148.38216156608462</v>
      </c>
      <c r="R595">
        <f t="shared" si="488"/>
        <v>1.5640569211991233</v>
      </c>
      <c r="S595">
        <f t="shared" si="489"/>
        <v>0.97135160398489517</v>
      </c>
      <c r="T595">
        <f t="shared" si="490"/>
        <v>-0.23994265637658754</v>
      </c>
      <c r="U595">
        <f t="shared" si="491"/>
        <v>0.24862173561513168</v>
      </c>
      <c r="V595">
        <f t="shared" si="492"/>
        <v>-1.3195392759768316</v>
      </c>
      <c r="X595">
        <f t="shared" si="509"/>
        <v>-42.549811722982852</v>
      </c>
      <c r="Y595">
        <f t="shared" si="493"/>
        <v>-166.37175702703848</v>
      </c>
      <c r="Z595">
        <f t="shared" si="510"/>
        <v>13.628242972961516</v>
      </c>
      <c r="AC595">
        <v>1</v>
      </c>
      <c r="AD595">
        <f t="shared" si="494"/>
        <v>227.33610565752448</v>
      </c>
      <c r="AE595">
        <f t="shared" si="495"/>
        <v>-0.18503427239593437</v>
      </c>
      <c r="AF595">
        <f t="shared" si="496"/>
        <v>4.7494849010112007E-2</v>
      </c>
      <c r="AG595">
        <f t="shared" si="473"/>
        <v>290.79908530417026</v>
      </c>
      <c r="AH595">
        <f t="shared" si="474"/>
        <v>-1153.9735003893036</v>
      </c>
      <c r="AJ595">
        <f t="shared" si="497"/>
        <v>22100</v>
      </c>
      <c r="AK595">
        <f t="shared" si="498"/>
        <v>5406.8959612509661</v>
      </c>
      <c r="AL595">
        <v>1</v>
      </c>
      <c r="AM595">
        <f t="shared" si="499"/>
        <v>148.37879185053248</v>
      </c>
      <c r="AN595">
        <f t="shared" si="475"/>
        <v>37.441919229256897</v>
      </c>
      <c r="AO595">
        <f t="shared" si="476"/>
        <v>-148.6907785513929</v>
      </c>
      <c r="AQ595">
        <f t="shared" si="500"/>
        <v>6.8889021921244556E-4</v>
      </c>
      <c r="AR595">
        <f t="shared" si="501"/>
        <v>-2.6246717351994175</v>
      </c>
      <c r="AT595">
        <f t="shared" si="470"/>
        <v>-3028.6013009953172</v>
      </c>
      <c r="AU595">
        <f t="shared" si="471"/>
        <v>-764.0471008773485</v>
      </c>
      <c r="AV595">
        <f t="shared" si="511"/>
        <v>-2.8944718805521021</v>
      </c>
      <c r="AW595">
        <f t="shared" si="512"/>
        <v>-272.86723913571524</v>
      </c>
      <c r="AX595">
        <f t="shared" si="513"/>
        <v>-1514.4755492924633</v>
      </c>
      <c r="AY595">
        <f t="shared" si="521"/>
        <v>-1.7490565978845414</v>
      </c>
      <c r="BA595">
        <f t="shared" si="502"/>
        <v>2.0297420932765484</v>
      </c>
      <c r="BB595">
        <f t="shared" si="514"/>
        <v>6.1488171663175981</v>
      </c>
      <c r="BC595">
        <f t="shared" si="515"/>
        <v>-1.1454152826675608</v>
      </c>
      <c r="BD595">
        <f t="shared" si="503"/>
        <v>-245.62746156162575</v>
      </c>
      <c r="BF595">
        <f t="shared" si="504"/>
        <v>-54.199616189408857</v>
      </c>
      <c r="BG595">
        <f t="shared" si="505"/>
        <v>-232.00931672199084</v>
      </c>
      <c r="BH595">
        <f t="shared" si="516"/>
        <v>-52.009316721990842</v>
      </c>
      <c r="BI595">
        <f t="shared" si="517"/>
        <v>-52.009316721990842</v>
      </c>
      <c r="BJ595">
        <f t="shared" si="506"/>
        <v>0</v>
      </c>
      <c r="BK595">
        <f t="shared" si="518"/>
        <v>0</v>
      </c>
      <c r="BM595">
        <f t="shared" si="519"/>
        <v>-60.348433355726456</v>
      </c>
      <c r="BN595">
        <f t="shared" si="507"/>
        <v>-166.38185516036506</v>
      </c>
      <c r="BQ595" s="56">
        <f t="shared" si="520"/>
        <v>23.050777966602737</v>
      </c>
    </row>
    <row r="596" spans="1:69" x14ac:dyDescent="0.2">
      <c r="A596">
        <f t="shared" si="522"/>
        <v>1910000</v>
      </c>
      <c r="B596">
        <f t="shared" si="508"/>
        <v>1910</v>
      </c>
      <c r="C596">
        <f t="shared" si="477"/>
        <v>1.0284009363926736</v>
      </c>
      <c r="D596">
        <f t="shared" si="478"/>
        <v>0.23556169629298612</v>
      </c>
      <c r="F596">
        <f t="shared" si="479"/>
        <v>6.1959735733862296E-5</v>
      </c>
      <c r="G596">
        <f t="shared" si="480"/>
        <v>2.7068418241091396E-3</v>
      </c>
      <c r="H596">
        <f t="shared" si="481"/>
        <v>-3.1388858081758912</v>
      </c>
      <c r="J596">
        <f t="shared" si="482"/>
        <v>15</v>
      </c>
      <c r="M596">
        <f t="shared" si="483"/>
        <v>9.5021706948901215E-4</v>
      </c>
      <c r="N596">
        <f t="shared" si="484"/>
        <v>-1.5707963250000001</v>
      </c>
      <c r="O596">
        <f t="shared" si="485"/>
        <v>227.93498196809495</v>
      </c>
      <c r="P596">
        <f t="shared" si="486"/>
        <v>1.5664090967201738</v>
      </c>
      <c r="Q596">
        <f t="shared" si="487"/>
        <v>148.77159839294092</v>
      </c>
      <c r="R596">
        <f t="shared" si="488"/>
        <v>1.5640745630900417</v>
      </c>
      <c r="S596">
        <f t="shared" si="489"/>
        <v>0.97120746257123269</v>
      </c>
      <c r="T596">
        <f t="shared" si="490"/>
        <v>-0.2405484424188509</v>
      </c>
      <c r="U596">
        <f t="shared" si="491"/>
        <v>0.24801097561682964</v>
      </c>
      <c r="V596">
        <f t="shared" si="492"/>
        <v>-1.3201697841390927</v>
      </c>
      <c r="X596">
        <f t="shared" si="509"/>
        <v>-42.593999389223818</v>
      </c>
      <c r="Y596">
        <f t="shared" si="493"/>
        <v>-166.40728410588622</v>
      </c>
      <c r="Z596">
        <f t="shared" si="510"/>
        <v>13.59271589411378</v>
      </c>
      <c r="AC596">
        <v>1</v>
      </c>
      <c r="AD596">
        <f t="shared" si="494"/>
        <v>227.93278834953901</v>
      </c>
      <c r="AE596">
        <f t="shared" si="495"/>
        <v>-0.18600685559554103</v>
      </c>
      <c r="AF596">
        <f t="shared" si="496"/>
        <v>4.7619507406464007E-2</v>
      </c>
      <c r="AG596">
        <f t="shared" si="473"/>
        <v>289.37209587836657</v>
      </c>
      <c r="AH596">
        <f t="shared" si="474"/>
        <v>-1151.3179500883341</v>
      </c>
      <c r="AJ596">
        <f t="shared" si="497"/>
        <v>22100</v>
      </c>
      <c r="AK596">
        <f t="shared" si="498"/>
        <v>5421.0872892332527</v>
      </c>
      <c r="AL596">
        <v>1</v>
      </c>
      <c r="AM596">
        <f t="shared" si="499"/>
        <v>148.76823749843413</v>
      </c>
      <c r="AN596">
        <f t="shared" si="475"/>
        <v>37.436679722623815</v>
      </c>
      <c r="AO596">
        <f t="shared" si="476"/>
        <v>-148.30157089485985</v>
      </c>
      <c r="AQ596">
        <f t="shared" si="500"/>
        <v>6.8528818526848322E-4</v>
      </c>
      <c r="AR596">
        <f t="shared" si="501"/>
        <v>-2.6178008677256059</v>
      </c>
      <c r="AT596">
        <f t="shared" si="470"/>
        <v>-3013.722825490855</v>
      </c>
      <c r="AU596">
        <f t="shared" si="471"/>
        <v>-758.30750827464828</v>
      </c>
      <c r="AV596">
        <f t="shared" si="511"/>
        <v>-2.8950915609099797</v>
      </c>
      <c r="AW596">
        <f t="shared" si="512"/>
        <v>-271.22506057512749</v>
      </c>
      <c r="AX596">
        <f t="shared" si="513"/>
        <v>-1510.5944105032067</v>
      </c>
      <c r="AY596">
        <f t="shared" si="521"/>
        <v>-1.7484519643034837</v>
      </c>
      <c r="BA596">
        <f t="shared" si="502"/>
        <v>2.0248640891752521</v>
      </c>
      <c r="BB596">
        <f t="shared" si="514"/>
        <v>6.127917565314065</v>
      </c>
      <c r="BC596">
        <f t="shared" si="515"/>
        <v>-1.1466395966064959</v>
      </c>
      <c r="BD596">
        <f t="shared" si="503"/>
        <v>-245.69760958320592</v>
      </c>
      <c r="BF596">
        <f t="shared" si="504"/>
        <v>-54.264816849965243</v>
      </c>
      <c r="BG596">
        <f t="shared" si="505"/>
        <v>-232.04582794274495</v>
      </c>
      <c r="BH596">
        <f t="shared" si="516"/>
        <v>-52.04582794274495</v>
      </c>
      <c r="BI596">
        <f t="shared" si="517"/>
        <v>-52.04582794274495</v>
      </c>
      <c r="BJ596">
        <f t="shared" si="506"/>
        <v>0</v>
      </c>
      <c r="BK596">
        <f t="shared" si="518"/>
        <v>0</v>
      </c>
      <c r="BM596">
        <f t="shared" si="519"/>
        <v>-60.392734415279307</v>
      </c>
      <c r="BN596">
        <f t="shared" si="507"/>
        <v>-166.34821835953903</v>
      </c>
      <c r="BQ596" s="56">
        <f t="shared" si="520"/>
        <v>23.029878365599203</v>
      </c>
    </row>
    <row r="597" spans="1:69" x14ac:dyDescent="0.2">
      <c r="A597">
        <f t="shared" si="522"/>
        <v>1915000</v>
      </c>
      <c r="B597">
        <f t="shared" si="508"/>
        <v>1915</v>
      </c>
      <c r="C597">
        <f t="shared" si="477"/>
        <v>1.0285477606155735</v>
      </c>
      <c r="D597">
        <f t="shared" si="478"/>
        <v>0.23615570521348844</v>
      </c>
      <c r="F597">
        <f t="shared" si="479"/>
        <v>6.1636589774953393E-5</v>
      </c>
      <c r="G597">
        <f t="shared" si="480"/>
        <v>2.6997735107299253E-3</v>
      </c>
      <c r="H597">
        <f t="shared" si="481"/>
        <v>-3.1388928764892703</v>
      </c>
      <c r="J597">
        <f t="shared" si="482"/>
        <v>15</v>
      </c>
      <c r="M597">
        <f t="shared" si="483"/>
        <v>9.4773608497337515E-4</v>
      </c>
      <c r="N597">
        <f t="shared" si="484"/>
        <v>-1.5707963250000001</v>
      </c>
      <c r="O597">
        <f t="shared" si="485"/>
        <v>228.53165893270076</v>
      </c>
      <c r="P597">
        <f t="shared" si="486"/>
        <v>1.5664205514825731</v>
      </c>
      <c r="Q597">
        <f t="shared" si="487"/>
        <v>149.16103526585857</v>
      </c>
      <c r="R597">
        <f t="shared" si="488"/>
        <v>1.5640921128603549</v>
      </c>
      <c r="S597">
        <f t="shared" si="489"/>
        <v>0.97106300773142151</v>
      </c>
      <c r="T597">
        <f t="shared" si="490"/>
        <v>-0.24115404847726205</v>
      </c>
      <c r="U597">
        <f t="shared" si="491"/>
        <v>0.24740311139969234</v>
      </c>
      <c r="V597">
        <f t="shared" si="492"/>
        <v>-1.320797201853072</v>
      </c>
      <c r="X597">
        <f t="shared" si="509"/>
        <v>-42.638078615123327</v>
      </c>
      <c r="Y597">
        <f t="shared" si="493"/>
        <v>-166.44264010719971</v>
      </c>
      <c r="Z597">
        <f t="shared" si="510"/>
        <v>13.557359892800292</v>
      </c>
      <c r="AC597">
        <v>1</v>
      </c>
      <c r="AD597">
        <f t="shared" si="494"/>
        <v>228.52947104155351</v>
      </c>
      <c r="AE597">
        <f t="shared" si="495"/>
        <v>-0.18698198816133271</v>
      </c>
      <c r="AF597">
        <f t="shared" si="496"/>
        <v>4.7744165802816006E-2</v>
      </c>
      <c r="AG597">
        <f t="shared" si="473"/>
        <v>287.95535710928391</v>
      </c>
      <c r="AH597">
        <f t="shared" si="474"/>
        <v>-1148.6736494779386</v>
      </c>
      <c r="AJ597">
        <f t="shared" si="497"/>
        <v>22100</v>
      </c>
      <c r="AK597">
        <f t="shared" si="498"/>
        <v>5435.2786172155384</v>
      </c>
      <c r="AL597">
        <v>1</v>
      </c>
      <c r="AM597">
        <f t="shared" si="499"/>
        <v>149.15768314633578</v>
      </c>
      <c r="AN597">
        <f t="shared" si="475"/>
        <v>37.431481200452062</v>
      </c>
      <c r="AO597">
        <f t="shared" si="476"/>
        <v>-147.9143953795151</v>
      </c>
      <c r="AQ597">
        <f t="shared" si="500"/>
        <v>6.8171432883758643E-4</v>
      </c>
      <c r="AR597">
        <f t="shared" si="501"/>
        <v>-2.610965879447956</v>
      </c>
      <c r="AT597">
        <f t="shared" si="470"/>
        <v>-2998.951402114852</v>
      </c>
      <c r="AU597">
        <f t="shared" si="471"/>
        <v>-752.62467950259895</v>
      </c>
      <c r="AV597">
        <f t="shared" si="511"/>
        <v>-2.8957082073604812</v>
      </c>
      <c r="AW597">
        <f t="shared" si="512"/>
        <v>-269.59597093217951</v>
      </c>
      <c r="AX597">
        <f t="shared" si="513"/>
        <v>-1506.7329498233419</v>
      </c>
      <c r="AY597">
        <f t="shared" si="521"/>
        <v>-1.7478502366828292</v>
      </c>
      <c r="BA597">
        <f t="shared" si="502"/>
        <v>2.0200081853450906</v>
      </c>
      <c r="BB597">
        <f t="shared" si="514"/>
        <v>6.1070625853978511</v>
      </c>
      <c r="BC597">
        <f t="shared" si="515"/>
        <v>-1.1478579706776519</v>
      </c>
      <c r="BD597">
        <f t="shared" si="503"/>
        <v>-245.76741727543109</v>
      </c>
      <c r="BF597">
        <f t="shared" si="504"/>
        <v>-54.329850932310535</v>
      </c>
      <c r="BG597">
        <f t="shared" si="505"/>
        <v>-232.08200641531866</v>
      </c>
      <c r="BH597">
        <f t="shared" si="516"/>
        <v>-52.082006415318659</v>
      </c>
      <c r="BI597">
        <f t="shared" si="517"/>
        <v>-52.082006415318659</v>
      </c>
      <c r="BJ597">
        <f t="shared" si="506"/>
        <v>0</v>
      </c>
      <c r="BK597">
        <f t="shared" si="518"/>
        <v>0</v>
      </c>
      <c r="BM597">
        <f t="shared" si="519"/>
        <v>-60.436913517708383</v>
      </c>
      <c r="BN597">
        <f t="shared" si="507"/>
        <v>-166.31458913988757</v>
      </c>
      <c r="BQ597" s="56">
        <f t="shared" si="520"/>
        <v>23.00902338568299</v>
      </c>
    </row>
    <row r="598" spans="1:69" x14ac:dyDescent="0.2">
      <c r="A598">
        <f t="shared" si="522"/>
        <v>1920000</v>
      </c>
      <c r="B598">
        <f t="shared" si="508"/>
        <v>1920</v>
      </c>
      <c r="C598">
        <f t="shared" si="477"/>
        <v>1.0286949476543785</v>
      </c>
      <c r="D598">
        <f t="shared" si="478"/>
        <v>0.23674954436030504</v>
      </c>
      <c r="F598">
        <f t="shared" si="479"/>
        <v>6.1315965300171005E-5</v>
      </c>
      <c r="G598">
        <f t="shared" si="480"/>
        <v>2.6927420180300294E-3</v>
      </c>
      <c r="H598">
        <f t="shared" si="481"/>
        <v>-3.1388999079819704</v>
      </c>
      <c r="J598">
        <f t="shared" si="482"/>
        <v>15</v>
      </c>
      <c r="M598">
        <f t="shared" si="483"/>
        <v>9.4526802225209034E-4</v>
      </c>
      <c r="N598">
        <f t="shared" si="484"/>
        <v>-1.5707963250000001</v>
      </c>
      <c r="O598">
        <f t="shared" si="485"/>
        <v>229.12833592713639</v>
      </c>
      <c r="P598">
        <f t="shared" si="486"/>
        <v>1.5664319465858909</v>
      </c>
      <c r="Q598">
        <f t="shared" si="487"/>
        <v>149.55047218447774</v>
      </c>
      <c r="R598">
        <f t="shared" si="488"/>
        <v>1.5641095712297119</v>
      </c>
      <c r="S598">
        <f t="shared" si="489"/>
        <v>0.97091823992310478</v>
      </c>
      <c r="T598">
        <f t="shared" si="490"/>
        <v>-0.24175947418799656</v>
      </c>
      <c r="U598">
        <f t="shared" si="491"/>
        <v>0.24679812315396679</v>
      </c>
      <c r="V598">
        <f t="shared" si="492"/>
        <v>-1.3214215512947023</v>
      </c>
      <c r="X598">
        <f t="shared" si="509"/>
        <v>-42.682049917601319</v>
      </c>
      <c r="Y598">
        <f t="shared" si="493"/>
        <v>-166.47782624904505</v>
      </c>
      <c r="Z598">
        <f t="shared" si="510"/>
        <v>13.522173750954948</v>
      </c>
      <c r="AC598">
        <v>1</v>
      </c>
      <c r="AD598">
        <f t="shared" si="494"/>
        <v>229.12615373356803</v>
      </c>
      <c r="AE598">
        <f t="shared" si="495"/>
        <v>-0.18795967009330949</v>
      </c>
      <c r="AF598">
        <f t="shared" si="496"/>
        <v>4.7868824199168006E-2</v>
      </c>
      <c r="AG598">
        <f t="shared" si="473"/>
        <v>286.54877330957925</v>
      </c>
      <c r="AH598">
        <f t="shared" si="474"/>
        <v>-1146.0405350391818</v>
      </c>
      <c r="AJ598">
        <f t="shared" si="497"/>
        <v>22100</v>
      </c>
      <c r="AK598">
        <f t="shared" si="498"/>
        <v>5449.4699451978249</v>
      </c>
      <c r="AL598">
        <v>1</v>
      </c>
      <c r="AM598">
        <f t="shared" si="499"/>
        <v>149.54712879423744</v>
      </c>
      <c r="AN598">
        <f t="shared" si="475"/>
        <v>37.426323236408415</v>
      </c>
      <c r="AO598">
        <f t="shared" si="476"/>
        <v>-147.52923613210643</v>
      </c>
      <c r="AQ598">
        <f t="shared" si="500"/>
        <v>6.7816835678654263E-4</v>
      </c>
      <c r="AR598">
        <f t="shared" si="501"/>
        <v>-2.6041664900603236</v>
      </c>
      <c r="AT598">
        <f t="shared" ref="AT598:AT626" si="523">-AR598*AH598+AG598*AQ598</f>
        <v>-2984.2860292891069</v>
      </c>
      <c r="AU598">
        <f t="shared" ref="AU598:AU626" si="524">AQ598*AH598+AG598*AR598</f>
        <v>-746.99792164715666</v>
      </c>
      <c r="AV598">
        <f t="shared" si="511"/>
        <v>-2.8963218416378247</v>
      </c>
      <c r="AW598">
        <f t="shared" si="512"/>
        <v>-267.97983112895491</v>
      </c>
      <c r="AX598">
        <f t="shared" si="513"/>
        <v>-1502.8910188834434</v>
      </c>
      <c r="AY598">
        <f t="shared" si="521"/>
        <v>-1.7472513918139156</v>
      </c>
      <c r="BA598">
        <f t="shared" si="502"/>
        <v>2.0151742431549882</v>
      </c>
      <c r="BB598">
        <f t="shared" si="514"/>
        <v>6.0862520722629565</v>
      </c>
      <c r="BC598">
        <f t="shared" si="515"/>
        <v>-1.149070449823909</v>
      </c>
      <c r="BD598">
        <f t="shared" si="503"/>
        <v>-245.83688721333863</v>
      </c>
      <c r="BF598">
        <f t="shared" si="504"/>
        <v>-54.39471921438961</v>
      </c>
      <c r="BG598">
        <f t="shared" si="505"/>
        <v>-232.11785475122096</v>
      </c>
      <c r="BH598">
        <f t="shared" si="516"/>
        <v>-52.11785475122096</v>
      </c>
      <c r="BI598">
        <f t="shared" si="517"/>
        <v>-52.11785475122096</v>
      </c>
      <c r="BJ598">
        <f t="shared" si="506"/>
        <v>0</v>
      </c>
      <c r="BK598">
        <f t="shared" si="518"/>
        <v>0</v>
      </c>
      <c r="BM598">
        <f t="shared" si="519"/>
        <v>-60.480971286652562</v>
      </c>
      <c r="BN598">
        <f t="shared" si="507"/>
        <v>-166.28096753788233</v>
      </c>
      <c r="BQ598" s="56">
        <f t="shared" si="520"/>
        <v>22.988212872548097</v>
      </c>
    </row>
    <row r="599" spans="1:69" x14ac:dyDescent="0.2">
      <c r="A599">
        <f t="shared" ref="A599:A614" si="525">A598+5000</f>
        <v>1925000</v>
      </c>
      <c r="B599">
        <f t="shared" si="508"/>
        <v>1925</v>
      </c>
      <c r="C599">
        <f t="shared" si="477"/>
        <v>1.0288424973533745</v>
      </c>
      <c r="D599">
        <f t="shared" si="478"/>
        <v>0.23734321338756115</v>
      </c>
      <c r="F599">
        <f t="shared" si="479"/>
        <v>6.0997836143810418E-5</v>
      </c>
      <c r="G599">
        <f t="shared" si="480"/>
        <v>2.6857470590273026E-3</v>
      </c>
      <c r="H599">
        <f t="shared" si="481"/>
        <v>-3.1389069029409731</v>
      </c>
      <c r="J599">
        <f t="shared" si="482"/>
        <v>15</v>
      </c>
      <c r="M599">
        <f t="shared" si="483"/>
        <v>9.42812780635851E-4</v>
      </c>
      <c r="N599">
        <f t="shared" si="484"/>
        <v>-1.5707963250000001</v>
      </c>
      <c r="O599">
        <f t="shared" si="485"/>
        <v>229.72501295116942</v>
      </c>
      <c r="P599">
        <f t="shared" si="486"/>
        <v>1.5664432824949912</v>
      </c>
      <c r="Q599">
        <f t="shared" si="487"/>
        <v>149.9399091484423</v>
      </c>
      <c r="R599">
        <f t="shared" si="488"/>
        <v>1.5641269389102859</v>
      </c>
      <c r="S599">
        <f t="shared" si="489"/>
        <v>0.97077315960454291</v>
      </c>
      <c r="T599">
        <f t="shared" si="490"/>
        <v>-0.24236471918797575</v>
      </c>
      <c r="U599">
        <f t="shared" si="491"/>
        <v>0.24619599124265873</v>
      </c>
      <c r="V599">
        <f t="shared" si="492"/>
        <v>-1.3220428544331193</v>
      </c>
      <c r="X599">
        <f t="shared" si="509"/>
        <v>-42.72591380999782</v>
      </c>
      <c r="Y599">
        <f t="shared" si="493"/>
        <v>-166.51284373817887</v>
      </c>
      <c r="Z599">
        <f t="shared" si="510"/>
        <v>13.487156261821127</v>
      </c>
      <c r="AC599">
        <v>1</v>
      </c>
      <c r="AD599">
        <f t="shared" si="494"/>
        <v>229.7228364255825</v>
      </c>
      <c r="AE599">
        <f t="shared" si="495"/>
        <v>-0.18893990139147138</v>
      </c>
      <c r="AF599">
        <f t="shared" si="496"/>
        <v>4.7993482595520012E-2</v>
      </c>
      <c r="AG599">
        <f t="shared" si="473"/>
        <v>285.15224987770415</v>
      </c>
      <c r="AH599">
        <f t="shared" si="474"/>
        <v>-1143.4185436372591</v>
      </c>
      <c r="AJ599">
        <f t="shared" si="497"/>
        <v>22100</v>
      </c>
      <c r="AK599">
        <f t="shared" si="498"/>
        <v>5463.6612731801106</v>
      </c>
      <c r="AL599">
        <v>1</v>
      </c>
      <c r="AM599">
        <f t="shared" si="499"/>
        <v>149.93657444213912</v>
      </c>
      <c r="AN599">
        <f t="shared" si="475"/>
        <v>37.421205409688724</v>
      </c>
      <c r="AO599">
        <f t="shared" si="476"/>
        <v>-147.14607744426169</v>
      </c>
      <c r="AQ599">
        <f t="shared" si="500"/>
        <v>6.7464997978411336E-4</v>
      </c>
      <c r="AR599">
        <f t="shared" si="501"/>
        <v>-2.5974024221688365</v>
      </c>
      <c r="AT599">
        <f t="shared" si="523"/>
        <v>-2969.725716836565</v>
      </c>
      <c r="AU599">
        <f t="shared" si="524"/>
        <v>-741.42655181659177</v>
      </c>
      <c r="AV599">
        <f t="shared" si="511"/>
        <v>-2.8969324852740219</v>
      </c>
      <c r="AW599">
        <f t="shared" si="512"/>
        <v>-266.37650393267865</v>
      </c>
      <c r="AX599">
        <f t="shared" si="513"/>
        <v>-1499.0684707967089</v>
      </c>
      <c r="AY599">
        <f t="shared" si="521"/>
        <v>-1.7466554067318576</v>
      </c>
      <c r="BA599">
        <f t="shared" si="502"/>
        <v>2.0103621249896308</v>
      </c>
      <c r="BB599">
        <f t="shared" si="514"/>
        <v>6.0654858719873248</v>
      </c>
      <c r="BC599">
        <f t="shared" si="515"/>
        <v>-1.1502770785421643</v>
      </c>
      <c r="BD599">
        <f t="shared" si="503"/>
        <v>-245.90602194641292</v>
      </c>
      <c r="BF599">
        <f t="shared" si="504"/>
        <v>-54.459422468920764</v>
      </c>
      <c r="BG599">
        <f t="shared" si="505"/>
        <v>-232.15337553619619</v>
      </c>
      <c r="BH599">
        <f t="shared" si="516"/>
        <v>-52.153375536196194</v>
      </c>
      <c r="BI599">
        <f t="shared" si="517"/>
        <v>-52.153375536196194</v>
      </c>
      <c r="BJ599">
        <f t="shared" si="506"/>
        <v>0</v>
      </c>
      <c r="BK599">
        <f t="shared" si="518"/>
        <v>0</v>
      </c>
      <c r="BM599">
        <f t="shared" si="519"/>
        <v>-60.524908340908084</v>
      </c>
      <c r="BN599">
        <f t="shared" si="507"/>
        <v>-166.24735358978324</v>
      </c>
      <c r="BQ599" s="56">
        <f t="shared" si="520"/>
        <v>22.967446672272462</v>
      </c>
    </row>
    <row r="600" spans="1:69" x14ac:dyDescent="0.2">
      <c r="A600">
        <f t="shared" si="525"/>
        <v>1930000</v>
      </c>
      <c r="B600">
        <f t="shared" si="508"/>
        <v>1930</v>
      </c>
      <c r="C600">
        <f t="shared" si="477"/>
        <v>1.0289904095565527</v>
      </c>
      <c r="D600">
        <f t="shared" si="478"/>
        <v>0.23793671195005972</v>
      </c>
      <c r="F600">
        <f t="shared" si="479"/>
        <v>6.0682176478700237E-5</v>
      </c>
      <c r="G600">
        <f t="shared" si="480"/>
        <v>2.6787883497143821E-3</v>
      </c>
      <c r="H600">
        <f t="shared" si="481"/>
        <v>-3.1389138616502859</v>
      </c>
      <c r="J600">
        <f t="shared" si="482"/>
        <v>15</v>
      </c>
      <c r="M600">
        <f t="shared" si="483"/>
        <v>9.403702604787635E-4</v>
      </c>
      <c r="N600">
        <f t="shared" si="484"/>
        <v>-1.5707963250000001</v>
      </c>
      <c r="O600">
        <f t="shared" si="485"/>
        <v>230.3216900045698</v>
      </c>
      <c r="P600">
        <f t="shared" si="486"/>
        <v>1.5664545596699215</v>
      </c>
      <c r="Q600">
        <f t="shared" si="487"/>
        <v>150.32934615739984</v>
      </c>
      <c r="R600">
        <f t="shared" si="488"/>
        <v>1.5641442166068698</v>
      </c>
      <c r="S600">
        <f t="shared" si="489"/>
        <v>0.97062776723461108</v>
      </c>
      <c r="T600">
        <f t="shared" si="490"/>
        <v>-0.24296978311486703</v>
      </c>
      <c r="U600">
        <f t="shared" si="491"/>
        <v>0.24559669619975158</v>
      </c>
      <c r="V600">
        <f t="shared" si="492"/>
        <v>-1.3226611330330063</v>
      </c>
      <c r="X600">
        <f t="shared" si="509"/>
        <v>-42.769670802104883</v>
      </c>
      <c r="Y600">
        <f t="shared" si="493"/>
        <v>-166.54769377017595</v>
      </c>
      <c r="Z600">
        <f t="shared" si="510"/>
        <v>13.452306229824046</v>
      </c>
      <c r="AC600">
        <v>1</v>
      </c>
      <c r="AD600">
        <f t="shared" si="494"/>
        <v>230.319519117597</v>
      </c>
      <c r="AE600">
        <f t="shared" si="495"/>
        <v>-0.1899226820558183</v>
      </c>
      <c r="AF600">
        <f t="shared" si="496"/>
        <v>4.8118140991872012E-2</v>
      </c>
      <c r="AG600">
        <f t="shared" si="473"/>
        <v>283.76569328357601</v>
      </c>
      <c r="AH600">
        <f t="shared" si="474"/>
        <v>-1140.8076125201499</v>
      </c>
      <c r="AJ600">
        <f t="shared" si="497"/>
        <v>22100</v>
      </c>
      <c r="AK600">
        <f t="shared" si="498"/>
        <v>5477.8526011623971</v>
      </c>
      <c r="AL600">
        <v>1</v>
      </c>
      <c r="AM600">
        <f t="shared" si="499"/>
        <v>150.32602009004077</v>
      </c>
      <c r="AN600">
        <f t="shared" si="475"/>
        <v>37.416127304932139</v>
      </c>
      <c r="AO600">
        <f t="shared" si="476"/>
        <v>-146.76490377035353</v>
      </c>
      <c r="AQ600">
        <f t="shared" si="500"/>
        <v>6.7115891224201244E-4</v>
      </c>
      <c r="AR600">
        <f t="shared" si="501"/>
        <v>-2.5906734012541679</v>
      </c>
      <c r="AT600">
        <f t="shared" si="523"/>
        <v>-2955.2694858301879</v>
      </c>
      <c r="AU600">
        <f t="shared" si="524"/>
        <v>-735.90989697450539</v>
      </c>
      <c r="AV600">
        <f t="shared" si="511"/>
        <v>-2.8975401596011605</v>
      </c>
      <c r="AW600">
        <f t="shared" si="512"/>
        <v>-264.78585392640241</v>
      </c>
      <c r="AX600">
        <f t="shared" si="513"/>
        <v>-1495.2651601404943</v>
      </c>
      <c r="AY600">
        <f t="shared" si="521"/>
        <v>-1.7460622587124102</v>
      </c>
      <c r="BA600">
        <f t="shared" si="502"/>
        <v>2.0055716942425579</v>
      </c>
      <c r="BB600">
        <f t="shared" si="514"/>
        <v>6.0447638310393801</v>
      </c>
      <c r="BC600">
        <f t="shared" si="515"/>
        <v>-1.1514779008887503</v>
      </c>
      <c r="BD600">
        <f t="shared" si="503"/>
        <v>-245.97482399889594</v>
      </c>
      <c r="BF600">
        <f t="shared" si="504"/>
        <v>-54.523961463439441</v>
      </c>
      <c r="BG600">
        <f t="shared" si="505"/>
        <v>-232.18857133053697</v>
      </c>
      <c r="BH600">
        <f t="shared" si="516"/>
        <v>-52.188571330536973</v>
      </c>
      <c r="BI600">
        <f t="shared" si="517"/>
        <v>-52.188571330536973</v>
      </c>
      <c r="BJ600">
        <f t="shared" si="506"/>
        <v>0</v>
      </c>
      <c r="BK600">
        <f t="shared" si="518"/>
        <v>0</v>
      </c>
      <c r="BM600">
        <f t="shared" si="519"/>
        <v>-60.568725294478824</v>
      </c>
      <c r="BN600">
        <f t="shared" si="507"/>
        <v>-166.21374733164106</v>
      </c>
      <c r="BQ600" s="56">
        <f t="shared" si="520"/>
        <v>22.946724631324518</v>
      </c>
    </row>
    <row r="601" spans="1:69" x14ac:dyDescent="0.2">
      <c r="A601">
        <f t="shared" si="525"/>
        <v>1935000</v>
      </c>
      <c r="B601">
        <f t="shared" si="508"/>
        <v>1935</v>
      </c>
      <c r="C601">
        <f t="shared" si="477"/>
        <v>1.0291386841076118</v>
      </c>
      <c r="D601">
        <f t="shared" si="478"/>
        <v>0.23853003970328235</v>
      </c>
      <c r="F601">
        <f t="shared" si="479"/>
        <v>6.0368960810959936E-5</v>
      </c>
      <c r="G601">
        <f t="shared" si="480"/>
        <v>2.671865609020236E-3</v>
      </c>
      <c r="H601">
        <f t="shared" si="481"/>
        <v>-3.1389207843909799</v>
      </c>
      <c r="J601">
        <f t="shared" si="482"/>
        <v>15</v>
      </c>
      <c r="M601">
        <f t="shared" si="483"/>
        <v>9.3794036316486478E-4</v>
      </c>
      <c r="N601">
        <f t="shared" si="484"/>
        <v>-1.5707963250000001</v>
      </c>
      <c r="O601">
        <f t="shared" si="485"/>
        <v>230.91836708710991</v>
      </c>
      <c r="P601">
        <f t="shared" si="486"/>
        <v>1.5664657785659739</v>
      </c>
      <c r="Q601">
        <f t="shared" si="487"/>
        <v>150.71878321100158</v>
      </c>
      <c r="R601">
        <f t="shared" si="488"/>
        <v>1.5641614050169728</v>
      </c>
      <c r="S601">
        <f t="shared" si="489"/>
        <v>0.97048206327279452</v>
      </c>
      <c r="T601">
        <f t="shared" si="490"/>
        <v>-0.24357466560708499</v>
      </c>
      <c r="U601">
        <f t="shared" si="491"/>
        <v>0.24500021872844588</v>
      </c>
      <c r="V601">
        <f t="shared" si="492"/>
        <v>-1.323276408656908</v>
      </c>
      <c r="X601">
        <f t="shared" si="509"/>
        <v>-42.813321400198234</v>
      </c>
      <c r="Y601">
        <f t="shared" si="493"/>
        <v>-166.58237752955461</v>
      </c>
      <c r="Z601">
        <f t="shared" si="510"/>
        <v>13.417622470445394</v>
      </c>
      <c r="AC601">
        <v>1</v>
      </c>
      <c r="AD601">
        <f t="shared" si="494"/>
        <v>230.91620180961152</v>
      </c>
      <c r="AE601">
        <f t="shared" si="495"/>
        <v>-0.19090801208635033</v>
      </c>
      <c r="AF601">
        <f t="shared" si="496"/>
        <v>4.8242799388224004E-2</v>
      </c>
      <c r="AG601">
        <f t="shared" si="473"/>
        <v>282.38901105446092</v>
      </c>
      <c r="AH601">
        <f t="shared" si="474"/>
        <v>-1138.2076793172387</v>
      </c>
      <c r="AJ601">
        <f t="shared" si="497"/>
        <v>22100</v>
      </c>
      <c r="AK601">
        <f t="shared" si="498"/>
        <v>5492.0439291446828</v>
      </c>
      <c r="AL601">
        <v>1</v>
      </c>
      <c r="AM601">
        <f t="shared" si="499"/>
        <v>150.71546573794242</v>
      </c>
      <c r="AN601">
        <f t="shared" si="475"/>
        <v>37.411088512136772</v>
      </c>
      <c r="AO601">
        <f t="shared" si="476"/>
        <v>-146.38569972539744</v>
      </c>
      <c r="AQ601">
        <f t="shared" si="500"/>
        <v>6.6769487225695084E-4</v>
      </c>
      <c r="AR601">
        <f t="shared" si="501"/>
        <v>-2.5839791556343998</v>
      </c>
      <c r="AT601">
        <f t="shared" si="523"/>
        <v>-2940.916368444085</v>
      </c>
      <c r="AU601">
        <f t="shared" si="524"/>
        <v>-730.44729377598276</v>
      </c>
      <c r="AV601">
        <f t="shared" si="511"/>
        <v>-2.8981448857536618</v>
      </c>
      <c r="AW601">
        <f t="shared" si="512"/>
        <v>-263.2077474802316</v>
      </c>
      <c r="AX601">
        <f t="shared" si="513"/>
        <v>-1491.4809429381237</v>
      </c>
      <c r="AY601">
        <f t="shared" si="521"/>
        <v>-1.7454719252688824</v>
      </c>
      <c r="BA601">
        <f t="shared" si="502"/>
        <v>2.0008028153092656</v>
      </c>
      <c r="BB601">
        <f t="shared" si="514"/>
        <v>6.0240857962843748</v>
      </c>
      <c r="BC601">
        <f t="shared" si="515"/>
        <v>-1.1526729604847794</v>
      </c>
      <c r="BD601">
        <f t="shared" si="503"/>
        <v>-246.04329587009323</v>
      </c>
      <c r="BF601">
        <f t="shared" si="504"/>
        <v>-54.588336960341579</v>
      </c>
      <c r="BG601">
        <f t="shared" si="505"/>
        <v>-232.22344466939268</v>
      </c>
      <c r="BH601">
        <f t="shared" si="516"/>
        <v>-52.223444669392677</v>
      </c>
      <c r="BI601">
        <f t="shared" si="517"/>
        <v>-52.223444669392677</v>
      </c>
      <c r="BJ601">
        <f t="shared" si="506"/>
        <v>0</v>
      </c>
      <c r="BK601">
        <f t="shared" si="518"/>
        <v>0</v>
      </c>
      <c r="BM601">
        <f t="shared" si="519"/>
        <v>-60.612422756625961</v>
      </c>
      <c r="BN601">
        <f t="shared" si="507"/>
        <v>-166.18014879929947</v>
      </c>
      <c r="BQ601" s="56">
        <f t="shared" si="520"/>
        <v>22.926046596569513</v>
      </c>
    </row>
    <row r="602" spans="1:69" x14ac:dyDescent="0.2">
      <c r="A602">
        <f t="shared" si="525"/>
        <v>1940000</v>
      </c>
      <c r="B602">
        <f t="shared" si="508"/>
        <v>1940</v>
      </c>
      <c r="C602">
        <f t="shared" si="477"/>
        <v>1.0292873208499564</v>
      </c>
      <c r="D602">
        <f t="shared" si="478"/>
        <v>0.23912319630338991</v>
      </c>
      <c r="F602">
        <f t="shared" si="479"/>
        <v>6.0058163974851851E-5</v>
      </c>
      <c r="G602">
        <f t="shared" si="480"/>
        <v>2.6649785587723181E-3</v>
      </c>
      <c r="H602">
        <f t="shared" si="481"/>
        <v>-3.1389276714412278</v>
      </c>
      <c r="J602">
        <f t="shared" si="482"/>
        <v>15</v>
      </c>
      <c r="M602">
        <f t="shared" si="483"/>
        <v>9.3552299109485218E-4</v>
      </c>
      <c r="N602">
        <f t="shared" si="484"/>
        <v>-1.5707963250000001</v>
      </c>
      <c r="O602">
        <f t="shared" si="485"/>
        <v>231.51504419856442</v>
      </c>
      <c r="P602">
        <f t="shared" si="486"/>
        <v>1.5664769396337466</v>
      </c>
      <c r="Q602">
        <f t="shared" si="487"/>
        <v>151.10822030890245</v>
      </c>
      <c r="R602">
        <f t="shared" si="488"/>
        <v>1.5641785048309143</v>
      </c>
      <c r="S602">
        <f t="shared" si="489"/>
        <v>0.97033604817918551</v>
      </c>
      <c r="T602">
        <f t="shared" si="490"/>
        <v>-0.24417936630379208</v>
      </c>
      <c r="U602">
        <f t="shared" si="491"/>
        <v>0.24440653969941797</v>
      </c>
      <c r="V602">
        <f t="shared" si="492"/>
        <v>-1.323888702667513</v>
      </c>
      <c r="X602">
        <f t="shared" si="509"/>
        <v>-42.85686610706864</v>
      </c>
      <c r="Y602">
        <f t="shared" si="493"/>
        <v>-166.61689618990124</v>
      </c>
      <c r="Z602">
        <f t="shared" si="510"/>
        <v>13.38310381009876</v>
      </c>
      <c r="AC602">
        <v>1</v>
      </c>
      <c r="AD602">
        <f t="shared" si="494"/>
        <v>231.51288450162602</v>
      </c>
      <c r="AE602">
        <f t="shared" si="495"/>
        <v>-0.1918958914830674</v>
      </c>
      <c r="AF602">
        <f t="shared" si="496"/>
        <v>4.8367457784576004E-2</v>
      </c>
      <c r="AG602">
        <f t="shared" si="473"/>
        <v>281.02211176106778</v>
      </c>
      <c r="AH602">
        <f t="shared" si="474"/>
        <v>-1135.6186820379069</v>
      </c>
      <c r="AJ602">
        <f t="shared" si="497"/>
        <v>22100</v>
      </c>
      <c r="AK602">
        <f t="shared" si="498"/>
        <v>5506.2352571269685</v>
      </c>
      <c r="AL602">
        <v>1</v>
      </c>
      <c r="AM602">
        <f t="shared" si="499"/>
        <v>151.10491138584408</v>
      </c>
      <c r="AN602">
        <f t="shared" si="475"/>
        <v>37.406088626577024</v>
      </c>
      <c r="AO602">
        <f t="shared" si="476"/>
        <v>-146.00845008298194</v>
      </c>
      <c r="AQ602">
        <f t="shared" si="500"/>
        <v>6.6425758155372642E-4</v>
      </c>
      <c r="AR602">
        <f t="shared" si="501"/>
        <v>-2.5773194164284585</v>
      </c>
      <c r="AT602">
        <f t="shared" si="523"/>
        <v>-2926.6654078068718</v>
      </c>
      <c r="AU602">
        <f t="shared" si="524"/>
        <v>-725.03808840682598</v>
      </c>
      <c r="AV602">
        <f t="shared" si="511"/>
        <v>-2.8987466846705034</v>
      </c>
      <c r="AW602">
        <f t="shared" si="512"/>
        <v>-261.64205272308084</v>
      </c>
      <c r="AX602">
        <f t="shared" si="513"/>
        <v>-1487.7156766409746</v>
      </c>
      <c r="AY602">
        <f t="shared" si="521"/>
        <v>-1.7448843841490922</v>
      </c>
      <c r="BA602">
        <f t="shared" si="502"/>
        <v>1.9960553535803134</v>
      </c>
      <c r="BB602">
        <f t="shared" si="514"/>
        <v>6.003451614990488</v>
      </c>
      <c r="BC602">
        <f t="shared" si="515"/>
        <v>-1.1538623005214113</v>
      </c>
      <c r="BD602">
        <f t="shared" si="503"/>
        <v>-246.11144003467604</v>
      </c>
      <c r="BF602">
        <f t="shared" si="504"/>
        <v>-54.652549716926472</v>
      </c>
      <c r="BG602">
        <f t="shared" si="505"/>
        <v>-232.25799806307313</v>
      </c>
      <c r="BH602">
        <f t="shared" si="516"/>
        <v>-52.257998063073131</v>
      </c>
      <c r="BI602">
        <f t="shared" si="517"/>
        <v>-52.257998063073131</v>
      </c>
      <c r="BJ602">
        <f t="shared" si="506"/>
        <v>0</v>
      </c>
      <c r="BK602">
        <f t="shared" si="518"/>
        <v>0</v>
      </c>
      <c r="BM602">
        <f t="shared" si="519"/>
        <v>-60.656001331916954</v>
      </c>
      <c r="BN602">
        <f t="shared" si="507"/>
        <v>-166.1465580283971</v>
      </c>
      <c r="BQ602" s="56">
        <f t="shared" si="520"/>
        <v>22.905412415275627</v>
      </c>
    </row>
    <row r="603" spans="1:69" x14ac:dyDescent="0.2">
      <c r="A603">
        <f t="shared" si="525"/>
        <v>1945000</v>
      </c>
      <c r="B603">
        <f t="shared" si="508"/>
        <v>1945</v>
      </c>
      <c r="C603">
        <f t="shared" si="477"/>
        <v>1.0294363196267005</v>
      </c>
      <c r="D603">
        <f t="shared" si="478"/>
        <v>0.23971618140722331</v>
      </c>
      <c r="F603">
        <f t="shared" si="479"/>
        <v>5.9749761127725658E-5</v>
      </c>
      <c r="G603">
        <f t="shared" si="480"/>
        <v>2.6581269236592947E-3</v>
      </c>
      <c r="H603">
        <f t="shared" si="481"/>
        <v>-3.1389345230763408</v>
      </c>
      <c r="J603">
        <f t="shared" si="482"/>
        <v>15</v>
      </c>
      <c r="M603">
        <f t="shared" si="483"/>
        <v>9.3311804767301444E-4</v>
      </c>
      <c r="N603">
        <f t="shared" si="484"/>
        <v>-1.5707963250000001</v>
      </c>
      <c r="O603">
        <f t="shared" si="485"/>
        <v>232.11172133871037</v>
      </c>
      <c r="P603">
        <f t="shared" si="486"/>
        <v>1.5664880433192054</v>
      </c>
      <c r="Q603">
        <f t="shared" si="487"/>
        <v>151.49765745076073</v>
      </c>
      <c r="R603">
        <f t="shared" si="488"/>
        <v>1.5641955167319148</v>
      </c>
      <c r="S603">
        <f t="shared" si="489"/>
        <v>0.97018972241447898</v>
      </c>
      <c r="T603">
        <f t="shared" si="490"/>
        <v>-0.24478388484489952</v>
      </c>
      <c r="U603">
        <f t="shared" si="491"/>
        <v>0.2438156401491002</v>
      </c>
      <c r="V603">
        <f t="shared" si="492"/>
        <v>-1.324498036229907</v>
      </c>
      <c r="X603">
        <f t="shared" si="509"/>
        <v>-42.900305422052831</v>
      </c>
      <c r="Y603">
        <f t="shared" si="493"/>
        <v>-166.65125091399247</v>
      </c>
      <c r="Z603">
        <f t="shared" si="510"/>
        <v>13.34874908600753</v>
      </c>
      <c r="AC603">
        <v>1</v>
      </c>
      <c r="AD603">
        <f t="shared" si="494"/>
        <v>232.10956719364049</v>
      </c>
      <c r="AE603">
        <f t="shared" si="495"/>
        <v>-0.19288632024596955</v>
      </c>
      <c r="AF603">
        <f t="shared" si="496"/>
        <v>4.8492116180928004E-2</v>
      </c>
      <c r="AG603">
        <f t="shared" si="473"/>
        <v>279.66490500384566</v>
      </c>
      <c r="AH603">
        <f t="shared" si="474"/>
        <v>-1133.04055907009</v>
      </c>
      <c r="AJ603">
        <f t="shared" si="497"/>
        <v>22100</v>
      </c>
      <c r="AK603">
        <f t="shared" si="498"/>
        <v>5520.426585109255</v>
      </c>
      <c r="AL603">
        <v>1</v>
      </c>
      <c r="AM603">
        <f t="shared" si="499"/>
        <v>151.49435703374573</v>
      </c>
      <c r="AN603">
        <f t="shared" si="475"/>
        <v>37.401127248722261</v>
      </c>
      <c r="AO603">
        <f t="shared" si="476"/>
        <v>-145.63313977323116</v>
      </c>
      <c r="AQ603">
        <f t="shared" si="500"/>
        <v>6.6084676542933459E-4</v>
      </c>
      <c r="AR603">
        <f t="shared" si="501"/>
        <v>-2.5706939175201118</v>
      </c>
      <c r="AT603">
        <f t="shared" si="523"/>
        <v>-2912.5156578571914</v>
      </c>
      <c r="AU603">
        <f t="shared" si="524"/>
        <v>-719.68163642578759</v>
      </c>
      <c r="AV603">
        <f t="shared" si="511"/>
        <v>-2.8993455770974172</v>
      </c>
      <c r="AW603">
        <f t="shared" si="512"/>
        <v>-260.08863951495249</v>
      </c>
      <c r="AX603">
        <f t="shared" si="513"/>
        <v>-1483.9692201108251</v>
      </c>
      <c r="AY603">
        <f t="shared" si="521"/>
        <v>-1.7442996133323729</v>
      </c>
      <c r="BA603">
        <f t="shared" si="502"/>
        <v>1.9913291754344251</v>
      </c>
      <c r="BB603">
        <f t="shared" si="514"/>
        <v>5.9828611348346517</v>
      </c>
      <c r="BC603">
        <f t="shared" si="515"/>
        <v>-1.1550459637650443</v>
      </c>
      <c r="BD603">
        <f t="shared" si="503"/>
        <v>-246.17925894297849</v>
      </c>
      <c r="BF603">
        <f t="shared" si="504"/>
        <v>-54.716600485439301</v>
      </c>
      <c r="BG603">
        <f t="shared" si="505"/>
        <v>-232.29223399734812</v>
      </c>
      <c r="BH603">
        <f t="shared" si="516"/>
        <v>-52.29223399734812</v>
      </c>
      <c r="BI603">
        <f t="shared" si="517"/>
        <v>-52.29223399734812</v>
      </c>
      <c r="BJ603">
        <f t="shared" si="506"/>
        <v>0</v>
      </c>
      <c r="BK603">
        <f t="shared" si="518"/>
        <v>0</v>
      </c>
      <c r="BM603">
        <f t="shared" si="519"/>
        <v>-60.699461620273951</v>
      </c>
      <c r="BN603">
        <f t="shared" si="507"/>
        <v>-166.11297505436966</v>
      </c>
      <c r="BQ603" s="56">
        <f t="shared" si="520"/>
        <v>22.884821935119788</v>
      </c>
    </row>
    <row r="604" spans="1:69" x14ac:dyDescent="0.2">
      <c r="A604">
        <f t="shared" si="525"/>
        <v>1950000</v>
      </c>
      <c r="B604">
        <f t="shared" si="508"/>
        <v>1950</v>
      </c>
      <c r="C604">
        <f t="shared" si="477"/>
        <v>1.0295856802806655</v>
      </c>
      <c r="D604">
        <f t="shared" si="478"/>
        <v>0.24030899467230435</v>
      </c>
      <c r="F604">
        <f t="shared" si="479"/>
        <v>5.9443727745053598E-5</v>
      </c>
      <c r="G604">
        <f t="shared" si="480"/>
        <v>2.651310431194352E-3</v>
      </c>
      <c r="H604">
        <f t="shared" si="481"/>
        <v>-3.1389413395688059</v>
      </c>
      <c r="J604">
        <f t="shared" si="482"/>
        <v>15</v>
      </c>
      <c r="M604">
        <f t="shared" si="483"/>
        <v>9.3072543729436584E-4</v>
      </c>
      <c r="N604">
        <f t="shared" si="484"/>
        <v>-1.5707963250000001</v>
      </c>
      <c r="O604">
        <f t="shared" si="485"/>
        <v>232.70839850732702</v>
      </c>
      <c r="P604">
        <f t="shared" si="486"/>
        <v>1.5664990900637419</v>
      </c>
      <c r="Q604">
        <f t="shared" si="487"/>
        <v>151.88709463623829</v>
      </c>
      <c r="R604">
        <f t="shared" si="488"/>
        <v>1.5642124413961886</v>
      </c>
      <c r="S604">
        <f t="shared" si="489"/>
        <v>0.97004308643996995</v>
      </c>
      <c r="T604">
        <f t="shared" si="490"/>
        <v>-0.24538822087106782</v>
      </c>
      <c r="U604">
        <f t="shared" si="491"/>
        <v>0.24322750127797929</v>
      </c>
      <c r="V604">
        <f t="shared" si="492"/>
        <v>-1.3251044303137967</v>
      </c>
      <c r="X604">
        <f t="shared" si="509"/>
        <v>-42.94363984106419</v>
      </c>
      <c r="Y604">
        <f t="shared" si="493"/>
        <v>-166.68544285391624</v>
      </c>
      <c r="Z604">
        <f t="shared" si="510"/>
        <v>13.314557146083757</v>
      </c>
      <c r="AC604">
        <v>1</v>
      </c>
      <c r="AD604">
        <f t="shared" si="494"/>
        <v>232.70624988565501</v>
      </c>
      <c r="AE604">
        <f t="shared" si="495"/>
        <v>-0.19387929837505682</v>
      </c>
      <c r="AF604">
        <f t="shared" si="496"/>
        <v>4.861677457728001E-2</v>
      </c>
      <c r="AG604">
        <f t="shared" si="473"/>
        <v>278.31730139948667</v>
      </c>
      <c r="AH604">
        <f t="shared" si="474"/>
        <v>-1130.4732491788141</v>
      </c>
      <c r="AJ604">
        <f t="shared" si="497"/>
        <v>22100</v>
      </c>
      <c r="AK604">
        <f t="shared" si="498"/>
        <v>5534.6179130915407</v>
      </c>
      <c r="AL604">
        <v>1</v>
      </c>
      <c r="AM604">
        <f t="shared" si="499"/>
        <v>151.88380268164741</v>
      </c>
      <c r="AN604">
        <f t="shared" si="475"/>
        <v>37.396203984157005</v>
      </c>
      <c r="AO604">
        <f t="shared" si="476"/>
        <v>-145.25975388079834</v>
      </c>
      <c r="AQ604">
        <f t="shared" si="500"/>
        <v>6.5746215269808328E-4</v>
      </c>
      <c r="AR604">
        <f t="shared" si="501"/>
        <v>-2.5641023955225251</v>
      </c>
      <c r="AT604">
        <f t="shared" si="523"/>
        <v>-2898.4661832014185</v>
      </c>
      <c r="AU604">
        <f t="shared" si="524"/>
        <v>-714.37730260976105</v>
      </c>
      <c r="AV604">
        <f t="shared" si="511"/>
        <v>-2.8999415835890572</v>
      </c>
      <c r="AW604">
        <f t="shared" si="512"/>
        <v>-258.54737941971979</v>
      </c>
      <c r="AX604">
        <f t="shared" si="513"/>
        <v>-1480.2414336024679</v>
      </c>
      <c r="AY604">
        <f t="shared" si="521"/>
        <v>-1.7437175910266187</v>
      </c>
      <c r="BA604">
        <f t="shared" si="502"/>
        <v>1.9866241482316136</v>
      </c>
      <c r="BB604">
        <f t="shared" si="514"/>
        <v>5.9623142039082166</v>
      </c>
      <c r="BC604">
        <f t="shared" si="515"/>
        <v>-1.1562239925624385</v>
      </c>
      <c r="BD604">
        <f t="shared" si="503"/>
        <v>-246.24675502129116</v>
      </c>
      <c r="BF604">
        <f t="shared" si="504"/>
        <v>-54.780490013113258</v>
      </c>
      <c r="BG604">
        <f t="shared" si="505"/>
        <v>-232.32615493374328</v>
      </c>
      <c r="BH604">
        <f t="shared" si="516"/>
        <v>-52.326154933743283</v>
      </c>
      <c r="BI604">
        <f t="shared" si="517"/>
        <v>-52.326154933743283</v>
      </c>
      <c r="BJ604">
        <f t="shared" si="506"/>
        <v>0</v>
      </c>
      <c r="BK604">
        <f t="shared" si="518"/>
        <v>0</v>
      </c>
      <c r="BM604">
        <f t="shared" si="519"/>
        <v>-60.742804217021472</v>
      </c>
      <c r="BN604">
        <f t="shared" si="507"/>
        <v>-166.07939991245215</v>
      </c>
      <c r="BQ604" s="56">
        <f t="shared" si="520"/>
        <v>22.864275004193356</v>
      </c>
    </row>
    <row r="605" spans="1:69" x14ac:dyDescent="0.2">
      <c r="A605">
        <f t="shared" si="525"/>
        <v>1955000</v>
      </c>
      <c r="B605">
        <f t="shared" si="508"/>
        <v>1955</v>
      </c>
      <c r="C605">
        <f t="shared" si="477"/>
        <v>1.0297354026543841</v>
      </c>
      <c r="D605">
        <f t="shared" si="478"/>
        <v>0.24090163575683643</v>
      </c>
      <c r="F605">
        <f t="shared" si="479"/>
        <v>5.9140039615554326E-5</v>
      </c>
      <c r="G605">
        <f t="shared" si="480"/>
        <v>2.6445288116790653E-3</v>
      </c>
      <c r="H605">
        <f t="shared" si="481"/>
        <v>-3.1389481211883212</v>
      </c>
      <c r="J605">
        <f t="shared" si="482"/>
        <v>15</v>
      </c>
      <c r="M605">
        <f t="shared" si="483"/>
        <v>9.2834506533197617E-4</v>
      </c>
      <c r="N605">
        <f t="shared" si="484"/>
        <v>-1.5707963250000001</v>
      </c>
      <c r="O605">
        <f t="shared" si="485"/>
        <v>233.30507570419601</v>
      </c>
      <c r="P605">
        <f t="shared" si="486"/>
        <v>1.5665100803042318</v>
      </c>
      <c r="Q605">
        <f t="shared" si="487"/>
        <v>152.27653186500052</v>
      </c>
      <c r="R605">
        <f t="shared" si="488"/>
        <v>1.564229279493033</v>
      </c>
      <c r="S605">
        <f t="shared" si="489"/>
        <v>0.96989614071754893</v>
      </c>
      <c r="T605">
        <f t="shared" si="490"/>
        <v>-0.24599237402370783</v>
      </c>
      <c r="U605">
        <f t="shared" si="491"/>
        <v>0.24264210444891504</v>
      </c>
      <c r="V605">
        <f t="shared" si="492"/>
        <v>-1.3257079056957031</v>
      </c>
      <c r="X605">
        <f t="shared" si="509"/>
        <v>-42.986869856623031</v>
      </c>
      <c r="Y605">
        <f t="shared" si="493"/>
        <v>-166.71947315119084</v>
      </c>
      <c r="Z605">
        <f t="shared" si="510"/>
        <v>13.28052684880916</v>
      </c>
      <c r="AC605">
        <v>1</v>
      </c>
      <c r="AD605">
        <f t="shared" si="494"/>
        <v>233.30293257766951</v>
      </c>
      <c r="AE605">
        <f t="shared" si="495"/>
        <v>-0.19487482587032912</v>
      </c>
      <c r="AF605">
        <f t="shared" si="496"/>
        <v>4.874143297363201E-2</v>
      </c>
      <c r="AG605">
        <f t="shared" si="473"/>
        <v>276.97921256762544</v>
      </c>
      <c r="AH605">
        <f t="shared" si="474"/>
        <v>-1127.9166915046953</v>
      </c>
      <c r="AJ605">
        <f t="shared" si="497"/>
        <v>22100</v>
      </c>
      <c r="AK605">
        <f t="shared" si="498"/>
        <v>5548.8092410738273</v>
      </c>
      <c r="AL605">
        <v>1</v>
      </c>
      <c r="AM605">
        <f t="shared" si="499"/>
        <v>152.27324832954906</v>
      </c>
      <c r="AN605">
        <f t="shared" si="475"/>
        <v>37.391318443502591</v>
      </c>
      <c r="AO605">
        <f t="shared" si="476"/>
        <v>-144.88827764289036</v>
      </c>
      <c r="AQ605">
        <f t="shared" si="500"/>
        <v>6.5410347563768707E-4</v>
      </c>
      <c r="AR605">
        <f t="shared" si="501"/>
        <v>-2.5575445897433564</v>
      </c>
      <c r="AT605">
        <f t="shared" si="523"/>
        <v>-2884.5160589734401</v>
      </c>
      <c r="AU605">
        <f t="shared" si="524"/>
        <v>-709.1244608018485</v>
      </c>
      <c r="AV605">
        <f t="shared" si="511"/>
        <v>-2.9005347245111373</v>
      </c>
      <c r="AW605">
        <f t="shared" si="512"/>
        <v>-257.01814567841029</v>
      </c>
      <c r="AX605">
        <f t="shared" si="513"/>
        <v>-1476.5321787465764</v>
      </c>
      <c r="AY605">
        <f t="shared" si="521"/>
        <v>-1.7431382956653778</v>
      </c>
      <c r="BA605">
        <f t="shared" si="502"/>
        <v>1.9819401403062979</v>
      </c>
      <c r="BB605">
        <f t="shared" si="514"/>
        <v>5.9418106707223304</v>
      </c>
      <c r="BC605">
        <f t="shared" si="515"/>
        <v>-1.1573964288457594</v>
      </c>
      <c r="BD605">
        <f t="shared" si="503"/>
        <v>-246.31393067215021</v>
      </c>
      <c r="BF605">
        <f t="shared" si="504"/>
        <v>-54.84421904221125</v>
      </c>
      <c r="BG605">
        <f t="shared" si="505"/>
        <v>-232.35976330983073</v>
      </c>
      <c r="BH605">
        <f t="shared" si="516"/>
        <v>-52.359763309830726</v>
      </c>
      <c r="BI605">
        <f t="shared" si="517"/>
        <v>-52.359763309830726</v>
      </c>
      <c r="BJ605">
        <f t="shared" si="506"/>
        <v>0</v>
      </c>
      <c r="BK605">
        <f t="shared" si="518"/>
        <v>0</v>
      </c>
      <c r="BM605">
        <f t="shared" si="519"/>
        <v>-60.786029712933576</v>
      </c>
      <c r="BN605">
        <f t="shared" si="507"/>
        <v>-166.04583263768052</v>
      </c>
      <c r="BQ605" s="56">
        <f t="shared" si="520"/>
        <v>22.843771471007468</v>
      </c>
    </row>
    <row r="606" spans="1:69" x14ac:dyDescent="0.2">
      <c r="A606">
        <f t="shared" si="525"/>
        <v>1960000</v>
      </c>
      <c r="B606">
        <f t="shared" si="508"/>
        <v>1960</v>
      </c>
      <c r="C606">
        <f t="shared" si="477"/>
        <v>1.0298854865900975</v>
      </c>
      <c r="D606">
        <f t="shared" si="478"/>
        <v>0.24149410431970522</v>
      </c>
      <c r="F606">
        <f t="shared" si="479"/>
        <v>5.883867283640391E-5</v>
      </c>
      <c r="G606">
        <f t="shared" si="480"/>
        <v>2.6377817981678162E-3</v>
      </c>
      <c r="H606">
        <f t="shared" si="481"/>
        <v>-3.1389548682018322</v>
      </c>
      <c r="J606">
        <f t="shared" si="482"/>
        <v>15</v>
      </c>
      <c r="M606">
        <f t="shared" si="483"/>
        <v>9.2597683812449658E-4</v>
      </c>
      <c r="N606">
        <f t="shared" si="484"/>
        <v>-1.5707963250000001</v>
      </c>
      <c r="O606">
        <f t="shared" si="485"/>
        <v>233.90175292910104</v>
      </c>
      <c r="P606">
        <f t="shared" si="486"/>
        <v>1.5665210144730937</v>
      </c>
      <c r="Q606">
        <f t="shared" si="487"/>
        <v>152.66596913671617</v>
      </c>
      <c r="R606">
        <f t="shared" si="488"/>
        <v>1.5642460316849152</v>
      </c>
      <c r="S606">
        <f t="shared" si="489"/>
        <v>0.96974888570969819</v>
      </c>
      <c r="T606">
        <f t="shared" si="490"/>
        <v>-0.24659634394498126</v>
      </c>
      <c r="U606">
        <f t="shared" si="491"/>
        <v>0.24205943118547818</v>
      </c>
      <c r="V606">
        <f t="shared" si="492"/>
        <v>-1.3263084829611285</v>
      </c>
      <c r="X606">
        <f t="shared" si="509"/>
        <v>-43.029995957886591</v>
      </c>
      <c r="Y606">
        <f t="shared" si="493"/>
        <v>-166.75334293688294</v>
      </c>
      <c r="Z606">
        <f t="shared" si="510"/>
        <v>13.246657063117055</v>
      </c>
      <c r="AC606">
        <v>1</v>
      </c>
      <c r="AD606">
        <f t="shared" si="494"/>
        <v>233.89961526968398</v>
      </c>
      <c r="AE606">
        <f t="shared" si="495"/>
        <v>-0.19587290273178654</v>
      </c>
      <c r="AF606">
        <f t="shared" si="496"/>
        <v>4.8866091369984009E-2</v>
      </c>
      <c r="AG606">
        <f t="shared" si="473"/>
        <v>275.65055111773557</v>
      </c>
      <c r="AH606">
        <f t="shared" si="474"/>
        <v>-1125.3708255624204</v>
      </c>
      <c r="AJ606">
        <f t="shared" si="497"/>
        <v>22100</v>
      </c>
      <c r="AK606">
        <f t="shared" si="498"/>
        <v>5563.0005690561129</v>
      </c>
      <c r="AL606">
        <v>1</v>
      </c>
      <c r="AM606">
        <f t="shared" si="499"/>
        <v>152.66269397745072</v>
      </c>
      <c r="AN606">
        <f t="shared" si="475"/>
        <v>37.386470242340103</v>
      </c>
      <c r="AO606">
        <f t="shared" si="476"/>
        <v>-144.51869644732233</v>
      </c>
      <c r="AQ606">
        <f t="shared" si="500"/>
        <v>6.5077046993632407E-4</v>
      </c>
      <c r="AR606">
        <f t="shared" si="501"/>
        <v>-2.5510202421503902</v>
      </c>
      <c r="AT606">
        <f t="shared" si="523"/>
        <v>-2870.664370696541</v>
      </c>
      <c r="AU606">
        <f t="shared" si="524"/>
        <v>-703.92249376225823</v>
      </c>
      <c r="AV606">
        <f t="shared" si="511"/>
        <v>-2.9011250200425454</v>
      </c>
      <c r="AW606">
        <f t="shared" si="512"/>
        <v>-255.50081318297543</v>
      </c>
      <c r="AX606">
        <f t="shared" si="513"/>
        <v>-1472.8413185328257</v>
      </c>
      <c r="AY606">
        <f t="shared" si="521"/>
        <v>-1.7425617059049885</v>
      </c>
      <c r="BA606">
        <f t="shared" si="502"/>
        <v>1.977277020960448</v>
      </c>
      <c r="BB606">
        <f t="shared" si="514"/>
        <v>5.9213503842131772</v>
      </c>
      <c r="BC606">
        <f t="shared" si="515"/>
        <v>-1.1585633141375569</v>
      </c>
      <c r="BD606">
        <f t="shared" si="503"/>
        <v>-246.38078827462249</v>
      </c>
      <c r="BF606">
        <f t="shared" si="504"/>
        <v>-54.907788310067254</v>
      </c>
      <c r="BG606">
        <f t="shared" si="505"/>
        <v>-232.39306153951659</v>
      </c>
      <c r="BH606">
        <f t="shared" si="516"/>
        <v>-52.393061539516594</v>
      </c>
      <c r="BI606">
        <f t="shared" si="517"/>
        <v>-52.393061539516594</v>
      </c>
      <c r="BJ606">
        <f t="shared" si="506"/>
        <v>0</v>
      </c>
      <c r="BK606">
        <f t="shared" si="518"/>
        <v>0</v>
      </c>
      <c r="BM606">
        <f t="shared" si="519"/>
        <v>-60.829138694280431</v>
      </c>
      <c r="BN606">
        <f t="shared" si="507"/>
        <v>-166.01227326489411</v>
      </c>
      <c r="BQ606" s="56">
        <f t="shared" si="520"/>
        <v>22.823311184498316</v>
      </c>
    </row>
    <row r="607" spans="1:69" x14ac:dyDescent="0.2">
      <c r="A607">
        <f t="shared" si="525"/>
        <v>1965000</v>
      </c>
      <c r="B607">
        <f t="shared" si="508"/>
        <v>1965</v>
      </c>
      <c r="C607">
        <f t="shared" si="477"/>
        <v>1.0300359319297594</v>
      </c>
      <c r="D607">
        <f t="shared" si="478"/>
        <v>0.2420864000204794</v>
      </c>
      <c r="F607">
        <f t="shared" si="479"/>
        <v>5.8539603808531884E-5</v>
      </c>
      <c r="G607">
        <f t="shared" si="480"/>
        <v>2.6310691264327633E-3</v>
      </c>
      <c r="H607">
        <f t="shared" si="481"/>
        <v>-3.1389615808735676</v>
      </c>
      <c r="J607">
        <f t="shared" si="482"/>
        <v>15</v>
      </c>
      <c r="M607">
        <f t="shared" si="483"/>
        <v>9.2362066296387455E-4</v>
      </c>
      <c r="N607">
        <f t="shared" si="484"/>
        <v>-1.5707963250000001</v>
      </c>
      <c r="O607">
        <f t="shared" si="485"/>
        <v>234.4984301818281</v>
      </c>
      <c r="P607">
        <f t="shared" si="486"/>
        <v>1.5665318929983449</v>
      </c>
      <c r="Q607">
        <f t="shared" si="487"/>
        <v>153.05540645105734</v>
      </c>
      <c r="R607">
        <f t="shared" si="488"/>
        <v>1.5642626986275612</v>
      </c>
      <c r="S607">
        <f t="shared" si="489"/>
        <v>0.96960132187948911</v>
      </c>
      <c r="T607">
        <f t="shared" si="490"/>
        <v>-0.24720013027780172</v>
      </c>
      <c r="U607">
        <f t="shared" si="491"/>
        <v>0.24147946317030677</v>
      </c>
      <c r="V607">
        <f t="shared" si="492"/>
        <v>-1.3269061825066926</v>
      </c>
      <c r="X607">
        <f t="shared" si="509"/>
        <v>-43.073018630678717</v>
      </c>
      <c r="Y607">
        <f t="shared" si="493"/>
        <v>-166.78705333172388</v>
      </c>
      <c r="Z607">
        <f t="shared" si="510"/>
        <v>13.212946668276118</v>
      </c>
      <c r="AC607">
        <v>1</v>
      </c>
      <c r="AD607">
        <f t="shared" si="494"/>
        <v>234.4962979616985</v>
      </c>
      <c r="AE607">
        <f t="shared" si="495"/>
        <v>-0.19687352895942903</v>
      </c>
      <c r="AF607">
        <f t="shared" si="496"/>
        <v>4.8990749766336009E-2</v>
      </c>
      <c r="AG607">
        <f t="shared" si="473"/>
        <v>274.33123063621991</v>
      </c>
      <c r="AH607">
        <f t="shared" si="474"/>
        <v>-1122.8355912392012</v>
      </c>
      <c r="AJ607">
        <f t="shared" si="497"/>
        <v>22100</v>
      </c>
      <c r="AK607">
        <f t="shared" si="498"/>
        <v>5577.1918970383986</v>
      </c>
      <c r="AL607">
        <v>1</v>
      </c>
      <c r="AM607">
        <f t="shared" si="499"/>
        <v>153.0521396253524</v>
      </c>
      <c r="AN607">
        <f t="shared" si="475"/>
        <v>37.381659001134835</v>
      </c>
      <c r="AO607">
        <f t="shared" si="476"/>
        <v>-144.15099583060186</v>
      </c>
      <c r="AQ607">
        <f t="shared" si="500"/>
        <v>6.4746287464063381E-4</v>
      </c>
      <c r="AR607">
        <f t="shared" si="501"/>
        <v>-2.5445290973376911</v>
      </c>
      <c r="AT607">
        <f t="shared" si="523"/>
        <v>-2856.9102141473259</v>
      </c>
      <c r="AU607">
        <f t="shared" si="524"/>
        <v>-698.77079302197114</v>
      </c>
      <c r="AV607">
        <f t="shared" si="511"/>
        <v>-2.9017124901774238</v>
      </c>
      <c r="AW607">
        <f t="shared" si="512"/>
        <v>-253.99525845053731</v>
      </c>
      <c r="AX607">
        <f t="shared" si="513"/>
        <v>-1469.1687172932666</v>
      </c>
      <c r="AY607">
        <f t="shared" si="521"/>
        <v>-1.741987800621754</v>
      </c>
      <c r="BA607">
        <f t="shared" si="502"/>
        <v>1.9726346604567226</v>
      </c>
      <c r="BB607">
        <f t="shared" si="514"/>
        <v>5.9009331937469209</v>
      </c>
      <c r="BC607">
        <f t="shared" si="515"/>
        <v>-1.1597246895556699</v>
      </c>
      <c r="BD607">
        <f t="shared" si="503"/>
        <v>-246.44733018458663</v>
      </c>
      <c r="BF607">
        <f t="shared" si="504"/>
        <v>-54.971198549127244</v>
      </c>
      <c r="BG607">
        <f t="shared" si="505"/>
        <v>-232.42605201332398</v>
      </c>
      <c r="BH607">
        <f t="shared" si="516"/>
        <v>-52.426052013323982</v>
      </c>
      <c r="BI607">
        <f t="shared" si="517"/>
        <v>-52.426052013323982</v>
      </c>
      <c r="BJ607">
        <f t="shared" si="506"/>
        <v>0</v>
      </c>
      <c r="BK607">
        <f t="shared" si="518"/>
        <v>0</v>
      </c>
      <c r="BM607">
        <f t="shared" si="519"/>
        <v>-60.87213174287416</v>
      </c>
      <c r="BN607">
        <f t="shared" si="507"/>
        <v>-165.97872182873738</v>
      </c>
      <c r="BQ607" s="56">
        <f t="shared" si="520"/>
        <v>22.802893994032058</v>
      </c>
    </row>
    <row r="608" spans="1:69" x14ac:dyDescent="0.2">
      <c r="A608">
        <f t="shared" si="525"/>
        <v>1970000</v>
      </c>
      <c r="B608">
        <f t="shared" si="508"/>
        <v>1970</v>
      </c>
      <c r="C608">
        <f t="shared" si="477"/>
        <v>1.0301867385150345</v>
      </c>
      <c r="D608">
        <f t="shared" si="478"/>
        <v>0.24267852251941147</v>
      </c>
      <c r="F608">
        <f t="shared" si="479"/>
        <v>5.8242809232000863E-5</v>
      </c>
      <c r="G608">
        <f t="shared" si="480"/>
        <v>2.6243905349293386E-3</v>
      </c>
      <c r="H608">
        <f t="shared" si="481"/>
        <v>-3.138968259465071</v>
      </c>
      <c r="J608">
        <f t="shared" si="482"/>
        <v>15</v>
      </c>
      <c r="M608">
        <f t="shared" si="483"/>
        <v>9.2127644808325557E-4</v>
      </c>
      <c r="N608">
        <f t="shared" si="484"/>
        <v>-1.5707963250000001</v>
      </c>
      <c r="O608">
        <f t="shared" si="485"/>
        <v>235.0951074621654</v>
      </c>
      <c r="P608">
        <f t="shared" si="486"/>
        <v>1.5665427163036574</v>
      </c>
      <c r="Q608">
        <f t="shared" si="487"/>
        <v>153.4448438076995</v>
      </c>
      <c r="R608">
        <f t="shared" si="488"/>
        <v>1.5642792809700397</v>
      </c>
      <c r="S608">
        <f t="shared" si="489"/>
        <v>0.9694534496905769</v>
      </c>
      <c r="T608">
        <f t="shared" si="490"/>
        <v>-0.24780373266583516</v>
      </c>
      <c r="U608">
        <f t="shared" si="491"/>
        <v>0.24090218224348223</v>
      </c>
      <c r="V608">
        <f t="shared" si="492"/>
        <v>-1.3275010245422432</v>
      </c>
      <c r="X608">
        <f t="shared" si="509"/>
        <v>-43.115938357519212</v>
      </c>
      <c r="Y608">
        <f t="shared" si="493"/>
        <v>-166.82060544622396</v>
      </c>
      <c r="Z608">
        <f t="shared" si="510"/>
        <v>13.179394553776035</v>
      </c>
      <c r="AC608">
        <v>1</v>
      </c>
      <c r="AD608">
        <f t="shared" si="494"/>
        <v>235.092980653713</v>
      </c>
      <c r="AE608">
        <f t="shared" si="495"/>
        <v>-0.19787670455325657</v>
      </c>
      <c r="AF608">
        <f t="shared" si="496"/>
        <v>4.9115408162688008E-2</v>
      </c>
      <c r="AG608">
        <f t="shared" si="473"/>
        <v>273.0211656736887</v>
      </c>
      <c r="AH608">
        <f t="shared" si="474"/>
        <v>-1120.310928793202</v>
      </c>
      <c r="AJ608">
        <f t="shared" si="497"/>
        <v>22100</v>
      </c>
      <c r="AK608">
        <f t="shared" si="498"/>
        <v>5591.3832250206842</v>
      </c>
      <c r="AL608">
        <v>1</v>
      </c>
      <c r="AM608">
        <f t="shared" si="499"/>
        <v>153.44158527325405</v>
      </c>
      <c r="AN608">
        <f t="shared" si="475"/>
        <v>37.376884345161983</v>
      </c>
      <c r="AO608">
        <f t="shared" si="476"/>
        <v>-143.7851614760429</v>
      </c>
      <c r="AQ608">
        <f t="shared" si="500"/>
        <v>6.4418043210463858E-4</v>
      </c>
      <c r="AR608">
        <f t="shared" si="501"/>
        <v>-2.5380709024922763</v>
      </c>
      <c r="AT608">
        <f t="shared" si="523"/>
        <v>-2843.2526952216454</v>
      </c>
      <c r="AU608">
        <f t="shared" si="524"/>
        <v>-693.66875873911385</v>
      </c>
      <c r="AV608">
        <f t="shared" si="511"/>
        <v>-2.9022971547272296</v>
      </c>
      <c r="AW608">
        <f t="shared" si="512"/>
        <v>-252.50135959810467</v>
      </c>
      <c r="AX608">
        <f t="shared" si="513"/>
        <v>-1465.5142406859336</v>
      </c>
      <c r="AY608">
        <f t="shared" si="521"/>
        <v>-1.7414165589091659</v>
      </c>
      <c r="BA608">
        <f t="shared" si="502"/>
        <v>1.9680129300116369</v>
      </c>
      <c r="BB608">
        <f t="shared" si="514"/>
        <v>5.8805589491245227</v>
      </c>
      <c r="BC608">
        <f t="shared" si="515"/>
        <v>-1.1608805958180637</v>
      </c>
      <c r="BD608">
        <f t="shared" si="503"/>
        <v>-246.51355873501024</v>
      </c>
      <c r="BF608">
        <f t="shared" si="504"/>
        <v>-55.034450486989769</v>
      </c>
      <c r="BG608">
        <f t="shared" si="505"/>
        <v>-232.45873709867195</v>
      </c>
      <c r="BH608">
        <f t="shared" si="516"/>
        <v>-52.458737098671946</v>
      </c>
      <c r="BI608">
        <f t="shared" si="517"/>
        <v>-52.458737098671946</v>
      </c>
      <c r="BJ608">
        <f t="shared" si="506"/>
        <v>0</v>
      </c>
      <c r="BK608">
        <f t="shared" si="518"/>
        <v>0</v>
      </c>
      <c r="BM608">
        <f t="shared" si="519"/>
        <v>-60.915009436114289</v>
      </c>
      <c r="BN608">
        <f t="shared" si="507"/>
        <v>-165.94517836366174</v>
      </c>
      <c r="BQ608" s="56">
        <f t="shared" si="520"/>
        <v>22.782519749409659</v>
      </c>
    </row>
    <row r="609" spans="1:69" x14ac:dyDescent="0.2">
      <c r="A609">
        <f t="shared" si="525"/>
        <v>1975000</v>
      </c>
      <c r="B609">
        <f t="shared" si="508"/>
        <v>1975</v>
      </c>
      <c r="C609">
        <f t="shared" si="477"/>
        <v>1.0303379061873006</v>
      </c>
      <c r="D609">
        <f t="shared" si="478"/>
        <v>0.24327047147743833</v>
      </c>
      <c r="F609">
        <f t="shared" si="479"/>
        <v>5.7948266101467963E-5</v>
      </c>
      <c r="G609">
        <f t="shared" si="480"/>
        <v>2.6177457647622668E-3</v>
      </c>
      <c r="H609">
        <f t="shared" si="481"/>
        <v>-3.138974904235238</v>
      </c>
      <c r="J609">
        <f t="shared" si="482"/>
        <v>15</v>
      </c>
      <c r="M609">
        <f t="shared" si="483"/>
        <v>9.1894410264507006E-4</v>
      </c>
      <c r="N609">
        <f t="shared" si="484"/>
        <v>-1.5707963250000001</v>
      </c>
      <c r="O609">
        <f t="shared" si="485"/>
        <v>235.69178476990322</v>
      </c>
      <c r="P609">
        <f t="shared" si="486"/>
        <v>1.5665534848084131</v>
      </c>
      <c r="Q609">
        <f t="shared" si="487"/>
        <v>153.83428120632138</v>
      </c>
      <c r="R609">
        <f t="shared" si="488"/>
        <v>1.5642957793548475</v>
      </c>
      <c r="S609">
        <f t="shared" si="489"/>
        <v>0.96930526960719876</v>
      </c>
      <c r="T609">
        <f t="shared" si="490"/>
        <v>-0.24840715075350084</v>
      </c>
      <c r="U609">
        <f t="shared" si="491"/>
        <v>0.24032757040092281</v>
      </c>
      <c r="V609">
        <f t="shared" si="492"/>
        <v>-1.3280930290929371</v>
      </c>
      <c r="X609">
        <f t="shared" si="509"/>
        <v>-43.15875561765283</v>
      </c>
      <c r="Y609">
        <f t="shared" si="493"/>
        <v>-166.85400038078643</v>
      </c>
      <c r="Z609">
        <f t="shared" si="510"/>
        <v>13.145999619213569</v>
      </c>
      <c r="AC609">
        <v>1</v>
      </c>
      <c r="AD609">
        <f t="shared" si="494"/>
        <v>235.68966334572752</v>
      </c>
      <c r="AE609">
        <f t="shared" si="495"/>
        <v>-0.1988824295132692</v>
      </c>
      <c r="AF609">
        <f t="shared" si="496"/>
        <v>4.9240066559040015E-2</v>
      </c>
      <c r="AG609">
        <f t="shared" si="473"/>
        <v>271.72027173242606</v>
      </c>
      <c r="AH609">
        <f t="shared" si="474"/>
        <v>-1117.7967788519506</v>
      </c>
      <c r="AJ609">
        <f t="shared" si="497"/>
        <v>22100</v>
      </c>
      <c r="AK609">
        <f t="shared" si="498"/>
        <v>5605.5745530029708</v>
      </c>
      <c r="AL609">
        <v>1</v>
      </c>
      <c r="AM609">
        <f t="shared" si="499"/>
        <v>153.8310309211557</v>
      </c>
      <c r="AN609">
        <f t="shared" si="475"/>
        <v>37.372145904433665</v>
      </c>
      <c r="AO609">
        <f t="shared" si="476"/>
        <v>-143.42117921190757</v>
      </c>
      <c r="AQ609">
        <f t="shared" si="500"/>
        <v>6.4092288793956816E-4</v>
      </c>
      <c r="AR609">
        <f t="shared" si="501"/>
        <v>-2.5316454073612942</v>
      </c>
      <c r="AT609">
        <f t="shared" si="523"/>
        <v>-2829.6909298025184</v>
      </c>
      <c r="AU609">
        <f t="shared" si="524"/>
        <v>-688.61579955799073</v>
      </c>
      <c r="AV609">
        <f t="shared" si="511"/>
        <v>-2.9028790333227636</v>
      </c>
      <c r="AW609">
        <f t="shared" si="512"/>
        <v>-251.0189963177441</v>
      </c>
      <c r="AX609">
        <f t="shared" si="513"/>
        <v>-1461.8777556787049</v>
      </c>
      <c r="AY609">
        <f t="shared" si="521"/>
        <v>-1.7408479600751621</v>
      </c>
      <c r="BA609">
        <f t="shared" si="502"/>
        <v>1.9634117017887347</v>
      </c>
      <c r="BB609">
        <f t="shared" si="514"/>
        <v>5.8602275005863067</v>
      </c>
      <c r="BC609">
        <f t="shared" si="515"/>
        <v>-1.1620310732476016</v>
      </c>
      <c r="BD609">
        <f t="shared" si="503"/>
        <v>-246.57947623622312</v>
      </c>
      <c r="BF609">
        <f t="shared" si="504"/>
        <v>-55.097544846446155</v>
      </c>
      <c r="BG609">
        <f t="shared" si="505"/>
        <v>-232.49111914015083</v>
      </c>
      <c r="BH609">
        <f t="shared" si="516"/>
        <v>-52.491119140150829</v>
      </c>
      <c r="BI609">
        <f t="shared" si="517"/>
        <v>-52.491119140150829</v>
      </c>
      <c r="BJ609">
        <f t="shared" si="506"/>
        <v>0</v>
      </c>
      <c r="BK609">
        <f t="shared" si="518"/>
        <v>0</v>
      </c>
      <c r="BM609">
        <f t="shared" si="519"/>
        <v>-60.95777234703246</v>
      </c>
      <c r="BN609">
        <f t="shared" si="507"/>
        <v>-165.91164290392769</v>
      </c>
      <c r="BQ609" s="56">
        <f t="shared" si="520"/>
        <v>22.762188300871443</v>
      </c>
    </row>
    <row r="610" spans="1:69" x14ac:dyDescent="0.2">
      <c r="A610">
        <f t="shared" si="525"/>
        <v>1980000</v>
      </c>
      <c r="B610">
        <f t="shared" si="508"/>
        <v>1980</v>
      </c>
      <c r="C610">
        <f t="shared" si="477"/>
        <v>1.0304894347876488</v>
      </c>
      <c r="D610">
        <f t="shared" si="478"/>
        <v>0.24386224655618216</v>
      </c>
      <c r="F610">
        <f t="shared" si="479"/>
        <v>5.7655951701726313E-5</v>
      </c>
      <c r="G610">
        <f t="shared" si="480"/>
        <v>2.6111345596521104E-3</v>
      </c>
      <c r="H610">
        <f t="shared" si="481"/>
        <v>-3.138981515440348</v>
      </c>
      <c r="J610">
        <f t="shared" si="482"/>
        <v>15</v>
      </c>
      <c r="M610">
        <f t="shared" si="483"/>
        <v>9.1662353672929977E-4</v>
      </c>
      <c r="N610">
        <f t="shared" si="484"/>
        <v>-1.5707963250000001</v>
      </c>
      <c r="O610">
        <f t="shared" si="485"/>
        <v>236.28846210483403</v>
      </c>
      <c r="P610">
        <f t="shared" si="486"/>
        <v>1.5665641989277577</v>
      </c>
      <c r="Q610">
        <f t="shared" si="487"/>
        <v>154.22371864660499</v>
      </c>
      <c r="R610">
        <f t="shared" si="488"/>
        <v>1.5643121944179916</v>
      </c>
      <c r="S610">
        <f t="shared" si="489"/>
        <v>0.96915678209416867</v>
      </c>
      <c r="T610">
        <f t="shared" si="490"/>
        <v>-0.24901038418597185</v>
      </c>
      <c r="U610">
        <f t="shared" si="491"/>
        <v>0.23975560979279634</v>
      </c>
      <c r="V610">
        <f t="shared" si="492"/>
        <v>-1.3286822160012961</v>
      </c>
      <c r="X610">
        <f t="shared" si="509"/>
        <v>-43.201470887078074</v>
      </c>
      <c r="Y610">
        <f t="shared" si="493"/>
        <v>-166.88723922581855</v>
      </c>
      <c r="Z610">
        <f t="shared" si="510"/>
        <v>13.112760774181453</v>
      </c>
      <c r="AC610">
        <v>1</v>
      </c>
      <c r="AD610">
        <f t="shared" si="494"/>
        <v>236.28634603774199</v>
      </c>
      <c r="AE610">
        <f t="shared" si="495"/>
        <v>-0.19989070383946689</v>
      </c>
      <c r="AF610">
        <f t="shared" si="496"/>
        <v>4.9364724955392014E-2</v>
      </c>
      <c r="AG610">
        <f t="shared" si="473"/>
        <v>270.42846525403866</v>
      </c>
      <c r="AH610">
        <f t="shared" si="474"/>
        <v>-1115.2930824107211</v>
      </c>
      <c r="AJ610">
        <f t="shared" si="497"/>
        <v>22100</v>
      </c>
      <c r="AK610">
        <f t="shared" si="498"/>
        <v>5619.7658809852564</v>
      </c>
      <c r="AL610">
        <v>1</v>
      </c>
      <c r="AM610">
        <f t="shared" si="499"/>
        <v>154.22047656905738</v>
      </c>
      <c r="AN610">
        <f t="shared" si="475"/>
        <v>37.367443313627263</v>
      </c>
      <c r="AO610">
        <f t="shared" si="476"/>
        <v>-143.05903500957663</v>
      </c>
      <c r="AQ610">
        <f t="shared" si="500"/>
        <v>6.3768999096457048E-4</v>
      </c>
      <c r="AR610">
        <f t="shared" si="501"/>
        <v>-2.5252523642196993</v>
      </c>
      <c r="AT610">
        <f t="shared" si="523"/>
        <v>-2816.2240436299853</v>
      </c>
      <c r="AU610">
        <f t="shared" si="524"/>
        <v>-683.61133247071132</v>
      </c>
      <c r="AV610">
        <f t="shared" si="511"/>
        <v>-2.9034581454161743</v>
      </c>
      <c r="AW610">
        <f t="shared" si="512"/>
        <v>-249.5480498522017</v>
      </c>
      <c r="AX610">
        <f t="shared" si="513"/>
        <v>-1458.259130533387</v>
      </c>
      <c r="AY610">
        <f t="shared" si="521"/>
        <v>-1.7402819836394294</v>
      </c>
      <c r="BA610">
        <f t="shared" si="502"/>
        <v>1.9588308488917858</v>
      </c>
      <c r="BB610">
        <f t="shared" si="514"/>
        <v>5.8399386988163879</v>
      </c>
      <c r="BC610">
        <f t="shared" si="515"/>
        <v>-1.1631761617767449</v>
      </c>
      <c r="BD610">
        <f t="shared" si="503"/>
        <v>-246.64508497618687</v>
      </c>
      <c r="BF610">
        <f t="shared" si="504"/>
        <v>-55.1604823455203</v>
      </c>
      <c r="BG610">
        <f t="shared" si="505"/>
        <v>-232.52320045979349</v>
      </c>
      <c r="BH610">
        <f t="shared" si="516"/>
        <v>-52.523200459793486</v>
      </c>
      <c r="BI610">
        <f t="shared" si="517"/>
        <v>-52.523200459793486</v>
      </c>
      <c r="BJ610">
        <f t="shared" si="506"/>
        <v>0</v>
      </c>
      <c r="BK610">
        <f t="shared" si="518"/>
        <v>0</v>
      </c>
      <c r="BM610">
        <f t="shared" si="519"/>
        <v>-61.000421044336683</v>
      </c>
      <c r="BN610">
        <f t="shared" si="507"/>
        <v>-165.87811548360665</v>
      </c>
      <c r="BQ610" s="56">
        <f t="shared" si="520"/>
        <v>22.741899499101525</v>
      </c>
    </row>
    <row r="611" spans="1:69" x14ac:dyDescent="0.2">
      <c r="A611">
        <f t="shared" si="525"/>
        <v>1985000</v>
      </c>
      <c r="B611">
        <f t="shared" si="508"/>
        <v>1985</v>
      </c>
      <c r="C611">
        <f t="shared" si="477"/>
        <v>1.0306413241568837</v>
      </c>
      <c r="D611">
        <f t="shared" si="478"/>
        <v>0.24445384741795101</v>
      </c>
      <c r="F611">
        <f t="shared" si="479"/>
        <v>5.7365843603325024E-5</v>
      </c>
      <c r="G611">
        <f t="shared" si="480"/>
        <v>2.6045566659023086E-3</v>
      </c>
      <c r="H611">
        <f t="shared" si="481"/>
        <v>-3.1389880933340981</v>
      </c>
      <c r="J611">
        <f t="shared" si="482"/>
        <v>15</v>
      </c>
      <c r="M611">
        <f t="shared" si="483"/>
        <v>9.1431466132192111E-4</v>
      </c>
      <c r="N611">
        <f t="shared" si="484"/>
        <v>-1.5707963250000001</v>
      </c>
      <c r="O611">
        <f t="shared" si="485"/>
        <v>236.88513946675226</v>
      </c>
      <c r="P611">
        <f t="shared" si="486"/>
        <v>1.5665748590726543</v>
      </c>
      <c r="Q611">
        <f t="shared" si="487"/>
        <v>154.61315612823549</v>
      </c>
      <c r="R611">
        <f t="shared" si="488"/>
        <v>1.5643285267890714</v>
      </c>
      <c r="S611">
        <f t="shared" si="489"/>
        <v>0.96900798761687446</v>
      </c>
      <c r="T611">
        <f t="shared" si="490"/>
        <v>-0.24961343260917615</v>
      </c>
      <c r="U611">
        <f t="shared" si="491"/>
        <v>0.23918628272195053</v>
      </c>
      <c r="V611">
        <f t="shared" si="492"/>
        <v>-1.3292686049292353</v>
      </c>
      <c r="X611">
        <f t="shared" si="509"/>
        <v>-43.244084638575593</v>
      </c>
      <c r="Y611">
        <f t="shared" si="493"/>
        <v>-166.92032306184248</v>
      </c>
      <c r="Z611">
        <f t="shared" si="510"/>
        <v>13.079676938157519</v>
      </c>
      <c r="AC611">
        <v>1</v>
      </c>
      <c r="AD611">
        <f t="shared" si="494"/>
        <v>236.88302872975652</v>
      </c>
      <c r="AE611">
        <f t="shared" si="495"/>
        <v>-0.20090152753184964</v>
      </c>
      <c r="AF611">
        <f t="shared" si="496"/>
        <v>4.9489383351744E-2</v>
      </c>
      <c r="AG611">
        <f t="shared" si="473"/>
        <v>269.14566360728685</v>
      </c>
      <c r="AH611">
        <f t="shared" si="474"/>
        <v>-1112.7997808309033</v>
      </c>
      <c r="AJ611">
        <f t="shared" si="497"/>
        <v>22100</v>
      </c>
      <c r="AK611">
        <f t="shared" si="498"/>
        <v>5633.9572089675421</v>
      </c>
      <c r="AL611">
        <v>1</v>
      </c>
      <c r="AM611">
        <f t="shared" si="499"/>
        <v>154.60992221695903</v>
      </c>
      <c r="AN611">
        <f t="shared" si="475"/>
        <v>37.362776212015021</v>
      </c>
      <c r="AO611">
        <f t="shared" si="476"/>
        <v>-142.69871498174746</v>
      </c>
      <c r="AQ611">
        <f t="shared" si="500"/>
        <v>6.344814931582909E-4</v>
      </c>
      <c r="AR611">
        <f t="shared" si="501"/>
        <v>-2.5188915278384147</v>
      </c>
      <c r="AT611">
        <f t="shared" si="523"/>
        <v>-2802.8511721728846</v>
      </c>
      <c r="AU611">
        <f t="shared" si="524"/>
        <v>-678.65478268137053</v>
      </c>
      <c r="AV611">
        <f t="shared" si="511"/>
        <v>-2.9040345102829357</v>
      </c>
      <c r="AW611">
        <f t="shared" si="512"/>
        <v>-248.08840297096191</v>
      </c>
      <c r="AX611">
        <f t="shared" si="513"/>
        <v>-1454.6582347900405</v>
      </c>
      <c r="AY611">
        <f t="shared" si="521"/>
        <v>-1.7397186093307433</v>
      </c>
      <c r="BA611">
        <f t="shared" si="502"/>
        <v>1.9542702453579908</v>
      </c>
      <c r="BB611">
        <f t="shared" si="514"/>
        <v>5.8196923949468458</v>
      </c>
      <c r="BC611">
        <f t="shared" si="515"/>
        <v>-1.1643159009521924</v>
      </c>
      <c r="BD611">
        <f t="shared" si="503"/>
        <v>-246.71038722076034</v>
      </c>
      <c r="BF611">
        <f t="shared" si="504"/>
        <v>-55.223263697508145</v>
      </c>
      <c r="BG611">
        <f t="shared" si="505"/>
        <v>-232.55498335734296</v>
      </c>
      <c r="BH611">
        <f t="shared" si="516"/>
        <v>-52.554983357342962</v>
      </c>
      <c r="BI611">
        <f t="shared" si="517"/>
        <v>-52.554983357342962</v>
      </c>
      <c r="BJ611">
        <f t="shared" si="506"/>
        <v>0</v>
      </c>
      <c r="BK611">
        <f t="shared" si="518"/>
        <v>0</v>
      </c>
      <c r="BM611">
        <f t="shared" si="519"/>
        <v>-61.042956092454986</v>
      </c>
      <c r="BN611">
        <f t="shared" si="507"/>
        <v>-165.84459613658265</v>
      </c>
      <c r="BQ611" s="56">
        <f t="shared" si="520"/>
        <v>22.721653195231983</v>
      </c>
    </row>
    <row r="612" spans="1:69" x14ac:dyDescent="0.2">
      <c r="A612">
        <f t="shared" si="525"/>
        <v>1990000</v>
      </c>
      <c r="B612">
        <f t="shared" si="508"/>
        <v>1990</v>
      </c>
      <c r="C612">
        <f t="shared" si="477"/>
        <v>1.0307935741355261</v>
      </c>
      <c r="D612">
        <f t="shared" si="478"/>
        <v>0.24504527372573956</v>
      </c>
      <c r="F612">
        <f t="shared" si="479"/>
        <v>5.7077919658266298E-5</v>
      </c>
      <c r="G612">
        <f t="shared" si="480"/>
        <v>2.5980118323667215E-3</v>
      </c>
      <c r="H612">
        <f t="shared" si="481"/>
        <v>-3.1389946381676337</v>
      </c>
      <c r="J612">
        <f t="shared" si="482"/>
        <v>15</v>
      </c>
      <c r="M612">
        <f t="shared" si="483"/>
        <v>9.1201738830352431E-4</v>
      </c>
      <c r="N612">
        <f t="shared" si="484"/>
        <v>-1.5707963250000001</v>
      </c>
      <c r="O612">
        <f t="shared" si="485"/>
        <v>237.48181685545455</v>
      </c>
      <c r="P612">
        <f t="shared" si="486"/>
        <v>1.5665854656499356</v>
      </c>
      <c r="Q612">
        <f t="shared" si="487"/>
        <v>155.00259365090125</v>
      </c>
      <c r="R612">
        <f t="shared" si="488"/>
        <v>1.5643447770913594</v>
      </c>
      <c r="S612">
        <f t="shared" si="489"/>
        <v>0.96885888664127406</v>
      </c>
      <c r="T612">
        <f t="shared" si="490"/>
        <v>-0.25021629566979703</v>
      </c>
      <c r="U612">
        <f t="shared" si="491"/>
        <v>0.23861957164236178</v>
      </c>
      <c r="V612">
        <f t="shared" si="492"/>
        <v>-1.3298522153600643</v>
      </c>
      <c r="X612">
        <f t="shared" si="509"/>
        <v>-43.286597341736254</v>
      </c>
      <c r="Y612">
        <f t="shared" si="493"/>
        <v>-166.95325295960407</v>
      </c>
      <c r="Z612">
        <f t="shared" si="510"/>
        <v>13.046747040395928</v>
      </c>
      <c r="AC612">
        <v>1</v>
      </c>
      <c r="AD612">
        <f t="shared" si="494"/>
        <v>237.47971142177101</v>
      </c>
      <c r="AE612">
        <f t="shared" si="495"/>
        <v>-0.20191490059041753</v>
      </c>
      <c r="AF612">
        <f t="shared" si="496"/>
        <v>4.9614041748096006E-2</v>
      </c>
      <c r="AG612">
        <f t="shared" si="473"/>
        <v>267.8717850760919</v>
      </c>
      <c r="AH612">
        <f t="shared" si="474"/>
        <v>-1110.3168158383473</v>
      </c>
      <c r="AJ612">
        <f t="shared" si="497"/>
        <v>22100</v>
      </c>
      <c r="AK612">
        <f t="shared" si="498"/>
        <v>5648.1485369498287</v>
      </c>
      <c r="AL612">
        <v>1</v>
      </c>
      <c r="AM612">
        <f t="shared" si="499"/>
        <v>154.99936786486069</v>
      </c>
      <c r="AN612">
        <f t="shared" si="475"/>
        <v>37.358144243394868</v>
      </c>
      <c r="AO612">
        <f t="shared" si="476"/>
        <v>-142.34020538065909</v>
      </c>
      <c r="AQ612">
        <f t="shared" si="500"/>
        <v>6.3129714961130084E-4</v>
      </c>
      <c r="AR612">
        <f t="shared" si="501"/>
        <v>-2.5125626554529776</v>
      </c>
      <c r="AT612">
        <f t="shared" si="523"/>
        <v>-2789.5714605025128</v>
      </c>
      <c r="AU612">
        <f t="shared" si="524"/>
        <v>-673.74558347271898</v>
      </c>
      <c r="AV612">
        <f t="shared" si="511"/>
        <v>-2.9046081470238021</v>
      </c>
      <c r="AW612">
        <f t="shared" si="512"/>
        <v>-246.63993994673854</v>
      </c>
      <c r="AX612">
        <f t="shared" si="513"/>
        <v>-1451.0749392515261</v>
      </c>
      <c r="AY612">
        <f t="shared" si="521"/>
        <v>-1.7391578170843491</v>
      </c>
      <c r="BA612">
        <f t="shared" si="502"/>
        <v>1.9497297661512158</v>
      </c>
      <c r="BB612">
        <f t="shared" si="514"/>
        <v>5.7994884405617855</v>
      </c>
      <c r="BC612">
        <f t="shared" si="515"/>
        <v>-1.165450329939453</v>
      </c>
      <c r="BD612">
        <f t="shared" si="503"/>
        <v>-246.77538521396195</v>
      </c>
      <c r="BF612">
        <f t="shared" si="504"/>
        <v>-55.285889611016721</v>
      </c>
      <c r="BG612">
        <f t="shared" si="505"/>
        <v>-232.58647011051619</v>
      </c>
      <c r="BH612">
        <f t="shared" si="516"/>
        <v>-52.586470110516188</v>
      </c>
      <c r="BI612">
        <f t="shared" si="517"/>
        <v>-52.586470110516188</v>
      </c>
      <c r="BJ612">
        <f t="shared" si="506"/>
        <v>0</v>
      </c>
      <c r="BK612">
        <f t="shared" si="518"/>
        <v>0</v>
      </c>
      <c r="BM612">
        <f t="shared" si="519"/>
        <v>-61.085378051578509</v>
      </c>
      <c r="BN612">
        <f t="shared" si="507"/>
        <v>-165.81108489655426</v>
      </c>
      <c r="BQ612" s="56">
        <f t="shared" si="520"/>
        <v>22.701449240846927</v>
      </c>
    </row>
    <row r="613" spans="1:69" x14ac:dyDescent="0.2">
      <c r="A613">
        <f t="shared" si="525"/>
        <v>1995000</v>
      </c>
      <c r="B613">
        <f t="shared" si="508"/>
        <v>1995</v>
      </c>
      <c r="C613">
        <f t="shared" si="477"/>
        <v>1.0309461845638113</v>
      </c>
      <c r="D613">
        <f t="shared" si="478"/>
        <v>0.24563652514322959</v>
      </c>
      <c r="F613">
        <f t="shared" si="479"/>
        <v>5.6792157995777805E-5</v>
      </c>
      <c r="G613">
        <f t="shared" si="480"/>
        <v>2.5914998104176546E-3</v>
      </c>
      <c r="H613">
        <f t="shared" si="481"/>
        <v>-3.1390011501895825</v>
      </c>
      <c r="J613">
        <f t="shared" si="482"/>
        <v>15</v>
      </c>
      <c r="M613">
        <f t="shared" si="483"/>
        <v>9.0973163043810189E-4</v>
      </c>
      <c r="N613">
        <f t="shared" si="484"/>
        <v>-1.5707963250000001</v>
      </c>
      <c r="O613">
        <f t="shared" si="485"/>
        <v>238.07849427073953</v>
      </c>
      <c r="P613">
        <f t="shared" si="486"/>
        <v>1.5665960190623565</v>
      </c>
      <c r="Q613">
        <f t="shared" si="487"/>
        <v>155.39203121429375</v>
      </c>
      <c r="R613">
        <f t="shared" si="488"/>
        <v>1.5643609459418801</v>
      </c>
      <c r="S613">
        <f t="shared" si="489"/>
        <v>0.96870947963389209</v>
      </c>
      <c r="T613">
        <f t="shared" si="490"/>
        <v>-0.25081897301527378</v>
      </c>
      <c r="U613">
        <f t="shared" si="491"/>
        <v>0.23805545915760082</v>
      </c>
      <c r="V613">
        <f t="shared" si="492"/>
        <v>-1.3304330666004645</v>
      </c>
      <c r="X613">
        <f t="shared" si="509"/>
        <v>-43.329009462988999</v>
      </c>
      <c r="Y613">
        <f t="shared" si="493"/>
        <v>-166.98602998018021</v>
      </c>
      <c r="Z613">
        <f t="shared" si="510"/>
        <v>13.013970019819794</v>
      </c>
      <c r="AC613">
        <v>1</v>
      </c>
      <c r="AD613">
        <f t="shared" si="494"/>
        <v>238.07639411378548</v>
      </c>
      <c r="AE613">
        <f t="shared" si="495"/>
        <v>-0.20293082301517046</v>
      </c>
      <c r="AF613">
        <f t="shared" si="496"/>
        <v>4.9738700144448006E-2</v>
      </c>
      <c r="AG613">
        <f t="shared" si="473"/>
        <v>266.60674884771964</v>
      </c>
      <c r="AH613">
        <f t="shared" si="474"/>
        <v>-1107.8441295216946</v>
      </c>
      <c r="AJ613">
        <f t="shared" si="497"/>
        <v>22100</v>
      </c>
      <c r="AK613">
        <f t="shared" si="498"/>
        <v>5662.3398649321143</v>
      </c>
      <c r="AL613">
        <v>1</v>
      </c>
      <c r="AM613">
        <f t="shared" si="499"/>
        <v>155.38881351276237</v>
      </c>
      <c r="AN613">
        <f t="shared" si="475"/>
        <v>37.353547056022393</v>
      </c>
      <c r="AO613">
        <f t="shared" si="476"/>
        <v>-141.98349259634404</v>
      </c>
      <c r="AQ613">
        <f t="shared" si="500"/>
        <v>6.2813671847936146E-4</v>
      </c>
      <c r="AR613">
        <f t="shared" si="501"/>
        <v>-2.5062655067326518</v>
      </c>
      <c r="AT613">
        <f t="shared" si="523"/>
        <v>-2776.3840631681383</v>
      </c>
      <c r="AU613">
        <f t="shared" si="524"/>
        <v>-668.88317607527927</v>
      </c>
      <c r="AV613">
        <f t="shared" si="511"/>
        <v>-2.9051790745667327</v>
      </c>
      <c r="AW613">
        <f t="shared" si="512"/>
        <v>-245.20254653238467</v>
      </c>
      <c r="AX613">
        <f t="shared" si="513"/>
        <v>-1447.509115968282</v>
      </c>
      <c r="AY613">
        <f t="shared" si="521"/>
        <v>-1.73859958703938</v>
      </c>
      <c r="BA613">
        <f t="shared" si="502"/>
        <v>1.9452092871552378</v>
      </c>
      <c r="BB613">
        <f t="shared" si="514"/>
        <v>5.779326687701162</v>
      </c>
      <c r="BC613">
        <f t="shared" si="515"/>
        <v>-1.1665794875273527</v>
      </c>
      <c r="BD613">
        <f t="shared" si="503"/>
        <v>-246.84008117822771</v>
      </c>
      <c r="BF613">
        <f t="shared" si="504"/>
        <v>-55.348360790002872</v>
      </c>
      <c r="BG613">
        <f t="shared" si="505"/>
        <v>-232.61766297526412</v>
      </c>
      <c r="BH613">
        <f t="shared" si="516"/>
        <v>-52.617662975264125</v>
      </c>
      <c r="BI613">
        <f t="shared" si="517"/>
        <v>-52.617662975264125</v>
      </c>
      <c r="BJ613">
        <f t="shared" si="506"/>
        <v>0</v>
      </c>
      <c r="BK613">
        <f t="shared" si="518"/>
        <v>0</v>
      </c>
      <c r="BM613">
        <f t="shared" si="519"/>
        <v>-61.127687477704036</v>
      </c>
      <c r="BN613">
        <f t="shared" si="507"/>
        <v>-165.77758179703642</v>
      </c>
      <c r="BQ613" s="56">
        <f t="shared" si="520"/>
        <v>22.681287487986296</v>
      </c>
    </row>
    <row r="614" spans="1:69" x14ac:dyDescent="0.2">
      <c r="A614">
        <f t="shared" si="525"/>
        <v>2000000</v>
      </c>
      <c r="B614">
        <f t="shared" si="508"/>
        <v>2000</v>
      </c>
      <c r="C614">
        <f t="shared" si="477"/>
        <v>1.0310991552816915</v>
      </c>
      <c r="D614">
        <f t="shared" si="478"/>
        <v>0.24622760133479116</v>
      </c>
      <c r="F614">
        <f t="shared" si="479"/>
        <v>5.65085370181589E-5</v>
      </c>
      <c r="G614">
        <f t="shared" si="480"/>
        <v>2.5850203539143756E-3</v>
      </c>
      <c r="H614">
        <f t="shared" si="481"/>
        <v>-3.1390076296460858</v>
      </c>
      <c r="J614">
        <f t="shared" si="482"/>
        <v>15</v>
      </c>
      <c r="M614">
        <f t="shared" si="483"/>
        <v>9.0745730136200672E-4</v>
      </c>
      <c r="N614">
        <f t="shared" si="484"/>
        <v>-1.5707963250000001</v>
      </c>
      <c r="O614">
        <f t="shared" si="485"/>
        <v>238.67517171240777</v>
      </c>
      <c r="P614">
        <f t="shared" si="486"/>
        <v>1.5666065197086438</v>
      </c>
      <c r="Q614">
        <f t="shared" si="487"/>
        <v>155.78146881810753</v>
      </c>
      <c r="R614">
        <f t="shared" si="488"/>
        <v>1.5643770339514877</v>
      </c>
      <c r="S614">
        <f t="shared" si="489"/>
        <v>0.96855976706181512</v>
      </c>
      <c r="T614">
        <f t="shared" si="490"/>
        <v>-0.25142146429380269</v>
      </c>
      <c r="U614">
        <f t="shared" si="491"/>
        <v>0.23749392801931629</v>
      </c>
      <c r="V614">
        <f t="shared" si="492"/>
        <v>-1.3310111777824394</v>
      </c>
      <c r="X614">
        <f t="shared" si="509"/>
        <v>-43.371321465628434</v>
      </c>
      <c r="Y614">
        <f t="shared" si="493"/>
        <v>-167.01865517508543</v>
      </c>
      <c r="Z614">
        <f t="shared" si="510"/>
        <v>12.981344824914572</v>
      </c>
      <c r="AC614">
        <v>1</v>
      </c>
      <c r="AD614">
        <f t="shared" si="494"/>
        <v>238.67307680580001</v>
      </c>
      <c r="AE614">
        <f t="shared" si="495"/>
        <v>-0.20394929480610846</v>
      </c>
      <c r="AF614">
        <f t="shared" si="496"/>
        <v>4.9863358540800005E-2</v>
      </c>
      <c r="AG614">
        <f t="shared" si="473"/>
        <v>265.35047500113535</v>
      </c>
      <c r="AH614">
        <f t="shared" si="474"/>
        <v>-1105.3816643306905</v>
      </c>
      <c r="AJ614">
        <f t="shared" si="497"/>
        <v>22100</v>
      </c>
      <c r="AK614">
        <f t="shared" si="498"/>
        <v>5676.5311929144009</v>
      </c>
      <c r="AL614">
        <v>1</v>
      </c>
      <c r="AM614">
        <f t="shared" si="499"/>
        <v>155.77825916066402</v>
      </c>
      <c r="AN614">
        <f t="shared" si="475"/>
        <v>37.348984302544224</v>
      </c>
      <c r="AO614">
        <f t="shared" si="476"/>
        <v>-141.6285631549062</v>
      </c>
      <c r="AQ614">
        <f t="shared" si="500"/>
        <v>6.2499996093750242E-4</v>
      </c>
      <c r="AR614">
        <f t="shared" si="501"/>
        <v>-2.4999998437500097</v>
      </c>
      <c r="AT614">
        <f t="shared" si="523"/>
        <v>-2763.2881440743413</v>
      </c>
      <c r="AU614">
        <f t="shared" si="524"/>
        <v>-664.06700953885695</v>
      </c>
      <c r="AV614">
        <f t="shared" si="511"/>
        <v>-2.9057473116687969</v>
      </c>
      <c r="AW614">
        <f t="shared" si="512"/>
        <v>-243.77610993821727</v>
      </c>
      <c r="AX614">
        <f t="shared" si="513"/>
        <v>-1443.9606382233153</v>
      </c>
      <c r="AY614">
        <f t="shared" si="521"/>
        <v>-1.7380438995363121</v>
      </c>
      <c r="BA614">
        <f t="shared" si="502"/>
        <v>1.9407086851670177</v>
      </c>
      <c r="BB614">
        <f t="shared" si="514"/>
        <v>5.7592069888644781</v>
      </c>
      <c r="BC614">
        <f t="shared" si="515"/>
        <v>-1.1677034121324847</v>
      </c>
      <c r="BD614">
        <f t="shared" si="503"/>
        <v>-246.90447731466625</v>
      </c>
      <c r="BF614">
        <f t="shared" si="504"/>
        <v>-55.410677933811641</v>
      </c>
      <c r="BG614">
        <f t="shared" si="505"/>
        <v>-232.64856418602847</v>
      </c>
      <c r="BH614">
        <f t="shared" si="516"/>
        <v>-52.648564186028466</v>
      </c>
      <c r="BI614">
        <f t="shared" si="517"/>
        <v>-52.648564186028466</v>
      </c>
      <c r="BJ614">
        <f t="shared" si="506"/>
        <v>0</v>
      </c>
      <c r="BK614">
        <f t="shared" si="518"/>
        <v>0</v>
      </c>
      <c r="BM614">
        <f t="shared" si="519"/>
        <v>-61.169884922676118</v>
      </c>
      <c r="BN614">
        <f t="shared" si="507"/>
        <v>-165.74408687136221</v>
      </c>
      <c r="BQ614" s="56">
        <f t="shared" si="520"/>
        <v>22.661167789149616</v>
      </c>
    </row>
    <row r="615" spans="1:69" x14ac:dyDescent="0.2">
      <c r="A615">
        <f>A614+250000</f>
        <v>2250000</v>
      </c>
      <c r="B615">
        <f t="shared" si="508"/>
        <v>2250</v>
      </c>
      <c r="C615">
        <f t="shared" si="477"/>
        <v>1.0392034427705317</v>
      </c>
      <c r="D615">
        <f t="shared" ref="D615:D626" si="526">ATAN(A615/Fesr)</f>
        <v>0.27555078388234661</v>
      </c>
      <c r="F615">
        <f t="shared" si="479"/>
        <v>4.4648220411518854E-5</v>
      </c>
      <c r="G615">
        <f t="shared" ref="G615:G626" si="527">-ATAN(A615*Fo/(Q*(Fo^2-A615^2)))</f>
        <v>2.2977695910183699E-3</v>
      </c>
      <c r="H615">
        <f t="shared" si="481"/>
        <v>-3.1392948804089817</v>
      </c>
      <c r="J615">
        <f t="shared" si="482"/>
        <v>15</v>
      </c>
      <c r="M615">
        <f t="shared" ref="M615:M626" si="528">1/(2*Pi*_Rfb1*(Cc1ea_u+Cc2ea_u)*A615)</f>
        <v>8.0662871232178369E-4</v>
      </c>
      <c r="N615">
        <f t="shared" si="484"/>
        <v>-1.5707963250000001</v>
      </c>
      <c r="O615">
        <f t="shared" ref="O615:O626" si="529">SQRT(1+(A615/Fz1_u)^2)</f>
        <v>268.50907354744709</v>
      </c>
      <c r="P615">
        <f t="shared" si="486"/>
        <v>1.567072049255597</v>
      </c>
      <c r="Q615">
        <f t="shared" ref="Q615:Q626" si="530">SQRT(1+(A615/Fz2_u)^2)</f>
        <v>175.25339459075425</v>
      </c>
      <c r="R615">
        <f t="shared" si="488"/>
        <v>1.5650902722624551</v>
      </c>
      <c r="S615">
        <f t="shared" ref="S615:S626" si="531">1/SQRT(1+(A615/Fp1_u)^2)</f>
        <v>0.9606950192883863</v>
      </c>
      <c r="T615">
        <f t="shared" si="490"/>
        <v>-0.28130124164995907</v>
      </c>
      <c r="U615">
        <f t="shared" si="491"/>
        <v>0.21236642552926627</v>
      </c>
      <c r="V615">
        <f t="shared" si="492"/>
        <v>-1.3568003381618987</v>
      </c>
      <c r="X615">
        <f t="shared" ref="X615:X626" si="532">20*LOG(C615*J615*O615*Q615*F615*M615*S615*U615)</f>
        <v>-45.368670649917114</v>
      </c>
      <c r="Y615">
        <f t="shared" ref="Y615:Y626" si="533">(180/Pi)*(D615+H615+N615+P615+R615+T615+V615)</f>
        <v>-168.47707559020398</v>
      </c>
      <c r="Z615">
        <f t="shared" si="510"/>
        <v>11.522924409796019</v>
      </c>
      <c r="AC615">
        <v>1</v>
      </c>
      <c r="AD615">
        <f t="shared" si="494"/>
        <v>268.50721140652502</v>
      </c>
      <c r="AE615">
        <f t="shared" si="495"/>
        <v>-0.25812332623898093</v>
      </c>
      <c r="AF615">
        <f t="shared" si="496"/>
        <v>5.6096278358400004E-2</v>
      </c>
      <c r="AG615">
        <f t="shared" si="473"/>
        <v>212.1712635540373</v>
      </c>
      <c r="AH615">
        <f t="shared" si="474"/>
        <v>-994.118574580001</v>
      </c>
      <c r="AJ615">
        <f t="shared" si="497"/>
        <v>22100</v>
      </c>
      <c r="AK615">
        <f t="shared" si="498"/>
        <v>6386.0975920287001</v>
      </c>
      <c r="AL615">
        <v>1</v>
      </c>
      <c r="AM615">
        <f t="shared" si="499"/>
        <v>175.25054155574702</v>
      </c>
      <c r="AN615">
        <f t="shared" si="475"/>
        <v>37.158177538986671</v>
      </c>
      <c r="AO615">
        <f t="shared" si="476"/>
        <v>-125.89314490330888</v>
      </c>
      <c r="AQ615">
        <f t="shared" si="500"/>
        <v>4.9382713610730193E-4</v>
      </c>
      <c r="AR615">
        <f t="shared" si="501"/>
        <v>-2.2222221124828585</v>
      </c>
      <c r="AT615">
        <f t="shared" si="523"/>
        <v>-2209.0475029341728</v>
      </c>
      <c r="AU615">
        <f t="shared" si="524"/>
        <v>-471.982596231846</v>
      </c>
      <c r="AV615">
        <f t="shared" si="511"/>
        <v>-2.9310987202775305</v>
      </c>
      <c r="AW615">
        <f t="shared" si="512"/>
        <v>-184.29689671534999</v>
      </c>
      <c r="AX615">
        <f t="shared" si="513"/>
        <v>-1286.1709485295057</v>
      </c>
      <c r="AY615">
        <f t="shared" si="521"/>
        <v>-1.7131186691259994</v>
      </c>
      <c r="BA615">
        <f t="shared" si="502"/>
        <v>1.7385459183201257</v>
      </c>
      <c r="BB615">
        <f t="shared" si="514"/>
        <v>4.8037233143595728</v>
      </c>
      <c r="BC615">
        <f t="shared" si="515"/>
        <v>-1.2179800511515311</v>
      </c>
      <c r="BD615">
        <f t="shared" si="503"/>
        <v>-249.78511654185198</v>
      </c>
      <c r="BF615">
        <f t="shared" si="504"/>
        <v>-58.344356898493288</v>
      </c>
      <c r="BG615">
        <f t="shared" si="505"/>
        <v>-233.86556706582243</v>
      </c>
      <c r="BH615">
        <f t="shared" si="516"/>
        <v>-53.865567065822432</v>
      </c>
      <c r="BI615">
        <f t="shared" si="517"/>
        <v>-53.865567065822432</v>
      </c>
      <c r="BJ615">
        <f t="shared" si="506"/>
        <v>0</v>
      </c>
      <c r="BK615">
        <f t="shared" si="518"/>
        <v>0</v>
      </c>
      <c r="BM615">
        <f t="shared" si="519"/>
        <v>-63.148080212852861</v>
      </c>
      <c r="BN615">
        <f t="shared" si="507"/>
        <v>-164.08045052397048</v>
      </c>
      <c r="BQ615" s="56">
        <f t="shared" si="520"/>
        <v>21.705684114644708</v>
      </c>
    </row>
    <row r="616" spans="1:69" x14ac:dyDescent="0.2">
      <c r="A616">
        <f t="shared" ref="A616:A626" si="534">A615+250000</f>
        <v>2500000</v>
      </c>
      <c r="B616">
        <f t="shared" si="508"/>
        <v>2500</v>
      </c>
      <c r="C616">
        <f t="shared" si="477"/>
        <v>1.0481870271021962</v>
      </c>
      <c r="D616">
        <f t="shared" si="526"/>
        <v>0.304395797037883</v>
      </c>
      <c r="F616">
        <f t="shared" si="479"/>
        <v>3.6164768731197189E-5</v>
      </c>
      <c r="G616">
        <f t="shared" si="527"/>
        <v>2.0679757146597881E-3</v>
      </c>
      <c r="H616">
        <f t="shared" si="481"/>
        <v>-3.1395246742853402</v>
      </c>
      <c r="J616">
        <f t="shared" si="482"/>
        <v>15</v>
      </c>
      <c r="M616">
        <f t="shared" si="528"/>
        <v>7.2596584108960537E-4</v>
      </c>
      <c r="N616">
        <f t="shared" si="484"/>
        <v>-1.5707963250000001</v>
      </c>
      <c r="O616">
        <f t="shared" si="529"/>
        <v>298.34302193518403</v>
      </c>
      <c r="P616">
        <f t="shared" si="486"/>
        <v>1.5674444740651021</v>
      </c>
      <c r="Q616">
        <f t="shared" si="530"/>
        <v>194.72539168630766</v>
      </c>
      <c r="R616">
        <f t="shared" si="488"/>
        <v>1.5656608671260546</v>
      </c>
      <c r="S616">
        <f t="shared" si="531"/>
        <v>0.95212775952998341</v>
      </c>
      <c r="T616">
        <f t="shared" si="490"/>
        <v>-0.31067394942499543</v>
      </c>
      <c r="U616">
        <f t="shared" si="491"/>
        <v>0.191953970012845</v>
      </c>
      <c r="V616">
        <f t="shared" si="492"/>
        <v>-1.3776435717764004</v>
      </c>
      <c r="X616">
        <f t="shared" si="532"/>
        <v>-47.164745712587319</v>
      </c>
      <c r="Y616">
        <f t="shared" si="533"/>
        <v>-169.66067475564833</v>
      </c>
      <c r="Z616">
        <f t="shared" si="510"/>
        <v>10.33932524435167</v>
      </c>
      <c r="AC616">
        <v>1</v>
      </c>
      <c r="AD616">
        <f t="shared" si="494"/>
        <v>298.34134600724997</v>
      </c>
      <c r="AE616">
        <f t="shared" si="495"/>
        <v>-0.31867077313454445</v>
      </c>
      <c r="AF616">
        <f t="shared" si="496"/>
        <v>6.2329198176000015E-2</v>
      </c>
      <c r="AG616">
        <f t="shared" ref="AG616:AG626" si="535">AC616*AE616/(AE616^2+AF616^2)+AD616*AF616/(AE616^2+AF616^2)</f>
        <v>173.34409249660783</v>
      </c>
      <c r="AH616">
        <f t="shared" ref="AH616:AH626" si="536">AD616*AE616/(AE616^2+AF616^2)-AC616*AF616/(AE616^2+AF616^2)</f>
        <v>-902.30097001079685</v>
      </c>
      <c r="AJ616">
        <f t="shared" si="497"/>
        <v>22100</v>
      </c>
      <c r="AK616">
        <f t="shared" si="498"/>
        <v>7095.6639911430011</v>
      </c>
      <c r="AL616">
        <v>1</v>
      </c>
      <c r="AM616">
        <f t="shared" si="499"/>
        <v>194.72282395083002</v>
      </c>
      <c r="AN616">
        <f t="shared" ref="AN616:AN626" si="537">AJ616*AL616/(AL616^2+AM616^2)+AK616*AM616/(AL616^2+AM616^2)</f>
        <v>37.021692558729576</v>
      </c>
      <c r="AO616">
        <f t="shared" ref="AO616:AO626" si="538">AK616*AL616/(AL616^2+AM616^2)-AJ616*AM616/(AL616^2+AM616^2)</f>
        <v>-113.30453133225129</v>
      </c>
      <c r="AQ616">
        <f t="shared" si="500"/>
        <v>3.9999998400000063E-4</v>
      </c>
      <c r="AR616">
        <f t="shared" si="501"/>
        <v>-1.9999999200000032</v>
      </c>
      <c r="AT616">
        <f t="shared" si="523"/>
        <v>-1804.5325302032938</v>
      </c>
      <c r="AU616">
        <f t="shared" si="524"/>
        <v>-347.04909149925635</v>
      </c>
      <c r="AV616">
        <f t="shared" si="511"/>
        <v>-2.9515917513037579</v>
      </c>
      <c r="AW616">
        <f t="shared" si="512"/>
        <v>-141.96156430386515</v>
      </c>
      <c r="AX616">
        <f t="shared" si="513"/>
        <v>-1159.301265388001</v>
      </c>
      <c r="AY616">
        <f t="shared" si="521"/>
        <v>-1.6926441240609764</v>
      </c>
      <c r="BA616">
        <f t="shared" si="502"/>
        <v>1.5733420518532473</v>
      </c>
      <c r="BB616">
        <f t="shared" si="514"/>
        <v>3.9364630104232265</v>
      </c>
      <c r="BC616">
        <f t="shared" si="515"/>
        <v>-1.2589476272427815</v>
      </c>
      <c r="BD616">
        <f t="shared" si="503"/>
        <v>-252.13238575144385</v>
      </c>
      <c r="BF616">
        <f t="shared" si="504"/>
        <v>-60.967222357719905</v>
      </c>
      <c r="BG616">
        <f t="shared" si="505"/>
        <v>-234.57330497900256</v>
      </c>
      <c r="BH616">
        <f t="shared" si="516"/>
        <v>-54.573304979002558</v>
      </c>
      <c r="BI616">
        <f t="shared" si="517"/>
        <v>-54.573304979002558</v>
      </c>
      <c r="BJ616">
        <f t="shared" si="506"/>
        <v>0</v>
      </c>
      <c r="BK616">
        <f t="shared" si="518"/>
        <v>0</v>
      </c>
      <c r="BM616">
        <f t="shared" si="519"/>
        <v>-64.90368536814313</v>
      </c>
      <c r="BN616">
        <f t="shared" si="507"/>
        <v>-162.44091922755874</v>
      </c>
      <c r="BQ616" s="56">
        <f t="shared" si="520"/>
        <v>20.838423810708363</v>
      </c>
    </row>
    <row r="617" spans="1:69" x14ac:dyDescent="0.2">
      <c r="A617">
        <f t="shared" si="534"/>
        <v>2750000</v>
      </c>
      <c r="B617">
        <f t="shared" si="508"/>
        <v>2750</v>
      </c>
      <c r="C617">
        <f t="shared" si="477"/>
        <v>1.058027510502568</v>
      </c>
      <c r="D617">
        <f t="shared" si="526"/>
        <v>0.33272747087036825</v>
      </c>
      <c r="F617">
        <f t="shared" si="479"/>
        <v>2.9888061415859265E-5</v>
      </c>
      <c r="G617">
        <f t="shared" si="527"/>
        <v>1.8799665436125697E-3</v>
      </c>
      <c r="H617">
        <f t="shared" si="481"/>
        <v>-3.1397126834563878</v>
      </c>
      <c r="J617">
        <f t="shared" si="482"/>
        <v>15</v>
      </c>
      <c r="M617">
        <f t="shared" si="528"/>
        <v>6.5996894644509583E-4</v>
      </c>
      <c r="N617">
        <f t="shared" si="484"/>
        <v>-1.5707963250000001</v>
      </c>
      <c r="O617">
        <f t="shared" si="529"/>
        <v>328.17700417956684</v>
      </c>
      <c r="P617">
        <f t="shared" si="486"/>
        <v>1.5677491859691315</v>
      </c>
      <c r="Q617">
        <f t="shared" si="530"/>
        <v>214.1974406535638</v>
      </c>
      <c r="R617">
        <f t="shared" si="488"/>
        <v>1.566127719973049</v>
      </c>
      <c r="S617">
        <f t="shared" si="531"/>
        <v>0.94292027472417961</v>
      </c>
      <c r="T617">
        <f t="shared" si="490"/>
        <v>-0.33950305239256856</v>
      </c>
      <c r="U617">
        <f t="shared" si="491"/>
        <v>0.17506425880354576</v>
      </c>
      <c r="V617">
        <f t="shared" si="492"/>
        <v>-1.39482529229302</v>
      </c>
      <c r="X617">
        <f t="shared" si="532"/>
        <v>-48.795912913081743</v>
      </c>
      <c r="Y617">
        <f t="shared" si="533"/>
        <v>-170.64018014534665</v>
      </c>
      <c r="Z617">
        <f t="shared" si="510"/>
        <v>9.3598198546533524</v>
      </c>
      <c r="AC617">
        <v>1</v>
      </c>
      <c r="AD617">
        <f t="shared" si="494"/>
        <v>328.17548060797503</v>
      </c>
      <c r="AE617">
        <f t="shared" si="495"/>
        <v>-0.38559163549279885</v>
      </c>
      <c r="AF617">
        <f t="shared" si="496"/>
        <v>6.8562117993600014E-2</v>
      </c>
      <c r="AG617">
        <f t="shared" si="535"/>
        <v>144.18159549567068</v>
      </c>
      <c r="AH617">
        <f t="shared" si="536"/>
        <v>-825.45899793264471</v>
      </c>
      <c r="AJ617">
        <f t="shared" si="497"/>
        <v>22100</v>
      </c>
      <c r="AK617">
        <f t="shared" si="498"/>
        <v>7805.2303902573003</v>
      </c>
      <c r="AL617">
        <v>1</v>
      </c>
      <c r="AM617">
        <f t="shared" si="499"/>
        <v>214.19510634591302</v>
      </c>
      <c r="AN617">
        <f t="shared" si="537"/>
        <v>36.920708021869672</v>
      </c>
      <c r="AO617">
        <f t="shared" si="538"/>
        <v>-103.0045908534787</v>
      </c>
      <c r="AQ617">
        <f t="shared" si="500"/>
        <v>3.3057850146847931E-4</v>
      </c>
      <c r="AR617">
        <f t="shared" si="501"/>
        <v>-1.8181817580766362</v>
      </c>
      <c r="AT617">
        <f t="shared" si="523"/>
        <v>-1500.786828745576</v>
      </c>
      <c r="AU617">
        <f t="shared" si="524"/>
        <v>-262.4212257791732</v>
      </c>
      <c r="AV617">
        <f t="shared" si="511"/>
        <v>-2.9684869417338668</v>
      </c>
      <c r="AW617">
        <f t="shared" si="512"/>
        <v>-110.75391743280403</v>
      </c>
      <c r="AX617">
        <f t="shared" si="513"/>
        <v>-1055.1062434150519</v>
      </c>
      <c r="AY617">
        <f t="shared" si="521"/>
        <v>-1.6753827631320293</v>
      </c>
      <c r="BA617">
        <f t="shared" si="502"/>
        <v>1.4360942765664124</v>
      </c>
      <c r="BB617">
        <f t="shared" si="514"/>
        <v>3.1436590272147584</v>
      </c>
      <c r="BC617">
        <f t="shared" si="515"/>
        <v>-1.2931041786018376</v>
      </c>
      <c r="BD617">
        <f t="shared" si="503"/>
        <v>-254.08941198927579</v>
      </c>
      <c r="BF617">
        <f t="shared" si="504"/>
        <v>-63.334621647620608</v>
      </c>
      <c r="BG617">
        <f t="shared" si="505"/>
        <v>-234.9178180098601</v>
      </c>
      <c r="BH617">
        <f t="shared" si="516"/>
        <v>-54.917818009860099</v>
      </c>
      <c r="BI617">
        <f t="shared" si="517"/>
        <v>-54.917818009860099</v>
      </c>
      <c r="BJ617">
        <f t="shared" si="506"/>
        <v>0</v>
      </c>
      <c r="BK617">
        <f t="shared" si="518"/>
        <v>0</v>
      </c>
      <c r="BM617">
        <f t="shared" si="519"/>
        <v>-66.478280674835361</v>
      </c>
      <c r="BN617">
        <f t="shared" si="507"/>
        <v>-160.82840602058434</v>
      </c>
      <c r="BQ617" s="56">
        <f t="shared" si="520"/>
        <v>20.045619827499898</v>
      </c>
    </row>
    <row r="618" spans="1:69" x14ac:dyDescent="0.2">
      <c r="A618">
        <f t="shared" si="534"/>
        <v>3000000</v>
      </c>
      <c r="B618">
        <f t="shared" si="508"/>
        <v>3000</v>
      </c>
      <c r="C618">
        <f t="shared" si="477"/>
        <v>1.0687012225364441</v>
      </c>
      <c r="D618">
        <f t="shared" si="526"/>
        <v>0.36051516422798635</v>
      </c>
      <c r="F618">
        <f t="shared" si="479"/>
        <v>2.5114160577988125E-5</v>
      </c>
      <c r="G618">
        <f t="shared" si="527"/>
        <v>1.7232947317540976E-3</v>
      </c>
      <c r="H618">
        <f t="shared" si="481"/>
        <v>-3.139869355268246</v>
      </c>
      <c r="J618">
        <f t="shared" si="482"/>
        <v>15</v>
      </c>
      <c r="M618">
        <f t="shared" si="528"/>
        <v>6.0497153424133785E-4</v>
      </c>
      <c r="N618">
        <f t="shared" si="484"/>
        <v>-1.5707963250000001</v>
      </c>
      <c r="O618">
        <f t="shared" si="529"/>
        <v>358.01101181651035</v>
      </c>
      <c r="P618">
        <f t="shared" si="486"/>
        <v>1.5680031129904723</v>
      </c>
      <c r="Q618">
        <f t="shared" si="530"/>
        <v>233.66952852487154</v>
      </c>
      <c r="R618">
        <f t="shared" si="488"/>
        <v>1.5665167655754251</v>
      </c>
      <c r="S618">
        <f t="shared" si="531"/>
        <v>0.93313611733866308</v>
      </c>
      <c r="T618">
        <f t="shared" si="490"/>
        <v>-0.36775696025252108</v>
      </c>
      <c r="U618">
        <f t="shared" si="491"/>
        <v>0.16086978931901869</v>
      </c>
      <c r="V618">
        <f t="shared" si="492"/>
        <v>-1.4092244697500502</v>
      </c>
      <c r="X618">
        <f t="shared" si="532"/>
        <v>-50.289617362185098</v>
      </c>
      <c r="Y618">
        <f t="shared" si="533"/>
        <v>-171.46404138227405</v>
      </c>
      <c r="Z618">
        <f t="shared" si="510"/>
        <v>8.535958617725953</v>
      </c>
      <c r="AC618">
        <v>1</v>
      </c>
      <c r="AD618">
        <f t="shared" si="494"/>
        <v>358.00961520870004</v>
      </c>
      <c r="AE618">
        <f t="shared" si="495"/>
        <v>-0.45888591331374395</v>
      </c>
      <c r="AF618">
        <f t="shared" si="496"/>
        <v>7.4795037811200019E-2</v>
      </c>
      <c r="AG618">
        <f t="shared" si="535"/>
        <v>121.74856032795283</v>
      </c>
      <c r="AH618">
        <f t="shared" si="536"/>
        <v>-760.32716828455705</v>
      </c>
      <c r="AJ618">
        <f t="shared" si="497"/>
        <v>22100</v>
      </c>
      <c r="AK618">
        <f t="shared" si="498"/>
        <v>8514.7967893716013</v>
      </c>
      <c r="AL618">
        <v>1</v>
      </c>
      <c r="AM618">
        <f t="shared" si="499"/>
        <v>233.66738874099602</v>
      </c>
      <c r="AN618">
        <f t="shared" si="537"/>
        <v>36.843900380845824</v>
      </c>
      <c r="AO618">
        <f t="shared" si="538"/>
        <v>-94.421203654030734</v>
      </c>
      <c r="AQ618">
        <f t="shared" si="500"/>
        <v>2.7777777006172862E-4</v>
      </c>
      <c r="AR618">
        <f t="shared" si="501"/>
        <v>-1.6666666203703717</v>
      </c>
      <c r="AT618">
        <f t="shared" si="523"/>
        <v>-1267.1780928970013</v>
      </c>
      <c r="AU618">
        <f t="shared" si="524"/>
        <v>-203.12546356207091</v>
      </c>
      <c r="AV618">
        <f t="shared" si="511"/>
        <v>-2.9826473436842473</v>
      </c>
      <c r="AW618">
        <f t="shared" si="512"/>
        <v>-87.08516432748057</v>
      </c>
      <c r="AX618">
        <f t="shared" si="513"/>
        <v>-968.025572172598</v>
      </c>
      <c r="AY618">
        <f t="shared" si="521"/>
        <v>-1.6605164452751648</v>
      </c>
      <c r="BA618">
        <f t="shared" si="502"/>
        <v>1.3204126769102804</v>
      </c>
      <c r="BB618">
        <f t="shared" si="514"/>
        <v>2.4141937043462396</v>
      </c>
      <c r="BC618">
        <f t="shared" si="515"/>
        <v>-1.3221308984090825</v>
      </c>
      <c r="BD618">
        <f t="shared" si="503"/>
        <v>-255.75252052924012</v>
      </c>
      <c r="BF618">
        <f t="shared" si="504"/>
        <v>-65.488481655131295</v>
      </c>
      <c r="BG618">
        <f t="shared" si="505"/>
        <v>-234.99778562980836</v>
      </c>
      <c r="BH618">
        <f t="shared" si="516"/>
        <v>-54.997785629808362</v>
      </c>
      <c r="BI618">
        <f t="shared" si="517"/>
        <v>-54.997785629808362</v>
      </c>
      <c r="BJ618">
        <f t="shared" si="506"/>
        <v>0</v>
      </c>
      <c r="BK618">
        <f t="shared" si="518"/>
        <v>0</v>
      </c>
      <c r="BM618">
        <f t="shared" si="519"/>
        <v>-67.902675359477527</v>
      </c>
      <c r="BN618">
        <f t="shared" si="507"/>
        <v>-159.24526510056825</v>
      </c>
      <c r="BQ618" s="56">
        <f t="shared" si="520"/>
        <v>19.316154504631378</v>
      </c>
    </row>
    <row r="619" spans="1:69" x14ac:dyDescent="0.2">
      <c r="A619">
        <f t="shared" si="534"/>
        <v>3250000</v>
      </c>
      <c r="B619">
        <f t="shared" si="508"/>
        <v>3250</v>
      </c>
      <c r="C619">
        <f t="shared" si="477"/>
        <v>1.0801834631196801</v>
      </c>
      <c r="D619">
        <f t="shared" si="526"/>
        <v>0.3877327539835998</v>
      </c>
      <c r="F619">
        <f t="shared" si="479"/>
        <v>2.1398972969217561E-5</v>
      </c>
      <c r="G619">
        <f t="shared" si="527"/>
        <v>1.5907278995896353E-3</v>
      </c>
      <c r="H619">
        <f t="shared" si="481"/>
        <v>-3.1400019221004105</v>
      </c>
      <c r="J619">
        <f t="shared" si="482"/>
        <v>15</v>
      </c>
      <c r="M619">
        <f t="shared" si="528"/>
        <v>5.5843526237661948E-4</v>
      </c>
      <c r="N619">
        <f t="shared" si="484"/>
        <v>-1.5707963250000001</v>
      </c>
      <c r="O619">
        <f t="shared" si="529"/>
        <v>387.84503898623728</v>
      </c>
      <c r="P619">
        <f t="shared" si="486"/>
        <v>1.5682179745988802</v>
      </c>
      <c r="Q619">
        <f t="shared" si="530"/>
        <v>253.14164632253269</v>
      </c>
      <c r="R619">
        <f t="shared" si="488"/>
        <v>1.5668459590247845</v>
      </c>
      <c r="S619">
        <f t="shared" si="531"/>
        <v>0.92283910232550159</v>
      </c>
      <c r="T619">
        <f t="shared" si="490"/>
        <v>-0.39540899556808001</v>
      </c>
      <c r="U619">
        <f t="shared" si="491"/>
        <v>0.14878024852619948</v>
      </c>
      <c r="V619">
        <f t="shared" si="492"/>
        <v>-1.4214616485624836</v>
      </c>
      <c r="X619">
        <f t="shared" si="532"/>
        <v>-51.667046875549552</v>
      </c>
      <c r="Y619">
        <f t="shared" si="533"/>
        <v>-172.16649544054277</v>
      </c>
      <c r="Z619">
        <f t="shared" si="510"/>
        <v>7.833504559457225</v>
      </c>
      <c r="AC619">
        <v>1</v>
      </c>
      <c r="AD619">
        <f t="shared" si="494"/>
        <v>387.84374980942499</v>
      </c>
      <c r="AE619">
        <f t="shared" si="495"/>
        <v>-0.53855360659738005</v>
      </c>
      <c r="AF619">
        <f t="shared" si="496"/>
        <v>8.102795762880001E-2</v>
      </c>
      <c r="AG619">
        <f t="shared" si="535"/>
        <v>104.13708289014127</v>
      </c>
      <c r="AH619">
        <f t="shared" si="536"/>
        <v>-704.4901937738905</v>
      </c>
      <c r="AJ619">
        <f t="shared" si="497"/>
        <v>22100</v>
      </c>
      <c r="AK619">
        <f t="shared" si="498"/>
        <v>9224.3631884859005</v>
      </c>
      <c r="AL619">
        <v>1</v>
      </c>
      <c r="AM619">
        <f t="shared" si="499"/>
        <v>253.13967113607902</v>
      </c>
      <c r="AN619">
        <f t="shared" si="537"/>
        <v>36.784125605330779</v>
      </c>
      <c r="AO619">
        <f t="shared" si="538"/>
        <v>-87.158270275757189</v>
      </c>
      <c r="AQ619">
        <f t="shared" si="500"/>
        <v>2.3668638493049978E-4</v>
      </c>
      <c r="AR619">
        <f t="shared" si="501"/>
        <v>-1.5384615020482484</v>
      </c>
      <c r="AT619">
        <f t="shared" si="523"/>
        <v>-1083.8063938619546</v>
      </c>
      <c r="AU619">
        <f t="shared" si="524"/>
        <v>-160.37763619927304</v>
      </c>
      <c r="AV619">
        <f t="shared" si="511"/>
        <v>-2.9946824814007642</v>
      </c>
      <c r="AW619">
        <f t="shared" si="512"/>
        <v>-68.706113230373646</v>
      </c>
      <c r="AX619">
        <f t="shared" si="513"/>
        <v>-894.17514258940957</v>
      </c>
      <c r="AY619">
        <f t="shared" si="521"/>
        <v>-1.6474830669449847</v>
      </c>
      <c r="BA619">
        <f t="shared" si="502"/>
        <v>1.2216714042885106</v>
      </c>
      <c r="BB619">
        <f t="shared" si="514"/>
        <v>1.7390881689538005</v>
      </c>
      <c r="BC619">
        <f t="shared" si="515"/>
        <v>-1.3471994144557795</v>
      </c>
      <c r="BD619">
        <f t="shared" si="503"/>
        <v>-257.1888406990131</v>
      </c>
      <c r="BF619">
        <f t="shared" si="504"/>
        <v>-67.461277562163104</v>
      </c>
      <c r="BG619">
        <f t="shared" si="505"/>
        <v>-234.88224829627933</v>
      </c>
      <c r="BH619">
        <f t="shared" si="516"/>
        <v>-54.882248296279329</v>
      </c>
      <c r="BI619">
        <f t="shared" si="517"/>
        <v>-54.882248296279329</v>
      </c>
      <c r="BJ619">
        <f t="shared" si="506"/>
        <v>0</v>
      </c>
      <c r="BK619">
        <f t="shared" si="518"/>
        <v>0</v>
      </c>
      <c r="BM619">
        <f t="shared" si="519"/>
        <v>-69.200365731116904</v>
      </c>
      <c r="BN619">
        <f t="shared" si="507"/>
        <v>-157.69340759726629</v>
      </c>
      <c r="BQ619" s="56">
        <f t="shared" si="520"/>
        <v>18.641048969238938</v>
      </c>
    </row>
    <row r="620" spans="1:69" x14ac:dyDescent="0.2">
      <c r="A620">
        <f t="shared" si="534"/>
        <v>3500000</v>
      </c>
      <c r="B620">
        <f t="shared" si="508"/>
        <v>3500</v>
      </c>
      <c r="C620">
        <f t="shared" si="477"/>
        <v>1.0924487383027484</v>
      </c>
      <c r="D620">
        <f t="shared" si="526"/>
        <v>0.41435854972542402</v>
      </c>
      <c r="F620">
        <f t="shared" si="479"/>
        <v>1.8451103885682981E-5</v>
      </c>
      <c r="G620">
        <f t="shared" si="527"/>
        <v>1.4771002792678372E-3</v>
      </c>
      <c r="H620">
        <f t="shared" si="481"/>
        <v>-3.1401155497207323</v>
      </c>
      <c r="J620">
        <f t="shared" si="482"/>
        <v>15</v>
      </c>
      <c r="M620">
        <f t="shared" si="528"/>
        <v>5.1854702934971814E-4</v>
      </c>
      <c r="N620">
        <f t="shared" si="484"/>
        <v>-1.5707963250000001</v>
      </c>
      <c r="O620">
        <f t="shared" si="529"/>
        <v>417.67908150317839</v>
      </c>
      <c r="P620">
        <f t="shared" si="486"/>
        <v>1.5684021418820318</v>
      </c>
      <c r="Q620">
        <f t="shared" si="530"/>
        <v>272.61378763385477</v>
      </c>
      <c r="R620">
        <f t="shared" si="488"/>
        <v>1.5671281255226874</v>
      </c>
      <c r="S620">
        <f t="shared" si="531"/>
        <v>0.9120924030624914</v>
      </c>
      <c r="T620">
        <f t="shared" si="490"/>
        <v>-0.42243727954028276</v>
      </c>
      <c r="U620">
        <f t="shared" si="491"/>
        <v>0.13836420504088343</v>
      </c>
      <c r="V620">
        <f t="shared" si="492"/>
        <v>-1.4319867852470536</v>
      </c>
      <c r="X620">
        <f t="shared" si="532"/>
        <v>-52.944880723271048</v>
      </c>
      <c r="Y620">
        <f t="shared" si="533"/>
        <v>-172.77239365454543</v>
      </c>
      <c r="Z620">
        <f t="shared" si="510"/>
        <v>7.2276063454545749</v>
      </c>
      <c r="AC620">
        <v>1</v>
      </c>
      <c r="AD620">
        <f t="shared" si="494"/>
        <v>417.67788441015</v>
      </c>
      <c r="AE620">
        <f t="shared" si="495"/>
        <v>-0.62459471534370703</v>
      </c>
      <c r="AF620">
        <f t="shared" si="496"/>
        <v>8.7260877446400015E-2</v>
      </c>
      <c r="AG620">
        <f t="shared" si="535"/>
        <v>90.066306396127231</v>
      </c>
      <c r="AH620">
        <f t="shared" si="536"/>
        <v>-656.13526566607163</v>
      </c>
      <c r="AJ620">
        <f t="shared" si="497"/>
        <v>22100</v>
      </c>
      <c r="AK620">
        <f t="shared" si="498"/>
        <v>9933.9295876002016</v>
      </c>
      <c r="AL620">
        <v>1</v>
      </c>
      <c r="AM620">
        <f t="shared" si="499"/>
        <v>272.61195353116204</v>
      </c>
      <c r="AN620">
        <f t="shared" si="537"/>
        <v>36.736695920340843</v>
      </c>
      <c r="AO620">
        <f t="shared" si="538"/>
        <v>-80.932853524185717</v>
      </c>
      <c r="AQ620">
        <f t="shared" si="500"/>
        <v>2.0408162848813003E-4</v>
      </c>
      <c r="AR620">
        <f t="shared" si="501"/>
        <v>-1.4285713994169102</v>
      </c>
      <c r="AT620">
        <f t="shared" si="523"/>
        <v>-937.31769380088485</v>
      </c>
      <c r="AU620">
        <f t="shared" si="524"/>
        <v>-128.80005452215332</v>
      </c>
      <c r="AV620">
        <f t="shared" si="511"/>
        <v>-3.0050344398129298</v>
      </c>
      <c r="AW620">
        <f t="shared" si="512"/>
        <v>-54.148614256761654</v>
      </c>
      <c r="AX620">
        <f t="shared" si="513"/>
        <v>-830.76080488709169</v>
      </c>
      <c r="AY620">
        <f t="shared" si="521"/>
        <v>-1.6358838076069073</v>
      </c>
      <c r="BA620">
        <f t="shared" si="502"/>
        <v>1.1364551219197592</v>
      </c>
      <c r="BB620">
        <f t="shared" si="514"/>
        <v>1.1110458062803574</v>
      </c>
      <c r="BC620">
        <f t="shared" si="515"/>
        <v>-1.3691506322060225</v>
      </c>
      <c r="BD620">
        <f t="shared" si="503"/>
        <v>-258.4465528327118</v>
      </c>
      <c r="BF620">
        <f t="shared" si="504"/>
        <v>-69.27866058238358</v>
      </c>
      <c r="BG620">
        <f t="shared" si="505"/>
        <v>-234.62092508913892</v>
      </c>
      <c r="BH620">
        <f t="shared" si="516"/>
        <v>-54.620925089138922</v>
      </c>
      <c r="BI620">
        <f t="shared" si="517"/>
        <v>-54.620925089138922</v>
      </c>
      <c r="BJ620">
        <f t="shared" si="506"/>
        <v>0</v>
      </c>
      <c r="BK620">
        <f t="shared" si="518"/>
        <v>0</v>
      </c>
      <c r="BM620">
        <f t="shared" si="519"/>
        <v>-70.389706388663939</v>
      </c>
      <c r="BN620">
        <f t="shared" si="507"/>
        <v>-156.17437225642718</v>
      </c>
      <c r="BQ620" s="56">
        <f t="shared" si="520"/>
        <v>18.013006606565494</v>
      </c>
    </row>
    <row r="621" spans="1:69" x14ac:dyDescent="0.2">
      <c r="A621">
        <f t="shared" si="534"/>
        <v>3750000</v>
      </c>
      <c r="B621">
        <f t="shared" si="508"/>
        <v>3750</v>
      </c>
      <c r="C621">
        <f t="shared" si="477"/>
        <v>1.1054709849276985</v>
      </c>
      <c r="D621">
        <f t="shared" si="526"/>
        <v>0.44037514438320763</v>
      </c>
      <c r="F621">
        <f t="shared" si="479"/>
        <v>1.6072925500024269E-5</v>
      </c>
      <c r="G621">
        <f t="shared" si="527"/>
        <v>1.3786237656875416E-3</v>
      </c>
      <c r="H621">
        <f t="shared" si="481"/>
        <v>-3.1402140262343128</v>
      </c>
      <c r="J621">
        <f t="shared" si="482"/>
        <v>15</v>
      </c>
      <c r="M621">
        <f t="shared" si="528"/>
        <v>4.8397722739307021E-4</v>
      </c>
      <c r="N621">
        <f t="shared" si="484"/>
        <v>-1.5707963250000001</v>
      </c>
      <c r="O621">
        <f t="shared" si="529"/>
        <v>447.51313629790786</v>
      </c>
      <c r="P621">
        <f t="shared" si="486"/>
        <v>1.5685617536592507</v>
      </c>
      <c r="Q621">
        <f t="shared" si="530"/>
        <v>292.08594775616706</v>
      </c>
      <c r="R621">
        <f t="shared" si="488"/>
        <v>1.5673726702949677</v>
      </c>
      <c r="S621">
        <f t="shared" si="531"/>
        <v>0.90095776122342863</v>
      </c>
      <c r="T621">
        <f t="shared" si="490"/>
        <v>-0.44882454811609362</v>
      </c>
      <c r="U621">
        <f t="shared" si="491"/>
        <v>0.12929954869207191</v>
      </c>
      <c r="V621">
        <f t="shared" si="492"/>
        <v>-1.4411337606514389</v>
      </c>
      <c r="X621">
        <f t="shared" si="532"/>
        <v>-54.13647284451131</v>
      </c>
      <c r="Y621">
        <f t="shared" si="533"/>
        <v>-173.3002006162688</v>
      </c>
      <c r="Z621">
        <f t="shared" si="510"/>
        <v>6.6997993837312038</v>
      </c>
      <c r="AC621">
        <v>1</v>
      </c>
      <c r="AD621">
        <f t="shared" si="494"/>
        <v>447.51201901087501</v>
      </c>
      <c r="AE621">
        <f t="shared" si="495"/>
        <v>-0.71700923955272478</v>
      </c>
      <c r="AF621">
        <f t="shared" si="496"/>
        <v>9.3493797264000006E-2</v>
      </c>
      <c r="AG621">
        <f t="shared" si="535"/>
        <v>78.651836246446109</v>
      </c>
      <c r="AH621">
        <f t="shared" si="536"/>
        <v>-613.8812945464723</v>
      </c>
      <c r="AJ621">
        <f t="shared" si="497"/>
        <v>22100</v>
      </c>
      <c r="AK621">
        <f t="shared" si="498"/>
        <v>10643.495986714501</v>
      </c>
      <c r="AL621">
        <v>1</v>
      </c>
      <c r="AM621">
        <f t="shared" si="499"/>
        <v>292.08423592624501</v>
      </c>
      <c r="AN621">
        <f t="shared" si="537"/>
        <v>36.698431922154114</v>
      </c>
      <c r="AO621">
        <f t="shared" si="538"/>
        <v>-75.537460959204637</v>
      </c>
      <c r="AQ621">
        <f t="shared" si="500"/>
        <v>1.77777774617284E-4</v>
      </c>
      <c r="AR621">
        <f t="shared" si="501"/>
        <v>-1.33333330962963</v>
      </c>
      <c r="AT621">
        <f t="shared" si="523"/>
        <v>-818.49439562895225</v>
      </c>
      <c r="AU621">
        <f t="shared" si="524"/>
        <v>-104.97824758134534</v>
      </c>
      <c r="AV621">
        <f t="shared" si="511"/>
        <v>-3.0140313272494383</v>
      </c>
      <c r="AW621">
        <f t="shared" si="512"/>
        <v>-42.421106578459295</v>
      </c>
      <c r="AX621">
        <f t="shared" si="513"/>
        <v>-775.72177840050415</v>
      </c>
      <c r="AY621">
        <f t="shared" si="521"/>
        <v>-1.6254278917480107</v>
      </c>
      <c r="BA621">
        <f t="shared" si="502"/>
        <v>1.0621951751131578</v>
      </c>
      <c r="BB621">
        <f t="shared" si="514"/>
        <v>0.52408648720011042</v>
      </c>
      <c r="BC621">
        <f t="shared" si="515"/>
        <v>-1.3886034355014276</v>
      </c>
      <c r="BD621">
        <f t="shared" si="503"/>
        <v>-259.56111636251023</v>
      </c>
      <c r="BF621">
        <f t="shared" si="504"/>
        <v>-70.961242733116421</v>
      </c>
      <c r="BG621">
        <f t="shared" si="505"/>
        <v>-234.25048983465624</v>
      </c>
      <c r="BH621">
        <f t="shared" si="516"/>
        <v>-54.250489834656236</v>
      </c>
      <c r="BI621">
        <f t="shared" si="517"/>
        <v>-54.250489834656236</v>
      </c>
      <c r="BJ621">
        <f t="shared" si="506"/>
        <v>0</v>
      </c>
      <c r="BK621">
        <f t="shared" si="518"/>
        <v>0</v>
      </c>
      <c r="BM621">
        <f t="shared" si="519"/>
        <v>-71.48532922031653</v>
      </c>
      <c r="BN621">
        <f t="shared" si="507"/>
        <v>-154.68937347214603</v>
      </c>
      <c r="BQ621" s="56">
        <f t="shared" si="520"/>
        <v>17.426047287485247</v>
      </c>
    </row>
    <row r="622" spans="1:69" x14ac:dyDescent="0.2">
      <c r="A622">
        <f t="shared" si="534"/>
        <v>4000000</v>
      </c>
      <c r="B622">
        <f t="shared" si="508"/>
        <v>4000</v>
      </c>
      <c r="C622">
        <f t="shared" si="477"/>
        <v>1.119223781060102</v>
      </c>
      <c r="D622">
        <f t="shared" si="526"/>
        <v>0.46576921202112059</v>
      </c>
      <c r="F622">
        <f t="shared" si="479"/>
        <v>1.4126568705311752E-5</v>
      </c>
      <c r="G622">
        <f t="shared" si="527"/>
        <v>1.2924573545026266E-3</v>
      </c>
      <c r="H622">
        <f t="shared" si="481"/>
        <v>-3.1403001926454976</v>
      </c>
      <c r="J622">
        <f t="shared" si="482"/>
        <v>15</v>
      </c>
      <c r="M622">
        <f t="shared" si="528"/>
        <v>4.5372865068100336E-4</v>
      </c>
      <c r="N622">
        <f t="shared" si="484"/>
        <v>-1.5707963250000001</v>
      </c>
      <c r="O622">
        <f t="shared" si="529"/>
        <v>477.34720106835169</v>
      </c>
      <c r="P622">
        <f t="shared" si="486"/>
        <v>1.5687014140579925</v>
      </c>
      <c r="Q622">
        <f t="shared" si="530"/>
        <v>311.55812316244948</v>
      </c>
      <c r="R622">
        <f t="shared" si="488"/>
        <v>1.5675866473076192</v>
      </c>
      <c r="S622">
        <f t="shared" si="531"/>
        <v>0.88949481873166802</v>
      </c>
      <c r="T622">
        <f t="shared" si="490"/>
        <v>-0.47455791161016569</v>
      </c>
      <c r="U622">
        <f t="shared" si="491"/>
        <v>0.12134121619806969</v>
      </c>
      <c r="V622">
        <f t="shared" si="492"/>
        <v>-1.4491553551501692</v>
      </c>
      <c r="X622">
        <f t="shared" si="532"/>
        <v>-55.252673925349313</v>
      </c>
      <c r="Y622">
        <f t="shared" si="533"/>
        <v>-173.76391938765136</v>
      </c>
      <c r="Z622">
        <f t="shared" si="510"/>
        <v>6.2360806123486441</v>
      </c>
      <c r="AC622">
        <v>1</v>
      </c>
      <c r="AD622">
        <f t="shared" si="494"/>
        <v>477.34615361160002</v>
      </c>
      <c r="AE622">
        <f t="shared" si="495"/>
        <v>-0.81579717922443384</v>
      </c>
      <c r="AF622">
        <f t="shared" si="496"/>
        <v>9.9726717081600011E-2</v>
      </c>
      <c r="AG622">
        <f t="shared" si="535"/>
        <v>69.267822500682456</v>
      </c>
      <c r="AH622">
        <f t="shared" si="536"/>
        <v>-576.66085769192603</v>
      </c>
      <c r="AJ622">
        <f t="shared" si="497"/>
        <v>22100</v>
      </c>
      <c r="AK622">
        <f t="shared" si="498"/>
        <v>11353.062385828802</v>
      </c>
      <c r="AL622">
        <v>1</v>
      </c>
      <c r="AM622">
        <f t="shared" si="499"/>
        <v>311.55651832132804</v>
      </c>
      <c r="AN622">
        <f t="shared" si="537"/>
        <v>36.667115544704359</v>
      </c>
      <c r="AO622">
        <f t="shared" si="538"/>
        <v>-70.816470165133808</v>
      </c>
      <c r="AQ622">
        <f t="shared" si="500"/>
        <v>1.562499975585938E-4</v>
      </c>
      <c r="AR622">
        <f t="shared" si="501"/>
        <v>-1.2499999804687503</v>
      </c>
      <c r="AT622">
        <f t="shared" si="523"/>
        <v>-720.81523775490371</v>
      </c>
      <c r="AU622">
        <f t="shared" si="524"/>
        <v>-86.674880030572425</v>
      </c>
      <c r="AV622">
        <f t="shared" si="511"/>
        <v>-3.0219215946826208</v>
      </c>
      <c r="AW622">
        <f t="shared" si="512"/>
        <v>-32.834209539660073</v>
      </c>
      <c r="AX622">
        <f t="shared" si="513"/>
        <v>-727.50527291448896</v>
      </c>
      <c r="AY622">
        <f t="shared" si="521"/>
        <v>-1.6158983268262748</v>
      </c>
      <c r="BA622">
        <f t="shared" si="502"/>
        <v>0.99692662943649035</v>
      </c>
      <c r="BB622">
        <f t="shared" si="514"/>
        <v>-2.6736063524096056E-2</v>
      </c>
      <c r="BC622">
        <f t="shared" si="515"/>
        <v>-1.406023267856346</v>
      </c>
      <c r="BD622">
        <f t="shared" si="503"/>
        <v>-260.559199237413</v>
      </c>
      <c r="BF622">
        <f t="shared" si="504"/>
        <v>-72.525838573995159</v>
      </c>
      <c r="BG622">
        <f t="shared" si="505"/>
        <v>-233.79853677927662</v>
      </c>
      <c r="BH622">
        <f t="shared" si="516"/>
        <v>-53.798536779276617</v>
      </c>
      <c r="BI622">
        <f t="shared" si="517"/>
        <v>-53.798536779276617</v>
      </c>
      <c r="BJ622">
        <f t="shared" si="506"/>
        <v>0</v>
      </c>
      <c r="BK622">
        <f t="shared" si="518"/>
        <v>0</v>
      </c>
      <c r="BM622">
        <f t="shared" si="519"/>
        <v>-72.499102510471062</v>
      </c>
      <c r="BN622">
        <f t="shared" si="507"/>
        <v>-153.23933754186362</v>
      </c>
      <c r="BQ622" s="56">
        <f t="shared" si="520"/>
        <v>16.875224736761041</v>
      </c>
    </row>
    <row r="623" spans="1:69" x14ac:dyDescent="0.2">
      <c r="A623">
        <f>A622+250000</f>
        <v>4250000</v>
      </c>
      <c r="B623">
        <f t="shared" si="508"/>
        <v>4250</v>
      </c>
      <c r="C623">
        <f t="shared" si="477"/>
        <v>1.1336805398963297</v>
      </c>
      <c r="D623">
        <f t="shared" si="526"/>
        <v>0.49053126416542941</v>
      </c>
      <c r="F623">
        <f t="shared" si="479"/>
        <v>1.2513481239078425E-5</v>
      </c>
      <c r="G623">
        <f t="shared" si="527"/>
        <v>1.2164285590975559E-3</v>
      </c>
      <c r="H623">
        <f t="shared" si="481"/>
        <v>-3.1403762214409028</v>
      </c>
      <c r="J623">
        <f t="shared" si="482"/>
        <v>15</v>
      </c>
      <c r="M623">
        <f t="shared" si="528"/>
        <v>4.2703873005270901E-4</v>
      </c>
      <c r="N623">
        <f t="shared" si="484"/>
        <v>-1.5707963250000001</v>
      </c>
      <c r="O623">
        <f t="shared" si="529"/>
        <v>507.18127405409712</v>
      </c>
      <c r="P623">
        <f t="shared" si="486"/>
        <v>1.5688246438896325</v>
      </c>
      <c r="Q623">
        <f t="shared" si="530"/>
        <v>331.03031115555774</v>
      </c>
      <c r="R623">
        <f t="shared" si="488"/>
        <v>1.5677754507988</v>
      </c>
      <c r="S623">
        <f t="shared" si="531"/>
        <v>0.87776057389916073</v>
      </c>
      <c r="T623">
        <f t="shared" si="490"/>
        <v>-0.49962857100014579</v>
      </c>
      <c r="U623">
        <f t="shared" si="491"/>
        <v>0.11429962124401663</v>
      </c>
      <c r="V623">
        <f t="shared" si="492"/>
        <v>-1.4562463548725999</v>
      </c>
      <c r="X623">
        <f t="shared" si="532"/>
        <v>-56.302416072428102</v>
      </c>
      <c r="Y623">
        <f t="shared" si="533"/>
        <v>-174.17436357408133</v>
      </c>
      <c r="Z623">
        <f t="shared" si="510"/>
        <v>5.8256364259186739</v>
      </c>
      <c r="AC623">
        <v>1</v>
      </c>
      <c r="AD623">
        <f t="shared" si="494"/>
        <v>507.18028821232497</v>
      </c>
      <c r="AE623">
        <f t="shared" si="495"/>
        <v>-0.92095853435883335</v>
      </c>
      <c r="AF623">
        <f t="shared" si="496"/>
        <v>0.10595963689920002</v>
      </c>
      <c r="AG623">
        <f t="shared" si="535"/>
        <v>61.461680525306271</v>
      </c>
      <c r="AH623">
        <f t="shared" si="536"/>
        <v>-543.63775586184374</v>
      </c>
      <c r="AJ623">
        <f t="shared" si="497"/>
        <v>22100</v>
      </c>
      <c r="AK623">
        <f t="shared" si="498"/>
        <v>12062.628784943103</v>
      </c>
      <c r="AL623">
        <v>1</v>
      </c>
      <c r="AM623">
        <f t="shared" si="499"/>
        <v>331.02880071641101</v>
      </c>
      <c r="AN623">
        <f t="shared" si="537"/>
        <v>36.641161229921728</v>
      </c>
      <c r="AO623">
        <f t="shared" si="538"/>
        <v>-66.650873854542738</v>
      </c>
      <c r="AQ623">
        <f t="shared" si="500"/>
        <v>1.3840830258258404E-4</v>
      </c>
      <c r="AR623">
        <f t="shared" si="501"/>
        <v>-1.1764705719519644</v>
      </c>
      <c r="AT623">
        <f t="shared" si="523"/>
        <v>-639.56531476659029</v>
      </c>
      <c r="AU623">
        <f t="shared" si="524"/>
        <v>-72.383102419744631</v>
      </c>
      <c r="AV623">
        <f t="shared" si="511"/>
        <v>-3.0288967175144799</v>
      </c>
      <c r="AW623">
        <f t="shared" si="512"/>
        <v>-24.896517409173637</v>
      </c>
      <c r="AX623">
        <f t="shared" si="513"/>
        <v>-684.91930211617932</v>
      </c>
      <c r="AY623">
        <f t="shared" si="521"/>
        <v>-1.6071298931547635</v>
      </c>
      <c r="BA623">
        <f t="shared" si="502"/>
        <v>0.93912300816117833</v>
      </c>
      <c r="BB623">
        <f t="shared" si="514"/>
        <v>-0.54555038541617162</v>
      </c>
      <c r="BC623">
        <f t="shared" si="515"/>
        <v>-1.4217668243597164</v>
      </c>
      <c r="BD623">
        <f t="shared" si="503"/>
        <v>-261.46123858061259</v>
      </c>
      <c r="BF623">
        <f t="shared" si="504"/>
        <v>-73.98634843060664</v>
      </c>
      <c r="BG623">
        <f t="shared" si="505"/>
        <v>-233.28617117000638</v>
      </c>
      <c r="BH623">
        <f t="shared" si="516"/>
        <v>-53.286171170006384</v>
      </c>
      <c r="BI623">
        <f t="shared" si="517"/>
        <v>-53.286171170006384</v>
      </c>
      <c r="BJ623">
        <f t="shared" si="506"/>
        <v>0</v>
      </c>
      <c r="BK623">
        <f t="shared" si="518"/>
        <v>0</v>
      </c>
      <c r="BM623">
        <f t="shared" si="519"/>
        <v>-73.440798045190476</v>
      </c>
      <c r="BN623">
        <f t="shared" si="507"/>
        <v>-151.82493258939385</v>
      </c>
      <c r="BQ623" s="56">
        <f t="shared" si="520"/>
        <v>16.356410414868964</v>
      </c>
    </row>
    <row r="624" spans="1:69" x14ac:dyDescent="0.2">
      <c r="A624">
        <f t="shared" si="534"/>
        <v>4500000</v>
      </c>
      <c r="B624">
        <f t="shared" si="508"/>
        <v>4500</v>
      </c>
      <c r="C624">
        <f t="shared" si="477"/>
        <v>1.1488146856062131</v>
      </c>
      <c r="D624">
        <f t="shared" si="526"/>
        <v>0.51465537566738229</v>
      </c>
      <c r="F624">
        <f t="shared" si="479"/>
        <v>1.1161702037905969E-5</v>
      </c>
      <c r="G624">
        <f t="shared" si="527"/>
        <v>1.1488476971195567E-3</v>
      </c>
      <c r="H624">
        <f t="shared" si="481"/>
        <v>-3.1404438023028804</v>
      </c>
      <c r="J624">
        <f t="shared" si="482"/>
        <v>15</v>
      </c>
      <c r="M624">
        <f t="shared" si="528"/>
        <v>4.0331435616089184E-4</v>
      </c>
      <c r="N624">
        <f t="shared" si="484"/>
        <v>-1.5707963250000001</v>
      </c>
      <c r="O624">
        <f t="shared" si="529"/>
        <v>537.01535388593254</v>
      </c>
      <c r="P624">
        <f t="shared" si="486"/>
        <v>1.568934181568145</v>
      </c>
      <c r="Q624">
        <f t="shared" si="530"/>
        <v>350.5025096377064</v>
      </c>
      <c r="R624">
        <f t="shared" si="488"/>
        <v>1.5679432763055166</v>
      </c>
      <c r="S624">
        <f t="shared" si="531"/>
        <v>0.86580895877637132</v>
      </c>
      <c r="T624">
        <f t="shared" si="490"/>
        <v>-0.52403150346173644</v>
      </c>
      <c r="U624">
        <f t="shared" si="491"/>
        <v>0.10802589649299567</v>
      </c>
      <c r="V624">
        <f t="shared" si="492"/>
        <v>-1.4625592161942045</v>
      </c>
      <c r="X624">
        <f t="shared" si="532"/>
        <v>-57.293137341911553</v>
      </c>
      <c r="Y624">
        <f t="shared" si="533"/>
        <v>-174.54001950736674</v>
      </c>
      <c r="Z624">
        <f t="shared" si="510"/>
        <v>5.4599804926332638</v>
      </c>
      <c r="AC624">
        <v>1</v>
      </c>
      <c r="AD624">
        <f t="shared" si="494"/>
        <v>537.01442281305003</v>
      </c>
      <c r="AE624">
        <f t="shared" si="495"/>
        <v>-1.0324933049559237</v>
      </c>
      <c r="AF624">
        <f t="shared" si="496"/>
        <v>0.11219255671680001</v>
      </c>
      <c r="AG624">
        <f t="shared" si="535"/>
        <v>54.899780316441863</v>
      </c>
      <c r="AH624">
        <f t="shared" si="536"/>
        <v>-514.14868604772175</v>
      </c>
      <c r="AJ624">
        <f t="shared" si="497"/>
        <v>22100</v>
      </c>
      <c r="AK624">
        <f t="shared" si="498"/>
        <v>12772.1951840574</v>
      </c>
      <c r="AL624">
        <v>1</v>
      </c>
      <c r="AM624">
        <f t="shared" si="499"/>
        <v>350.50108311149404</v>
      </c>
      <c r="AN624">
        <f t="shared" si="537"/>
        <v>36.619411214652096</v>
      </c>
      <c r="AO624">
        <f t="shared" si="538"/>
        <v>-62.948109583350444</v>
      </c>
      <c r="AQ624">
        <f t="shared" si="500"/>
        <v>1.234567885992989E-4</v>
      </c>
      <c r="AR624">
        <f t="shared" si="501"/>
        <v>-1.1111110973936902</v>
      </c>
      <c r="AT624">
        <f t="shared" si="523"/>
        <v>-571.26953302743527</v>
      </c>
      <c r="AU624">
        <f t="shared" si="524"/>
        <v>-61.063230299716231</v>
      </c>
      <c r="AV624">
        <f t="shared" si="511"/>
        <v>-3.0351065771051986</v>
      </c>
      <c r="AW624">
        <f t="shared" si="512"/>
        <v>-18.25005220203483</v>
      </c>
      <c r="AX624">
        <f t="shared" si="513"/>
        <v>-647.03380239908745</v>
      </c>
      <c r="AY624">
        <f t="shared" si="521"/>
        <v>-1.5989945673779291</v>
      </c>
      <c r="BA624">
        <f t="shared" si="502"/>
        <v>0.88758176150881674</v>
      </c>
      <c r="BB624">
        <f t="shared" si="514"/>
        <v>-1.0358326091399213</v>
      </c>
      <c r="BC624">
        <f t="shared" si="515"/>
        <v>-1.4361120097272695</v>
      </c>
      <c r="BD624">
        <f t="shared" si="503"/>
        <v>-262.28315715944541</v>
      </c>
      <c r="BF624">
        <f t="shared" si="504"/>
        <v>-75.354399358768219</v>
      </c>
      <c r="BG624">
        <f t="shared" si="505"/>
        <v>-232.7297520718665</v>
      </c>
      <c r="BH624">
        <f t="shared" si="516"/>
        <v>-52.7297520718665</v>
      </c>
      <c r="BI624">
        <f t="shared" si="517"/>
        <v>-52.7297520718665</v>
      </c>
      <c r="BJ624">
        <f t="shared" si="506"/>
        <v>0</v>
      </c>
      <c r="BK624">
        <f t="shared" si="518"/>
        <v>0</v>
      </c>
      <c r="BM624">
        <f t="shared" si="519"/>
        <v>-74.318566749628289</v>
      </c>
      <c r="BN624">
        <f t="shared" si="507"/>
        <v>-150.44659491242115</v>
      </c>
      <c r="BQ624" s="56">
        <f t="shared" si="520"/>
        <v>15.866128191145215</v>
      </c>
    </row>
    <row r="625" spans="1:69" x14ac:dyDescent="0.2">
      <c r="A625">
        <f t="shared" si="534"/>
        <v>4750000</v>
      </c>
      <c r="B625">
        <f t="shared" si="508"/>
        <v>4750</v>
      </c>
      <c r="C625">
        <f t="shared" si="477"/>
        <v>1.1645998102631987</v>
      </c>
      <c r="D625">
        <f t="shared" si="526"/>
        <v>0.53813889034272944</v>
      </c>
      <c r="F625">
        <f t="shared" si="479"/>
        <v>1.001769405051504E-5</v>
      </c>
      <c r="G625">
        <f t="shared" si="527"/>
        <v>1.088380828153386E-3</v>
      </c>
      <c r="H625">
        <f t="shared" si="481"/>
        <v>-3.140504269171847</v>
      </c>
      <c r="J625">
        <f t="shared" si="482"/>
        <v>15</v>
      </c>
      <c r="M625">
        <f t="shared" si="528"/>
        <v>3.8208728478400283E-4</v>
      </c>
      <c r="N625">
        <f t="shared" si="484"/>
        <v>-1.5707963250000001</v>
      </c>
      <c r="O625">
        <f t="shared" si="529"/>
        <v>566.84943948289992</v>
      </c>
      <c r="P625">
        <f t="shared" si="486"/>
        <v>1.5690321890026648</v>
      </c>
      <c r="Q625">
        <f t="shared" si="530"/>
        <v>369.97471695274425</v>
      </c>
      <c r="R625">
        <f t="shared" si="488"/>
        <v>1.5680934361059315</v>
      </c>
      <c r="S625">
        <f t="shared" si="531"/>
        <v>0.85369053075194312</v>
      </c>
      <c r="T625">
        <f t="shared" si="490"/>
        <v>-0.54776512868496396</v>
      </c>
      <c r="U625">
        <f t="shared" si="491"/>
        <v>0.10240158015377435</v>
      </c>
      <c r="V625">
        <f t="shared" si="492"/>
        <v>-1.4682149315867099</v>
      </c>
      <c r="X625">
        <f t="shared" si="532"/>
        <v>-58.23109572359332</v>
      </c>
      <c r="Y625">
        <f t="shared" si="533"/>
        <v>-174.86764396988104</v>
      </c>
      <c r="Z625">
        <f t="shared" si="510"/>
        <v>5.1323560301189559</v>
      </c>
      <c r="AC625">
        <v>1</v>
      </c>
      <c r="AD625">
        <f t="shared" si="494"/>
        <v>566.84855741377498</v>
      </c>
      <c r="AE625">
        <f t="shared" si="495"/>
        <v>-1.1504014910157052</v>
      </c>
      <c r="AF625">
        <f t="shared" si="496"/>
        <v>0.11842547653440001</v>
      </c>
      <c r="AG625">
        <f t="shared" si="535"/>
        <v>49.331936617580141</v>
      </c>
      <c r="AH625">
        <f t="shared" si="536"/>
        <v>-487.66139794912209</v>
      </c>
      <c r="AJ625">
        <f t="shared" si="497"/>
        <v>22100</v>
      </c>
      <c r="AK625">
        <f t="shared" si="498"/>
        <v>13481.761583171703</v>
      </c>
      <c r="AL625">
        <v>1</v>
      </c>
      <c r="AM625">
        <f t="shared" si="499"/>
        <v>369.97336550657707</v>
      </c>
      <c r="AN625">
        <f t="shared" si="537"/>
        <v>36.601004144087831</v>
      </c>
      <c r="AO625">
        <f t="shared" si="538"/>
        <v>-59.635100936647518</v>
      </c>
      <c r="AQ625">
        <f t="shared" si="500"/>
        <v>1.1080332287198534E-4</v>
      </c>
      <c r="AR625">
        <f t="shared" si="501"/>
        <v>-1.0526315672838606</v>
      </c>
      <c r="AT625">
        <f t="shared" si="523"/>
        <v>-513.32231548452194</v>
      </c>
      <c r="AU625">
        <f t="shared" si="524"/>
        <v>-51.982388262240619</v>
      </c>
      <c r="AV625">
        <f t="shared" si="511"/>
        <v>-3.0406701330163322</v>
      </c>
      <c r="AW625">
        <f t="shared" si="512"/>
        <v>-12.62901113286499</v>
      </c>
      <c r="AX625">
        <f t="shared" si="513"/>
        <v>-613.1125398302039</v>
      </c>
      <c r="AY625">
        <f t="shared" si="521"/>
        <v>-1.5913916085165571</v>
      </c>
      <c r="BA625">
        <f t="shared" si="502"/>
        <v>0.84134345285577694</v>
      </c>
      <c r="BB625">
        <f t="shared" si="514"/>
        <v>-1.5005336100592446</v>
      </c>
      <c r="BC625">
        <f t="shared" si="515"/>
        <v>-1.449278524499775</v>
      </c>
      <c r="BD625">
        <f t="shared" si="503"/>
        <v>-263.03754288766862</v>
      </c>
      <c r="BF625">
        <f t="shared" si="504"/>
        <v>-76.639818852458561</v>
      </c>
      <c r="BG625">
        <f t="shared" si="505"/>
        <v>-232.14209601591747</v>
      </c>
      <c r="BH625">
        <f t="shared" si="516"/>
        <v>-52.142096015917474</v>
      </c>
      <c r="BI625">
        <f t="shared" si="517"/>
        <v>-52.142096015917474</v>
      </c>
      <c r="BJ625">
        <f t="shared" si="506"/>
        <v>0</v>
      </c>
      <c r="BK625">
        <f t="shared" si="518"/>
        <v>0</v>
      </c>
      <c r="BM625">
        <f t="shared" si="519"/>
        <v>-75.139285242399325</v>
      </c>
      <c r="BN625">
        <f t="shared" si="507"/>
        <v>-149.10455312824888</v>
      </c>
      <c r="BQ625" s="56">
        <f t="shared" si="520"/>
        <v>15.401427190225892</v>
      </c>
    </row>
    <row r="626" spans="1:69" x14ac:dyDescent="0.2">
      <c r="A626">
        <f t="shared" si="534"/>
        <v>5000000</v>
      </c>
      <c r="B626">
        <f t="shared" si="508"/>
        <v>5000</v>
      </c>
      <c r="C626">
        <f t="shared" si="477"/>
        <v>1.1810098116194299</v>
      </c>
      <c r="D626">
        <f t="shared" si="526"/>
        <v>0.56098211559387856</v>
      </c>
      <c r="F626">
        <f t="shared" si="479"/>
        <v>9.0409605390405471E-6</v>
      </c>
      <c r="G626">
        <f t="shared" si="527"/>
        <v>1.0339608128690069E-3</v>
      </c>
      <c r="H626">
        <f t="shared" si="481"/>
        <v>-3.1405586891871313</v>
      </c>
      <c r="J626">
        <f t="shared" si="482"/>
        <v>15</v>
      </c>
      <c r="M626">
        <f t="shared" si="528"/>
        <v>3.6298292054480269E-4</v>
      </c>
      <c r="N626">
        <f t="shared" si="484"/>
        <v>-1.5707963250000001</v>
      </c>
      <c r="O626">
        <f t="shared" si="529"/>
        <v>596.68352998023238</v>
      </c>
      <c r="P626">
        <f t="shared" si="486"/>
        <v>1.5691203957227629</v>
      </c>
      <c r="Q626">
        <f t="shared" si="530"/>
        <v>389.44693177574754</v>
      </c>
      <c r="R626">
        <f t="shared" si="488"/>
        <v>1.5682285800307139</v>
      </c>
      <c r="S626">
        <f t="shared" si="531"/>
        <v>0.84145226855372179</v>
      </c>
      <c r="T626">
        <f t="shared" si="490"/>
        <v>-0.57083096619794882</v>
      </c>
      <c r="U626">
        <f t="shared" si="491"/>
        <v>9.73312692816201E-2</v>
      </c>
      <c r="V626">
        <f t="shared" si="492"/>
        <v>-1.4733107227201578</v>
      </c>
      <c r="X626">
        <f t="shared" si="532"/>
        <v>-59.121605227285329</v>
      </c>
      <c r="Y626">
        <f t="shared" si="533"/>
        <v>-175.16268702640963</v>
      </c>
      <c r="Z626">
        <f t="shared" si="510"/>
        <v>4.8373129735903717</v>
      </c>
      <c r="AC626">
        <v>1</v>
      </c>
      <c r="AD626">
        <f t="shared" si="494"/>
        <v>596.68269201449993</v>
      </c>
      <c r="AE626">
        <f t="shared" si="495"/>
        <v>-1.2746830925381778</v>
      </c>
      <c r="AF626">
        <f t="shared" si="496"/>
        <v>0.12465839635200003</v>
      </c>
      <c r="AG626">
        <f t="shared" si="535"/>
        <v>44.56763844574742</v>
      </c>
      <c r="AH626">
        <f t="shared" si="536"/>
        <v>-463.74425544438026</v>
      </c>
      <c r="AJ626">
        <f t="shared" si="497"/>
        <v>22100</v>
      </c>
      <c r="AK626">
        <f t="shared" si="498"/>
        <v>14191.327982286002</v>
      </c>
      <c r="AL626">
        <v>1</v>
      </c>
      <c r="AM626">
        <f t="shared" si="499"/>
        <v>389.44564790166004</v>
      </c>
      <c r="AN626">
        <f t="shared" si="537"/>
        <v>36.585288461427609</v>
      </c>
      <c r="AO626">
        <f t="shared" si="538"/>
        <v>-56.653386243797144</v>
      </c>
      <c r="AQ626">
        <f t="shared" si="500"/>
        <v>9.9999999000000009E-5</v>
      </c>
      <c r="AR626">
        <f t="shared" si="501"/>
        <v>-0.99999999000000006</v>
      </c>
      <c r="AT626">
        <f t="shared" si="523"/>
        <v>-463.73979404313769</v>
      </c>
      <c r="AU626">
        <f t="shared" si="524"/>
        <v>-44.614012425151728</v>
      </c>
      <c r="AV626">
        <f t="shared" si="511"/>
        <v>-3.0456829805875216</v>
      </c>
      <c r="AW626">
        <f t="shared" si="512"/>
        <v>-7.832669602819843</v>
      </c>
      <c r="AX626">
        <f t="shared" si="513"/>
        <v>-582.56518447912981</v>
      </c>
      <c r="AY626">
        <f t="shared" si="521"/>
        <v>-1.5842406552366619</v>
      </c>
      <c r="BA626">
        <f t="shared" si="502"/>
        <v>0.79963376168826972</v>
      </c>
      <c r="BB626">
        <f t="shared" si="514"/>
        <v>-1.9421775525747949</v>
      </c>
      <c r="BC626">
        <f t="shared" si="515"/>
        <v>-1.4614423253508597</v>
      </c>
      <c r="BD626">
        <f t="shared" si="503"/>
        <v>-263.73447734006976</v>
      </c>
      <c r="BF626">
        <f t="shared" si="504"/>
        <v>-77.850990784300819</v>
      </c>
      <c r="BG626">
        <f t="shared" si="505"/>
        <v>-231.53332810666595</v>
      </c>
      <c r="BH626">
        <f t="shared" si="516"/>
        <v>-51.533328106665948</v>
      </c>
      <c r="BI626">
        <f t="shared" si="517"/>
        <v>-51.533328106665948</v>
      </c>
      <c r="BJ626">
        <f t="shared" si="506"/>
        <v>0</v>
      </c>
      <c r="BK626">
        <f t="shared" si="518"/>
        <v>0</v>
      </c>
      <c r="BM626">
        <f t="shared" si="519"/>
        <v>-75.908813231726015</v>
      </c>
      <c r="BN626">
        <f t="shared" si="507"/>
        <v>-147.79885076659619</v>
      </c>
      <c r="BQ626" s="56">
        <f t="shared" si="520"/>
        <v>14.959783247710341</v>
      </c>
    </row>
    <row r="627" spans="1:69" x14ac:dyDescent="0.2">
      <c r="A627">
        <f>A626+100000</f>
        <v>5100000</v>
      </c>
      <c r="B627">
        <f t="shared" si="508"/>
        <v>5100</v>
      </c>
      <c r="C627">
        <f t="shared" ref="C627:C676" si="539">SQRT((A627/Fesr)^2+1)</f>
        <v>1.1877430091636287</v>
      </c>
      <c r="D627">
        <f t="shared" ref="D627:D676" si="540">ATAN(A627/Fesr)</f>
        <v>0.56994070606894476</v>
      </c>
      <c r="F627">
        <f t="shared" ref="F627:F676" si="541">(Ro/(Ro+Rdcr))/SQRT((A627/(Q*Fo))^2+(1-(A627^2/Fo^2))^2)</f>
        <v>8.6898861406928566E-6</v>
      </c>
      <c r="G627">
        <f t="shared" ref="G627:G676" si="542">-ATAN(A627*Fo/(Q*(Fo^2-A627^2)))</f>
        <v>1.0136867282563139E-3</v>
      </c>
      <c r="H627">
        <f t="shared" si="481"/>
        <v>-3.1405789632717438</v>
      </c>
      <c r="J627">
        <f t="shared" si="482"/>
        <v>15</v>
      </c>
      <c r="M627">
        <f t="shared" ref="M627:M676" si="543">1/(2*Pi*_Rfb1*(Cc1ea_u+Cc2ea_u)*A627)</f>
        <v>3.558656083772575E-4</v>
      </c>
      <c r="N627">
        <f t="shared" si="484"/>
        <v>-1.5707963250000001</v>
      </c>
      <c r="O627">
        <f t="shared" ref="O627:O676" si="544">SQRT(1+(A627/Fz1_u)^2)</f>
        <v>608.6171673898441</v>
      </c>
      <c r="P627">
        <f t="shared" si="486"/>
        <v>1.5691532570565994</v>
      </c>
      <c r="Q627">
        <f t="shared" ref="Q627:Q676" si="545">SQRT(1+(A627/Fz2_u)^2)</f>
        <v>397.23581955985964</v>
      </c>
      <c r="R627">
        <f t="shared" si="488"/>
        <v>1.5682789277916418</v>
      </c>
      <c r="S627">
        <f t="shared" ref="S627:S676" si="546">1/SQRT(1+(A627/Fp1_u)^2)</f>
        <v>0.83653323192391904</v>
      </c>
      <c r="T627">
        <f t="shared" si="490"/>
        <v>-0.57987119367769757</v>
      </c>
      <c r="U627">
        <f t="shared" ref="U627:U676" si="547">1/SQRT(1+(A627/Fp2_u)^2)</f>
        <v>9.5440369113512918E-2</v>
      </c>
      <c r="V627">
        <f t="shared" si="492"/>
        <v>-1.4752104683048959</v>
      </c>
      <c r="X627">
        <f t="shared" ref="X627:X676" si="548">20*LOG(C627*J627*O627*Q627*F627*M627*S627*U627)</f>
        <v>-59.465564863326684</v>
      </c>
      <c r="Y627">
        <f t="shared" ref="Y627:Y676" si="549">(180/Pi)*(D627+H627+N627+P627+R627+T627+V627)</f>
        <v>-175.27260597604442</v>
      </c>
      <c r="Z627">
        <f t="shared" si="510"/>
        <v>4.7273940239555827</v>
      </c>
      <c r="AC627">
        <v>1</v>
      </c>
      <c r="AD627">
        <f t="shared" ref="AD627:AD676" si="550">Rcea1_u*Cc1ea_u*A627*2*Pi</f>
        <v>608.6163458547901</v>
      </c>
      <c r="AE627">
        <f t="shared" ref="AE627:AE676" si="551">-Rcea1_u*Cc1ea_u*Cc2ea_u*(A627*2*Pi)^2</f>
        <v>-1.3261802894767198</v>
      </c>
      <c r="AF627">
        <f t="shared" ref="AF627:AF676" si="552">(Cc2ea_u+Cc1ea_u)*A627*2*Pi</f>
        <v>0.12715156427904004</v>
      </c>
      <c r="AG627">
        <f t="shared" ref="AG627:AG676" si="553">AC627*AE627/(AE627^2+AF627^2)+AD627*AF627/(AE627^2+AF627^2)</f>
        <v>42.852786670865363</v>
      </c>
      <c r="AH627">
        <f t="shared" ref="AH627:AH676" si="554">AD627*AE627/(AE627^2+AF627^2)-AC627*AF627/(AE627^2+AF627^2)</f>
        <v>-454.81564745157658</v>
      </c>
      <c r="AJ627">
        <f t="shared" si="497"/>
        <v>22100</v>
      </c>
      <c r="AK627">
        <f t="shared" ref="AK627:AK676" si="555">_Rfb1*Rcea2_u*Cc3ea_u*A627*2*Pi</f>
        <v>14475.154541931723</v>
      </c>
      <c r="AL627">
        <v>2</v>
      </c>
      <c r="AM627">
        <f t="shared" ref="AM627:AM676" si="556">(_Rfb1+Rcea2_u)*Cc3ea_u*A627*2*Pi</f>
        <v>397.2345608596932</v>
      </c>
      <c r="AN627">
        <f t="shared" ref="AN627:AN676" si="557">AJ627*AL627/(AL627^2+AM627^2)+AK627*AM627/(AL627^2+AM627^2)</f>
        <v>36.718995535346501</v>
      </c>
      <c r="AO627">
        <f t="shared" ref="AO627:AO676" si="558">AK627*AL627/(AL627^2+AM627^2)-AJ627*AM627/(AL627^2+AM627^2)</f>
        <v>-55.449762380341532</v>
      </c>
      <c r="AQ627">
        <f t="shared" ref="AQ627:AQ676" si="559">Eadcg/(1+(Eadcg*A627/GBP)^2)</f>
        <v>9.6116877199953123E-5</v>
      </c>
      <c r="AR627">
        <f t="shared" ref="AR627:AR676" si="560">-(A627*Eadcg*Eadcg/GBP)/(1+(Eadcg*A627/GBP)^2)</f>
        <v>-0.98039214743952185</v>
      </c>
      <c r="AT627">
        <f t="shared" ref="AT627:AT676" si="561">-AR627*AH627+AG627*AQ627</f>
        <v>-445.89357041811354</v>
      </c>
      <c r="AU627">
        <f t="shared" ref="AU627:AU676" si="562">AQ627*AH627+AG627*AR627</f>
        <v>-42.056251007752131</v>
      </c>
      <c r="AV627">
        <f t="shared" si="511"/>
        <v>-3.0475518256227176</v>
      </c>
      <c r="AW627">
        <f t="shared" si="512"/>
        <v>-5.8157675404009996</v>
      </c>
      <c r="AX627">
        <f t="shared" si="513"/>
        <v>-571.30233204097681</v>
      </c>
      <c r="AY627">
        <f t="shared" si="521"/>
        <v>-1.5809758172893555</v>
      </c>
      <c r="BA627">
        <f t="shared" si="502"/>
        <v>0.78390950248332758</v>
      </c>
      <c r="BB627">
        <f t="shared" si="514"/>
        <v>-2.1146814208175897</v>
      </c>
      <c r="BC627">
        <f t="shared" si="515"/>
        <v>-1.4665760083333621</v>
      </c>
      <c r="BD627">
        <f t="shared" si="503"/>
        <v>-264.02861570866139</v>
      </c>
      <c r="BF627">
        <f t="shared" si="504"/>
        <v>-78.318124858497697</v>
      </c>
      <c r="BG627">
        <f t="shared" si="505"/>
        <v>-231.3153386695468</v>
      </c>
      <c r="BH627">
        <f t="shared" si="516"/>
        <v>-51.315338669546804</v>
      </c>
      <c r="BI627">
        <f t="shared" si="517"/>
        <v>-51.315338669546804</v>
      </c>
      <c r="BJ627">
        <f t="shared" si="506"/>
        <v>0</v>
      </c>
      <c r="BK627">
        <f t="shared" si="518"/>
        <v>0</v>
      </c>
      <c r="BM627">
        <f t="shared" si="519"/>
        <v>-76.203443437680122</v>
      </c>
      <c r="BN627">
        <f t="shared" si="507"/>
        <v>-147.28672296088541</v>
      </c>
      <c r="BQ627" s="56">
        <f t="shared" si="520"/>
        <v>14.787279379467549</v>
      </c>
    </row>
    <row r="628" spans="1:69" x14ac:dyDescent="0.2">
      <c r="A628">
        <f t="shared" ref="A628:A676" si="563">A627+100000</f>
        <v>5200000</v>
      </c>
      <c r="B628">
        <f t="shared" si="508"/>
        <v>5200</v>
      </c>
      <c r="C628">
        <f t="shared" si="539"/>
        <v>1.194570451598773</v>
      </c>
      <c r="D628">
        <f t="shared" si="540"/>
        <v>0.57879759687872834</v>
      </c>
      <c r="F628">
        <f t="shared" si="541"/>
        <v>8.3588708522770707E-6</v>
      </c>
      <c r="G628">
        <f t="shared" si="542"/>
        <v>9.9419243535991291E-4</v>
      </c>
      <c r="H628">
        <f t="shared" si="481"/>
        <v>-3.1405984575646402</v>
      </c>
      <c r="J628">
        <f t="shared" si="482"/>
        <v>15</v>
      </c>
      <c r="M628">
        <f t="shared" si="543"/>
        <v>3.4902203898538718E-4</v>
      </c>
      <c r="N628">
        <f t="shared" si="484"/>
        <v>-1.5707963250000001</v>
      </c>
      <c r="O628">
        <f t="shared" si="544"/>
        <v>620.55080543140377</v>
      </c>
      <c r="P628">
        <f t="shared" si="486"/>
        <v>1.5691848544963278</v>
      </c>
      <c r="Q628">
        <f t="shared" si="545"/>
        <v>405.02470831219483</v>
      </c>
      <c r="R628">
        <f t="shared" si="488"/>
        <v>1.5683273391122654</v>
      </c>
      <c r="S628">
        <f t="shared" si="546"/>
        <v>0.83160459338278736</v>
      </c>
      <c r="T628">
        <f t="shared" si="490"/>
        <v>-0.58880561883222426</v>
      </c>
      <c r="U628">
        <f t="shared" si="547"/>
        <v>9.3621220792313956E-2</v>
      </c>
      <c r="V628">
        <f t="shared" si="492"/>
        <v>-1.4770377997899398</v>
      </c>
      <c r="X628">
        <f t="shared" si="548"/>
        <v>-59.802929307434447</v>
      </c>
      <c r="Y628">
        <f t="shared" si="549"/>
        <v>-175.37827952516594</v>
      </c>
      <c r="Z628">
        <f t="shared" si="510"/>
        <v>4.6217204748340635</v>
      </c>
      <c r="AC628">
        <v>1</v>
      </c>
      <c r="AD628">
        <f t="shared" si="550"/>
        <v>620.54999969508003</v>
      </c>
      <c r="AE628">
        <f t="shared" si="551"/>
        <v>-1.378697232889293</v>
      </c>
      <c r="AF628">
        <f t="shared" si="552"/>
        <v>0.12964473220608003</v>
      </c>
      <c r="AG628">
        <f t="shared" si="553"/>
        <v>41.23475780941552</v>
      </c>
      <c r="AH628">
        <f t="shared" si="554"/>
        <v>-446.22134279041927</v>
      </c>
      <c r="AJ628">
        <f t="shared" si="497"/>
        <v>22100</v>
      </c>
      <c r="AK628">
        <f t="shared" si="555"/>
        <v>14758.981101577443</v>
      </c>
      <c r="AL628">
        <v>3</v>
      </c>
      <c r="AM628">
        <f t="shared" si="556"/>
        <v>405.02347381772643</v>
      </c>
      <c r="AN628">
        <f t="shared" si="557"/>
        <v>36.841955144575003</v>
      </c>
      <c r="AO628">
        <f t="shared" si="558"/>
        <v>-54.29185110506026</v>
      </c>
      <c r="AQ628">
        <f t="shared" si="559"/>
        <v>9.2455620446970963E-5</v>
      </c>
      <c r="AR628">
        <f t="shared" si="560"/>
        <v>-0.96153845264849802</v>
      </c>
      <c r="AT628">
        <f t="shared" si="561"/>
        <v>-429.05516710031748</v>
      </c>
      <c r="AU628">
        <f t="shared" si="562"/>
        <v>-39.690060890505336</v>
      </c>
      <c r="AV628">
        <f t="shared" si="511"/>
        <v>-3.0493494450375476</v>
      </c>
      <c r="AW628">
        <f t="shared" si="512"/>
        <v>-3.9201169930754771</v>
      </c>
      <c r="AX628">
        <f t="shared" si="513"/>
        <v>-560.45325883820101</v>
      </c>
      <c r="AY628">
        <f t="shared" si="521"/>
        <v>-1.5777907603257273</v>
      </c>
      <c r="BA628">
        <f t="shared" si="502"/>
        <v>0.76880005385580363</v>
      </c>
      <c r="BB628">
        <f t="shared" si="514"/>
        <v>-2.2837318983282668</v>
      </c>
      <c r="BC628">
        <f t="shared" si="515"/>
        <v>-1.4715586847118203</v>
      </c>
      <c r="BD628">
        <f t="shared" si="503"/>
        <v>-264.3141020361528</v>
      </c>
      <c r="BF628">
        <f t="shared" si="504"/>
        <v>-78.77471905154367</v>
      </c>
      <c r="BG628">
        <f t="shared" si="505"/>
        <v>-231.09447947415833</v>
      </c>
      <c r="BH628">
        <f t="shared" si="516"/>
        <v>-51.094479474158334</v>
      </c>
      <c r="BI628">
        <f t="shared" si="517"/>
        <v>-51.094479474158334</v>
      </c>
      <c r="BJ628">
        <f t="shared" si="506"/>
        <v>0</v>
      </c>
      <c r="BK628">
        <f t="shared" si="518"/>
        <v>0</v>
      </c>
      <c r="BM628">
        <f t="shared" si="519"/>
        <v>-76.4909871532154</v>
      </c>
      <c r="BN628">
        <f t="shared" si="507"/>
        <v>-146.78037743800556</v>
      </c>
      <c r="BQ628" s="56">
        <f t="shared" si="520"/>
        <v>14.618228901956869</v>
      </c>
    </row>
    <row r="629" spans="1:69" x14ac:dyDescent="0.2">
      <c r="A629">
        <f t="shared" si="563"/>
        <v>5300000</v>
      </c>
      <c r="B629">
        <f t="shared" si="508"/>
        <v>5300</v>
      </c>
      <c r="C629">
        <f t="shared" si="539"/>
        <v>1.2014905322926326</v>
      </c>
      <c r="D629">
        <f t="shared" si="540"/>
        <v>0.58755314403456249</v>
      </c>
      <c r="F629">
        <f t="shared" si="541"/>
        <v>8.0464151347207333E-6</v>
      </c>
      <c r="G629">
        <f t="shared" si="542"/>
        <v>9.7543379361553033E-4</v>
      </c>
      <c r="H629">
        <f t="shared" si="481"/>
        <v>-3.1406172162063846</v>
      </c>
      <c r="J629">
        <f t="shared" si="482"/>
        <v>15</v>
      </c>
      <c r="M629">
        <f t="shared" si="543"/>
        <v>3.4243671749509686E-4</v>
      </c>
      <c r="N629">
        <f t="shared" si="484"/>
        <v>-1.5707963250000001</v>
      </c>
      <c r="O629">
        <f t="shared" si="544"/>
        <v>632.48444406914086</v>
      </c>
      <c r="P629">
        <f t="shared" si="486"/>
        <v>1.5692152595828788</v>
      </c>
      <c r="Q629">
        <f t="shared" si="545"/>
        <v>412.81359797794863</v>
      </c>
      <c r="R629">
        <f t="shared" si="488"/>
        <v>1.5683739236015302</v>
      </c>
      <c r="S629">
        <f t="shared" si="546"/>
        <v>0.82666886120421446</v>
      </c>
      <c r="T629">
        <f t="shared" si="490"/>
        <v>-0.59763468680270615</v>
      </c>
      <c r="U629">
        <f t="shared" si="547"/>
        <v>9.1869833640408904E-2</v>
      </c>
      <c r="V629">
        <f t="shared" si="492"/>
        <v>-1.4787967686019476</v>
      </c>
      <c r="X629">
        <f t="shared" si="548"/>
        <v>-60.133945511930648</v>
      </c>
      <c r="Y629">
        <f t="shared" si="549"/>
        <v>-175.47993706013159</v>
      </c>
      <c r="Z629">
        <f t="shared" si="510"/>
        <v>4.52006293986841</v>
      </c>
      <c r="AC629">
        <v>1</v>
      </c>
      <c r="AD629">
        <f t="shared" si="550"/>
        <v>632.48365353536997</v>
      </c>
      <c r="AE629">
        <f t="shared" si="551"/>
        <v>-1.4322339227758965</v>
      </c>
      <c r="AF629">
        <f t="shared" si="552"/>
        <v>0.13213790013312002</v>
      </c>
      <c r="AG629">
        <f t="shared" si="553"/>
        <v>39.706417816386406</v>
      </c>
      <c r="AH629">
        <f t="shared" si="554"/>
        <v>-437.94307681780055</v>
      </c>
      <c r="AJ629">
        <f t="shared" si="497"/>
        <v>22100</v>
      </c>
      <c r="AK629">
        <f t="shared" si="555"/>
        <v>15042.807661223162</v>
      </c>
      <c r="AL629">
        <v>4</v>
      </c>
      <c r="AM629">
        <f t="shared" si="556"/>
        <v>412.81238677575965</v>
      </c>
      <c r="AN629">
        <f t="shared" si="557"/>
        <v>36.955083438593988</v>
      </c>
      <c r="AO629">
        <f t="shared" si="558"/>
        <v>-53.177134140042369</v>
      </c>
      <c r="AQ629">
        <f t="shared" si="559"/>
        <v>8.8999643209330341E-5</v>
      </c>
      <c r="AR629">
        <f t="shared" si="560"/>
        <v>-0.94339621801890161</v>
      </c>
      <c r="AT629">
        <f t="shared" si="561"/>
        <v>-413.15030852045555</v>
      </c>
      <c r="AU629">
        <f t="shared" si="562"/>
        <v>-37.49786117664005</v>
      </c>
      <c r="AV629">
        <f t="shared" si="511"/>
        <v>-3.0510798229865004</v>
      </c>
      <c r="AW629">
        <f t="shared" si="512"/>
        <v>-2.1364757662950513</v>
      </c>
      <c r="AX629">
        <f t="shared" si="513"/>
        <v>-549.99615712677473</v>
      </c>
      <c r="AY629">
        <f t="shared" si="521"/>
        <v>-1.5746808357910906</v>
      </c>
      <c r="BA629">
        <f t="shared" si="502"/>
        <v>0.75426955542654317</v>
      </c>
      <c r="BB629">
        <f t="shared" si="514"/>
        <v>-2.4494684270702356</v>
      </c>
      <c r="BC629">
        <f t="shared" si="515"/>
        <v>-1.4763989871954097</v>
      </c>
      <c r="BD629">
        <f t="shared" si="503"/>
        <v>-264.59143094034607</v>
      </c>
      <c r="BF629">
        <f t="shared" si="504"/>
        <v>-79.221187484345904</v>
      </c>
      <c r="BG629">
        <f t="shared" si="505"/>
        <v>-230.87122726942388</v>
      </c>
      <c r="BH629">
        <f t="shared" si="516"/>
        <v>-50.871227269423883</v>
      </c>
      <c r="BI629">
        <f t="shared" si="517"/>
        <v>-50.871227269423883</v>
      </c>
      <c r="BJ629">
        <f t="shared" si="506"/>
        <v>0</v>
      </c>
      <c r="BK629">
        <f t="shared" si="518"/>
        <v>0</v>
      </c>
      <c r="BM629">
        <f t="shared" si="519"/>
        <v>-76.771719057275675</v>
      </c>
      <c r="BN629">
        <f t="shared" si="507"/>
        <v>-146.27979632907787</v>
      </c>
      <c r="BQ629" s="56">
        <f t="shared" si="520"/>
        <v>14.452492373214902</v>
      </c>
    </row>
    <row r="630" spans="1:69" x14ac:dyDescent="0.2">
      <c r="A630">
        <f t="shared" si="563"/>
        <v>5400000</v>
      </c>
      <c r="B630">
        <f t="shared" si="508"/>
        <v>5400</v>
      </c>
      <c r="C630">
        <f t="shared" si="539"/>
        <v>1.2085016598602103</v>
      </c>
      <c r="D630">
        <f t="shared" si="540"/>
        <v>0.5962077575978445</v>
      </c>
      <c r="F630">
        <f t="shared" si="541"/>
        <v>7.7511569991367856E-6</v>
      </c>
      <c r="G630">
        <f t="shared" si="542"/>
        <v>9.5736993225730913E-4</v>
      </c>
      <c r="H630">
        <f t="shared" si="481"/>
        <v>-3.1406352800677428</v>
      </c>
      <c r="J630">
        <f t="shared" si="482"/>
        <v>15</v>
      </c>
      <c r="M630">
        <f t="shared" si="543"/>
        <v>3.3609529680074323E-4</v>
      </c>
      <c r="N630">
        <f t="shared" si="484"/>
        <v>-1.5707963250000001</v>
      </c>
      <c r="O630">
        <f t="shared" si="544"/>
        <v>644.4180832699343</v>
      </c>
      <c r="P630">
        <f t="shared" si="486"/>
        <v>1.5692445385578766</v>
      </c>
      <c r="Q630">
        <f t="shared" si="545"/>
        <v>420.60248850637561</v>
      </c>
      <c r="R630">
        <f t="shared" si="488"/>
        <v>1.5684187827492799</v>
      </c>
      <c r="S630">
        <f t="shared" si="546"/>
        <v>0.8217284488068658</v>
      </c>
      <c r="T630">
        <f t="shared" si="490"/>
        <v>-0.60635889799624154</v>
      </c>
      <c r="U630">
        <f t="shared" si="547"/>
        <v>9.0182506296683465E-2</v>
      </c>
      <c r="V630">
        <f t="shared" si="492"/>
        <v>-1.4804911302939179</v>
      </c>
      <c r="X630">
        <f t="shared" si="548"/>
        <v>-60.458846813610265</v>
      </c>
      <c r="Y630">
        <f t="shared" si="549"/>
        <v>-175.57779166612264</v>
      </c>
      <c r="Z630">
        <f t="shared" si="510"/>
        <v>4.4222083338773643</v>
      </c>
      <c r="AC630">
        <v>1</v>
      </c>
      <c r="AD630">
        <f t="shared" si="550"/>
        <v>644.41730737566002</v>
      </c>
      <c r="AE630">
        <f t="shared" si="551"/>
        <v>-1.4867903591365308</v>
      </c>
      <c r="AF630">
        <f t="shared" si="552"/>
        <v>0.13463106806016001</v>
      </c>
      <c r="AG630">
        <f t="shared" si="553"/>
        <v>38.261276032563011</v>
      </c>
      <c r="AH630">
        <f t="shared" si="554"/>
        <v>-429.96387956760225</v>
      </c>
      <c r="AJ630">
        <f t="shared" si="497"/>
        <v>22100</v>
      </c>
      <c r="AK630">
        <f t="shared" si="555"/>
        <v>15326.634220868882</v>
      </c>
      <c r="AL630">
        <v>5</v>
      </c>
      <c r="AM630">
        <f t="shared" si="556"/>
        <v>420.60129973379281</v>
      </c>
      <c r="AN630">
        <f t="shared" si="557"/>
        <v>37.059206881276204</v>
      </c>
      <c r="AO630">
        <f t="shared" si="558"/>
        <v>-52.103272099881494</v>
      </c>
      <c r="AQ630">
        <f t="shared" si="559"/>
        <v>8.5733881295148485E-5</v>
      </c>
      <c r="AR630">
        <f t="shared" si="560"/>
        <v>-0.9259259179876036</v>
      </c>
      <c r="AT630">
        <f t="shared" si="561"/>
        <v>-398.11141960244595</v>
      </c>
      <c r="AU630">
        <f t="shared" si="562"/>
        <v>-35.463969606040052</v>
      </c>
      <c r="AV630">
        <f t="shared" si="511"/>
        <v>-3.0527466527335063</v>
      </c>
      <c r="AW630">
        <f t="shared" si="512"/>
        <v>-0.45645296095117777</v>
      </c>
      <c r="AX630">
        <f t="shared" si="513"/>
        <v>-539.91067997363427</v>
      </c>
      <c r="AY630">
        <f t="shared" si="521"/>
        <v>-1.5716417496937825</v>
      </c>
      <c r="BA630">
        <f t="shared" si="502"/>
        <v>0.74028491129564822</v>
      </c>
      <c r="BB630">
        <f t="shared" si="514"/>
        <v>-2.6120220489038637</v>
      </c>
      <c r="BC630">
        <f t="shared" si="515"/>
        <v>-1.4811049030397239</v>
      </c>
      <c r="BD630">
        <f t="shared" si="503"/>
        <v>-264.86106005727709</v>
      </c>
      <c r="BF630">
        <f t="shared" si="504"/>
        <v>-79.657921171319458</v>
      </c>
      <c r="BG630">
        <f t="shared" si="505"/>
        <v>-230.64601853831428</v>
      </c>
      <c r="BH630">
        <f t="shared" si="516"/>
        <v>-50.64601853831428</v>
      </c>
      <c r="BI630">
        <f t="shared" si="517"/>
        <v>-50.64601853831428</v>
      </c>
      <c r="BJ630">
        <f t="shared" si="506"/>
        <v>0</v>
      </c>
      <c r="BK630">
        <f t="shared" si="518"/>
        <v>0</v>
      </c>
      <c r="BM630">
        <f t="shared" si="519"/>
        <v>-77.045899122415591</v>
      </c>
      <c r="BN630">
        <f t="shared" si="507"/>
        <v>-145.78495848103719</v>
      </c>
      <c r="BQ630" s="56">
        <f t="shared" si="520"/>
        <v>14.289938751381273</v>
      </c>
    </row>
    <row r="631" spans="1:69" x14ac:dyDescent="0.2">
      <c r="A631">
        <f t="shared" si="563"/>
        <v>5500000</v>
      </c>
      <c r="B631">
        <f t="shared" si="508"/>
        <v>5500</v>
      </c>
      <c r="C631">
        <f t="shared" si="539"/>
        <v>1.2156022589321915</v>
      </c>
      <c r="D631">
        <f t="shared" si="540"/>
        <v>0.60476189871104202</v>
      </c>
      <c r="F631">
        <f t="shared" si="541"/>
        <v>7.4718571392576048E-6</v>
      </c>
      <c r="G631">
        <f t="shared" si="542"/>
        <v>9.3996295304993056E-4</v>
      </c>
      <c r="H631">
        <f t="shared" si="481"/>
        <v>-3.1406526870469502</v>
      </c>
      <c r="J631">
        <f t="shared" si="482"/>
        <v>15</v>
      </c>
      <c r="M631">
        <f t="shared" si="543"/>
        <v>3.2998447322254792E-4</v>
      </c>
      <c r="N631">
        <f t="shared" si="484"/>
        <v>-1.5707963250000001</v>
      </c>
      <c r="O631">
        <f t="shared" si="544"/>
        <v>656.35172300307227</v>
      </c>
      <c r="P631">
        <f t="shared" si="486"/>
        <v>1.5692727528453925</v>
      </c>
      <c r="Q631">
        <f t="shared" si="545"/>
        <v>428.39137985042129</v>
      </c>
      <c r="R631">
        <f t="shared" si="488"/>
        <v>1.5684620106643485</v>
      </c>
      <c r="S631">
        <f t="shared" si="546"/>
        <v>0.8167856754388223</v>
      </c>
      <c r="T631">
        <f t="shared" si="490"/>
        <v>-0.61497880485166723</v>
      </c>
      <c r="U631">
        <f t="shared" si="547"/>
        <v>8.8555801072908488E-2</v>
      </c>
      <c r="V631">
        <f t="shared" si="492"/>
        <v>-1.482124370998813</v>
      </c>
      <c r="X631">
        <f t="shared" si="548"/>
        <v>-60.777853915111081</v>
      </c>
      <c r="Y631">
        <f t="shared" si="549"/>
        <v>-175.67204157477147</v>
      </c>
      <c r="Z631">
        <f t="shared" si="510"/>
        <v>4.3279584252285304</v>
      </c>
      <c r="AC631">
        <v>1</v>
      </c>
      <c r="AD631">
        <f t="shared" si="550"/>
        <v>656.35096121595006</v>
      </c>
      <c r="AE631">
        <f t="shared" si="551"/>
        <v>-1.5423665419711954</v>
      </c>
      <c r="AF631">
        <f t="shared" si="552"/>
        <v>0.13712423598720003</v>
      </c>
      <c r="AG631">
        <f t="shared" si="553"/>
        <v>36.893416975113674</v>
      </c>
      <c r="AH631">
        <f t="shared" si="554"/>
        <v>-422.26796411695227</v>
      </c>
      <c r="AJ631">
        <f t="shared" si="497"/>
        <v>22100</v>
      </c>
      <c r="AK631">
        <f t="shared" si="555"/>
        <v>15610.460780514601</v>
      </c>
      <c r="AL631">
        <v>6</v>
      </c>
      <c r="AM631">
        <f t="shared" si="556"/>
        <v>428.39021269182604</v>
      </c>
      <c r="AN631">
        <f t="shared" si="557"/>
        <v>37.155072277001928</v>
      </c>
      <c r="AO631">
        <f t="shared" si="558"/>
        <v>-51.068089135070515</v>
      </c>
      <c r="AQ631">
        <f t="shared" si="559"/>
        <v>8.26446274161601E-5</v>
      </c>
      <c r="AR631">
        <f t="shared" si="560"/>
        <v>-0.90909090157776118</v>
      </c>
      <c r="AT631">
        <f t="shared" si="561"/>
        <v>-383.87691516378584</v>
      </c>
      <c r="AU631">
        <f t="shared" si="562"/>
        <v>-33.574367878754593</v>
      </c>
      <c r="AV631">
        <f t="shared" si="511"/>
        <v>-3.054353362652555</v>
      </c>
      <c r="AW631">
        <f t="shared" si="512"/>
        <v>1.1275824980342752</v>
      </c>
      <c r="AX631">
        <f t="shared" si="513"/>
        <v>-530.17782539272673</v>
      </c>
      <c r="AY631">
        <f t="shared" si="521"/>
        <v>-1.5686695294376523</v>
      </c>
      <c r="BA631">
        <f t="shared" si="502"/>
        <v>0.72681552633724689</v>
      </c>
      <c r="BB631">
        <f t="shared" si="514"/>
        <v>-2.7715160760811806</v>
      </c>
      <c r="BC631">
        <f t="shared" si="515"/>
        <v>-1.4856838332149027</v>
      </c>
      <c r="BD631">
        <f t="shared" si="503"/>
        <v>-265.1234134312997</v>
      </c>
      <c r="BF631">
        <f t="shared" si="504"/>
        <v>-80.085289732785213</v>
      </c>
      <c r="BG631">
        <f t="shared" si="505"/>
        <v>-230.41925307507512</v>
      </c>
      <c r="BH631">
        <f t="shared" si="516"/>
        <v>-50.419253075075119</v>
      </c>
      <c r="BI631">
        <f t="shared" si="517"/>
        <v>-50.419253075075119</v>
      </c>
      <c r="BJ631">
        <f t="shared" si="506"/>
        <v>0</v>
      </c>
      <c r="BK631">
        <f t="shared" si="518"/>
        <v>0</v>
      </c>
      <c r="BM631">
        <f t="shared" si="519"/>
        <v>-77.313773656704029</v>
      </c>
      <c r="BN631">
        <f t="shared" si="507"/>
        <v>-145.29583964377542</v>
      </c>
      <c r="BQ631" s="56">
        <f t="shared" si="520"/>
        <v>14.130444724203956</v>
      </c>
    </row>
    <row r="632" spans="1:69" x14ac:dyDescent="0.2">
      <c r="A632">
        <f t="shared" si="563"/>
        <v>5600000</v>
      </c>
      <c r="B632">
        <f t="shared" si="508"/>
        <v>5600</v>
      </c>
      <c r="C632">
        <f t="shared" si="539"/>
        <v>1.2227907708587449</v>
      </c>
      <c r="D632">
        <f t="shared" si="540"/>
        <v>0.61321607668732647</v>
      </c>
      <c r="F632">
        <f t="shared" si="541"/>
        <v>7.2073859054929849E-6</v>
      </c>
      <c r="G632">
        <f t="shared" si="542"/>
        <v>9.2317766487250532E-4</v>
      </c>
      <c r="H632">
        <f t="shared" si="481"/>
        <v>-3.1406694723351278</v>
      </c>
      <c r="J632">
        <f t="shared" si="482"/>
        <v>15</v>
      </c>
      <c r="M632">
        <f t="shared" si="543"/>
        <v>3.2409189334357385E-4</v>
      </c>
      <c r="N632">
        <f t="shared" si="484"/>
        <v>-1.5707963250000001</v>
      </c>
      <c r="O632">
        <f t="shared" si="544"/>
        <v>668.28536324003608</v>
      </c>
      <c r="P632">
        <f t="shared" si="486"/>
        <v>1.5692999594820802</v>
      </c>
      <c r="Q632">
        <f t="shared" si="545"/>
        <v>436.18027196639201</v>
      </c>
      <c r="R632">
        <f t="shared" si="488"/>
        <v>1.5685036947335718</v>
      </c>
      <c r="S632">
        <f t="shared" si="546"/>
        <v>0.81184276707540304</v>
      </c>
      <c r="T632">
        <f t="shared" si="490"/>
        <v>-0.6234950086790233</v>
      </c>
      <c r="U632">
        <f t="shared" si="547"/>
        <v>8.6986520978896323E-2</v>
      </c>
      <c r="V632">
        <f t="shared" si="492"/>
        <v>-1.483699731102192</v>
      </c>
      <c r="X632">
        <f t="shared" si="548"/>
        <v>-61.091175779812154</v>
      </c>
      <c r="Y632">
        <f t="shared" si="549"/>
        <v>-175.76287145897336</v>
      </c>
      <c r="Z632">
        <f t="shared" si="510"/>
        <v>4.2371285410266353</v>
      </c>
      <c r="AC632">
        <v>1</v>
      </c>
      <c r="AD632">
        <f t="shared" si="550"/>
        <v>668.28461505624</v>
      </c>
      <c r="AE632">
        <f t="shared" si="551"/>
        <v>-1.5989624712798898</v>
      </c>
      <c r="AF632">
        <f t="shared" si="552"/>
        <v>0.13961740391424002</v>
      </c>
      <c r="AG632">
        <f t="shared" si="553"/>
        <v>35.597440396100573</v>
      </c>
      <c r="AH632">
        <f t="shared" si="554"/>
        <v>-414.84062619130412</v>
      </c>
      <c r="AJ632">
        <f t="shared" si="497"/>
        <v>22100</v>
      </c>
      <c r="AK632">
        <f t="shared" si="555"/>
        <v>15894.287340160323</v>
      </c>
      <c r="AL632">
        <v>7</v>
      </c>
      <c r="AM632">
        <f t="shared" si="556"/>
        <v>436.1791256498592</v>
      </c>
      <c r="AN632">
        <f t="shared" si="557"/>
        <v>37.243355535822232</v>
      </c>
      <c r="AO632">
        <f t="shared" si="558"/>
        <v>-50.06955910306592</v>
      </c>
      <c r="AQ632">
        <f t="shared" si="559"/>
        <v>7.9719387119583961E-5</v>
      </c>
      <c r="AR632">
        <f t="shared" si="560"/>
        <v>-0.89285713573934045</v>
      </c>
      <c r="AT632">
        <f t="shared" si="561"/>
        <v>-370.3905754833508</v>
      </c>
      <c r="AU632">
        <f t="shared" si="562"/>
        <v>-31.816499512186525</v>
      </c>
      <c r="AV632">
        <f t="shared" si="511"/>
        <v>-3.0559031394958565</v>
      </c>
      <c r="AW632">
        <f t="shared" si="512"/>
        <v>2.6225821577635418</v>
      </c>
      <c r="AX632">
        <f t="shared" si="513"/>
        <v>-520.77983080482704</v>
      </c>
      <c r="AY632">
        <f t="shared" si="521"/>
        <v>-1.5657604943118031</v>
      </c>
      <c r="BA632">
        <f t="shared" si="502"/>
        <v>0.71383307233635473</v>
      </c>
      <c r="BB632">
        <f t="shared" si="514"/>
        <v>-2.9280666955407382</v>
      </c>
      <c r="BC632">
        <f t="shared" si="515"/>
        <v>-1.4901426451840534</v>
      </c>
      <c r="BD632">
        <f t="shared" si="503"/>
        <v>-265.37888453906635</v>
      </c>
      <c r="BF632">
        <f t="shared" si="504"/>
        <v>-80.503642948012995</v>
      </c>
      <c r="BG632">
        <f t="shared" si="505"/>
        <v>-230.19129719116631</v>
      </c>
      <c r="BH632">
        <f t="shared" si="516"/>
        <v>-50.191297191166313</v>
      </c>
      <c r="BI632">
        <f t="shared" si="517"/>
        <v>-50.191297191166313</v>
      </c>
      <c r="BJ632">
        <f t="shared" si="506"/>
        <v>0</v>
      </c>
      <c r="BK632">
        <f t="shared" si="518"/>
        <v>0</v>
      </c>
      <c r="BM632">
        <f t="shared" si="519"/>
        <v>-77.57557625247226</v>
      </c>
      <c r="BN632">
        <f t="shared" si="507"/>
        <v>-144.81241265209994</v>
      </c>
      <c r="BQ632" s="56">
        <f t="shared" si="520"/>
        <v>13.973894104744398</v>
      </c>
    </row>
    <row r="633" spans="1:69" x14ac:dyDescent="0.2">
      <c r="A633">
        <f t="shared" si="563"/>
        <v>5700000</v>
      </c>
      <c r="B633">
        <f t="shared" si="508"/>
        <v>5700</v>
      </c>
      <c r="C633">
        <f t="shared" si="539"/>
        <v>1.2300656543509021</v>
      </c>
      <c r="D633">
        <f t="shared" si="540"/>
        <v>0.6215708461640469</v>
      </c>
      <c r="F633">
        <f t="shared" si="541"/>
        <v>6.9567118644433282E-6</v>
      </c>
      <c r="G633">
        <f t="shared" si="542"/>
        <v>9.0698134624239051E-4</v>
      </c>
      <c r="H633">
        <f t="shared" si="481"/>
        <v>-3.1406856686537576</v>
      </c>
      <c r="J633">
        <f t="shared" si="482"/>
        <v>15</v>
      </c>
      <c r="M633">
        <f t="shared" si="543"/>
        <v>3.1840607065333569E-4</v>
      </c>
      <c r="N633">
        <f t="shared" si="484"/>
        <v>-1.5707963250000001</v>
      </c>
      <c r="O633">
        <f t="shared" si="544"/>
        <v>680.21900395430896</v>
      </c>
      <c r="P633">
        <f t="shared" si="486"/>
        <v>1.5693262115020377</v>
      </c>
      <c r="Q633">
        <f t="shared" si="545"/>
        <v>443.96916481366031</v>
      </c>
      <c r="R633">
        <f t="shared" si="488"/>
        <v>1.5685439162114294</v>
      </c>
      <c r="S633">
        <f t="shared" si="546"/>
        <v>0.80690185751071852</v>
      </c>
      <c r="T633">
        <f t="shared" si="490"/>
        <v>-0.6319081565778023</v>
      </c>
      <c r="U633">
        <f t="shared" si="547"/>
        <v>8.5471689099258646E-2</v>
      </c>
      <c r="V633">
        <f t="shared" si="492"/>
        <v>-1.4852202264681902</v>
      </c>
      <c r="X633">
        <f t="shared" si="548"/>
        <v>-61.399010449196886</v>
      </c>
      <c r="Y633">
        <f t="shared" si="549"/>
        <v>-175.85045359333984</v>
      </c>
      <c r="Z633">
        <f t="shared" si="510"/>
        <v>4.1495464066601642</v>
      </c>
      <c r="AC633">
        <v>1</v>
      </c>
      <c r="AD633">
        <f t="shared" si="550"/>
        <v>680.21826889653005</v>
      </c>
      <c r="AE633">
        <f t="shared" si="551"/>
        <v>-1.6565781470626157</v>
      </c>
      <c r="AF633">
        <f t="shared" si="552"/>
        <v>0.14211057184128001</v>
      </c>
      <c r="AG633">
        <f t="shared" si="553"/>
        <v>34.368408486020037</v>
      </c>
      <c r="AH633">
        <f t="shared" si="554"/>
        <v>-407.66815372446212</v>
      </c>
      <c r="AJ633">
        <f t="shared" si="497"/>
        <v>22100</v>
      </c>
      <c r="AK633">
        <f t="shared" si="555"/>
        <v>16178.113899806043</v>
      </c>
      <c r="AL633">
        <v>8</v>
      </c>
      <c r="AM633">
        <f t="shared" si="556"/>
        <v>443.96803860789242</v>
      </c>
      <c r="AN633">
        <f t="shared" si="557"/>
        <v>37.324669353530496</v>
      </c>
      <c r="AO633">
        <f t="shared" si="558"/>
        <v>-49.105793096125346</v>
      </c>
      <c r="AQ633">
        <f t="shared" si="559"/>
        <v>7.694675225494958E-5</v>
      </c>
      <c r="AR633">
        <f t="shared" si="560"/>
        <v>-0.87719297570642529</v>
      </c>
      <c r="AT633">
        <f t="shared" si="561"/>
        <v>-357.60099632889217</v>
      </c>
      <c r="AU633">
        <f t="shared" si="562"/>
        <v>-30.179095250572747</v>
      </c>
      <c r="AV633">
        <f t="shared" si="511"/>
        <v>-3.0573989492579252</v>
      </c>
      <c r="AW633">
        <f t="shared" si="512"/>
        <v>4.0348886809493134</v>
      </c>
      <c r="AX633">
        <f t="shared" si="513"/>
        <v>-511.70007683962444</v>
      </c>
      <c r="AY633">
        <f t="shared" si="521"/>
        <v>-1.5629112291752687</v>
      </c>
      <c r="BA633">
        <f t="shared" si="502"/>
        <v>0.7013112800775072</v>
      </c>
      <c r="BB633">
        <f t="shared" si="514"/>
        <v>-3.0817835147373343</v>
      </c>
      <c r="BC633">
        <f t="shared" si="515"/>
        <v>-1.4944877200826565</v>
      </c>
      <c r="BD633">
        <f t="shared" si="503"/>
        <v>-265.62783899270903</v>
      </c>
      <c r="BF633">
        <f t="shared" si="504"/>
        <v>-80.913312166603291</v>
      </c>
      <c r="BG633">
        <f t="shared" si="505"/>
        <v>-229.96248659514339</v>
      </c>
      <c r="BH633">
        <f t="shared" si="516"/>
        <v>-49.962486595143389</v>
      </c>
      <c r="BI633">
        <f t="shared" si="517"/>
        <v>-49.962486595143389</v>
      </c>
      <c r="BJ633">
        <f t="shared" si="506"/>
        <v>0</v>
      </c>
      <c r="BK633">
        <f t="shared" si="518"/>
        <v>0</v>
      </c>
      <c r="BM633">
        <f t="shared" si="519"/>
        <v>-77.831528651865952</v>
      </c>
      <c r="BN633">
        <f t="shared" si="507"/>
        <v>-144.33464760243436</v>
      </c>
      <c r="BQ633" s="56">
        <f t="shared" si="520"/>
        <v>13.820177285547802</v>
      </c>
    </row>
    <row r="634" spans="1:69" x14ac:dyDescent="0.2">
      <c r="A634">
        <f t="shared" si="563"/>
        <v>5800000</v>
      </c>
      <c r="B634">
        <f t="shared" si="508"/>
        <v>5800</v>
      </c>
      <c r="C634">
        <f t="shared" si="539"/>
        <v>1.2374253860618083</v>
      </c>
      <c r="D634">
        <f t="shared" si="540"/>
        <v>0.62982680432457572</v>
      </c>
      <c r="F634">
        <f t="shared" si="541"/>
        <v>6.7188917271003526E-6</v>
      </c>
      <c r="G634">
        <f t="shared" si="542"/>
        <v>8.9134353240668195E-4</v>
      </c>
      <c r="H634">
        <f t="shared" si="481"/>
        <v>-3.1407013064675935</v>
      </c>
      <c r="J634">
        <f t="shared" si="482"/>
        <v>15</v>
      </c>
      <c r="M634">
        <f t="shared" si="543"/>
        <v>3.1291631081448509E-4</v>
      </c>
      <c r="N634">
        <f t="shared" si="484"/>
        <v>-1.5707963250000001</v>
      </c>
      <c r="O634">
        <f t="shared" si="544"/>
        <v>692.15264512120234</v>
      </c>
      <c r="P634">
        <f t="shared" si="486"/>
        <v>1.5693515582818505</v>
      </c>
      <c r="Q634">
        <f t="shared" si="545"/>
        <v>451.7580583544007</v>
      </c>
      <c r="R634">
        <f t="shared" si="488"/>
        <v>1.5685827507486911</v>
      </c>
      <c r="S634">
        <f t="shared" si="546"/>
        <v>0.80196498962417118</v>
      </c>
      <c r="T634">
        <f t="shared" si="490"/>
        <v>-0.64021893843834898</v>
      </c>
      <c r="U634">
        <f t="shared" si="547"/>
        <v>8.4008530046776442E-2</v>
      </c>
      <c r="V634">
        <f t="shared" si="492"/>
        <v>-1.4866886675081432</v>
      </c>
      <c r="X634">
        <f t="shared" si="548"/>
        <v>-61.701545790562989</v>
      </c>
      <c r="Y634">
        <f t="shared" si="549"/>
        <v>-175.93494889625947</v>
      </c>
      <c r="Z634">
        <f t="shared" si="510"/>
        <v>4.0650511037405295</v>
      </c>
      <c r="AC634">
        <v>1</v>
      </c>
      <c r="AD634">
        <f t="shared" si="550"/>
        <v>692.15192273681998</v>
      </c>
      <c r="AE634">
        <f t="shared" si="551"/>
        <v>-1.715213569319372</v>
      </c>
      <c r="AF634">
        <f t="shared" si="552"/>
        <v>0.14460373976832003</v>
      </c>
      <c r="AG634">
        <f t="shared" si="553"/>
        <v>33.201799267740661</v>
      </c>
      <c r="AH634">
        <f t="shared" si="554"/>
        <v>-400.73774525257573</v>
      </c>
      <c r="AJ634">
        <f t="shared" si="497"/>
        <v>22100</v>
      </c>
      <c r="AK634">
        <f t="shared" si="555"/>
        <v>16461.940459451762</v>
      </c>
      <c r="AL634">
        <v>9</v>
      </c>
      <c r="AM634">
        <f t="shared" si="556"/>
        <v>451.75695156592559</v>
      </c>
      <c r="AN634">
        <f t="shared" si="557"/>
        <v>37.399569955638661</v>
      </c>
      <c r="AO634">
        <f t="shared" si="558"/>
        <v>-48.175028176015317</v>
      </c>
      <c r="AQ634">
        <f t="shared" si="559"/>
        <v>7.4316289578505582E-5</v>
      </c>
      <c r="AR634">
        <f t="shared" si="560"/>
        <v>-0.86206895911066472</v>
      </c>
      <c r="AT634">
        <f t="shared" si="561"/>
        <v>-345.4611034917138</v>
      </c>
      <c r="AU634">
        <f t="shared" si="562"/>
        <v>-28.65202187766365</v>
      </c>
      <c r="AV634">
        <f t="shared" si="511"/>
        <v>-3.058843555919748</v>
      </c>
      <c r="AW634">
        <f t="shared" si="512"/>
        <v>5.3702981318577443</v>
      </c>
      <c r="AX634">
        <f t="shared" si="513"/>
        <v>-502.92299959096192</v>
      </c>
      <c r="AY634">
        <f t="shared" si="521"/>
        <v>-1.560118560939965</v>
      </c>
      <c r="BA634">
        <f t="shared" si="502"/>
        <v>0.68922575406654707</v>
      </c>
      <c r="BB634">
        <f t="shared" si="514"/>
        <v>-3.2327700557043522</v>
      </c>
      <c r="BC634">
        <f t="shared" si="515"/>
        <v>-1.498724994979783</v>
      </c>
      <c r="BD634">
        <f t="shared" si="503"/>
        <v>-265.87061696122851</v>
      </c>
      <c r="BF634">
        <f t="shared" si="504"/>
        <v>-81.314611593642923</v>
      </c>
      <c r="BG634">
        <f t="shared" si="505"/>
        <v>-229.7331289854221</v>
      </c>
      <c r="BH634">
        <f t="shared" si="516"/>
        <v>-49.733128985422098</v>
      </c>
      <c r="BI634">
        <f t="shared" si="517"/>
        <v>-49.733128985422098</v>
      </c>
      <c r="BJ634">
        <f t="shared" si="506"/>
        <v>0</v>
      </c>
      <c r="BK634">
        <f t="shared" si="518"/>
        <v>0</v>
      </c>
      <c r="BM634">
        <f t="shared" si="519"/>
        <v>-78.081841537938573</v>
      </c>
      <c r="BN634">
        <f t="shared" si="507"/>
        <v>-143.86251202419356</v>
      </c>
      <c r="BQ634" s="56">
        <f t="shared" si="520"/>
        <v>13.669190744580783</v>
      </c>
    </row>
    <row r="635" spans="1:69" x14ac:dyDescent="0.2">
      <c r="A635">
        <f t="shared" si="563"/>
        <v>5900000</v>
      </c>
      <c r="B635">
        <f t="shared" si="508"/>
        <v>5900</v>
      </c>
      <c r="C635">
        <f t="shared" si="539"/>
        <v>1.2448684611101815</v>
      </c>
      <c r="D635">
        <f t="shared" si="540"/>
        <v>0.63798458819239834</v>
      </c>
      <c r="F635">
        <f t="shared" si="541"/>
        <v>6.4930614617483574E-6</v>
      </c>
      <c r="G635">
        <f t="shared" si="542"/>
        <v>8.762358240864234E-4</v>
      </c>
      <c r="H635">
        <f t="shared" si="481"/>
        <v>-3.1407164141759139</v>
      </c>
      <c r="J635">
        <f t="shared" si="482"/>
        <v>15</v>
      </c>
      <c r="M635">
        <f t="shared" si="543"/>
        <v>3.0761264452949382E-4</v>
      </c>
      <c r="N635">
        <f t="shared" si="484"/>
        <v>-1.5707963250000001</v>
      </c>
      <c r="O635">
        <f t="shared" si="544"/>
        <v>704.08628671770168</v>
      </c>
      <c r="P635">
        <f t="shared" si="486"/>
        <v>1.5693760458505517</v>
      </c>
      <c r="Q635">
        <f t="shared" si="545"/>
        <v>459.54695255335201</v>
      </c>
      <c r="R635">
        <f t="shared" si="488"/>
        <v>1.5686202688673032</v>
      </c>
      <c r="S635">
        <f t="shared" si="546"/>
        <v>0.79703411680384451</v>
      </c>
      <c r="T635">
        <f t="shared" si="490"/>
        <v>-0.64842808403005836</v>
      </c>
      <c r="U635">
        <f t="shared" si="547"/>
        <v>8.2594453253390668E-2</v>
      </c>
      <c r="V635">
        <f t="shared" si="492"/>
        <v>-1.4881076763427958</v>
      </c>
      <c r="X635">
        <f t="shared" si="548"/>
        <v>-61.99896018204646</v>
      </c>
      <c r="Y635">
        <f t="shared" si="549"/>
        <v>-176.01650786741325</v>
      </c>
      <c r="Z635">
        <f t="shared" si="510"/>
        <v>3.9834921325867469</v>
      </c>
      <c r="AC635">
        <v>1</v>
      </c>
      <c r="AD635">
        <f t="shared" si="550"/>
        <v>704.08557657711003</v>
      </c>
      <c r="AE635">
        <f t="shared" si="551"/>
        <v>-1.7748687380501587</v>
      </c>
      <c r="AF635">
        <f t="shared" si="552"/>
        <v>0.14709690769536002</v>
      </c>
      <c r="AG635">
        <f t="shared" si="553"/>
        <v>32.093465366985249</v>
      </c>
      <c r="AH635">
        <f t="shared" si="554"/>
        <v>-394.03743616145317</v>
      </c>
      <c r="AJ635">
        <f t="shared" si="497"/>
        <v>22100</v>
      </c>
      <c r="AK635">
        <f t="shared" si="555"/>
        <v>16745.767019097482</v>
      </c>
      <c r="AL635">
        <v>10</v>
      </c>
      <c r="AM635">
        <f t="shared" si="556"/>
        <v>459.54586452395887</v>
      </c>
      <c r="AN635">
        <f t="shared" si="557"/>
        <v>37.468563031838215</v>
      </c>
      <c r="AO635">
        <f t="shared" si="558"/>
        <v>-47.275617183905588</v>
      </c>
      <c r="AQ635">
        <f t="shared" si="559"/>
        <v>7.1818442460367399E-5</v>
      </c>
      <c r="AR635">
        <f t="shared" si="560"/>
        <v>-0.84745762103233535</v>
      </c>
      <c r="AT635">
        <f t="shared" si="561"/>
        <v>-333.92772334437001</v>
      </c>
      <c r="AU635">
        <f t="shared" si="562"/>
        <v>-27.226150965525157</v>
      </c>
      <c r="AV635">
        <f t="shared" si="511"/>
        <v>-3.0602395383195282</v>
      </c>
      <c r="AW635">
        <f t="shared" si="512"/>
        <v>6.6341150084648683</v>
      </c>
      <c r="AX635">
        <f t="shared" si="513"/>
        <v>-494.43401052139768</v>
      </c>
      <c r="AY635">
        <f t="shared" si="521"/>
        <v>-1.5573795375106017</v>
      </c>
      <c r="BA635">
        <f t="shared" si="502"/>
        <v>0.67755380704553059</v>
      </c>
      <c r="BB635">
        <f t="shared" si="514"/>
        <v>-3.3811242031652062</v>
      </c>
      <c r="BC635">
        <f t="shared" si="515"/>
        <v>-1.5028600008089266</v>
      </c>
      <c r="BD635">
        <f t="shared" si="503"/>
        <v>-266.10753534377119</v>
      </c>
      <c r="BF635">
        <f t="shared" si="504"/>
        <v>-81.707839462136008</v>
      </c>
      <c r="BG635">
        <f t="shared" si="505"/>
        <v>-229.50350638955038</v>
      </c>
      <c r="BH635">
        <f t="shared" si="516"/>
        <v>-49.503506389550381</v>
      </c>
      <c r="BI635">
        <f t="shared" si="517"/>
        <v>-49.503506389550381</v>
      </c>
      <c r="BJ635">
        <f t="shared" si="506"/>
        <v>0</v>
      </c>
      <c r="BK635">
        <f t="shared" si="518"/>
        <v>0</v>
      </c>
      <c r="BM635">
        <f t="shared" si="519"/>
        <v>-78.326715258970808</v>
      </c>
      <c r="BN635">
        <f t="shared" si="507"/>
        <v>-143.39597104577922</v>
      </c>
      <c r="BQ635" s="56">
        <f t="shared" si="520"/>
        <v>13.520836597119931</v>
      </c>
    </row>
    <row r="636" spans="1:69" x14ac:dyDescent="0.2">
      <c r="A636">
        <f t="shared" si="563"/>
        <v>6000000</v>
      </c>
      <c r="B636">
        <f t="shared" si="508"/>
        <v>6000</v>
      </c>
      <c r="C636">
        <f t="shared" si="539"/>
        <v>1.2523933935483531</v>
      </c>
      <c r="D636">
        <f t="shared" si="540"/>
        <v>0.64604487200071159</v>
      </c>
      <c r="F636">
        <f t="shared" si="541"/>
        <v>6.27842843494292E-6</v>
      </c>
      <c r="G636">
        <f t="shared" si="542"/>
        <v>8.6163171534724635E-4</v>
      </c>
      <c r="H636">
        <f t="shared" si="481"/>
        <v>-3.1407310182846531</v>
      </c>
      <c r="J636">
        <f t="shared" si="482"/>
        <v>15</v>
      </c>
      <c r="M636">
        <f t="shared" si="543"/>
        <v>3.0248576712066892E-4</v>
      </c>
      <c r="N636">
        <f t="shared" si="484"/>
        <v>-1.5707963250000001</v>
      </c>
      <c r="O636">
        <f t="shared" si="544"/>
        <v>716.01992872232688</v>
      </c>
      <c r="P636">
        <f t="shared" si="486"/>
        <v>1.5693997171685823</v>
      </c>
      <c r="Q636">
        <f t="shared" si="545"/>
        <v>467.33584737760384</v>
      </c>
      <c r="R636">
        <f t="shared" si="488"/>
        <v>1.5686565363877858</v>
      </c>
      <c r="S636">
        <f t="shared" si="546"/>
        <v>0.7921111045094974</v>
      </c>
      <c r="T636">
        <f t="shared" si="490"/>
        <v>-0.65653636017934125</v>
      </c>
      <c r="U636">
        <f t="shared" si="547"/>
        <v>8.1227037890627851E-2</v>
      </c>
      <c r="V636">
        <f t="shared" si="492"/>
        <v>-1.4894797022763078</v>
      </c>
      <c r="X636">
        <f t="shared" si="548"/>
        <v>-62.291423141130508</v>
      </c>
      <c r="Y636">
        <f t="shared" si="549"/>
        <v>-176.09527143278112</v>
      </c>
      <c r="Z636">
        <f t="shared" si="510"/>
        <v>3.9047285672188821</v>
      </c>
      <c r="AC636">
        <v>1</v>
      </c>
      <c r="AD636">
        <f t="shared" si="550"/>
        <v>716.01923041740008</v>
      </c>
      <c r="AE636">
        <f t="shared" si="551"/>
        <v>-1.8355436532549758</v>
      </c>
      <c r="AF636">
        <f t="shared" si="552"/>
        <v>0.14959007562240004</v>
      </c>
      <c r="AG636">
        <f t="shared" si="553"/>
        <v>31.039597463642401</v>
      </c>
      <c r="AH636">
        <f t="shared" si="554"/>
        <v>-387.5560319276741</v>
      </c>
      <c r="AJ636">
        <f t="shared" si="497"/>
        <v>22100</v>
      </c>
      <c r="AK636">
        <f t="shared" si="555"/>
        <v>17029.593578743203</v>
      </c>
      <c r="AL636">
        <v>11</v>
      </c>
      <c r="AM636">
        <f t="shared" si="556"/>
        <v>467.33477748199203</v>
      </c>
      <c r="AN636">
        <f t="shared" si="557"/>
        <v>37.53210896876741</v>
      </c>
      <c r="AO636">
        <f t="shared" si="558"/>
        <v>-46.406019509599275</v>
      </c>
      <c r="AQ636">
        <f t="shared" si="559"/>
        <v>6.9444443962191359E-5</v>
      </c>
      <c r="AR636">
        <f t="shared" si="560"/>
        <v>-0.8333333275462963</v>
      </c>
      <c r="AT636">
        <f t="shared" si="561"/>
        <v>-322.96120216934059</v>
      </c>
      <c r="AU636">
        <f t="shared" si="562"/>
        <v>-25.893244653216112</v>
      </c>
      <c r="AV636">
        <f t="shared" si="511"/>
        <v>-3.0615893053643779</v>
      </c>
      <c r="AW636">
        <f t="shared" si="512"/>
        <v>7.831200964316789</v>
      </c>
      <c r="AX636">
        <f t="shared" si="513"/>
        <v>-486.2194232904277</v>
      </c>
      <c r="AY636">
        <f t="shared" si="521"/>
        <v>-1.5546914088870256</v>
      </c>
      <c r="BA636">
        <f t="shared" si="502"/>
        <v>0.66627431186272135</v>
      </c>
      <c r="BB636">
        <f t="shared" si="514"/>
        <v>-3.5269386117596229</v>
      </c>
      <c r="BC636">
        <f t="shared" si="515"/>
        <v>-1.5068978964773523</v>
      </c>
      <c r="BD636">
        <f t="shared" si="503"/>
        <v>-266.3388897239505</v>
      </c>
      <c r="BF636">
        <f t="shared" si="504"/>
        <v>-82.093279104548259</v>
      </c>
      <c r="BG636">
        <f t="shared" si="505"/>
        <v>-229.27387727910329</v>
      </c>
      <c r="BH636">
        <f t="shared" si="516"/>
        <v>-49.273877279103289</v>
      </c>
      <c r="BI636">
        <f t="shared" si="517"/>
        <v>-49.273877279103289</v>
      </c>
      <c r="BJ636">
        <f t="shared" si="506"/>
        <v>0</v>
      </c>
      <c r="BK636">
        <f t="shared" si="518"/>
        <v>0</v>
      </c>
      <c r="BM636">
        <f t="shared" si="519"/>
        <v>-78.56634049278864</v>
      </c>
      <c r="BN636">
        <f t="shared" si="507"/>
        <v>-142.93498755515279</v>
      </c>
      <c r="BQ636" s="56">
        <f t="shared" si="520"/>
        <v>13.375022188525513</v>
      </c>
    </row>
    <row r="637" spans="1:69" x14ac:dyDescent="0.2">
      <c r="A637">
        <f t="shared" si="563"/>
        <v>6100000</v>
      </c>
      <c r="B637">
        <f t="shared" si="508"/>
        <v>6100</v>
      </c>
      <c r="C637">
        <f t="shared" si="539"/>
        <v>1.2599987167772837</v>
      </c>
      <c r="D637">
        <f t="shared" si="540"/>
        <v>0.65400836464021139</v>
      </c>
      <c r="F637">
        <f t="shared" si="541"/>
        <v>6.0742644468593128E-6</v>
      </c>
      <c r="G637">
        <f t="shared" si="542"/>
        <v>8.4750643840149982E-4</v>
      </c>
      <c r="H637">
        <f t="shared" si="481"/>
        <v>-3.1407451435615985</v>
      </c>
      <c r="J637">
        <f t="shared" si="482"/>
        <v>15</v>
      </c>
      <c r="M637">
        <f t="shared" si="543"/>
        <v>2.9752698405311698E-4</v>
      </c>
      <c r="N637">
        <f t="shared" si="484"/>
        <v>-1.5707963250000001</v>
      </c>
      <c r="O637">
        <f t="shared" si="544"/>
        <v>727.95357111500596</v>
      </c>
      <c r="P637">
        <f t="shared" si="486"/>
        <v>1.5694226123793142</v>
      </c>
      <c r="Q637">
        <f t="shared" si="545"/>
        <v>475.12474279640389</v>
      </c>
      <c r="R637">
        <f t="shared" si="488"/>
        <v>1.5686916148145926</v>
      </c>
      <c r="S637">
        <f t="shared" si="546"/>
        <v>0.78719773195870002</v>
      </c>
      <c r="T637">
        <f t="shared" si="490"/>
        <v>-0.66454456803969197</v>
      </c>
      <c r="U637">
        <f t="shared" si="547"/>
        <v>7.9904019237699339E-2</v>
      </c>
      <c r="V637">
        <f t="shared" si="492"/>
        <v>-1.4908070357722425</v>
      </c>
      <c r="X637">
        <f t="shared" si="548"/>
        <v>-62.579095902116883</v>
      </c>
      <c r="Y637">
        <f t="shared" si="549"/>
        <v>-176.17137170762564</v>
      </c>
      <c r="Z637">
        <f t="shared" si="510"/>
        <v>3.8286282923743613</v>
      </c>
      <c r="AC637">
        <v>1</v>
      </c>
      <c r="AD637">
        <f t="shared" si="550"/>
        <v>727.95288425769002</v>
      </c>
      <c r="AE637">
        <f t="shared" si="551"/>
        <v>-1.8972383149338239</v>
      </c>
      <c r="AF637">
        <f t="shared" si="552"/>
        <v>0.15208324354944003</v>
      </c>
      <c r="AG637">
        <f t="shared" si="553"/>
        <v>30.036691827625397</v>
      </c>
      <c r="AH637">
        <f t="shared" si="554"/>
        <v>-381.28304759873117</v>
      </c>
      <c r="AJ637">
        <f t="shared" si="497"/>
        <v>22100</v>
      </c>
      <c r="AK637">
        <f t="shared" si="555"/>
        <v>17313.420138388919</v>
      </c>
      <c r="AL637">
        <v>12</v>
      </c>
      <c r="AM637">
        <f t="shared" si="556"/>
        <v>475.12369044002526</v>
      </c>
      <c r="AN637">
        <f t="shared" si="557"/>
        <v>37.59062747316257</v>
      </c>
      <c r="AO637">
        <f t="shared" si="558"/>
        <v>-45.564792718023355</v>
      </c>
      <c r="AQ637">
        <f t="shared" si="559"/>
        <v>6.7186239806596079E-5</v>
      </c>
      <c r="AR637">
        <f t="shared" si="560"/>
        <v>-0.81967212564047209</v>
      </c>
      <c r="AT637">
        <f t="shared" si="561"/>
        <v>-312.52506804354914</v>
      </c>
      <c r="AU637">
        <f t="shared" si="562"/>
        <v>-24.645856011827664</v>
      </c>
      <c r="AV637">
        <f t="shared" si="511"/>
        <v>-3.0628951097697903</v>
      </c>
      <c r="AW637">
        <f t="shared" si="512"/>
        <v>8.9660180285435871</v>
      </c>
      <c r="AX637">
        <f t="shared" si="513"/>
        <v>-478.26638685192341</v>
      </c>
      <c r="AY637">
        <f t="shared" si="521"/>
        <v>-1.5520516101741673</v>
      </c>
      <c r="BA637">
        <f t="shared" si="502"/>
        <v>0.65536756859851975</v>
      </c>
      <c r="BB637">
        <f t="shared" si="514"/>
        <v>-3.6703010768084692</v>
      </c>
      <c r="BC637">
        <f t="shared" si="515"/>
        <v>-1.510843499595623</v>
      </c>
      <c r="BD637">
        <f t="shared" si="503"/>
        <v>-266.56495613051936</v>
      </c>
      <c r="BF637">
        <f t="shared" si="504"/>
        <v>-82.471199933871247</v>
      </c>
      <c r="BG637">
        <f t="shared" si="505"/>
        <v>-229.04447848547829</v>
      </c>
      <c r="BH637">
        <f t="shared" si="516"/>
        <v>-49.044478485478294</v>
      </c>
      <c r="BI637">
        <f t="shared" si="517"/>
        <v>-49.044478485478294</v>
      </c>
      <c r="BJ637">
        <f t="shared" si="506"/>
        <v>0</v>
      </c>
      <c r="BK637">
        <f t="shared" si="518"/>
        <v>0</v>
      </c>
      <c r="BM637">
        <f t="shared" si="519"/>
        <v>-78.800898857062791</v>
      </c>
      <c r="BN637">
        <f t="shared" si="507"/>
        <v>-142.47952235495893</v>
      </c>
      <c r="BQ637" s="56">
        <f t="shared" si="520"/>
        <v>13.231659723476668</v>
      </c>
    </row>
    <row r="638" spans="1:69" x14ac:dyDescent="0.2">
      <c r="A638">
        <f t="shared" si="563"/>
        <v>6200000</v>
      </c>
      <c r="B638">
        <f t="shared" si="508"/>
        <v>6200</v>
      </c>
      <c r="C638">
        <f t="shared" si="539"/>
        <v>1.2676829839109447</v>
      </c>
      <c r="D638">
        <f t="shared" si="540"/>
        <v>0.66187580718721506</v>
      </c>
      <c r="F638">
        <f t="shared" si="541"/>
        <v>5.8798995465528517E-6</v>
      </c>
      <c r="G638">
        <f t="shared" si="542"/>
        <v>8.3383682343015383E-4</v>
      </c>
      <c r="H638">
        <f t="shared" si="481"/>
        <v>-3.14075881317657</v>
      </c>
      <c r="J638">
        <f t="shared" si="482"/>
        <v>15</v>
      </c>
      <c r="M638">
        <f t="shared" si="543"/>
        <v>2.9272816172967958E-4</v>
      </c>
      <c r="N638">
        <f t="shared" si="484"/>
        <v>-1.5707963250000001</v>
      </c>
      <c r="O638">
        <f t="shared" si="544"/>
        <v>739.88721387696239</v>
      </c>
      <c r="P638">
        <f t="shared" si="486"/>
        <v>1.569444769036233</v>
      </c>
      <c r="Q638">
        <f t="shared" si="545"/>
        <v>482.91363878098377</v>
      </c>
      <c r="R638">
        <f t="shared" si="488"/>
        <v>1.5687255616841769</v>
      </c>
      <c r="S638">
        <f t="shared" si="546"/>
        <v>0.78229569392047971</v>
      </c>
      <c r="T638">
        <f t="shared" si="490"/>
        <v>-0.67245354045561267</v>
      </c>
      <c r="U638">
        <f t="shared" si="547"/>
        <v>7.862327633823922E-2</v>
      </c>
      <c r="V638">
        <f t="shared" si="492"/>
        <v>-1.4920918210976819</v>
      </c>
      <c r="X638">
        <f t="shared" si="548"/>
        <v>-62.862131947429766</v>
      </c>
      <c r="Y638">
        <f t="shared" si="549"/>
        <v>-176.24493268661141</v>
      </c>
      <c r="Z638">
        <f t="shared" si="510"/>
        <v>3.7550673133885937</v>
      </c>
      <c r="AC638">
        <v>1</v>
      </c>
      <c r="AD638">
        <f t="shared" si="550"/>
        <v>739.88653809797995</v>
      </c>
      <c r="AE638">
        <f t="shared" si="551"/>
        <v>-1.9599527230867015</v>
      </c>
      <c r="AF638">
        <f t="shared" si="552"/>
        <v>0.15457641147648002</v>
      </c>
      <c r="AG638">
        <f t="shared" si="553"/>
        <v>29.081521426921832</v>
      </c>
      <c r="AH638">
        <f t="shared" si="554"/>
        <v>-375.20865284820388</v>
      </c>
      <c r="AJ638">
        <f t="shared" si="497"/>
        <v>22100</v>
      </c>
      <c r="AK638">
        <f t="shared" si="555"/>
        <v>17597.246698034643</v>
      </c>
      <c r="AL638">
        <v>13</v>
      </c>
      <c r="AM638">
        <f t="shared" si="556"/>
        <v>482.91260339805842</v>
      </c>
      <c r="AN638">
        <f t="shared" si="557"/>
        <v>37.644501664222915</v>
      </c>
      <c r="AO638">
        <f t="shared" si="558"/>
        <v>-44.750584942906855</v>
      </c>
      <c r="AQ638">
        <f t="shared" si="559"/>
        <v>6.5036419972447842E-5</v>
      </c>
      <c r="AR638">
        <f t="shared" si="560"/>
        <v>-0.80645160765835322</v>
      </c>
      <c r="AT638">
        <f t="shared" si="561"/>
        <v>-302.58572993871803</v>
      </c>
      <c r="AU638">
        <f t="shared" si="562"/>
        <v>-23.47724193541589</v>
      </c>
      <c r="AV638">
        <f t="shared" si="511"/>
        <v>-3.0641590604901263</v>
      </c>
      <c r="AW638">
        <f t="shared" si="512"/>
        <v>10.042667018455218</v>
      </c>
      <c r="AX638">
        <f t="shared" si="513"/>
        <v>-470.56282423095655</v>
      </c>
      <c r="AY638">
        <f t="shared" si="521"/>
        <v>-1.5494577462785339</v>
      </c>
      <c r="BA638">
        <f t="shared" si="502"/>
        <v>0.64481518513477731</v>
      </c>
      <c r="BB638">
        <f t="shared" si="514"/>
        <v>-3.8112948724902251</v>
      </c>
      <c r="BC638">
        <f t="shared" si="515"/>
        <v>-1.5147013142115924</v>
      </c>
      <c r="BD638">
        <f t="shared" si="503"/>
        <v>-266.78599262641086</v>
      </c>
      <c r="BF638">
        <f t="shared" si="504"/>
        <v>-82.841858343374724</v>
      </c>
      <c r="BG638">
        <f t="shared" si="505"/>
        <v>-228.81552693859607</v>
      </c>
      <c r="BH638">
        <f t="shared" si="516"/>
        <v>-48.815526938596065</v>
      </c>
      <c r="BI638">
        <f t="shared" si="517"/>
        <v>-48.815526938596065</v>
      </c>
      <c r="BJ638">
        <f t="shared" si="506"/>
        <v>0</v>
      </c>
      <c r="BK638">
        <f t="shared" si="518"/>
        <v>0</v>
      </c>
      <c r="BM638">
        <f t="shared" si="519"/>
        <v>-79.030563470884502</v>
      </c>
      <c r="BN638">
        <f t="shared" si="507"/>
        <v>-142.02953431218521</v>
      </c>
      <c r="BQ638" s="56">
        <f t="shared" si="520"/>
        <v>13.090665927794911</v>
      </c>
    </row>
    <row r="639" spans="1:69" x14ac:dyDescent="0.2">
      <c r="A639">
        <f t="shared" si="563"/>
        <v>6300000</v>
      </c>
      <c r="B639">
        <f t="shared" si="508"/>
        <v>6300</v>
      </c>
      <c r="C639">
        <f t="shared" si="539"/>
        <v>1.2754447680924583</v>
      </c>
      <c r="D639">
        <f t="shared" si="540"/>
        <v>0.66964797051375835</v>
      </c>
      <c r="F639">
        <f t="shared" si="541"/>
        <v>5.6947165288923557E-6</v>
      </c>
      <c r="G639">
        <f t="shared" si="542"/>
        <v>8.2060117175553852E-4</v>
      </c>
      <c r="H639">
        <f t="shared" si="481"/>
        <v>-3.1407720488282447</v>
      </c>
      <c r="J639">
        <f t="shared" si="482"/>
        <v>15</v>
      </c>
      <c r="M639">
        <f t="shared" si="543"/>
        <v>2.880816829720656E-4</v>
      </c>
      <c r="N639">
        <f t="shared" si="484"/>
        <v>-1.5707963250000001</v>
      </c>
      <c r="O639">
        <f t="shared" si="544"/>
        <v>751.82085699061145</v>
      </c>
      <c r="P639">
        <f t="shared" si="486"/>
        <v>1.5694662223084823</v>
      </c>
      <c r="Q639">
        <f t="shared" si="545"/>
        <v>490.70253530440181</v>
      </c>
      <c r="R639">
        <f t="shared" si="488"/>
        <v>1.5687584308799103</v>
      </c>
      <c r="S639">
        <f t="shared" si="546"/>
        <v>0.7774066026017048</v>
      </c>
      <c r="T639">
        <f t="shared" si="490"/>
        <v>-0.68026413942160346</v>
      </c>
      <c r="U639">
        <f t="shared" si="547"/>
        <v>7.7382820806235236E-2</v>
      </c>
      <c r="V639">
        <f t="shared" si="492"/>
        <v>-1.4933360677809229</v>
      </c>
      <c r="X639">
        <f t="shared" si="548"/>
        <v>-63.140677497091751</v>
      </c>
      <c r="Y639">
        <f t="shared" si="549"/>
        <v>-176.31607086907067</v>
      </c>
      <c r="Z639">
        <f t="shared" si="510"/>
        <v>3.6839291309293287</v>
      </c>
      <c r="AC639">
        <v>1</v>
      </c>
      <c r="AD639">
        <f t="shared" si="550"/>
        <v>751.82019193827</v>
      </c>
      <c r="AE639">
        <f t="shared" si="551"/>
        <v>-2.0236868777136108</v>
      </c>
      <c r="AF639">
        <f t="shared" si="552"/>
        <v>0.15706957940352004</v>
      </c>
      <c r="AG639">
        <f t="shared" si="553"/>
        <v>28.171110166507827</v>
      </c>
      <c r="AH639">
        <f t="shared" si="554"/>
        <v>-369.32362202076632</v>
      </c>
      <c r="AJ639">
        <f t="shared" si="497"/>
        <v>22100</v>
      </c>
      <c r="AK639">
        <f t="shared" si="555"/>
        <v>17881.073257680364</v>
      </c>
      <c r="AL639">
        <v>14</v>
      </c>
      <c r="AM639">
        <f t="shared" si="556"/>
        <v>490.70151635609164</v>
      </c>
      <c r="AN639">
        <f t="shared" si="557"/>
        <v>37.694081702837956</v>
      </c>
      <c r="AO639">
        <f t="shared" si="558"/>
        <v>-43.962127968045081</v>
      </c>
      <c r="AQ639">
        <f t="shared" si="559"/>
        <v>6.2988157829502655E-5</v>
      </c>
      <c r="AR639">
        <f t="shared" si="560"/>
        <v>-0.79365078865173355</v>
      </c>
      <c r="AT639">
        <f t="shared" si="561"/>
        <v>-293.11220943816255</v>
      </c>
      <c r="AU639">
        <f t="shared" si="562"/>
        <v>-22.381286815437814</v>
      </c>
      <c r="AV639">
        <f t="shared" si="511"/>
        <v>-3.0653831339830351</v>
      </c>
      <c r="AW639">
        <f t="shared" si="512"/>
        <v>11.064921742621447</v>
      </c>
      <c r="AX639">
        <f t="shared" si="513"/>
        <v>-463.09737644861303</v>
      </c>
      <c r="AY639">
        <f t="shared" si="521"/>
        <v>-1.546907578099006</v>
      </c>
      <c r="BA639">
        <f t="shared" si="502"/>
        <v>0.6345999695980864</v>
      </c>
      <c r="BB639">
        <f t="shared" si="514"/>
        <v>-3.9499990608288549</v>
      </c>
      <c r="BC639">
        <f t="shared" si="515"/>
        <v>-1.518475555884029</v>
      </c>
      <c r="BD639">
        <f t="shared" si="503"/>
        <v>-267.002240745351</v>
      </c>
      <c r="BF639">
        <f t="shared" si="504"/>
        <v>-83.205498533143498</v>
      </c>
      <c r="BG639">
        <f t="shared" si="505"/>
        <v>-228.58722124771097</v>
      </c>
      <c r="BH639">
        <f t="shared" si="516"/>
        <v>-48.587221247710971</v>
      </c>
      <c r="BI639">
        <f t="shared" si="517"/>
        <v>-48.587221247710971</v>
      </c>
      <c r="BJ639">
        <f t="shared" si="506"/>
        <v>0</v>
      </c>
      <c r="BK639">
        <f t="shared" si="518"/>
        <v>0</v>
      </c>
      <c r="BM639">
        <f t="shared" si="519"/>
        <v>-79.255499472314639</v>
      </c>
      <c r="BN639">
        <f t="shared" si="507"/>
        <v>-141.58498050236</v>
      </c>
      <c r="BQ639" s="56">
        <f t="shared" si="520"/>
        <v>12.951961739456282</v>
      </c>
    </row>
    <row r="640" spans="1:69" x14ac:dyDescent="0.2">
      <c r="A640">
        <f t="shared" si="563"/>
        <v>6400000</v>
      </c>
      <c r="B640">
        <f t="shared" si="508"/>
        <v>6400</v>
      </c>
      <c r="C640">
        <f t="shared" si="539"/>
        <v>1.2832826627643676</v>
      </c>
      <c r="D640">
        <f t="shared" si="540"/>
        <v>0.6773256529808428</v>
      </c>
      <c r="F640">
        <f t="shared" si="541"/>
        <v>5.5181460286330591E-6</v>
      </c>
      <c r="G640">
        <f t="shared" si="542"/>
        <v>8.0777914090460396E-4</v>
      </c>
      <c r="H640">
        <f t="shared" si="481"/>
        <v>-3.1407848708590955</v>
      </c>
      <c r="J640">
        <f t="shared" si="482"/>
        <v>15</v>
      </c>
      <c r="M640">
        <f t="shared" si="543"/>
        <v>2.8358040667562706E-4</v>
      </c>
      <c r="N640">
        <f t="shared" si="484"/>
        <v>-1.5707963250000001</v>
      </c>
      <c r="O640">
        <f t="shared" si="544"/>
        <v>763.75450043946762</v>
      </c>
      <c r="P640">
        <f t="shared" si="486"/>
        <v>1.5694870051671417</v>
      </c>
      <c r="Q640">
        <f t="shared" si="545"/>
        <v>498.49143234139996</v>
      </c>
      <c r="R640">
        <f t="shared" si="488"/>
        <v>1.5687902729174767</v>
      </c>
      <c r="S640">
        <f t="shared" si="546"/>
        <v>0.77253198961230207</v>
      </c>
      <c r="T640">
        <f t="shared" si="490"/>
        <v>-0.68797725363693363</v>
      </c>
      <c r="U640">
        <f t="shared" si="547"/>
        <v>7.6180786658632371E-2</v>
      </c>
      <c r="V640">
        <f t="shared" si="492"/>
        <v>-1.4945416610103748</v>
      </c>
      <c r="X640">
        <f t="shared" si="548"/>
        <v>-63.414871960244497</v>
      </c>
      <c r="Y640">
        <f t="shared" si="549"/>
        <v>-176.38489582644317</v>
      </c>
      <c r="Z640">
        <f t="shared" si="510"/>
        <v>3.6151041735568299</v>
      </c>
      <c r="AC640">
        <v>1</v>
      </c>
      <c r="AD640">
        <f t="shared" si="550"/>
        <v>763.75384577856005</v>
      </c>
      <c r="AE640">
        <f t="shared" si="551"/>
        <v>-2.0884407788145505</v>
      </c>
      <c r="AF640">
        <f t="shared" si="552"/>
        <v>0.15956274733056003</v>
      </c>
      <c r="AG640">
        <f t="shared" si="553"/>
        <v>27.302709877081309</v>
      </c>
      <c r="AH640">
        <f t="shared" si="554"/>
        <v>-363.61928865038533</v>
      </c>
      <c r="AJ640">
        <f t="shared" si="497"/>
        <v>22100</v>
      </c>
      <c r="AK640">
        <f t="shared" si="555"/>
        <v>18164.899817326084</v>
      </c>
      <c r="AL640">
        <v>15</v>
      </c>
      <c r="AM640">
        <f t="shared" si="556"/>
        <v>498.49042931412481</v>
      </c>
      <c r="AN640">
        <f t="shared" si="557"/>
        <v>37.739688015868772</v>
      </c>
      <c r="AO640">
        <f t="shared" si="558"/>
        <v>-43.198230925698141</v>
      </c>
      <c r="AQ640">
        <f t="shared" si="559"/>
        <v>6.1035155877470973E-5</v>
      </c>
      <c r="AR640">
        <f t="shared" si="560"/>
        <v>-0.78124999523162841</v>
      </c>
      <c r="AT640">
        <f t="shared" si="561"/>
        <v>-284.07590109908841</v>
      </c>
      <c r="AU640">
        <f t="shared" si="562"/>
        <v>-21.352435521243141</v>
      </c>
      <c r="AV640">
        <f t="shared" si="511"/>
        <v>-3.066569184433185</v>
      </c>
      <c r="AW640">
        <f t="shared" si="512"/>
        <v>12.036259510415634</v>
      </c>
      <c r="AX640">
        <f t="shared" si="513"/>
        <v>-455.85935111612258</v>
      </c>
      <c r="AY640">
        <f t="shared" si="521"/>
        <v>-1.544399010044351</v>
      </c>
      <c r="BA640">
        <f t="shared" si="502"/>
        <v>0.62470583331456875</v>
      </c>
      <c r="BB640">
        <f t="shared" si="514"/>
        <v>-4.0864887744843861</v>
      </c>
      <c r="BC640">
        <f t="shared" si="515"/>
        <v>-1.5221701743888341</v>
      </c>
      <c r="BD640">
        <f t="shared" si="503"/>
        <v>-267.21392679282917</v>
      </c>
      <c r="BF640">
        <f t="shared" si="504"/>
        <v>-83.56235327056369</v>
      </c>
      <c r="BG640">
        <f t="shared" si="505"/>
        <v>-228.35974314113432</v>
      </c>
      <c r="BH640">
        <f t="shared" si="516"/>
        <v>-48.359743141134317</v>
      </c>
      <c r="BI640">
        <f t="shared" si="517"/>
        <v>-48.359743141134317</v>
      </c>
      <c r="BJ640">
        <f t="shared" si="506"/>
        <v>0</v>
      </c>
      <c r="BK640">
        <f t="shared" si="518"/>
        <v>0</v>
      </c>
      <c r="BM640">
        <f t="shared" si="519"/>
        <v>-79.475864496079311</v>
      </c>
      <c r="BN640">
        <f t="shared" si="507"/>
        <v>-141.1458163483052</v>
      </c>
      <c r="BQ640" s="56">
        <f t="shared" si="520"/>
        <v>12.81547202580075</v>
      </c>
    </row>
    <row r="641" spans="1:69" x14ac:dyDescent="0.2">
      <c r="A641">
        <f t="shared" si="563"/>
        <v>6500000</v>
      </c>
      <c r="B641">
        <f t="shared" si="508"/>
        <v>6500</v>
      </c>
      <c r="C641">
        <f t="shared" si="539"/>
        <v>1.291195281895384</v>
      </c>
      <c r="D641">
        <f t="shared" si="540"/>
        <v>0.68490967821558058</v>
      </c>
      <c r="F641">
        <f t="shared" si="541"/>
        <v>5.3496621387082774E-6</v>
      </c>
      <c r="G641">
        <f t="shared" si="542"/>
        <v>7.953516402821279E-4</v>
      </c>
      <c r="H641">
        <f t="shared" si="481"/>
        <v>-3.1407972983597179</v>
      </c>
      <c r="J641">
        <f t="shared" si="482"/>
        <v>15</v>
      </c>
      <c r="M641">
        <f t="shared" si="543"/>
        <v>2.7921763118830974E-4</v>
      </c>
      <c r="N641">
        <f t="shared" si="484"/>
        <v>-1.5707963250000001</v>
      </c>
      <c r="O641">
        <f t="shared" si="544"/>
        <v>775.68814420805984</v>
      </c>
      <c r="P641">
        <f t="shared" si="486"/>
        <v>1.5695071485543064</v>
      </c>
      <c r="Q641">
        <f t="shared" si="545"/>
        <v>506.28032986827458</v>
      </c>
      <c r="R641">
        <f t="shared" si="488"/>
        <v>1.5688211352039241</v>
      </c>
      <c r="S641">
        <f t="shared" si="546"/>
        <v>0.76767330799625888</v>
      </c>
      <c r="T641">
        <f t="shared" si="490"/>
        <v>-0.69559379615645645</v>
      </c>
      <c r="U641">
        <f t="shared" si="547"/>
        <v>7.5015421066745816E-2</v>
      </c>
      <c r="V641">
        <f t="shared" si="492"/>
        <v>-1.4957103710868533</v>
      </c>
      <c r="X641">
        <f t="shared" si="548"/>
        <v>-63.684848352177156</v>
      </c>
      <c r="Y641">
        <f t="shared" si="549"/>
        <v>-176.45151071806171</v>
      </c>
      <c r="Z641">
        <f t="shared" si="510"/>
        <v>3.5484892819382878</v>
      </c>
      <c r="AC641">
        <v>1</v>
      </c>
      <c r="AD641">
        <f t="shared" si="550"/>
        <v>775.68749961884998</v>
      </c>
      <c r="AE641">
        <f t="shared" si="551"/>
        <v>-2.1542144263895202</v>
      </c>
      <c r="AF641">
        <f t="shared" si="552"/>
        <v>0.16205591525760002</v>
      </c>
      <c r="AG641">
        <f t="shared" si="553"/>
        <v>26.473779723853593</v>
      </c>
      <c r="AH641">
        <f t="shared" si="554"/>
        <v>-358.08750399478129</v>
      </c>
      <c r="AJ641">
        <f t="shared" si="497"/>
        <v>22100</v>
      </c>
      <c r="AK641">
        <f t="shared" si="555"/>
        <v>18448.726376971801</v>
      </c>
      <c r="AL641">
        <v>16</v>
      </c>
      <c r="AM641">
        <f t="shared" si="556"/>
        <v>506.27934227215803</v>
      </c>
      <c r="AN641">
        <f t="shared" si="557"/>
        <v>37.781614165651753</v>
      </c>
      <c r="AO641">
        <f t="shared" si="558"/>
        <v>-42.457774549676067</v>
      </c>
      <c r="AQ641">
        <f t="shared" si="559"/>
        <v>5.9171597283008303E-5</v>
      </c>
      <c r="AR641">
        <f t="shared" si="560"/>
        <v>-0.76923076467910789</v>
      </c>
      <c r="AT641">
        <f t="shared" si="561"/>
        <v>-275.45035802410632</v>
      </c>
      <c r="AU641">
        <f t="shared" si="562"/>
        <v>-20.385634430504616</v>
      </c>
      <c r="AV641">
        <f t="shared" si="511"/>
        <v>-3.0677189530455684</v>
      </c>
      <c r="AW641">
        <f t="shared" si="512"/>
        <v>12.959888394299837</v>
      </c>
      <c r="AX641">
        <f t="shared" si="513"/>
        <v>-448.83867526707758</v>
      </c>
      <c r="AY641">
        <f t="shared" si="521"/>
        <v>-1.5419300787310188</v>
      </c>
      <c r="BA641">
        <f t="shared" si="502"/>
        <v>0.61511770309029412</v>
      </c>
      <c r="BB641">
        <f t="shared" si="514"/>
        <v>-4.2208354759844537</v>
      </c>
      <c r="BC641">
        <f t="shared" si="515"/>
        <v>-1.5257888743145496</v>
      </c>
      <c r="BD641">
        <f t="shared" si="503"/>
        <v>-267.42126302613383</v>
      </c>
      <c r="BF641">
        <f t="shared" si="504"/>
        <v>-83.912644591112695</v>
      </c>
      <c r="BG641">
        <f t="shared" si="505"/>
        <v>-228.13325877960773</v>
      </c>
      <c r="BH641">
        <f t="shared" si="516"/>
        <v>-48.133258779607729</v>
      </c>
      <c r="BI641">
        <f t="shared" si="517"/>
        <v>-48.133258779607729</v>
      </c>
      <c r="BJ641">
        <f t="shared" si="506"/>
        <v>0</v>
      </c>
      <c r="BK641">
        <f t="shared" si="518"/>
        <v>0</v>
      </c>
      <c r="BM641">
        <f t="shared" si="519"/>
        <v>-79.691809115128237</v>
      </c>
      <c r="BN641">
        <f t="shared" si="507"/>
        <v>-140.71199575347387</v>
      </c>
      <c r="BQ641" s="56">
        <f t="shared" si="520"/>
        <v>12.681125324300682</v>
      </c>
    </row>
    <row r="642" spans="1:69" x14ac:dyDescent="0.2">
      <c r="A642">
        <f t="shared" si="563"/>
        <v>6600000</v>
      </c>
      <c r="B642">
        <f t="shared" si="508"/>
        <v>6600</v>
      </c>
      <c r="C642">
        <f t="shared" si="539"/>
        <v>1.2991812601659198</v>
      </c>
      <c r="D642">
        <f t="shared" si="540"/>
        <v>0.69240089297259244</v>
      </c>
      <c r="F642">
        <f t="shared" si="541"/>
        <v>5.1887784896863766E-6</v>
      </c>
      <c r="G642">
        <f t="shared" si="542"/>
        <v>7.8330073632852334E-4</v>
      </c>
      <c r="H642">
        <f t="shared" si="481"/>
        <v>-3.1408093492636717</v>
      </c>
      <c r="J642">
        <f t="shared" si="482"/>
        <v>15</v>
      </c>
      <c r="M642">
        <f t="shared" si="543"/>
        <v>2.7498706101878988E-4</v>
      </c>
      <c r="N642">
        <f t="shared" si="484"/>
        <v>-1.5707963250000001</v>
      </c>
      <c r="O642">
        <f t="shared" si="544"/>
        <v>787.62178828185449</v>
      </c>
      <c r="P642">
        <f t="shared" si="486"/>
        <v>1.5695266815367988</v>
      </c>
      <c r="Q642">
        <f t="shared" si="545"/>
        <v>514.06922786275879</v>
      </c>
      <c r="R642">
        <f t="shared" si="488"/>
        <v>1.568851062273164</v>
      </c>
      <c r="S642">
        <f t="shared" si="546"/>
        <v>0.76283193431622731</v>
      </c>
      <c r="T642">
        <f t="shared" si="490"/>
        <v>-0.70311470213731575</v>
      </c>
      <c r="U642">
        <f t="shared" si="547"/>
        <v>7.3885075931339389E-2</v>
      </c>
      <c r="V642">
        <f t="shared" si="492"/>
        <v>-1.4968438620281108</v>
      </c>
      <c r="X642">
        <f t="shared" si="548"/>
        <v>-63.950733679963882</v>
      </c>
      <c r="Y642">
        <f t="shared" si="549"/>
        <v>-176.51601276071793</v>
      </c>
      <c r="Z642">
        <f t="shared" si="510"/>
        <v>3.4839872392820723</v>
      </c>
      <c r="AC642">
        <v>1</v>
      </c>
      <c r="AD642">
        <f t="shared" si="550"/>
        <v>787.62115345914003</v>
      </c>
      <c r="AE642">
        <f t="shared" si="551"/>
        <v>-2.2210078204385209</v>
      </c>
      <c r="AF642">
        <f t="shared" si="552"/>
        <v>0.16454908318464001</v>
      </c>
      <c r="AG642">
        <f t="shared" si="553"/>
        <v>25.681967749384398</v>
      </c>
      <c r="AH642">
        <f t="shared" si="554"/>
        <v>-352.72059918137791</v>
      </c>
      <c r="AJ642">
        <f t="shared" si="497"/>
        <v>22100</v>
      </c>
      <c r="AK642">
        <f t="shared" si="555"/>
        <v>18732.552936617521</v>
      </c>
      <c r="AL642">
        <v>17</v>
      </c>
      <c r="AM642">
        <f t="shared" si="556"/>
        <v>514.0682552301912</v>
      </c>
      <c r="AN642">
        <f t="shared" si="557"/>
        <v>37.820129408072845</v>
      </c>
      <c r="AO642">
        <f t="shared" si="558"/>
        <v>-41.739705927678131</v>
      </c>
      <c r="AQ642">
        <f t="shared" si="559"/>
        <v>5.7392102517262957E-5</v>
      </c>
      <c r="AR642">
        <f t="shared" si="560"/>
        <v>-0.75757575322787107</v>
      </c>
      <c r="AT642">
        <f t="shared" si="561"/>
        <v>-267.21109966169246</v>
      </c>
      <c r="AU642">
        <f t="shared" si="562"/>
        <v>-19.476279438901948</v>
      </c>
      <c r="AV642">
        <f t="shared" si="511"/>
        <v>-3.0688340765054924</v>
      </c>
      <c r="AW642">
        <f t="shared" si="512"/>
        <v>13.838771631682222</v>
      </c>
      <c r="AX642">
        <f t="shared" si="513"/>
        <v>-442.02585203921268</v>
      </c>
      <c r="AY642">
        <f t="shared" si="521"/>
        <v>-1.5394989427329802</v>
      </c>
      <c r="BA642">
        <f t="shared" si="502"/>
        <v>0.6058214417826312</v>
      </c>
      <c r="BB642">
        <f t="shared" si="514"/>
        <v>-4.3531071957289358</v>
      </c>
      <c r="BC642">
        <f t="shared" si="515"/>
        <v>-1.5293351337725123</v>
      </c>
      <c r="BD642">
        <f t="shared" si="503"/>
        <v>-267.62444872636564</v>
      </c>
      <c r="BF642">
        <f t="shared" si="504"/>
        <v>-84.256584445099435</v>
      </c>
      <c r="BG642">
        <f t="shared" si="505"/>
        <v>-227.9079199562828</v>
      </c>
      <c r="BH642">
        <f t="shared" si="516"/>
        <v>-47.907919956282797</v>
      </c>
      <c r="BI642">
        <f t="shared" si="517"/>
        <v>-47.907919956282797</v>
      </c>
      <c r="BJ642">
        <f t="shared" si="506"/>
        <v>0</v>
      </c>
      <c r="BK642">
        <f t="shared" si="518"/>
        <v>0</v>
      </c>
      <c r="BM642">
        <f t="shared" si="519"/>
        <v>-79.903477249370496</v>
      </c>
      <c r="BN642">
        <f t="shared" si="507"/>
        <v>-140.28347122991715</v>
      </c>
      <c r="BQ642" s="56">
        <f t="shared" si="520"/>
        <v>12.5488536045562</v>
      </c>
    </row>
    <row r="643" spans="1:69" x14ac:dyDescent="0.2">
      <c r="A643">
        <f t="shared" si="563"/>
        <v>6700000</v>
      </c>
      <c r="B643">
        <f t="shared" si="508"/>
        <v>6700</v>
      </c>
      <c r="C643">
        <f t="shared" si="539"/>
        <v>1.3072392531146806</v>
      </c>
      <c r="D643">
        <f t="shared" si="540"/>
        <v>0.69980016507965359</v>
      </c>
      <c r="F643">
        <f t="shared" si="541"/>
        <v>5.0350447357451555E-6</v>
      </c>
      <c r="G643">
        <f t="shared" si="542"/>
        <v>7.7160956617128241E-4</v>
      </c>
      <c r="H643">
        <f t="shared" si="481"/>
        <v>-3.140821040433829</v>
      </c>
      <c r="J643">
        <f t="shared" si="482"/>
        <v>15</v>
      </c>
      <c r="M643">
        <f t="shared" si="543"/>
        <v>2.7088277652597212E-4</v>
      </c>
      <c r="N643">
        <f t="shared" si="484"/>
        <v>-1.5707963250000001</v>
      </c>
      <c r="O643">
        <f t="shared" si="544"/>
        <v>799.55543264718608</v>
      </c>
      <c r="P643">
        <f t="shared" si="486"/>
        <v>1.5695456314461129</v>
      </c>
      <c r="Q643">
        <f t="shared" si="545"/>
        <v>521.8581263039149</v>
      </c>
      <c r="R643">
        <f t="shared" si="488"/>
        <v>1.5688800960003837</v>
      </c>
      <c r="S643">
        <f t="shared" si="546"/>
        <v>0.75800917078038954</v>
      </c>
      <c r="T643">
        <f t="shared" si="490"/>
        <v>-0.71054092668102542</v>
      </c>
      <c r="U643">
        <f t="shared" si="547"/>
        <v>7.2788200197287711E-2</v>
      </c>
      <c r="V643">
        <f t="shared" si="492"/>
        <v>-1.4979436994128423</v>
      </c>
      <c r="X643">
        <f t="shared" si="548"/>
        <v>-64.212649299492682</v>
      </c>
      <c r="Y643">
        <f t="shared" si="549"/>
        <v>-176.57849365680121</v>
      </c>
      <c r="Z643">
        <f t="shared" si="510"/>
        <v>3.4215063431987858</v>
      </c>
      <c r="AC643">
        <v>1</v>
      </c>
      <c r="AD643">
        <f t="shared" si="550"/>
        <v>799.55480729942997</v>
      </c>
      <c r="AE643">
        <f t="shared" si="551"/>
        <v>-2.288820960961552</v>
      </c>
      <c r="AF643">
        <f t="shared" si="552"/>
        <v>0.16704225111168003</v>
      </c>
      <c r="AG643">
        <f t="shared" si="553"/>
        <v>24.925094301848432</v>
      </c>
      <c r="AH643">
        <f t="shared" si="554"/>
        <v>-347.51135060556601</v>
      </c>
      <c r="AJ643">
        <f t="shared" si="497"/>
        <v>22100</v>
      </c>
      <c r="AK643">
        <f t="shared" si="555"/>
        <v>19016.379496263242</v>
      </c>
      <c r="AL643">
        <v>18</v>
      </c>
      <c r="AM643">
        <f t="shared" si="556"/>
        <v>521.85716818822436</v>
      </c>
      <c r="AN643">
        <f t="shared" si="557"/>
        <v>37.855480976746605</v>
      </c>
      <c r="AO643">
        <f t="shared" si="558"/>
        <v>-41.043033703607698</v>
      </c>
      <c r="AQ643">
        <f t="shared" si="559"/>
        <v>5.5691690489576241E-5</v>
      </c>
      <c r="AR643">
        <f t="shared" si="560"/>
        <v>-0.7462686525603216</v>
      </c>
      <c r="AT643">
        <f t="shared" si="561"/>
        <v>-259.33543924519597</v>
      </c>
      <c r="AU643">
        <f t="shared" si="562"/>
        <v>-18.620170034158921</v>
      </c>
      <c r="AV643">
        <f t="shared" si="511"/>
        <v>-3.0699160946909894</v>
      </c>
      <c r="AW643">
        <f t="shared" si="512"/>
        <v>14.675649502359599</v>
      </c>
      <c r="AX643">
        <f t="shared" si="513"/>
        <v>-435.41192085554883</v>
      </c>
      <c r="AY643">
        <f t="shared" si="521"/>
        <v>-1.5371038732710498</v>
      </c>
      <c r="BA643">
        <f t="shared" si="502"/>
        <v>0.59680377625759351</v>
      </c>
      <c r="BB643">
        <f t="shared" si="514"/>
        <v>-4.483368750833538</v>
      </c>
      <c r="BC643">
        <f t="shared" si="515"/>
        <v>-1.5328122214199396</v>
      </c>
      <c r="BD643">
        <f t="shared" si="503"/>
        <v>-267.82367117378794</v>
      </c>
      <c r="BF643">
        <f t="shared" si="504"/>
        <v>-84.594375295382974</v>
      </c>
      <c r="BG643">
        <f t="shared" si="505"/>
        <v>-227.68386519472554</v>
      </c>
      <c r="BH643">
        <f t="shared" si="516"/>
        <v>-47.683865194725541</v>
      </c>
      <c r="BI643">
        <f t="shared" si="517"/>
        <v>-47.683865194725541</v>
      </c>
      <c r="BJ643">
        <f t="shared" si="506"/>
        <v>0</v>
      </c>
      <c r="BK643">
        <f t="shared" si="518"/>
        <v>0</v>
      </c>
      <c r="BM643">
        <f t="shared" si="519"/>
        <v>-80.111006544549426</v>
      </c>
      <c r="BN643">
        <f t="shared" si="507"/>
        <v>-139.8601940209376</v>
      </c>
      <c r="BQ643" s="56">
        <f t="shared" si="520"/>
        <v>12.418592049451597</v>
      </c>
    </row>
    <row r="644" spans="1:69" x14ac:dyDescent="0.2">
      <c r="A644">
        <f t="shared" si="563"/>
        <v>6800000</v>
      </c>
      <c r="B644">
        <f t="shared" si="508"/>
        <v>6800</v>
      </c>
      <c r="C644">
        <f t="shared" si="539"/>
        <v>1.3153679372485332</v>
      </c>
      <c r="D644">
        <f t="shared" si="540"/>
        <v>0.70710838146726074</v>
      </c>
      <c r="F644">
        <f t="shared" si="541"/>
        <v>4.8880433996945306E-6</v>
      </c>
      <c r="G644">
        <f t="shared" si="542"/>
        <v>7.6026225889567122E-4</v>
      </c>
      <c r="H644">
        <f t="shared" si="481"/>
        <v>-3.1408323877411046</v>
      </c>
      <c r="J644">
        <f t="shared" si="482"/>
        <v>15</v>
      </c>
      <c r="M644">
        <f t="shared" si="543"/>
        <v>2.6689920628294311E-4</v>
      </c>
      <c r="N644">
        <f t="shared" si="484"/>
        <v>-1.5707963250000001</v>
      </c>
      <c r="O644">
        <f t="shared" si="544"/>
        <v>811.48907729119264</v>
      </c>
      <c r="P644">
        <f t="shared" si="486"/>
        <v>1.5695640240060122</v>
      </c>
      <c r="Q644">
        <f t="shared" si="545"/>
        <v>529.64702517203671</v>
      </c>
      <c r="R644">
        <f t="shared" si="488"/>
        <v>1.5689082757975401</v>
      </c>
      <c r="S644">
        <f t="shared" si="546"/>
        <v>0.75320624740106734</v>
      </c>
      <c r="T644">
        <f t="shared" si="490"/>
        <v>-0.71787344277006437</v>
      </c>
      <c r="U644">
        <f t="shared" si="547"/>
        <v>7.1723332833380102E-2</v>
      </c>
      <c r="V644">
        <f t="shared" si="492"/>
        <v>-1.4990113575413115</v>
      </c>
      <c r="X644">
        <f t="shared" si="548"/>
        <v>-64.47071124638596</v>
      </c>
      <c r="Y644">
        <f t="shared" si="549"/>
        <v>-176.63903998524449</v>
      </c>
      <c r="Z644">
        <f t="shared" si="510"/>
        <v>3.3609600147555057</v>
      </c>
      <c r="AC644">
        <v>1</v>
      </c>
      <c r="AD644">
        <f t="shared" si="550"/>
        <v>811.48846113972002</v>
      </c>
      <c r="AE644">
        <f t="shared" si="551"/>
        <v>-2.3576538479586135</v>
      </c>
      <c r="AF644">
        <f t="shared" si="552"/>
        <v>0.16953541903872005</v>
      </c>
      <c r="AG644">
        <f t="shared" si="553"/>
        <v>24.201137132177504</v>
      </c>
      <c r="AH644">
        <f t="shared" si="554"/>
        <v>-342.45294826205361</v>
      </c>
      <c r="AJ644">
        <f t="shared" si="497"/>
        <v>22100</v>
      </c>
      <c r="AK644">
        <f t="shared" si="555"/>
        <v>19300.206055908962</v>
      </c>
      <c r="AL644">
        <v>19</v>
      </c>
      <c r="AM644">
        <f t="shared" si="556"/>
        <v>529.64608114625764</v>
      </c>
      <c r="AN644">
        <f t="shared" si="557"/>
        <v>37.887896125868714</v>
      </c>
      <c r="AO644">
        <f t="shared" si="558"/>
        <v>-40.366823685993701</v>
      </c>
      <c r="AQ644">
        <f t="shared" si="559"/>
        <v>5.4065743652326213E-5</v>
      </c>
      <c r="AR644">
        <f t="shared" si="560"/>
        <v>-0.73529411367163655</v>
      </c>
      <c r="AT644">
        <f t="shared" si="561"/>
        <v>-251.80232861410923</v>
      </c>
      <c r="AU644">
        <f t="shared" si="562"/>
        <v>-17.813468650763909</v>
      </c>
      <c r="AV644">
        <f t="shared" si="511"/>
        <v>-3.0709664577134603</v>
      </c>
      <c r="AW644">
        <f t="shared" si="512"/>
        <v>15.473058974014323</v>
      </c>
      <c r="AX644">
        <f t="shared" si="513"/>
        <v>-428.98842078913322</v>
      </c>
      <c r="AY644">
        <f t="shared" si="521"/>
        <v>-1.5347432457427086</v>
      </c>
      <c r="BA644">
        <f t="shared" si="502"/>
        <v>0.58805223193988931</v>
      </c>
      <c r="BB644">
        <f t="shared" si="514"/>
        <v>-4.6116819466465211</v>
      </c>
      <c r="BC644">
        <f t="shared" si="515"/>
        <v>-1.5362232119707517</v>
      </c>
      <c r="BD644">
        <f t="shared" si="503"/>
        <v>-268.01910653653181</v>
      </c>
      <c r="BF644">
        <f t="shared" si="504"/>
        <v>-84.926210670554724</v>
      </c>
      <c r="BG644">
        <f t="shared" si="505"/>
        <v>-227.46122075502919</v>
      </c>
      <c r="BH644">
        <f t="shared" si="516"/>
        <v>-47.461220755029188</v>
      </c>
      <c r="BI644">
        <f t="shared" si="517"/>
        <v>-47.461220755029188</v>
      </c>
      <c r="BJ644">
        <f t="shared" si="506"/>
        <v>0</v>
      </c>
      <c r="BK644">
        <f t="shared" si="518"/>
        <v>0</v>
      </c>
      <c r="BM644">
        <f t="shared" si="519"/>
        <v>-80.314528723908211</v>
      </c>
      <c r="BN644">
        <f t="shared" si="507"/>
        <v>-139.44211421849738</v>
      </c>
      <c r="BQ644" s="56">
        <f t="shared" si="520"/>
        <v>12.290278853638616</v>
      </c>
    </row>
    <row r="645" spans="1:69" x14ac:dyDescent="0.2">
      <c r="A645">
        <f t="shared" si="563"/>
        <v>6900000</v>
      </c>
      <c r="B645">
        <f t="shared" si="508"/>
        <v>6900</v>
      </c>
      <c r="C645">
        <f t="shared" si="539"/>
        <v>1.323566010117821</v>
      </c>
      <c r="D645">
        <f t="shared" si="540"/>
        <v>0.71432644628149777</v>
      </c>
      <c r="F645">
        <f t="shared" si="541"/>
        <v>4.7473870357244649E-6</v>
      </c>
      <c r="G645">
        <f t="shared" si="542"/>
        <v>7.4924386366168223E-4</v>
      </c>
      <c r="H645">
        <f t="shared" si="481"/>
        <v>-3.1408434061363386</v>
      </c>
      <c r="J645">
        <f t="shared" si="482"/>
        <v>15</v>
      </c>
      <c r="M645">
        <f t="shared" si="543"/>
        <v>2.6303110184405993E-4</v>
      </c>
      <c r="N645">
        <f t="shared" si="484"/>
        <v>-1.5707963250000001</v>
      </c>
      <c r="O645">
        <f t="shared" si="544"/>
        <v>823.42272220175778</v>
      </c>
      <c r="P645">
        <f t="shared" si="486"/>
        <v>1.5695818834490314</v>
      </c>
      <c r="Q645">
        <f t="shared" si="545"/>
        <v>537.43592444856074</v>
      </c>
      <c r="R645">
        <f t="shared" si="488"/>
        <v>1.5689356387918516</v>
      </c>
      <c r="S645">
        <f t="shared" si="546"/>
        <v>0.74842432417537141</v>
      </c>
      <c r="T645">
        <f t="shared" si="490"/>
        <v>-0.72511323929783744</v>
      </c>
      <c r="U645">
        <f t="shared" si="547"/>
        <v>7.0689096411242783E-2</v>
      </c>
      <c r="V645">
        <f t="shared" si="492"/>
        <v>-1.5000482259809487</v>
      </c>
      <c r="X645">
        <f t="shared" si="548"/>
        <v>-64.725030543062516</v>
      </c>
      <c r="Y645">
        <f t="shared" si="549"/>
        <v>-176.69773355902583</v>
      </c>
      <c r="Z645">
        <f t="shared" si="510"/>
        <v>3.3022664409741651</v>
      </c>
      <c r="AC645">
        <v>1</v>
      </c>
      <c r="AD645">
        <f t="shared" si="550"/>
        <v>823.42211498000995</v>
      </c>
      <c r="AE645">
        <f t="shared" si="551"/>
        <v>-2.4275064814297052</v>
      </c>
      <c r="AF645">
        <f t="shared" si="552"/>
        <v>0.17202858696576004</v>
      </c>
      <c r="AG645">
        <f t="shared" si="553"/>
        <v>23.508217971059295</v>
      </c>
      <c r="AH645">
        <f t="shared" si="554"/>
        <v>-337.53896672514105</v>
      </c>
      <c r="AJ645">
        <f t="shared" si="497"/>
        <v>22100</v>
      </c>
      <c r="AK645">
        <f t="shared" si="555"/>
        <v>19584.032615554683</v>
      </c>
      <c r="AL645">
        <v>20</v>
      </c>
      <c r="AM645">
        <f t="shared" si="556"/>
        <v>537.43499410429081</v>
      </c>
      <c r="AN645">
        <f t="shared" si="557"/>
        <v>37.917583960058245</v>
      </c>
      <c r="AO645">
        <f t="shared" si="558"/>
        <v>-39.710194823408592</v>
      </c>
      <c r="AQ645">
        <f t="shared" si="559"/>
        <v>5.25099766198804E-5</v>
      </c>
      <c r="AR645">
        <f t="shared" si="560"/>
        <v>-0.72463767735434947</v>
      </c>
      <c r="AT645">
        <f t="shared" si="561"/>
        <v>-244.59221844831723</v>
      </c>
      <c r="AU645">
        <f t="shared" si="562"/>
        <v>-17.052664632539219</v>
      </c>
      <c r="AV645">
        <f t="shared" si="511"/>
        <v>-3.0719865323537214</v>
      </c>
      <c r="AW645">
        <f t="shared" si="512"/>
        <v>16.233351370845174</v>
      </c>
      <c r="AX645">
        <f t="shared" si="513"/>
        <v>-422.74735682649992</v>
      </c>
      <c r="AY645">
        <f t="shared" si="521"/>
        <v>-1.5324155320051764</v>
      </c>
      <c r="BA645">
        <f t="shared" si="502"/>
        <v>0.57955507325873423</v>
      </c>
      <c r="BB645">
        <f t="shared" si="514"/>
        <v>-4.7381057625700258</v>
      </c>
      <c r="BC645">
        <f t="shared" si="515"/>
        <v>-1.539571000348545</v>
      </c>
      <c r="BD645">
        <f t="shared" si="503"/>
        <v>-268.21092068150148</v>
      </c>
      <c r="BF645">
        <f t="shared" si="504"/>
        <v>-85.252275677593531</v>
      </c>
      <c r="BG645">
        <f t="shared" si="505"/>
        <v>-227.24010155696328</v>
      </c>
      <c r="BH645">
        <f t="shared" si="516"/>
        <v>-47.240101556963282</v>
      </c>
      <c r="BI645">
        <f t="shared" si="517"/>
        <v>-47.240101556963282</v>
      </c>
      <c r="BJ645">
        <f t="shared" si="506"/>
        <v>0</v>
      </c>
      <c r="BK645">
        <f t="shared" si="518"/>
        <v>0</v>
      </c>
      <c r="BM645">
        <f t="shared" si="519"/>
        <v>-80.514169915023501</v>
      </c>
      <c r="BN645">
        <f t="shared" si="507"/>
        <v>-139.0291808754618</v>
      </c>
      <c r="BQ645" s="56">
        <f t="shared" si="520"/>
        <v>12.163855037715109</v>
      </c>
    </row>
    <row r="646" spans="1:69" x14ac:dyDescent="0.2">
      <c r="A646">
        <f t="shared" si="563"/>
        <v>7000000</v>
      </c>
      <c r="B646">
        <f t="shared" si="508"/>
        <v>7000</v>
      </c>
      <c r="C646">
        <f t="shared" si="539"/>
        <v>1.3318321903592312</v>
      </c>
      <c r="D646">
        <f t="shared" si="540"/>
        <v>0.72145527907931939</v>
      </c>
      <c r="F646">
        <f t="shared" si="541"/>
        <v>4.6127156738294734E-6</v>
      </c>
      <c r="G646">
        <f t="shared" si="542"/>
        <v>7.385402839825909E-4</v>
      </c>
      <c r="H646">
        <f t="shared" si="481"/>
        <v>-3.1408541097160176</v>
      </c>
      <c r="J646">
        <f t="shared" si="482"/>
        <v>15</v>
      </c>
      <c r="M646">
        <f t="shared" si="543"/>
        <v>2.5927351467485907E-4</v>
      </c>
      <c r="N646">
        <f t="shared" si="484"/>
        <v>-1.5707963250000001</v>
      </c>
      <c r="O646">
        <f t="shared" si="544"/>
        <v>835.35636736745766</v>
      </c>
      <c r="P646">
        <f t="shared" si="486"/>
        <v>1.5695992326229919</v>
      </c>
      <c r="Q646">
        <f t="shared" si="545"/>
        <v>545.22482411598412</v>
      </c>
      <c r="R646">
        <f t="shared" si="488"/>
        <v>1.5689622199889941</v>
      </c>
      <c r="S646">
        <f t="shared" si="546"/>
        <v>0.74366449327896289</v>
      </c>
      <c r="T646">
        <f t="shared" si="490"/>
        <v>-0.73226131919058801</v>
      </c>
      <c r="U646">
        <f t="shared" si="547"/>
        <v>6.9684191224720193E-2</v>
      </c>
      <c r="V646">
        <f t="shared" si="492"/>
        <v>-1.5010556155575696</v>
      </c>
      <c r="X646">
        <f t="shared" si="548"/>
        <v>-64.975713483969145</v>
      </c>
      <c r="Y646">
        <f t="shared" si="549"/>
        <v>-176.75465175254863</v>
      </c>
      <c r="Z646">
        <f t="shared" si="510"/>
        <v>3.2453482474513748</v>
      </c>
      <c r="AC646">
        <v>1</v>
      </c>
      <c r="AD646">
        <f t="shared" si="550"/>
        <v>835.3557688203</v>
      </c>
      <c r="AE646">
        <f t="shared" si="551"/>
        <v>-2.4983788613748281</v>
      </c>
      <c r="AF646">
        <f t="shared" si="552"/>
        <v>0.17452175489280003</v>
      </c>
      <c r="AG646">
        <f t="shared" si="553"/>
        <v>22.84459042048093</v>
      </c>
      <c r="AH646">
        <f t="shared" si="554"/>
        <v>-332.7633385245735</v>
      </c>
      <c r="AJ646">
        <f t="shared" si="497"/>
        <v>22100</v>
      </c>
      <c r="AK646">
        <f t="shared" si="555"/>
        <v>19867.859175200403</v>
      </c>
      <c r="AL646">
        <v>21</v>
      </c>
      <c r="AM646">
        <f t="shared" si="556"/>
        <v>545.22390706232409</v>
      </c>
      <c r="AN646">
        <f t="shared" si="557"/>
        <v>37.944737075857645</v>
      </c>
      <c r="AO646">
        <f t="shared" si="558"/>
        <v>-39.072315511967901</v>
      </c>
      <c r="AQ646">
        <f t="shared" si="559"/>
        <v>5.1020407902957101E-5</v>
      </c>
      <c r="AR646">
        <f t="shared" si="560"/>
        <v>-0.71428571064139945</v>
      </c>
      <c r="AT646">
        <f t="shared" si="561"/>
        <v>-237.68693219310791</v>
      </c>
      <c r="AU646">
        <f t="shared" si="562"/>
        <v>-16.334542224071601</v>
      </c>
      <c r="AV646">
        <f t="shared" si="511"/>
        <v>-3.0729776079530637</v>
      </c>
      <c r="AW646">
        <f t="shared" si="512"/>
        <v>16.958708288232963</v>
      </c>
      <c r="AX646">
        <f t="shared" si="513"/>
        <v>-416.68116877269756</v>
      </c>
      <c r="AY646">
        <f t="shared" si="521"/>
        <v>-1.5301192933346963</v>
      </c>
      <c r="BA646">
        <f t="shared" si="502"/>
        <v>0.57130124937580162</v>
      </c>
      <c r="BB646">
        <f t="shared" si="514"/>
        <v>-4.8626965236403006</v>
      </c>
      <c r="BC646">
        <f t="shared" si="515"/>
        <v>-1.5428583146183674</v>
      </c>
      <c r="BD646">
        <f t="shared" si="503"/>
        <v>-268.3992699153107</v>
      </c>
      <c r="BF646">
        <f t="shared" si="504"/>
        <v>-85.572747477582823</v>
      </c>
      <c r="BG646">
        <f t="shared" si="505"/>
        <v>-227.02061202807812</v>
      </c>
      <c r="BH646">
        <f t="shared" si="516"/>
        <v>-47.020612028078119</v>
      </c>
      <c r="BI646">
        <f t="shared" si="517"/>
        <v>-47.020612028078119</v>
      </c>
      <c r="BJ646">
        <f t="shared" si="506"/>
        <v>0</v>
      </c>
      <c r="BK646">
        <f t="shared" si="518"/>
        <v>0</v>
      </c>
      <c r="BM646">
        <f t="shared" si="519"/>
        <v>-80.710050953942527</v>
      </c>
      <c r="BN646">
        <f t="shared" si="507"/>
        <v>-138.62134211276742</v>
      </c>
      <c r="BQ646" s="56">
        <f t="shared" si="520"/>
        <v>12.039264276644836</v>
      </c>
    </row>
    <row r="647" spans="1:69" x14ac:dyDescent="0.2">
      <c r="A647">
        <f t="shared" si="563"/>
        <v>7100000</v>
      </c>
      <c r="B647">
        <f t="shared" si="508"/>
        <v>7100</v>
      </c>
      <c r="C647">
        <f t="shared" si="539"/>
        <v>1.3401652177082646</v>
      </c>
      <c r="D647">
        <f t="shared" si="540"/>
        <v>0.72849581310513467</v>
      </c>
      <c r="F647">
        <f t="shared" si="541"/>
        <v>4.4836945143979473E-6</v>
      </c>
      <c r="G647">
        <f t="shared" si="542"/>
        <v>7.2813821755761279E-4</v>
      </c>
      <c r="H647">
        <f t="shared" si="481"/>
        <v>-3.1408645117824427</v>
      </c>
      <c r="J647">
        <f t="shared" si="482"/>
        <v>15</v>
      </c>
      <c r="M647">
        <f t="shared" si="543"/>
        <v>2.5562177503155118E-4</v>
      </c>
      <c r="N647">
        <f t="shared" si="484"/>
        <v>-1.5707963250000001</v>
      </c>
      <c r="O647">
        <f t="shared" si="544"/>
        <v>847.29001277751183</v>
      </c>
      <c r="P647">
        <f t="shared" si="486"/>
        <v>1.5696160930885172</v>
      </c>
      <c r="Q647">
        <f t="shared" si="545"/>
        <v>553.01372415778985</v>
      </c>
      <c r="R647">
        <f t="shared" si="488"/>
        <v>1.5689880524225035</v>
      </c>
      <c r="S647">
        <f t="shared" si="546"/>
        <v>0.73892778126475056</v>
      </c>
      <c r="T647">
        <f t="shared" si="490"/>
        <v>-0.7393186976196191</v>
      </c>
      <c r="U647">
        <f t="shared" si="547"/>
        <v>6.8707389897512711E-2</v>
      </c>
      <c r="V647">
        <f t="shared" si="492"/>
        <v>-1.5020347638461504</v>
      </c>
      <c r="X647">
        <f t="shared" si="548"/>
        <v>-65.222861900812305</v>
      </c>
      <c r="Y647">
        <f t="shared" si="549"/>
        <v>-176.80986780185208</v>
      </c>
      <c r="Z647">
        <f t="shared" si="510"/>
        <v>3.1901321981479214</v>
      </c>
      <c r="AC647">
        <v>1</v>
      </c>
      <c r="AD647">
        <f t="shared" si="550"/>
        <v>847.28942266059005</v>
      </c>
      <c r="AE647">
        <f t="shared" si="551"/>
        <v>-2.5702709877939816</v>
      </c>
      <c r="AF647">
        <f t="shared" si="552"/>
        <v>0.17701492281984002</v>
      </c>
      <c r="AG647">
        <f t="shared" si="553"/>
        <v>22.208629014960046</v>
      </c>
      <c r="AH647">
        <f t="shared" si="554"/>
        <v>-328.1203296907662</v>
      </c>
      <c r="AJ647">
        <f t="shared" si="497"/>
        <v>22100</v>
      </c>
      <c r="AK647">
        <f t="shared" si="555"/>
        <v>20151.685734846124</v>
      </c>
      <c r="AL647">
        <v>22</v>
      </c>
      <c r="AM647">
        <f t="shared" si="556"/>
        <v>553.01282002035725</v>
      </c>
      <c r="AN647">
        <f t="shared" si="557"/>
        <v>37.96953303642136</v>
      </c>
      <c r="AO647">
        <f t="shared" si="558"/>
        <v>-38.452400203698616</v>
      </c>
      <c r="AQ647">
        <f t="shared" si="559"/>
        <v>4.9593334409872377E-5</v>
      </c>
      <c r="AR647">
        <f t="shared" si="560"/>
        <v>-0.70422534862018771</v>
      </c>
      <c r="AT647">
        <f t="shared" si="561"/>
        <v>-231.06955216588523</v>
      </c>
      <c r="AU647">
        <f t="shared" si="562"/>
        <v>-15.656152091673686</v>
      </c>
      <c r="AV647">
        <f t="shared" si="511"/>
        <v>-3.0739409018123314</v>
      </c>
      <c r="AW647">
        <f t="shared" si="512"/>
        <v>17.651155948593054</v>
      </c>
      <c r="AX647">
        <f t="shared" si="513"/>
        <v>-410.78270256560614</v>
      </c>
      <c r="AY647">
        <f t="shared" si="521"/>
        <v>-1.5278531739938706</v>
      </c>
      <c r="BA647">
        <f t="shared" si="502"/>
        <v>0.56328034465392851</v>
      </c>
      <c r="BB647">
        <f t="shared" si="514"/>
        <v>-4.9855080591655234</v>
      </c>
      <c r="BC647">
        <f t="shared" si="515"/>
        <v>-1.5460877278184608</v>
      </c>
      <c r="BD647">
        <f t="shared" si="503"/>
        <v>-268.58430166219131</v>
      </c>
      <c r="BF647">
        <f t="shared" si="504"/>
        <v>-85.887795727709886</v>
      </c>
      <c r="BG647">
        <f t="shared" si="505"/>
        <v>-226.80284688380533</v>
      </c>
      <c r="BH647">
        <f t="shared" si="516"/>
        <v>-46.80284688380533</v>
      </c>
      <c r="BI647">
        <f t="shared" si="517"/>
        <v>-46.80284688380533</v>
      </c>
      <c r="BJ647">
        <f t="shared" si="506"/>
        <v>0</v>
      </c>
      <c r="BK647">
        <f t="shared" si="518"/>
        <v>0</v>
      </c>
      <c r="BM647">
        <f t="shared" si="519"/>
        <v>-80.902287668544361</v>
      </c>
      <c r="BN647">
        <f t="shared" si="507"/>
        <v>-138.21854522161408</v>
      </c>
      <c r="BQ647" s="56">
        <f t="shared" si="520"/>
        <v>11.916452741119613</v>
      </c>
    </row>
    <row r="648" spans="1:69" x14ac:dyDescent="0.2">
      <c r="A648">
        <f t="shared" si="563"/>
        <v>7200000</v>
      </c>
      <c r="B648">
        <f t="shared" si="508"/>
        <v>7200</v>
      </c>
      <c r="C648">
        <f t="shared" si="539"/>
        <v>1.3485638529832862</v>
      </c>
      <c r="D648">
        <f t="shared" si="540"/>
        <v>0.73544899364737049</v>
      </c>
      <c r="F648">
        <f t="shared" si="541"/>
        <v>4.3600118453657093E-6</v>
      </c>
      <c r="G648">
        <f t="shared" si="542"/>
        <v>7.180251011186593E-4</v>
      </c>
      <c r="H648">
        <f t="shared" si="481"/>
        <v>-3.1408746248988817</v>
      </c>
      <c r="J648">
        <f t="shared" si="482"/>
        <v>15</v>
      </c>
      <c r="M648">
        <f t="shared" si="543"/>
        <v>2.5207147260055741E-4</v>
      </c>
      <c r="N648">
        <f t="shared" si="484"/>
        <v>-1.5707963250000001</v>
      </c>
      <c r="O648">
        <f t="shared" si="544"/>
        <v>859.22365842173917</v>
      </c>
      <c r="P648">
        <f t="shared" si="486"/>
        <v>1.5696324852084214</v>
      </c>
      <c r="Q648">
        <f t="shared" si="545"/>
        <v>560.80262455837874</v>
      </c>
      <c r="R648">
        <f t="shared" si="488"/>
        <v>1.5690131672907295</v>
      </c>
      <c r="S648">
        <f t="shared" si="546"/>
        <v>0.73421515125907322</v>
      </c>
      <c r="T648">
        <f t="shared" si="490"/>
        <v>-0.7462864003019779</v>
      </c>
      <c r="U648">
        <f t="shared" si="547"/>
        <v>6.775753243253739E-2</v>
      </c>
      <c r="V648">
        <f t="shared" si="492"/>
        <v>-1.5029868402091768</v>
      </c>
      <c r="X648">
        <f t="shared" si="548"/>
        <v>-65.466573409444734</v>
      </c>
      <c r="Y648">
        <f t="shared" si="549"/>
        <v>-176.86345108027697</v>
      </c>
      <c r="Z648">
        <f t="shared" si="510"/>
        <v>3.1365489197230261</v>
      </c>
      <c r="AC648">
        <v>1</v>
      </c>
      <c r="AD648">
        <f t="shared" si="550"/>
        <v>859.22307650087998</v>
      </c>
      <c r="AE648">
        <f t="shared" si="551"/>
        <v>-2.6431828606871655</v>
      </c>
      <c r="AF648">
        <f t="shared" si="552"/>
        <v>0.17950809074688004</v>
      </c>
      <c r="AG648">
        <f t="shared" si="553"/>
        <v>21.598819325290847</v>
      </c>
      <c r="AH648">
        <f t="shared" si="554"/>
        <v>-323.60451726712552</v>
      </c>
      <c r="AJ648">
        <f t="shared" si="497"/>
        <v>22100</v>
      </c>
      <c r="AK648">
        <f t="shared" si="555"/>
        <v>20435.51229449184</v>
      </c>
      <c r="AL648">
        <v>23</v>
      </c>
      <c r="AM648">
        <f t="shared" si="556"/>
        <v>560.80173297839042</v>
      </c>
      <c r="AN648">
        <f t="shared" si="557"/>
        <v>37.992135698220181</v>
      </c>
      <c r="AO648">
        <f t="shared" si="558"/>
        <v>-37.849706287834984</v>
      </c>
      <c r="AQ648">
        <f t="shared" si="559"/>
        <v>4.8225308409407272E-5</v>
      </c>
      <c r="AR648">
        <f t="shared" si="560"/>
        <v>-0.69444444109546466</v>
      </c>
      <c r="AT648">
        <f t="shared" si="561"/>
        <v>-224.72431651981339</v>
      </c>
      <c r="AU648">
        <f t="shared" si="562"/>
        <v>-15.014785942321408</v>
      </c>
      <c r="AV648">
        <f t="shared" si="511"/>
        <v>-3.0748775641462158</v>
      </c>
      <c r="AW648">
        <f t="shared" si="512"/>
        <v>18.312578169586139</v>
      </c>
      <c r="AX648">
        <f t="shared" si="513"/>
        <v>-405.04518378958812</v>
      </c>
      <c r="AY648">
        <f t="shared" si="521"/>
        <v>-1.525615895346625</v>
      </c>
      <c r="BA648">
        <f t="shared" si="502"/>
        <v>0.55548253338797271</v>
      </c>
      <c r="BB648">
        <f t="shared" si="514"/>
        <v>-5.1065918495831184</v>
      </c>
      <c r="BC648">
        <f t="shared" si="515"/>
        <v>-1.5492616687995908</v>
      </c>
      <c r="BD648">
        <f t="shared" si="503"/>
        <v>-268.76615508504142</v>
      </c>
      <c r="BF648">
        <f t="shared" si="504"/>
        <v>-86.197582992439834</v>
      </c>
      <c r="BG648">
        <f t="shared" si="505"/>
        <v>-226.58689184582803</v>
      </c>
      <c r="BH648">
        <f t="shared" si="516"/>
        <v>-46.586891845828035</v>
      </c>
      <c r="BI648">
        <f t="shared" si="517"/>
        <v>-46.586891845828035</v>
      </c>
      <c r="BJ648">
        <f t="shared" si="506"/>
        <v>0</v>
      </c>
      <c r="BK648">
        <f t="shared" si="518"/>
        <v>0</v>
      </c>
      <c r="BM648">
        <f t="shared" si="519"/>
        <v>-81.090991142856709</v>
      </c>
      <c r="BN648">
        <f t="shared" si="507"/>
        <v>-137.82073676078659</v>
      </c>
      <c r="BQ648" s="56">
        <f t="shared" si="520"/>
        <v>11.795368950702018</v>
      </c>
    </row>
    <row r="649" spans="1:69" x14ac:dyDescent="0.2">
      <c r="A649">
        <f t="shared" si="563"/>
        <v>7300000</v>
      </c>
      <c r="B649">
        <f t="shared" si="508"/>
        <v>7300</v>
      </c>
      <c r="C649">
        <f t="shared" si="539"/>
        <v>1.3570268780430714</v>
      </c>
      <c r="D649">
        <f t="shared" si="540"/>
        <v>0.74231577647351332</v>
      </c>
      <c r="F649">
        <f t="shared" si="541"/>
        <v>4.2413771577123706E-6</v>
      </c>
      <c r="G649">
        <f t="shared" si="542"/>
        <v>7.0818905981037401E-4</v>
      </c>
      <c r="H649">
        <f t="shared" ref="H649:H676" si="564">IF(G649&gt;0,G649-Pi,G649)</f>
        <v>-3.1408844609401898</v>
      </c>
      <c r="J649">
        <f t="shared" ref="J649:J676" si="565">Vin/Vramp</f>
        <v>15</v>
      </c>
      <c r="M649">
        <f t="shared" si="543"/>
        <v>2.4861843872931691E-4</v>
      </c>
      <c r="N649">
        <f t="shared" ref="N649:N676" si="566">-Pi/2</f>
        <v>-1.5707963250000001</v>
      </c>
      <c r="O649">
        <f t="shared" si="544"/>
        <v>871.15730429051587</v>
      </c>
      <c r="P649">
        <f t="shared" ref="P649:P676" si="567">ATAN2(Fz1_u,A649)</f>
        <v>1.5696484282297503</v>
      </c>
      <c r="Q649">
        <f t="shared" si="545"/>
        <v>568.59152530300662</v>
      </c>
      <c r="R649">
        <f t="shared" ref="R649:R676" si="568">ATAN2(Fz2_u,A649)</f>
        <v>1.5690375940825321</v>
      </c>
      <c r="S649">
        <f t="shared" si="546"/>
        <v>0.72952750514860476</v>
      </c>
      <c r="T649">
        <f t="shared" ref="T649:T676" si="569">-ATAN2(Fp1_u,A649)</f>
        <v>-0.7531654618875937</v>
      </c>
      <c r="U649">
        <f t="shared" si="547"/>
        <v>6.6833521661465889E-2</v>
      </c>
      <c r="V649">
        <f t="shared" ref="V649:V676" si="570">-ATAN2(Fp2_u,A649)</f>
        <v>-1.5039129504254054</v>
      </c>
      <c r="X649">
        <f t="shared" si="548"/>
        <v>-65.706941639904613</v>
      </c>
      <c r="Y649">
        <f t="shared" si="549"/>
        <v>-176.91546735192759</v>
      </c>
      <c r="Z649">
        <f t="shared" si="510"/>
        <v>3.0845326480724111</v>
      </c>
      <c r="AC649">
        <v>1</v>
      </c>
      <c r="AD649">
        <f t="shared" si="550"/>
        <v>871.15673034117003</v>
      </c>
      <c r="AE649">
        <f t="shared" si="551"/>
        <v>-2.7171144800543798</v>
      </c>
      <c r="AF649">
        <f t="shared" si="552"/>
        <v>0.18200125867392003</v>
      </c>
      <c r="AG649">
        <f t="shared" si="553"/>
        <v>21.013748992955069</v>
      </c>
      <c r="AH649">
        <f t="shared" si="554"/>
        <v>-319.21076860833472</v>
      </c>
      <c r="AJ649">
        <f t="shared" ref="AJ649:AJ676" si="571">_Rfb1</f>
        <v>22100</v>
      </c>
      <c r="AK649">
        <f t="shared" si="555"/>
        <v>20719.338854137561</v>
      </c>
      <c r="AL649">
        <v>24</v>
      </c>
      <c r="AM649">
        <f t="shared" si="556"/>
        <v>568.59064593642358</v>
      </c>
      <c r="AN649">
        <f t="shared" si="557"/>
        <v>38.012696406254605</v>
      </c>
      <c r="AO649">
        <f t="shared" si="558"/>
        <v>-37.263531219996494</v>
      </c>
      <c r="AQ649">
        <f t="shared" si="559"/>
        <v>4.691311668740328E-5</v>
      </c>
      <c r="AR649">
        <f t="shared" si="560"/>
        <v>-0.6849315036360879</v>
      </c>
      <c r="AT649">
        <f t="shared" si="561"/>
        <v>-218.63652589927949</v>
      </c>
      <c r="AU649">
        <f t="shared" si="562"/>
        <v>-14.407953866811642</v>
      </c>
      <c r="AV649">
        <f t="shared" si="511"/>
        <v>-3.0757886826348706</v>
      </c>
      <c r="AW649">
        <f t="shared" si="512"/>
        <v>18.944728095095517</v>
      </c>
      <c r="AX649">
        <f t="shared" si="513"/>
        <v>-399.46219319856533</v>
      </c>
      <c r="AY649">
        <f t="shared" si="521"/>
        <v>-1.5234062504671591</v>
      </c>
      <c r="BA649">
        <f t="shared" ref="BA649:BA676" si="572">SQRT(AT649^2+AU649^2)/SQRT(AW649^2+AX649^2)</f>
        <v>0.54789853837388225</v>
      </c>
      <c r="BB649">
        <f t="shared" si="514"/>
        <v>-5.2259971625780892</v>
      </c>
      <c r="BC649">
        <f t="shared" si="515"/>
        <v>-1.5523824321677115</v>
      </c>
      <c r="BD649">
        <f t="shared" ref="BD649:BD678" si="573">BC649*180/Pi-180</f>
        <v>-268.9449616550981</v>
      </c>
      <c r="BF649">
        <f t="shared" ref="BF649:BF676" si="574">20*LOG(BA649*J649*F649*C649)</f>
        <v>-86.502265126467961</v>
      </c>
      <c r="BG649">
        <f t="shared" ref="BG649:BG676" si="575">(180/Pi)*(D649+H649+BC649)</f>
        <v>-226.37282430431893</v>
      </c>
      <c r="BH649">
        <f t="shared" si="516"/>
        <v>-46.372824304318925</v>
      </c>
      <c r="BI649">
        <f t="shared" si="517"/>
        <v>-46.372824304318925</v>
      </c>
      <c r="BJ649">
        <f t="shared" ref="BJ649:BJ676" si="576">SUM((BF650&lt;0)*(BF649&gt;0))*A649</f>
        <v>0</v>
      </c>
      <c r="BK649">
        <f t="shared" si="518"/>
        <v>0</v>
      </c>
      <c r="BM649">
        <f t="shared" si="519"/>
        <v>-81.276267963889879</v>
      </c>
      <c r="BN649">
        <f t="shared" ref="BN649:BN676" si="577">(H649+D649)*180/Pi</f>
        <v>-137.42786264922083</v>
      </c>
      <c r="BQ649" s="56">
        <f t="shared" si="520"/>
        <v>11.675963637707047</v>
      </c>
    </row>
    <row r="650" spans="1:69" x14ac:dyDescent="0.2">
      <c r="A650">
        <f t="shared" si="563"/>
        <v>7400000</v>
      </c>
      <c r="B650">
        <f t="shared" ref="B650:B676" si="578">A650/1000</f>
        <v>7400</v>
      </c>
      <c r="C650">
        <f t="shared" si="539"/>
        <v>1.3655530957196931</v>
      </c>
      <c r="D650">
        <f t="shared" si="540"/>
        <v>0.74909712634197234</v>
      </c>
      <c r="F650">
        <f t="shared" si="541"/>
        <v>4.1275194380047293E-6</v>
      </c>
      <c r="G650">
        <f t="shared" si="542"/>
        <v>6.9861886067460735E-4</v>
      </c>
      <c r="H650">
        <f t="shared" si="564"/>
        <v>-3.1408940311393256</v>
      </c>
      <c r="J650">
        <f t="shared" si="565"/>
        <v>15</v>
      </c>
      <c r="M650">
        <f t="shared" si="543"/>
        <v>2.4525873009783965E-4</v>
      </c>
      <c r="N650">
        <f t="shared" si="566"/>
        <v>-1.5707963250000001</v>
      </c>
      <c r="O650">
        <f t="shared" si="544"/>
        <v>883.09095037473855</v>
      </c>
      <c r="P650">
        <f t="shared" si="567"/>
        <v>1.5696639403591708</v>
      </c>
      <c r="Q650">
        <f t="shared" si="545"/>
        <v>576.38042637772548</v>
      </c>
      <c r="R650">
        <f t="shared" si="568"/>
        <v>1.5690613606927872</v>
      </c>
      <c r="S650">
        <f t="shared" si="546"/>
        <v>0.7248656857518746</v>
      </c>
      <c r="T650">
        <f t="shared" si="569"/>
        <v>-0.75995692443070617</v>
      </c>
      <c r="U650">
        <f t="shared" si="547"/>
        <v>6.5934319057290441E-2</v>
      </c>
      <c r="V650">
        <f t="shared" si="570"/>
        <v>-1.5048141409473068</v>
      </c>
      <c r="X650">
        <f t="shared" si="548"/>
        <v>-65.944056450965206</v>
      </c>
      <c r="Y650">
        <f t="shared" si="549"/>
        <v>-176.96597900501627</v>
      </c>
      <c r="Z650">
        <f t="shared" ref="Z650:Z676" si="579">Y650+180</f>
        <v>3.0340209949837345</v>
      </c>
      <c r="AC650">
        <v>1</v>
      </c>
      <c r="AD650">
        <f t="shared" si="550"/>
        <v>883.09038418146008</v>
      </c>
      <c r="AE650">
        <f t="shared" si="551"/>
        <v>-2.7920658458956247</v>
      </c>
      <c r="AF650">
        <f t="shared" si="552"/>
        <v>0.18449442660096002</v>
      </c>
      <c r="AG650">
        <f t="shared" si="553"/>
        <v>20.452099596648601</v>
      </c>
      <c r="AH650">
        <f t="shared" si="554"/>
        <v>-314.93422230217067</v>
      </c>
      <c r="AJ650">
        <f t="shared" si="571"/>
        <v>22100</v>
      </c>
      <c r="AK650">
        <f t="shared" si="555"/>
        <v>21003.165413783285</v>
      </c>
      <c r="AL650">
        <v>25</v>
      </c>
      <c r="AM650">
        <f t="shared" si="556"/>
        <v>576.37955889445686</v>
      </c>
      <c r="AN650">
        <f t="shared" si="557"/>
        <v>38.03135507225101</v>
      </c>
      <c r="AO650">
        <f t="shared" si="558"/>
        <v>-36.69320987676879</v>
      </c>
      <c r="AQ650">
        <f t="shared" si="559"/>
        <v>4.5653761661551488E-5</v>
      </c>
      <c r="AR650">
        <f t="shared" si="560"/>
        <v>-0.67567567259096206</v>
      </c>
      <c r="AT650">
        <f t="shared" si="561"/>
        <v>-212.79245876065025</v>
      </c>
      <c r="AU650">
        <f t="shared" si="562"/>
        <v>-13.833364082786936</v>
      </c>
      <c r="AV650">
        <f t="shared" ref="AV650:AV676" si="580">ATAN2(AT650,AU650)</f>
        <v>-3.0766752866104641</v>
      </c>
      <c r="AW650">
        <f t="shared" ref="AW650:AW676" si="581">AG650-AH650*AO650/_Rfb2+AG650*AN650/_Rfb2+AN650-AO650*AR650+AQ650*AN650</f>
        <v>19.549238821365048</v>
      </c>
      <c r="AX650">
        <f t="shared" ref="AX650:AX676" si="582">AH650+AH650*AN650/_Rfb2+AG650*AO650/_Rfb2+AO650+AO650*AQ650+AN650*AR650</f>
        <v>-394.02764407660322</v>
      </c>
      <c r="AY650">
        <f t="shared" si="521"/>
        <v>-1.5212230991951468</v>
      </c>
      <c r="BA650">
        <f t="shared" si="572"/>
        <v>0.5405195929397707</v>
      </c>
      <c r="BB650">
        <f t="shared" ref="BB650:BB676" si="583">20*LOG(BA650)</f>
        <v>-5.3437711793973461</v>
      </c>
      <c r="BC650">
        <f t="shared" ref="BC650:BC676" si="584">AV650-AY650</f>
        <v>-1.5554521874153173</v>
      </c>
      <c r="BD650">
        <f t="shared" si="573"/>
        <v>-269.120845675125</v>
      </c>
      <c r="BF650">
        <f t="shared" si="574"/>
        <v>-86.801991631797094</v>
      </c>
      <c r="BG650">
        <f t="shared" si="575"/>
        <v>-226.16071392905781</v>
      </c>
      <c r="BH650">
        <f t="shared" ref="BH650:BH676" si="585">IF(BG650&gt;180,BG650-180,BG650+180)</f>
        <v>-46.160713929057806</v>
      </c>
      <c r="BI650">
        <f t="shared" ref="BI650:BI676" si="586">IF(BH650&gt;180,BH650-360,BH650)</f>
        <v>-46.160713929057806</v>
      </c>
      <c r="BJ650">
        <f t="shared" si="576"/>
        <v>0</v>
      </c>
      <c r="BK650">
        <f t="shared" ref="BK650:BK676" si="587">IF(BJ650&gt;0,BI650,0)</f>
        <v>0</v>
      </c>
      <c r="BM650">
        <f t="shared" ref="BM650:BM676" si="588">20*LOG(J650*F650*C650)</f>
        <v>-81.458220452399743</v>
      </c>
      <c r="BN650">
        <f t="shared" si="577"/>
        <v>-137.03986825393278</v>
      </c>
      <c r="BQ650" s="56">
        <f t="shared" ref="BQ650:BQ676" si="589">20*LOG(BA650*7)</f>
        <v>11.558189620887791</v>
      </c>
    </row>
    <row r="651" spans="1:69" x14ac:dyDescent="0.2">
      <c r="A651">
        <f t="shared" si="563"/>
        <v>7500000</v>
      </c>
      <c r="B651">
        <f t="shared" si="578"/>
        <v>7500</v>
      </c>
      <c r="C651">
        <f t="shared" si="539"/>
        <v>1.374141329728519</v>
      </c>
      <c r="D651">
        <f t="shared" si="540"/>
        <v>0.75579401558897552</v>
      </c>
      <c r="F651">
        <f t="shared" si="541"/>
        <v>4.0181856192296403E-6</v>
      </c>
      <c r="G651">
        <f t="shared" si="542"/>
        <v>6.8930386985624112E-4</v>
      </c>
      <c r="H651">
        <f t="shared" si="564"/>
        <v>-3.1409033461301439</v>
      </c>
      <c r="J651">
        <f t="shared" si="565"/>
        <v>15</v>
      </c>
      <c r="M651">
        <f t="shared" si="543"/>
        <v>2.4198861369653511E-4</v>
      </c>
      <c r="N651">
        <f t="shared" si="566"/>
        <v>-1.5707963250000001</v>
      </c>
      <c r="O651">
        <f t="shared" si="544"/>
        <v>895.02459666578966</v>
      </c>
      <c r="P651">
        <f t="shared" si="567"/>
        <v>1.5696790388323303</v>
      </c>
      <c r="Q651">
        <f t="shared" si="545"/>
        <v>584.1693277693322</v>
      </c>
      <c r="R651">
        <f t="shared" si="568"/>
        <v>1.5690844935286514</v>
      </c>
      <c r="S651">
        <f t="shared" si="546"/>
        <v>0.72023047896992309</v>
      </c>
      <c r="T651">
        <f t="shared" si="569"/>
        <v>-0.76666183594330906</v>
      </c>
      <c r="U651">
        <f t="shared" si="547"/>
        <v>6.5058940876648305E-2</v>
      </c>
      <c r="V651">
        <f t="shared" si="570"/>
        <v>-1.5056914028214319</v>
      </c>
      <c r="X651">
        <f t="shared" si="548"/>
        <v>-66.178004130427041</v>
      </c>
      <c r="Y651">
        <f t="shared" si="549"/>
        <v>-177.01504526695621</v>
      </c>
      <c r="Z651">
        <f t="shared" si="579"/>
        <v>2.9849547330437929</v>
      </c>
      <c r="AC651">
        <v>1</v>
      </c>
      <c r="AD651">
        <f t="shared" si="550"/>
        <v>895.02403802175002</v>
      </c>
      <c r="AE651">
        <f t="shared" si="551"/>
        <v>-2.8680369582108991</v>
      </c>
      <c r="AF651">
        <f t="shared" si="552"/>
        <v>0.18698759452800001</v>
      </c>
      <c r="AG651">
        <f t="shared" si="553"/>
        <v>19.912639263943792</v>
      </c>
      <c r="AH651">
        <f t="shared" si="554"/>
        <v>-310.77027056899595</v>
      </c>
      <c r="AJ651">
        <f t="shared" si="571"/>
        <v>22100</v>
      </c>
      <c r="AK651">
        <f t="shared" si="555"/>
        <v>21286.991973429002</v>
      </c>
      <c r="AL651">
        <v>26</v>
      </c>
      <c r="AM651">
        <f t="shared" si="556"/>
        <v>584.16847185249003</v>
      </c>
      <c r="AN651">
        <f t="shared" si="557"/>
        <v>38.048241148563946</v>
      </c>
      <c r="AO651">
        <f t="shared" si="558"/>
        <v>-36.138112115485875</v>
      </c>
      <c r="AQ651">
        <f t="shared" si="559"/>
        <v>4.4444444246913578E-5</v>
      </c>
      <c r="AR651">
        <f t="shared" si="560"/>
        <v>-0.66666666370370375</v>
      </c>
      <c r="AT651">
        <f t="shared" si="561"/>
        <v>-207.17929445234429</v>
      </c>
      <c r="AU651">
        <f t="shared" si="562"/>
        <v>-13.288904795592684</v>
      </c>
      <c r="AV651">
        <f t="shared" si="580"/>
        <v>-3.0775383509123269</v>
      </c>
      <c r="AW651">
        <f t="shared" si="581"/>
        <v>20.127633035033568</v>
      </c>
      <c r="AX651">
        <f t="shared" si="582"/>
        <v>-388.73576128026673</v>
      </c>
      <c r="AY651">
        <f t="shared" ref="AY651:AY676" si="590">ATAN2(AW651,AX651)</f>
        <v>-1.5190653635946747</v>
      </c>
      <c r="BA651">
        <f t="shared" si="572"/>
        <v>0.53333740610451874</v>
      </c>
      <c r="BB651">
        <f t="shared" si="583"/>
        <v>-5.4599591122010676</v>
      </c>
      <c r="BC651">
        <f t="shared" si="584"/>
        <v>-1.5584729873176522</v>
      </c>
      <c r="BD651">
        <f t="shared" si="573"/>
        <v>-269.29392476048014</v>
      </c>
      <c r="BF651">
        <f t="shared" si="574"/>
        <v>-87.096905991059003</v>
      </c>
      <c r="BG651">
        <f t="shared" si="575"/>
        <v>-225.95062323391534</v>
      </c>
      <c r="BH651">
        <f t="shared" si="585"/>
        <v>-45.950623233915337</v>
      </c>
      <c r="BI651">
        <f t="shared" si="586"/>
        <v>-45.950623233915337</v>
      </c>
      <c r="BJ651">
        <f t="shared" si="576"/>
        <v>0</v>
      </c>
      <c r="BK651">
        <f t="shared" si="587"/>
        <v>0</v>
      </c>
      <c r="BM651">
        <f t="shared" si="588"/>
        <v>-81.636946878857941</v>
      </c>
      <c r="BN651">
        <f t="shared" si="577"/>
        <v>-136.65669847343523</v>
      </c>
      <c r="BQ651" s="56">
        <f t="shared" si="589"/>
        <v>11.442001688084069</v>
      </c>
    </row>
    <row r="652" spans="1:69" x14ac:dyDescent="0.2">
      <c r="A652">
        <f t="shared" si="563"/>
        <v>7600000</v>
      </c>
      <c r="B652">
        <f t="shared" si="578"/>
        <v>7600</v>
      </c>
      <c r="C652">
        <f t="shared" si="539"/>
        <v>1.3827904245570262</v>
      </c>
      <c r="D652">
        <f t="shared" si="540"/>
        <v>0.76240742278859508</v>
      </c>
      <c r="F652">
        <f t="shared" si="541"/>
        <v>3.9131391733652503E-6</v>
      </c>
      <c r="G652">
        <f t="shared" si="542"/>
        <v>6.8023401318759061E-4</v>
      </c>
      <c r="H652">
        <f t="shared" si="564"/>
        <v>-3.1409124159868127</v>
      </c>
      <c r="J652">
        <f t="shared" si="565"/>
        <v>15</v>
      </c>
      <c r="M652">
        <f t="shared" si="543"/>
        <v>2.3880455299000176E-4</v>
      </c>
      <c r="N652">
        <f t="shared" si="566"/>
        <v>-1.5707963250000001</v>
      </c>
      <c r="O652">
        <f t="shared" si="544"/>
        <v>906.95824315550465</v>
      </c>
      <c r="P652">
        <f t="shared" si="567"/>
        <v>1.5696937399777384</v>
      </c>
      <c r="Q652">
        <f t="shared" si="545"/>
        <v>591.95822946531791</v>
      </c>
      <c r="R652">
        <f t="shared" si="568"/>
        <v>1.5691070176074375</v>
      </c>
      <c r="S652">
        <f t="shared" si="546"/>
        <v>0.71562261591119636</v>
      </c>
      <c r="T652">
        <f t="shared" si="569"/>
        <v>-0.7732812490282307</v>
      </c>
      <c r="U652">
        <f t="shared" si="547"/>
        <v>6.4206454602067545E-2</v>
      </c>
      <c r="V652">
        <f t="shared" si="570"/>
        <v>-1.5065456753023914</v>
      </c>
      <c r="X652">
        <f t="shared" si="548"/>
        <v>-66.408867582272478</v>
      </c>
      <c r="Y652">
        <f t="shared" si="549"/>
        <v>-177.06272240287402</v>
      </c>
      <c r="Z652">
        <f t="shared" si="579"/>
        <v>2.9372775971259841</v>
      </c>
      <c r="AC652">
        <v>1</v>
      </c>
      <c r="AD652">
        <f t="shared" si="550"/>
        <v>906.95769186204006</v>
      </c>
      <c r="AE652">
        <f t="shared" si="551"/>
        <v>-2.9450278170002053</v>
      </c>
      <c r="AF652">
        <f t="shared" si="552"/>
        <v>0.18948076245504003</v>
      </c>
      <c r="AG652">
        <f t="shared" si="553"/>
        <v>19.394215951189302</v>
      </c>
      <c r="AH652">
        <f t="shared" si="554"/>
        <v>-306.71454300777089</v>
      </c>
      <c r="AJ652">
        <f t="shared" si="571"/>
        <v>22100</v>
      </c>
      <c r="AK652">
        <f t="shared" si="555"/>
        <v>21570.818533074722</v>
      </c>
      <c r="AL652">
        <v>27</v>
      </c>
      <c r="AM652">
        <f t="shared" si="556"/>
        <v>591.95738481052319</v>
      </c>
      <c r="AN652">
        <f t="shared" si="557"/>
        <v>38.063474508988222</v>
      </c>
      <c r="AO652">
        <f t="shared" si="558"/>
        <v>-35.597640521035558</v>
      </c>
      <c r="AQ652">
        <f t="shared" si="559"/>
        <v>4.3282548289116396E-5</v>
      </c>
      <c r="AR652">
        <f t="shared" si="560"/>
        <v>-0.65789473399456921</v>
      </c>
      <c r="AT652">
        <f t="shared" si="561"/>
        <v>-201.78504325327486</v>
      </c>
      <c r="AU652">
        <f t="shared" si="562"/>
        <v>-12.772627931259626</v>
      </c>
      <c r="AV652">
        <f t="shared" si="580"/>
        <v>-3.0783787994408569</v>
      </c>
      <c r="AW652">
        <f t="shared" si="581"/>
        <v>20.681331766167659</v>
      </c>
      <c r="AX652">
        <f t="shared" si="582"/>
        <v>-383.58106182154006</v>
      </c>
      <c r="AY652">
        <f t="shared" si="590"/>
        <v>-1.516932023778953</v>
      </c>
      <c r="BA652">
        <f t="shared" si="572"/>
        <v>0.52634413056601237</v>
      </c>
      <c r="BB652">
        <f t="shared" si="583"/>
        <v>-5.5746043132086456</v>
      </c>
      <c r="BC652">
        <f t="shared" si="584"/>
        <v>-1.5614467756619039</v>
      </c>
      <c r="BD652">
        <f t="shared" si="573"/>
        <v>-269.46431028196565</v>
      </c>
      <c r="BF652">
        <f t="shared" si="574"/>
        <v>-87.387145978995733</v>
      </c>
      <c r="BG652">
        <f t="shared" si="575"/>
        <v>-225.7426080987367</v>
      </c>
      <c r="BH652">
        <f t="shared" si="585"/>
        <v>-45.742608098736696</v>
      </c>
      <c r="BI652">
        <f t="shared" si="586"/>
        <v>-45.742608098736696</v>
      </c>
      <c r="BJ652">
        <f t="shared" si="576"/>
        <v>0</v>
      </c>
      <c r="BK652">
        <f t="shared" si="587"/>
        <v>0</v>
      </c>
      <c r="BM652">
        <f t="shared" si="588"/>
        <v>-81.812541665787094</v>
      </c>
      <c r="BN652">
        <f t="shared" si="577"/>
        <v>-136.2782978167711</v>
      </c>
      <c r="BQ652" s="56">
        <f t="shared" si="589"/>
        <v>11.327356487076493</v>
      </c>
    </row>
    <row r="653" spans="1:69" x14ac:dyDescent="0.2">
      <c r="A653">
        <f t="shared" si="563"/>
        <v>7700000</v>
      </c>
      <c r="B653">
        <f t="shared" si="578"/>
        <v>7700</v>
      </c>
      <c r="C653">
        <f t="shared" si="539"/>
        <v>1.3914992453340576</v>
      </c>
      <c r="D653">
        <f t="shared" si="540"/>
        <v>0.76893833148391055</v>
      </c>
      <c r="F653">
        <f t="shared" si="541"/>
        <v>3.8121588310613162E-6</v>
      </c>
      <c r="G653">
        <f t="shared" si="542"/>
        <v>6.7139973984423724E-4</v>
      </c>
      <c r="H653">
        <f t="shared" si="564"/>
        <v>-3.1409212502601558</v>
      </c>
      <c r="J653">
        <f t="shared" si="565"/>
        <v>15</v>
      </c>
      <c r="M653">
        <f t="shared" si="543"/>
        <v>2.3570319515896275E-4</v>
      </c>
      <c r="N653">
        <f t="shared" si="566"/>
        <v>-1.5707963250000001</v>
      </c>
      <c r="O653">
        <f t="shared" si="544"/>
        <v>918.89188983614349</v>
      </c>
      <c r="P653">
        <f t="shared" si="567"/>
        <v>1.5697080592756718</v>
      </c>
      <c r="Q653">
        <f t="shared" si="545"/>
        <v>599.74713145382361</v>
      </c>
      <c r="R653">
        <f t="shared" si="568"/>
        <v>1.5691289566468645</v>
      </c>
      <c r="S653">
        <f t="shared" si="546"/>
        <v>0.71104277498633983</v>
      </c>
      <c r="T653">
        <f t="shared" si="569"/>
        <v>-0.77981621958939962</v>
      </c>
      <c r="U653">
        <f t="shared" si="547"/>
        <v>6.3375975657335798E-2</v>
      </c>
      <c r="V653">
        <f t="shared" si="570"/>
        <v>-1.5073778491879821</v>
      </c>
      <c r="X653">
        <f t="shared" si="548"/>
        <v>-66.63672650170173</v>
      </c>
      <c r="Y653">
        <f t="shared" si="549"/>
        <v>-177.10906389903741</v>
      </c>
      <c r="Z653">
        <f t="shared" si="579"/>
        <v>2.8909361009625911</v>
      </c>
      <c r="AC653">
        <v>1</v>
      </c>
      <c r="AD653">
        <f t="shared" si="550"/>
        <v>918.89134570233</v>
      </c>
      <c r="AE653">
        <f t="shared" si="551"/>
        <v>-3.023038422263542</v>
      </c>
      <c r="AF653">
        <f t="shared" si="552"/>
        <v>0.19197393038208005</v>
      </c>
      <c r="AG653">
        <f t="shared" si="553"/>
        <v>18.895751323551046</v>
      </c>
      <c r="AH653">
        <f t="shared" si="554"/>
        <v>-302.7628915704978</v>
      </c>
      <c r="AJ653">
        <f t="shared" si="571"/>
        <v>22100</v>
      </c>
      <c r="AK653">
        <f t="shared" si="555"/>
        <v>21854.645092720442</v>
      </c>
      <c r="AL653">
        <v>28</v>
      </c>
      <c r="AM653">
        <f t="shared" si="556"/>
        <v>599.74629776855647</v>
      </c>
      <c r="AN653">
        <f t="shared" si="557"/>
        <v>38.077166246361521</v>
      </c>
      <c r="AO653">
        <f t="shared" si="558"/>
        <v>-35.071228323311608</v>
      </c>
      <c r="AQ653">
        <f t="shared" si="559"/>
        <v>4.2165626403416991E-5</v>
      </c>
      <c r="AR653">
        <f t="shared" si="560"/>
        <v>-0.64935064661262165</v>
      </c>
      <c r="AT653">
        <f t="shared" si="561"/>
        <v>-196.59848266041888</v>
      </c>
      <c r="AU653">
        <f t="shared" si="562"/>
        <v>-12.282734527153952</v>
      </c>
      <c r="AV653">
        <f t="shared" si="580"/>
        <v>-3.0791975084372596</v>
      </c>
      <c r="AW653">
        <f t="shared" si="581"/>
        <v>21.211662347498006</v>
      </c>
      <c r="AX653">
        <f t="shared" si="582"/>
        <v>-378.55833686318442</v>
      </c>
      <c r="AY653">
        <f t="shared" si="590"/>
        <v>-1.5148221140668765</v>
      </c>
      <c r="BA653">
        <f t="shared" si="572"/>
        <v>0.51953233325325121</v>
      </c>
      <c r="BB653">
        <f t="shared" si="583"/>
        <v>-5.6877483763227534</v>
      </c>
      <c r="BC653">
        <f t="shared" si="584"/>
        <v>-1.5643753943703831</v>
      </c>
      <c r="BD653">
        <f t="shared" si="573"/>
        <v>-269.63210777395625</v>
      </c>
      <c r="BF653">
        <f t="shared" si="574"/>
        <v>-87.672843953835837</v>
      </c>
      <c r="BG653">
        <f t="shared" si="575"/>
        <v>-225.53671825225115</v>
      </c>
      <c r="BH653">
        <f t="shared" si="585"/>
        <v>-45.536718252251148</v>
      </c>
      <c r="BI653">
        <f t="shared" si="586"/>
        <v>-45.536718252251148</v>
      </c>
      <c r="BJ653">
        <f t="shared" si="576"/>
        <v>0</v>
      </c>
      <c r="BK653">
        <f t="shared" si="587"/>
        <v>0</v>
      </c>
      <c r="BM653">
        <f t="shared" si="588"/>
        <v>-81.985095577513079</v>
      </c>
      <c r="BN653">
        <f t="shared" si="577"/>
        <v>-135.90461047829487</v>
      </c>
      <c r="BQ653" s="56">
        <f t="shared" si="589"/>
        <v>11.214212423962383</v>
      </c>
    </row>
    <row r="654" spans="1:69" x14ac:dyDescent="0.2">
      <c r="A654">
        <f t="shared" si="563"/>
        <v>7800000</v>
      </c>
      <c r="B654">
        <f t="shared" si="578"/>
        <v>7800</v>
      </c>
      <c r="C654">
        <f t="shared" si="539"/>
        <v>1.4002666776810824</v>
      </c>
      <c r="D654">
        <f t="shared" si="540"/>
        <v>0.77538772898723785</v>
      </c>
      <c r="F654">
        <f t="shared" si="541"/>
        <v>3.7150374154763208E-6</v>
      </c>
      <c r="G654">
        <f t="shared" si="542"/>
        <v>6.6279198879663661E-4</v>
      </c>
      <c r="H654">
        <f t="shared" si="564"/>
        <v>-3.1409298580112037</v>
      </c>
      <c r="J654">
        <f t="shared" si="565"/>
        <v>15</v>
      </c>
      <c r="M654">
        <f t="shared" si="543"/>
        <v>2.3268135932359146E-4</v>
      </c>
      <c r="N654">
        <f t="shared" si="566"/>
        <v>-1.5707963250000001</v>
      </c>
      <c r="O654">
        <f t="shared" si="544"/>
        <v>930.82553670036305</v>
      </c>
      <c r="P654">
        <f t="shared" si="567"/>
        <v>1.5697220114125492</v>
      </c>
      <c r="Q654">
        <f t="shared" si="545"/>
        <v>607.53603372359873</v>
      </c>
      <c r="R654">
        <f t="shared" si="568"/>
        <v>1.5691503331483629</v>
      </c>
      <c r="S654">
        <f t="shared" si="546"/>
        <v>0.70649158396906997</v>
      </c>
      <c r="T654">
        <f t="shared" si="569"/>
        <v>-0.78626780561678322</v>
      </c>
      <c r="U654">
        <f t="shared" si="547"/>
        <v>6.256666437189029E-2</v>
      </c>
      <c r="V654">
        <f t="shared" si="570"/>
        <v>-1.5081887699002137</v>
      </c>
      <c r="X654">
        <f t="shared" si="548"/>
        <v>-66.861657538978406</v>
      </c>
      <c r="Y654">
        <f t="shared" si="549"/>
        <v>-177.15412063254257</v>
      </c>
      <c r="Z654">
        <f t="shared" si="579"/>
        <v>2.8458793674574281</v>
      </c>
      <c r="AC654">
        <v>1</v>
      </c>
      <c r="AD654">
        <f t="shared" si="550"/>
        <v>930.82499954262005</v>
      </c>
      <c r="AE654">
        <f t="shared" si="551"/>
        <v>-3.1020687740009092</v>
      </c>
      <c r="AF654">
        <f t="shared" si="552"/>
        <v>0.19446709830912004</v>
      </c>
      <c r="AG654">
        <f t="shared" si="553"/>
        <v>18.416235174795613</v>
      </c>
      <c r="AH654">
        <f t="shared" si="554"/>
        <v>-298.91137665864255</v>
      </c>
      <c r="AJ654">
        <f t="shared" si="571"/>
        <v>22100</v>
      </c>
      <c r="AK654">
        <f t="shared" si="555"/>
        <v>22138.471652366163</v>
      </c>
      <c r="AL654">
        <v>29</v>
      </c>
      <c r="AM654">
        <f t="shared" si="556"/>
        <v>607.53521072658964</v>
      </c>
      <c r="AN654">
        <f t="shared" si="557"/>
        <v>38.089419395686456</v>
      </c>
      <c r="AO654">
        <f t="shared" si="558"/>
        <v>-34.558337470539961</v>
      </c>
      <c r="AQ654">
        <f t="shared" si="559"/>
        <v>4.109138707638319E-5</v>
      </c>
      <c r="AR654">
        <f t="shared" si="560"/>
        <v>-0.64102563839157778</v>
      </c>
      <c r="AT654">
        <f t="shared" si="561"/>
        <v>-191.60909929646365</v>
      </c>
      <c r="AU654">
        <f t="shared" si="562"/>
        <v>-11.817561592772604</v>
      </c>
      <c r="AV654">
        <f t="shared" si="580"/>
        <v>-3.0799953095134427</v>
      </c>
      <c r="AW654">
        <f t="shared" si="581"/>
        <v>21.719865660670731</v>
      </c>
      <c r="AX654">
        <f t="shared" si="582"/>
        <v>-373.66263501017619</v>
      </c>
      <c r="AY654">
        <f t="shared" si="590"/>
        <v>-1.512734719441053</v>
      </c>
      <c r="BA654">
        <f t="shared" si="572"/>
        <v>0.5128949682048245</v>
      </c>
      <c r="BB654">
        <f t="shared" si="583"/>
        <v>-5.7994312318492183</v>
      </c>
      <c r="BC654">
        <f t="shared" si="584"/>
        <v>-1.5672605900723897</v>
      </c>
      <c r="BD654">
        <f t="shared" si="573"/>
        <v>-269.79741731093941</v>
      </c>
      <c r="BF654">
        <f t="shared" si="574"/>
        <v>-87.954127130139042</v>
      </c>
      <c r="BG654">
        <f t="shared" si="575"/>
        <v>-225.33299771927588</v>
      </c>
      <c r="BH654">
        <f t="shared" si="585"/>
        <v>-45.33299771927588</v>
      </c>
      <c r="BI654">
        <f t="shared" si="586"/>
        <v>-45.33299771927588</v>
      </c>
      <c r="BJ654">
        <f t="shared" si="576"/>
        <v>0</v>
      </c>
      <c r="BK654">
        <f t="shared" si="587"/>
        <v>0</v>
      </c>
      <c r="BM654">
        <f t="shared" si="588"/>
        <v>-82.154695898289845</v>
      </c>
      <c r="BN654">
        <f t="shared" si="577"/>
        <v>-135.53558040833644</v>
      </c>
      <c r="BQ654" s="56">
        <f t="shared" si="589"/>
        <v>11.102529568435919</v>
      </c>
    </row>
    <row r="655" spans="1:69" x14ac:dyDescent="0.2">
      <c r="A655">
        <f t="shared" si="563"/>
        <v>7900000</v>
      </c>
      <c r="B655">
        <f t="shared" si="578"/>
        <v>7900</v>
      </c>
      <c r="C655">
        <f t="shared" si="539"/>
        <v>1.4090916275469434</v>
      </c>
      <c r="D655">
        <f t="shared" si="540"/>
        <v>0.78175660524729973</v>
      </c>
      <c r="F655">
        <f t="shared" si="541"/>
        <v>3.6215807787852412E-6</v>
      </c>
      <c r="G655">
        <f t="shared" si="542"/>
        <v>6.5440215780977306E-4</v>
      </c>
      <c r="H655">
        <f t="shared" si="564"/>
        <v>-3.1409382478421906</v>
      </c>
      <c r="J655">
        <f t="shared" si="565"/>
        <v>15</v>
      </c>
      <c r="M655">
        <f t="shared" si="543"/>
        <v>2.2973602566126751E-4</v>
      </c>
      <c r="N655">
        <f t="shared" si="566"/>
        <v>-1.5707963250000001</v>
      </c>
      <c r="O655">
        <f t="shared" si="544"/>
        <v>942.7591837411918</v>
      </c>
      <c r="P655">
        <f t="shared" si="567"/>
        <v>1.5697356103311741</v>
      </c>
      <c r="Q655">
        <f t="shared" si="545"/>
        <v>615.32493626396206</v>
      </c>
      <c r="R655">
        <f t="shared" si="568"/>
        <v>1.5691711684740561</v>
      </c>
      <c r="S655">
        <f t="shared" si="546"/>
        <v>0.70196962201979152</v>
      </c>
      <c r="T655">
        <f t="shared" si="569"/>
        <v>-0.79263706604344775</v>
      </c>
      <c r="U655">
        <f t="shared" si="547"/>
        <v>6.1777723172522357E-2</v>
      </c>
      <c r="V655">
        <f t="shared" si="570"/>
        <v>-1.5089792403345079</v>
      </c>
      <c r="X655">
        <f t="shared" si="548"/>
        <v>-67.083734452931239</v>
      </c>
      <c r="Y655">
        <f t="shared" si="549"/>
        <v>-177.19794102846873</v>
      </c>
      <c r="Z655">
        <f t="shared" si="579"/>
        <v>2.8020589715312667</v>
      </c>
      <c r="AC655">
        <v>1</v>
      </c>
      <c r="AD655">
        <f t="shared" si="550"/>
        <v>942.7586533829101</v>
      </c>
      <c r="AE655">
        <f t="shared" si="551"/>
        <v>-3.1821188722123073</v>
      </c>
      <c r="AF655">
        <f t="shared" si="552"/>
        <v>0.19696026623616006</v>
      </c>
      <c r="AG655">
        <f t="shared" si="553"/>
        <v>17.954720333161969</v>
      </c>
      <c r="AH655">
        <f t="shared" si="554"/>
        <v>-295.15625424543566</v>
      </c>
      <c r="AJ655">
        <f t="shared" si="571"/>
        <v>22100</v>
      </c>
      <c r="AK655">
        <f t="shared" si="555"/>
        <v>22422.298212011883</v>
      </c>
      <c r="AL655">
        <v>30</v>
      </c>
      <c r="AM655">
        <f t="shared" si="556"/>
        <v>615.3241236846228</v>
      </c>
      <c r="AN655">
        <f t="shared" si="557"/>
        <v>38.100329590494006</v>
      </c>
      <c r="AO655">
        <f t="shared" si="558"/>
        <v>-34.058456845138153</v>
      </c>
      <c r="AQ655">
        <f t="shared" si="559"/>
        <v>4.0057682903149807E-5</v>
      </c>
      <c r="AR655">
        <f t="shared" si="560"/>
        <v>-0.63291138986976692</v>
      </c>
      <c r="AT655">
        <f t="shared" si="561"/>
        <v>-186.80703587873927</v>
      </c>
      <c r="AU655">
        <f t="shared" si="562"/>
        <v>-11.375570276423952</v>
      </c>
      <c r="AV655">
        <f t="shared" si="580"/>
        <v>-3.0807729924539711</v>
      </c>
      <c r="AW655">
        <f t="shared" si="581"/>
        <v>22.207102741223832</v>
      </c>
      <c r="AX655">
        <f t="shared" si="582"/>
        <v>-368.88924679146709</v>
      </c>
      <c r="AY655">
        <f t="shared" si="590"/>
        <v>-1.5106689722800619</v>
      </c>
      <c r="BA655">
        <f t="shared" si="572"/>
        <v>0.50642535156116952</v>
      </c>
      <c r="BB655">
        <f t="shared" si="583"/>
        <v>-5.9096912348717447</v>
      </c>
      <c r="BC655">
        <f t="shared" si="584"/>
        <v>-1.5701040201739092</v>
      </c>
      <c r="BD655">
        <f t="shared" si="573"/>
        <v>-269.96033385528312</v>
      </c>
      <c r="BF655">
        <f t="shared" si="574"/>
        <v>-88.231117834538793</v>
      </c>
      <c r="BG655">
        <f t="shared" si="575"/>
        <v>-225.13148523516691</v>
      </c>
      <c r="BH655">
        <f t="shared" si="585"/>
        <v>-45.131485235166906</v>
      </c>
      <c r="BI655">
        <f t="shared" si="586"/>
        <v>-45.131485235166906</v>
      </c>
      <c r="BJ655">
        <f t="shared" si="576"/>
        <v>0</v>
      </c>
      <c r="BK655">
        <f t="shared" si="587"/>
        <v>0</v>
      </c>
      <c r="BM655">
        <f t="shared" si="588"/>
        <v>-82.321426599667035</v>
      </c>
      <c r="BN655">
        <f t="shared" si="577"/>
        <v>-135.17115137988378</v>
      </c>
      <c r="BQ655" s="56">
        <f t="shared" si="589"/>
        <v>10.992269565413393</v>
      </c>
    </row>
    <row r="656" spans="1:69" x14ac:dyDescent="0.2">
      <c r="A656">
        <f t="shared" si="563"/>
        <v>8000000</v>
      </c>
      <c r="B656">
        <f t="shared" si="578"/>
        <v>8000</v>
      </c>
      <c r="C656">
        <f t="shared" si="539"/>
        <v>1.4179730210275101</v>
      </c>
      <c r="D656">
        <f t="shared" si="540"/>
        <v>0.78804595178116554</v>
      </c>
      <c r="F656">
        <f t="shared" si="541"/>
        <v>3.5316068311557919E-6</v>
      </c>
      <c r="G656">
        <f t="shared" si="542"/>
        <v>6.4622207476789555E-4</v>
      </c>
      <c r="H656">
        <f t="shared" si="564"/>
        <v>-3.1409464279252322</v>
      </c>
      <c r="J656">
        <f t="shared" si="565"/>
        <v>15</v>
      </c>
      <c r="M656">
        <f t="shared" si="543"/>
        <v>2.2686432534050168E-4</v>
      </c>
      <c r="N656">
        <f t="shared" si="566"/>
        <v>-1.5707963250000001</v>
      </c>
      <c r="O656">
        <f t="shared" si="544"/>
        <v>954.69283095200706</v>
      </c>
      <c r="P656">
        <f t="shared" si="567"/>
        <v>1.569748869277211</v>
      </c>
      <c r="Q656">
        <f t="shared" si="545"/>
        <v>623.11383906476681</v>
      </c>
      <c r="R656">
        <f t="shared" si="568"/>
        <v>1.5691914829179656</v>
      </c>
      <c r="S656">
        <f t="shared" si="546"/>
        <v>0.69747742166907389</v>
      </c>
      <c r="T656">
        <f t="shared" si="569"/>
        <v>-0.79892505967216243</v>
      </c>
      <c r="U656">
        <f t="shared" si="547"/>
        <v>6.1008393982821464E-2</v>
      </c>
      <c r="V656">
        <f t="shared" si="570"/>
        <v>-1.5097500234971437</v>
      </c>
      <c r="X656">
        <f t="shared" si="548"/>
        <v>-67.303028254885319</v>
      </c>
      <c r="Y656">
        <f t="shared" si="549"/>
        <v>-177.24057120558746</v>
      </c>
      <c r="Z656">
        <f t="shared" si="579"/>
        <v>2.7594287944125426</v>
      </c>
      <c r="AC656">
        <v>1</v>
      </c>
      <c r="AD656">
        <f t="shared" si="550"/>
        <v>954.69230722320003</v>
      </c>
      <c r="AE656">
        <f t="shared" si="551"/>
        <v>-3.2631887168977354</v>
      </c>
      <c r="AF656">
        <f t="shared" si="552"/>
        <v>0.19945343416320002</v>
      </c>
      <c r="AG656">
        <f t="shared" si="553"/>
        <v>17.51031800558626</v>
      </c>
      <c r="AH656">
        <f t="shared" si="554"/>
        <v>-291.49396393720912</v>
      </c>
      <c r="AJ656">
        <f t="shared" si="571"/>
        <v>22100</v>
      </c>
      <c r="AK656">
        <f t="shared" si="555"/>
        <v>22706.124771657604</v>
      </c>
      <c r="AL656">
        <v>31</v>
      </c>
      <c r="AM656">
        <f t="shared" si="556"/>
        <v>623.11303664265608</v>
      </c>
      <c r="AN656">
        <f t="shared" si="557"/>
        <v>38.109985659291226</v>
      </c>
      <c r="AO656">
        <f t="shared" si="558"/>
        <v>-33.57110061004613</v>
      </c>
      <c r="AQ656">
        <f t="shared" si="559"/>
        <v>3.9062499847412111E-5</v>
      </c>
      <c r="AR656">
        <f t="shared" si="560"/>
        <v>-0.62499999755859381</v>
      </c>
      <c r="AT656">
        <f t="shared" si="561"/>
        <v>-182.18304275230614</v>
      </c>
      <c r="AU656">
        <f t="shared" si="562"/>
        <v>-10.955335193663432</v>
      </c>
      <c r="AV656">
        <f t="shared" si="580"/>
        <v>-3.081531307809807</v>
      </c>
      <c r="AW656">
        <f t="shared" si="581"/>
        <v>22.674460806019216</v>
      </c>
      <c r="AX656">
        <f t="shared" si="582"/>
        <v>-364.23369023586679</v>
      </c>
      <c r="AY656">
        <f t="shared" si="590"/>
        <v>-1.5086240493404783</v>
      </c>
      <c r="BA656">
        <f t="shared" si="572"/>
        <v>0.5001171384800337</v>
      </c>
      <c r="BB656">
        <f t="shared" si="583"/>
        <v>-6.0185652477880547</v>
      </c>
      <c r="BC656">
        <f t="shared" si="584"/>
        <v>-1.5729072584693287</v>
      </c>
      <c r="BD656">
        <f t="shared" si="573"/>
        <v>-270.12094757876366</v>
      </c>
      <c r="BF656">
        <f t="shared" si="574"/>
        <v>-88.503933745681593</v>
      </c>
      <c r="BG656">
        <f t="shared" si="575"/>
        <v>-224.93221463018477</v>
      </c>
      <c r="BH656">
        <f t="shared" si="585"/>
        <v>-44.932214630184774</v>
      </c>
      <c r="BI656">
        <f t="shared" si="586"/>
        <v>-44.932214630184774</v>
      </c>
      <c r="BJ656">
        <f t="shared" si="576"/>
        <v>0</v>
      </c>
      <c r="BK656">
        <f t="shared" si="587"/>
        <v>0</v>
      </c>
      <c r="BM656">
        <f t="shared" si="588"/>
        <v>-82.485368497893546</v>
      </c>
      <c r="BN656">
        <f t="shared" si="577"/>
        <v>-134.81126705142117</v>
      </c>
      <c r="BQ656" s="56">
        <f t="shared" si="589"/>
        <v>10.883395552497081</v>
      </c>
    </row>
    <row r="657" spans="1:69" x14ac:dyDescent="0.2">
      <c r="A657">
        <f t="shared" si="563"/>
        <v>8100000</v>
      </c>
      <c r="B657">
        <f t="shared" si="578"/>
        <v>8100</v>
      </c>
      <c r="C657">
        <f t="shared" si="539"/>
        <v>1.426909804171584</v>
      </c>
      <c r="D657">
        <f t="shared" si="540"/>
        <v>0.79425676066876061</v>
      </c>
      <c r="F657">
        <f t="shared" si="541"/>
        <v>3.4449446531174876E-6</v>
      </c>
      <c r="G657">
        <f t="shared" si="542"/>
        <v>6.3824397112340005E-4</v>
      </c>
      <c r="H657">
        <f t="shared" si="564"/>
        <v>-3.140954406028877</v>
      </c>
      <c r="J657">
        <f t="shared" si="565"/>
        <v>15</v>
      </c>
      <c r="M657">
        <f t="shared" si="543"/>
        <v>2.2406353120049547E-4</v>
      </c>
      <c r="N657">
        <f t="shared" si="566"/>
        <v>-1.5707963250000001</v>
      </c>
      <c r="O657">
        <f t="shared" si="544"/>
        <v>966.6264783265126</v>
      </c>
      <c r="P657">
        <f t="shared" si="567"/>
        <v>1.5697618008422192</v>
      </c>
      <c r="Q657">
        <f t="shared" si="545"/>
        <v>630.90274211636665</v>
      </c>
      <c r="R657">
        <f t="shared" si="568"/>
        <v>1.5692112957719435</v>
      </c>
      <c r="S657">
        <f t="shared" si="546"/>
        <v>0.69301547075853109</v>
      </c>
      <c r="T657">
        <f t="shared" si="569"/>
        <v>-0.80513284416895858</v>
      </c>
      <c r="U657">
        <f t="shared" si="547"/>
        <v>6.025795581268311E-2</v>
      </c>
      <c r="V657">
        <f t="shared" si="570"/>
        <v>-1.5105018449490621</v>
      </c>
      <c r="X657">
        <f t="shared" si="548"/>
        <v>-67.519607343729191</v>
      </c>
      <c r="Y657">
        <f t="shared" si="549"/>
        <v>-177.2820551116057</v>
      </c>
      <c r="Z657">
        <f t="shared" si="579"/>
        <v>2.7179448883942996</v>
      </c>
      <c r="AC657">
        <v>1</v>
      </c>
      <c r="AD657">
        <f t="shared" si="550"/>
        <v>966.62596106349008</v>
      </c>
      <c r="AE657">
        <f t="shared" si="551"/>
        <v>-3.3452783080571931</v>
      </c>
      <c r="AF657">
        <f t="shared" si="552"/>
        <v>0.20194660209024004</v>
      </c>
      <c r="AG657">
        <f t="shared" si="553"/>
        <v>17.082193517747406</v>
      </c>
      <c r="AH657">
        <f t="shared" si="554"/>
        <v>-287.92111789518293</v>
      </c>
      <c r="AJ657">
        <f t="shared" si="571"/>
        <v>22100</v>
      </c>
      <c r="AK657">
        <f t="shared" si="555"/>
        <v>22989.951331303324</v>
      </c>
      <c r="AL657">
        <v>32</v>
      </c>
      <c r="AM657">
        <f t="shared" si="556"/>
        <v>630.90194960068925</v>
      </c>
      <c r="AN657">
        <f t="shared" si="557"/>
        <v>38.11847016816472</v>
      </c>
      <c r="AO657">
        <f t="shared" si="558"/>
        <v>-33.095806674609648</v>
      </c>
      <c r="AQ657">
        <f t="shared" si="559"/>
        <v>3.8103947423777063E-5</v>
      </c>
      <c r="AR657">
        <f t="shared" si="560"/>
        <v>-0.6172839482651884</v>
      </c>
      <c r="AT657">
        <f t="shared" si="561"/>
        <v>-177.72843354426163</v>
      </c>
      <c r="AU657">
        <f t="shared" si="562"/>
        <v>-10.5555347908036</v>
      </c>
      <c r="AV657">
        <f t="shared" si="580"/>
        <v>-3.0822709693016526</v>
      </c>
      <c r="AW657">
        <f t="shared" si="581"/>
        <v>23.122958759852388</v>
      </c>
      <c r="AX657">
        <f t="shared" si="582"/>
        <v>-359.69169745446015</v>
      </c>
      <c r="AY657">
        <f t="shared" si="590"/>
        <v>-1.506599168966666</v>
      </c>
      <c r="BA657">
        <f t="shared" si="572"/>
        <v>0.49396430180401829</v>
      </c>
      <c r="BB657">
        <f t="shared" si="583"/>
        <v>-6.1260887174673782</v>
      </c>
      <c r="BC657">
        <f t="shared" si="584"/>
        <v>-1.5756718003349865</v>
      </c>
      <c r="BD657">
        <f t="shared" si="573"/>
        <v>-270.27934416013403</v>
      </c>
      <c r="BF657">
        <f t="shared" si="574"/>
        <v>-88.772688119548036</v>
      </c>
      <c r="BG657">
        <f t="shared" si="575"/>
        <v>-224.73521518619495</v>
      </c>
      <c r="BH657">
        <f t="shared" si="585"/>
        <v>-44.735215186194949</v>
      </c>
      <c r="BI657">
        <f t="shared" si="586"/>
        <v>-44.735215186194949</v>
      </c>
      <c r="BJ657">
        <f t="shared" si="576"/>
        <v>0</v>
      </c>
      <c r="BK657">
        <f t="shared" si="587"/>
        <v>0</v>
      </c>
      <c r="BM657">
        <f t="shared" si="588"/>
        <v>-82.646599402080639</v>
      </c>
      <c r="BN657">
        <f t="shared" si="577"/>
        <v>-134.45587102606089</v>
      </c>
      <c r="BQ657" s="56">
        <f t="shared" si="589"/>
        <v>10.775872082817759</v>
      </c>
    </row>
    <row r="658" spans="1:69" x14ac:dyDescent="0.2">
      <c r="A658">
        <f t="shared" si="563"/>
        <v>8200000</v>
      </c>
      <c r="B658">
        <f t="shared" si="578"/>
        <v>8200</v>
      </c>
      <c r="C658">
        <f t="shared" si="539"/>
        <v>1.4359009427743283</v>
      </c>
      <c r="D658">
        <f t="shared" si="540"/>
        <v>0.80039002360772682</v>
      </c>
      <c r="F658">
        <f t="shared" si="541"/>
        <v>3.3614336832377927E-6</v>
      </c>
      <c r="G658">
        <f t="shared" si="542"/>
        <v>6.304604572885214E-4</v>
      </c>
      <c r="H658">
        <f t="shared" si="564"/>
        <v>-3.1409621895427118</v>
      </c>
      <c r="J658">
        <f t="shared" si="565"/>
        <v>15</v>
      </c>
      <c r="M658">
        <f t="shared" si="543"/>
        <v>2.2133104911268458E-4</v>
      </c>
      <c r="N658">
        <f t="shared" si="566"/>
        <v>-1.5707963250000001</v>
      </c>
      <c r="O658">
        <f t="shared" si="544"/>
        <v>978.56012585872043</v>
      </c>
      <c r="P658">
        <f t="shared" si="567"/>
        <v>1.5697744170035361</v>
      </c>
      <c r="Q658">
        <f t="shared" si="545"/>
        <v>638.69164540958639</v>
      </c>
      <c r="R658">
        <f t="shared" si="568"/>
        <v>1.5692306253867798</v>
      </c>
      <c r="S658">
        <f t="shared" si="546"/>
        <v>0.68858421433703065</v>
      </c>
      <c r="T658">
        <f t="shared" si="569"/>
        <v>-0.81126147512105673</v>
      </c>
      <c r="U658">
        <f t="shared" si="547"/>
        <v>5.9525722521899575E-2</v>
      </c>
      <c r="V658">
        <f t="shared" si="570"/>
        <v>-1.5112353950723956</v>
      </c>
      <c r="X658">
        <f t="shared" si="548"/>
        <v>-67.733537632764936</v>
      </c>
      <c r="Y658">
        <f t="shared" si="549"/>
        <v>-177.32243464882745</v>
      </c>
      <c r="Z658">
        <f t="shared" si="579"/>
        <v>2.6775653511725466</v>
      </c>
      <c r="AC658">
        <v>1</v>
      </c>
      <c r="AD658">
        <f t="shared" si="550"/>
        <v>978.5596149037799</v>
      </c>
      <c r="AE658">
        <f t="shared" si="551"/>
        <v>-3.4283876456906826</v>
      </c>
      <c r="AF658">
        <f t="shared" si="552"/>
        <v>0.20443977001728</v>
      </c>
      <c r="AG658">
        <f t="shared" si="553"/>
        <v>16.669562411982668</v>
      </c>
      <c r="AH658">
        <f t="shared" si="554"/>
        <v>-284.43449054651211</v>
      </c>
      <c r="AJ658">
        <f t="shared" si="571"/>
        <v>22100</v>
      </c>
      <c r="AK658">
        <f t="shared" si="555"/>
        <v>23273.777890949044</v>
      </c>
      <c r="AL658">
        <v>33</v>
      </c>
      <c r="AM658">
        <f t="shared" si="556"/>
        <v>638.69086255872242</v>
      </c>
      <c r="AN658">
        <f t="shared" si="557"/>
        <v>38.12585991493534</v>
      </c>
      <c r="AO658">
        <f t="shared" si="558"/>
        <v>-32.632135270122006</v>
      </c>
      <c r="AQ658">
        <f t="shared" si="559"/>
        <v>3.7180249713041904E-5</v>
      </c>
      <c r="AR658">
        <f t="shared" si="560"/>
        <v>-0.60975609529388719</v>
      </c>
      <c r="AT658">
        <f t="shared" si="561"/>
        <v>-173.43504454405422</v>
      </c>
      <c r="AU658">
        <f t="shared" si="562"/>
        <v>-10.174942631973824</v>
      </c>
      <c r="AV658">
        <f t="shared" si="580"/>
        <v>-3.082992656048972</v>
      </c>
      <c r="AW658">
        <f t="shared" si="581"/>
        <v>23.553552231795223</v>
      </c>
      <c r="AX658">
        <f t="shared" si="582"/>
        <v>-355.25920214975531</v>
      </c>
      <c r="AY658">
        <f t="shared" si="590"/>
        <v>-1.5045935885085238</v>
      </c>
      <c r="BA658">
        <f t="shared" si="572"/>
        <v>0.48796111232634309</v>
      </c>
      <c r="BB658">
        <f t="shared" si="583"/>
        <v>-6.2322957474470675</v>
      </c>
      <c r="BC658">
        <f t="shared" si="584"/>
        <v>-1.5783990675404482</v>
      </c>
      <c r="BD658">
        <f t="shared" si="573"/>
        <v>-270.43560506079001</v>
      </c>
      <c r="BF658">
        <f t="shared" si="574"/>
        <v>-89.037490001233579</v>
      </c>
      <c r="BG658">
        <f t="shared" si="575"/>
        <v>-224.54051196789558</v>
      </c>
      <c r="BH658">
        <f t="shared" si="585"/>
        <v>-44.540511967895583</v>
      </c>
      <c r="BI658">
        <f t="shared" si="586"/>
        <v>-44.540511967895583</v>
      </c>
      <c r="BJ658">
        <f t="shared" si="576"/>
        <v>0</v>
      </c>
      <c r="BK658">
        <f t="shared" si="587"/>
        <v>0</v>
      </c>
      <c r="BM658">
        <f t="shared" si="588"/>
        <v>-82.80519425378651</v>
      </c>
      <c r="BN658">
        <f t="shared" si="577"/>
        <v>-134.1049069071056</v>
      </c>
      <c r="BQ658" s="56">
        <f t="shared" si="589"/>
        <v>10.669665052838068</v>
      </c>
    </row>
    <row r="659" spans="1:69" x14ac:dyDescent="0.2">
      <c r="A659">
        <f t="shared" si="563"/>
        <v>8300000</v>
      </c>
      <c r="B659">
        <f t="shared" si="578"/>
        <v>8300</v>
      </c>
      <c r="C659">
        <f t="shared" si="539"/>
        <v>1.4449454221594442</v>
      </c>
      <c r="D659">
        <f t="shared" si="540"/>
        <v>0.80644673102641196</v>
      </c>
      <c r="F659">
        <f t="shared" si="541"/>
        <v>3.2809229738910524E-6</v>
      </c>
      <c r="G659">
        <f t="shared" si="542"/>
        <v>6.2286449980598056E-4</v>
      </c>
      <c r="H659">
        <f t="shared" si="564"/>
        <v>-3.1409697855001943</v>
      </c>
      <c r="J659">
        <f t="shared" si="565"/>
        <v>15</v>
      </c>
      <c r="M659">
        <f t="shared" si="543"/>
        <v>2.186644099667486E-4</v>
      </c>
      <c r="N659">
        <f t="shared" si="566"/>
        <v>-1.5707963250000001</v>
      </c>
      <c r="O659">
        <f t="shared" si="544"/>
        <v>990.49377354292983</v>
      </c>
      <c r="P659">
        <f t="shared" si="567"/>
        <v>1.5697867291612797</v>
      </c>
      <c r="Q659">
        <f t="shared" si="545"/>
        <v>646.48054893569292</v>
      </c>
      <c r="R659">
        <f t="shared" si="568"/>
        <v>1.5692494892288928</v>
      </c>
      <c r="S659">
        <f t="shared" si="546"/>
        <v>0.6841840565105195</v>
      </c>
      <c r="T659">
        <f t="shared" si="569"/>
        <v>-0.8173120051565852</v>
      </c>
      <c r="U659">
        <f t="shared" si="547"/>
        <v>5.8811040743367259E-2</v>
      </c>
      <c r="V659">
        <f t="shared" si="570"/>
        <v>-1.5119513311745296</v>
      </c>
      <c r="X659">
        <f t="shared" si="548"/>
        <v>-67.944882668933644</v>
      </c>
      <c r="Y659">
        <f t="shared" si="549"/>
        <v>-177.36174979103367</v>
      </c>
      <c r="Z659">
        <f t="shared" si="579"/>
        <v>2.6382502089663262</v>
      </c>
      <c r="AC659">
        <v>1</v>
      </c>
      <c r="AD659">
        <f t="shared" si="550"/>
        <v>990.49326874407006</v>
      </c>
      <c r="AE659">
        <f t="shared" si="551"/>
        <v>-3.5125167297982021</v>
      </c>
      <c r="AF659">
        <f t="shared" si="552"/>
        <v>0.20693293794432002</v>
      </c>
      <c r="AG659">
        <f t="shared" si="553"/>
        <v>16.271686869162636</v>
      </c>
      <c r="AH659">
        <f t="shared" si="554"/>
        <v>-281.0310090200299</v>
      </c>
      <c r="AJ659">
        <f t="shared" si="571"/>
        <v>22100</v>
      </c>
      <c r="AK659">
        <f t="shared" si="555"/>
        <v>23557.604450594761</v>
      </c>
      <c r="AL659">
        <v>34</v>
      </c>
      <c r="AM659">
        <f t="shared" si="556"/>
        <v>646.47977551675558</v>
      </c>
      <c r="AN659">
        <f t="shared" si="557"/>
        <v>38.13222637966571</v>
      </c>
      <c r="AO659">
        <f t="shared" si="558"/>
        <v>-32.179667626048072</v>
      </c>
      <c r="AQ659">
        <f t="shared" si="559"/>
        <v>3.6289737130607717E-5</v>
      </c>
      <c r="AR659">
        <f t="shared" si="560"/>
        <v>-0.60240963636808809</v>
      </c>
      <c r="AT659">
        <f t="shared" si="561"/>
        <v>-169.29519745667395</v>
      </c>
      <c r="AU659">
        <f t="shared" si="562"/>
        <v>-9.8124195113905426</v>
      </c>
      <c r="AV659">
        <f t="shared" si="580"/>
        <v>-3.0836970146392604</v>
      </c>
      <c r="AW659">
        <f t="shared" si="581"/>
        <v>23.967138186395523</v>
      </c>
      <c r="AX659">
        <f t="shared" si="582"/>
        <v>-350.93232797878602</v>
      </c>
      <c r="AY659">
        <f t="shared" si="590"/>
        <v>-1.5026066019293243</v>
      </c>
      <c r="BA659">
        <f t="shared" si="572"/>
        <v>0.48210212051626761</v>
      </c>
      <c r="BB659">
        <f t="shared" si="583"/>
        <v>-6.3372191655488024</v>
      </c>
      <c r="BC659">
        <f t="shared" si="584"/>
        <v>-1.5810904127099361</v>
      </c>
      <c r="BD659">
        <f t="shared" si="573"/>
        <v>-270.5898077803908</v>
      </c>
      <c r="BF659">
        <f t="shared" si="574"/>
        <v>-89.298444424176125</v>
      </c>
      <c r="BG659">
        <f t="shared" si="575"/>
        <v>-224.34812613056923</v>
      </c>
      <c r="BH659">
        <f t="shared" si="585"/>
        <v>-44.348126130569227</v>
      </c>
      <c r="BI659">
        <f t="shared" si="586"/>
        <v>-44.348126130569227</v>
      </c>
      <c r="BJ659">
        <f t="shared" si="576"/>
        <v>0</v>
      </c>
      <c r="BK659">
        <f t="shared" si="587"/>
        <v>0</v>
      </c>
      <c r="BM659">
        <f t="shared" si="588"/>
        <v>-82.961225258627337</v>
      </c>
      <c r="BN659">
        <f t="shared" si="577"/>
        <v>-133.75831835017846</v>
      </c>
      <c r="BQ659" s="56">
        <f t="shared" si="589"/>
        <v>10.564741634736334</v>
      </c>
    </row>
    <row r="660" spans="1:69" x14ac:dyDescent="0.2">
      <c r="A660">
        <f t="shared" si="563"/>
        <v>8400000</v>
      </c>
      <c r="B660">
        <f t="shared" si="578"/>
        <v>8400</v>
      </c>
      <c r="C660">
        <f t="shared" si="539"/>
        <v>1.4540422469512286</v>
      </c>
      <c r="D660">
        <f t="shared" si="540"/>
        <v>0.81242787125276694</v>
      </c>
      <c r="F660">
        <f t="shared" si="541"/>
        <v>3.2032705086742269E-6</v>
      </c>
      <c r="G660">
        <f t="shared" si="542"/>
        <v>6.1544940015033627E-4</v>
      </c>
      <c r="H660">
        <f t="shared" si="564"/>
        <v>-3.14097720059985</v>
      </c>
      <c r="J660">
        <f t="shared" si="565"/>
        <v>15</v>
      </c>
      <c r="M660">
        <f t="shared" si="543"/>
        <v>2.1606126222904922E-4</v>
      </c>
      <c r="N660">
        <f t="shared" si="566"/>
        <v>-1.5707963250000001</v>
      </c>
      <c r="O660">
        <f t="shared" si="544"/>
        <v>1002.4274213737127</v>
      </c>
      <c r="P660">
        <f t="shared" si="567"/>
        <v>1.5697987481727056</v>
      </c>
      <c r="Q660">
        <f t="shared" si="545"/>
        <v>654.2694526863686</v>
      </c>
      <c r="R660">
        <f t="shared" si="568"/>
        <v>1.5692679039329698</v>
      </c>
      <c r="S660">
        <f t="shared" si="546"/>
        <v>0.67981536224408901</v>
      </c>
      <c r="T660">
        <f t="shared" si="569"/>
        <v>-0.82328548312353844</v>
      </c>
      <c r="U660">
        <f t="shared" si="547"/>
        <v>5.8113287952799755E-2</v>
      </c>
      <c r="V660">
        <f t="shared" si="570"/>
        <v>-1.5126502794431063</v>
      </c>
      <c r="X660">
        <f t="shared" si="548"/>
        <v>-68.153703744959586</v>
      </c>
      <c r="Y660">
        <f t="shared" si="549"/>
        <v>-177.40003869230131</v>
      </c>
      <c r="Z660">
        <f t="shared" si="579"/>
        <v>2.5999613076986918</v>
      </c>
      <c r="AC660">
        <v>1</v>
      </c>
      <c r="AD660">
        <f t="shared" si="550"/>
        <v>1002.4269225843601</v>
      </c>
      <c r="AE660">
        <f t="shared" si="551"/>
        <v>-3.5976655603797529</v>
      </c>
      <c r="AF660">
        <f t="shared" si="552"/>
        <v>0.20942610587136004</v>
      </c>
      <c r="AG660">
        <f t="shared" si="553"/>
        <v>15.887872424182934</v>
      </c>
      <c r="AH660">
        <f t="shared" si="554"/>
        <v>-277.70774424805683</v>
      </c>
      <c r="AJ660">
        <f t="shared" si="571"/>
        <v>22100</v>
      </c>
      <c r="AK660">
        <f t="shared" si="555"/>
        <v>23841.431010240482</v>
      </c>
      <c r="AL660">
        <v>35</v>
      </c>
      <c r="AM660">
        <f t="shared" si="556"/>
        <v>654.26868847478886</v>
      </c>
      <c r="AN660">
        <f t="shared" si="557"/>
        <v>38.13763613579868</v>
      </c>
      <c r="AO660">
        <f t="shared" si="558"/>
        <v>-31.738004738778198</v>
      </c>
      <c r="AQ660">
        <f t="shared" si="559"/>
        <v>3.5430838876733138E-5</v>
      </c>
      <c r="AR660">
        <f t="shared" si="560"/>
        <v>-0.59523809312911669</v>
      </c>
      <c r="AT660">
        <f t="shared" si="561"/>
        <v>-165.30166521275382</v>
      </c>
      <c r="AU660">
        <f t="shared" si="562"/>
        <v>-9.4669063039905996</v>
      </c>
      <c r="AV660">
        <f t="shared" si="580"/>
        <v>-3.0843846610507404</v>
      </c>
      <c r="AW660">
        <f t="shared" si="581"/>
        <v>24.364559150062426</v>
      </c>
      <c r="AX660">
        <f t="shared" si="582"/>
        <v>-346.70737770373808</v>
      </c>
      <c r="AY660">
        <f t="shared" si="590"/>
        <v>-1.500637537587509</v>
      </c>
      <c r="BA660">
        <f t="shared" si="572"/>
        <v>0.47638213957922837</v>
      </c>
      <c r="BB660">
        <f t="shared" si="583"/>
        <v>-6.4408905872608413</v>
      </c>
      <c r="BC660">
        <f t="shared" si="584"/>
        <v>-1.5837471234632314</v>
      </c>
      <c r="BD660">
        <f t="shared" si="573"/>
        <v>-270.74202609411554</v>
      </c>
      <c r="BF660">
        <f t="shared" si="574"/>
        <v>-89.555652597730358</v>
      </c>
      <c r="BG660">
        <f t="shared" si="575"/>
        <v>-224.15807520617179</v>
      </c>
      <c r="BH660">
        <f t="shared" si="585"/>
        <v>-44.158075206171787</v>
      </c>
      <c r="BI660">
        <f t="shared" si="586"/>
        <v>-44.158075206171787</v>
      </c>
      <c r="BJ660">
        <f t="shared" si="576"/>
        <v>0</v>
      </c>
      <c r="BK660">
        <f t="shared" si="587"/>
        <v>0</v>
      </c>
      <c r="BM660">
        <f t="shared" si="588"/>
        <v>-83.114762010469505</v>
      </c>
      <c r="BN660">
        <f t="shared" si="577"/>
        <v>-133.41604911205624</v>
      </c>
      <c r="BQ660" s="56">
        <f t="shared" si="589"/>
        <v>10.461070213024295</v>
      </c>
    </row>
    <row r="661" spans="1:69" x14ac:dyDescent="0.2">
      <c r="A661">
        <f t="shared" si="563"/>
        <v>8500000</v>
      </c>
      <c r="B661">
        <f t="shared" si="578"/>
        <v>8500</v>
      </c>
      <c r="C661">
        <f t="shared" si="539"/>
        <v>1.4631904408376011</v>
      </c>
      <c r="D661">
        <f t="shared" si="540"/>
        <v>0.8183344297369417</v>
      </c>
      <c r="F661">
        <f t="shared" si="541"/>
        <v>3.1283425757018313E-6</v>
      </c>
      <c r="G661">
        <f t="shared" si="542"/>
        <v>6.0820877502574481E-4</v>
      </c>
      <c r="H661">
        <f t="shared" si="564"/>
        <v>-3.1409844412249743</v>
      </c>
      <c r="J661">
        <f t="shared" si="565"/>
        <v>15</v>
      </c>
      <c r="M661">
        <f t="shared" si="543"/>
        <v>2.1351936502635451E-4</v>
      </c>
      <c r="N661">
        <f t="shared" si="566"/>
        <v>-1.5707963250000001</v>
      </c>
      <c r="O661">
        <f t="shared" si="544"/>
        <v>1014.3610693458955</v>
      </c>
      <c r="P661">
        <f t="shared" si="567"/>
        <v>1.5698104843841407</v>
      </c>
      <c r="Q661">
        <f t="shared" si="545"/>
        <v>662.05835665368761</v>
      </c>
      <c r="R661">
        <f t="shared" si="568"/>
        <v>1.5692858853508924</v>
      </c>
      <c r="S661">
        <f t="shared" si="546"/>
        <v>0.67547845911519877</v>
      </c>
      <c r="T661">
        <f t="shared" si="569"/>
        <v>-0.82918295332545211</v>
      </c>
      <c r="U661">
        <f t="shared" si="547"/>
        <v>5.7431870673049792E-2</v>
      </c>
      <c r="V661">
        <f t="shared" si="570"/>
        <v>-1.5133328367641321</v>
      </c>
      <c r="X661">
        <f t="shared" si="548"/>
        <v>-68.360060004912214</v>
      </c>
      <c r="Y661">
        <f t="shared" si="549"/>
        <v>-177.43733778841923</v>
      </c>
      <c r="Z661">
        <f t="shared" si="579"/>
        <v>2.562662211580772</v>
      </c>
      <c r="AC661">
        <v>1</v>
      </c>
      <c r="AD661">
        <f t="shared" si="550"/>
        <v>1014.3605764246499</v>
      </c>
      <c r="AE661">
        <f t="shared" si="551"/>
        <v>-3.6838341374353334</v>
      </c>
      <c r="AF661">
        <f t="shared" si="552"/>
        <v>0.21191927379840003</v>
      </c>
      <c r="AG661">
        <f t="shared" si="553"/>
        <v>15.517464947887314</v>
      </c>
      <c r="AH661">
        <f t="shared" si="554"/>
        <v>-274.46190268099446</v>
      </c>
      <c r="AJ661">
        <f t="shared" si="571"/>
        <v>22100</v>
      </c>
      <c r="AK661">
        <f t="shared" si="555"/>
        <v>24125.257569886206</v>
      </c>
      <c r="AL661">
        <v>36</v>
      </c>
      <c r="AM661">
        <f t="shared" si="556"/>
        <v>662.05760143282203</v>
      </c>
      <c r="AN661">
        <f t="shared" si="557"/>
        <v>38.142151225744286</v>
      </c>
      <c r="AO661">
        <f t="shared" si="558"/>
        <v>-31.306766225500898</v>
      </c>
      <c r="AQ661">
        <f t="shared" si="559"/>
        <v>3.4602076004837107E-5</v>
      </c>
      <c r="AR661">
        <f t="shared" si="560"/>
        <v>-0.5882352920822308</v>
      </c>
      <c r="AT661">
        <f t="shared" si="561"/>
        <v>-161.44764055249806</v>
      </c>
      <c r="AU661">
        <f t="shared" si="562"/>
        <v>-9.1374174776132726</v>
      </c>
      <c r="AV661">
        <f t="shared" si="580"/>
        <v>-3.0850561824404408</v>
      </c>
      <c r="AW661">
        <f t="shared" si="581"/>
        <v>24.746607088730638</v>
      </c>
      <c r="AX661">
        <f t="shared" si="582"/>
        <v>-342.58082306942941</v>
      </c>
      <c r="AY661">
        <f t="shared" si="590"/>
        <v>-1.4986857561778546</v>
      </c>
      <c r="BA661">
        <f t="shared" si="572"/>
        <v>0.47079622973886665</v>
      </c>
      <c r="BB661">
        <f t="shared" si="583"/>
        <v>-6.5433404752025561</v>
      </c>
      <c r="BC661">
        <f t="shared" si="584"/>
        <v>-1.5863704262625862</v>
      </c>
      <c r="BD661">
        <f t="shared" si="573"/>
        <v>-270.89233027307517</v>
      </c>
      <c r="BF661">
        <f t="shared" si="574"/>
        <v>-89.809212083914574</v>
      </c>
      <c r="BG661">
        <f t="shared" si="575"/>
        <v>-223.97037336941546</v>
      </c>
      <c r="BH661">
        <f t="shared" si="585"/>
        <v>-43.970373369415455</v>
      </c>
      <c r="BI661">
        <f t="shared" si="586"/>
        <v>-43.970373369415455</v>
      </c>
      <c r="BJ661">
        <f t="shared" si="576"/>
        <v>0</v>
      </c>
      <c r="BK661">
        <f t="shared" si="587"/>
        <v>0</v>
      </c>
      <c r="BM661">
        <f t="shared" si="588"/>
        <v>-83.265871608712018</v>
      </c>
      <c r="BN661">
        <f t="shared" si="577"/>
        <v>-133.07804309634028</v>
      </c>
      <c r="BQ661" s="56">
        <f t="shared" si="589"/>
        <v>10.358620325082581</v>
      </c>
    </row>
    <row r="662" spans="1:69" x14ac:dyDescent="0.2">
      <c r="A662">
        <f t="shared" si="563"/>
        <v>8600000</v>
      </c>
      <c r="B662">
        <f t="shared" si="578"/>
        <v>8600</v>
      </c>
      <c r="C662">
        <f t="shared" si="539"/>
        <v>1.4723890463251221</v>
      </c>
      <c r="D662">
        <f t="shared" si="540"/>
        <v>0.82416738832539682</v>
      </c>
      <c r="F662">
        <f t="shared" si="541"/>
        <v>3.0560131916126011E-6</v>
      </c>
      <c r="G662">
        <f t="shared" si="542"/>
        <v>6.0113653803832337E-4</v>
      </c>
      <c r="H662">
        <f t="shared" si="564"/>
        <v>-3.1409915134619619</v>
      </c>
      <c r="J662">
        <f t="shared" si="565"/>
        <v>15</v>
      </c>
      <c r="M662">
        <f t="shared" si="543"/>
        <v>2.1103658171209459E-4</v>
      </c>
      <c r="N662">
        <f t="shared" si="566"/>
        <v>-1.5707963250000001</v>
      </c>
      <c r="O662">
        <f t="shared" si="544"/>
        <v>1026.2947174545459</v>
      </c>
      <c r="P662">
        <f t="shared" si="567"/>
        <v>1.5698219476606885</v>
      </c>
      <c r="Q662">
        <f t="shared" si="545"/>
        <v>669.84726083009275</v>
      </c>
      <c r="R662">
        <f t="shared" si="568"/>
        <v>1.5693034485972484</v>
      </c>
      <c r="S662">
        <f t="shared" si="546"/>
        <v>0.67117363901725957</v>
      </c>
      <c r="T662">
        <f t="shared" si="569"/>
        <v>-0.83500545481131139</v>
      </c>
      <c r="U662">
        <f t="shared" si="547"/>
        <v>5.6766222802232959E-2</v>
      </c>
      <c r="V662">
        <f t="shared" si="570"/>
        <v>-1.5139995724142346</v>
      </c>
      <c r="X662">
        <f t="shared" si="548"/>
        <v>-68.564008543644235</v>
      </c>
      <c r="Y662">
        <f t="shared" si="549"/>
        <v>-177.47368189149262</v>
      </c>
      <c r="Z662">
        <f t="shared" si="579"/>
        <v>2.5263181085073825</v>
      </c>
      <c r="AC662">
        <v>1</v>
      </c>
      <c r="AD662">
        <f t="shared" si="550"/>
        <v>1026.2942302649401</v>
      </c>
      <c r="AE662">
        <f t="shared" si="551"/>
        <v>-3.7710224609649452</v>
      </c>
      <c r="AF662">
        <f t="shared" si="552"/>
        <v>0.21441244172544005</v>
      </c>
      <c r="AG662">
        <f t="shared" si="553"/>
        <v>15.159847871032039</v>
      </c>
      <c r="AH662">
        <f t="shared" si="554"/>
        <v>-271.29081856620525</v>
      </c>
      <c r="AJ662">
        <f t="shared" si="571"/>
        <v>22100</v>
      </c>
      <c r="AK662">
        <f t="shared" si="555"/>
        <v>24409.084129531922</v>
      </c>
      <c r="AL662">
        <v>37</v>
      </c>
      <c r="AM662">
        <f t="shared" si="556"/>
        <v>669.8465143908553</v>
      </c>
      <c r="AN662">
        <f t="shared" si="557"/>
        <v>38.145829504325867</v>
      </c>
      <c r="AO662">
        <f t="shared" si="558"/>
        <v>-30.885589256448903</v>
      </c>
      <c r="AQ662">
        <f t="shared" si="559"/>
        <v>3.3802055050696138E-5</v>
      </c>
      <c r="AR662">
        <f t="shared" si="560"/>
        <v>-0.58139534687197358</v>
      </c>
      <c r="AT662">
        <f t="shared" si="561"/>
        <v>-157.72670712946825</v>
      </c>
      <c r="AU662">
        <f t="shared" si="562"/>
        <v>-8.8230351986889453</v>
      </c>
      <c r="AV662">
        <f t="shared" si="580"/>
        <v>-3.0857121388085211</v>
      </c>
      <c r="AW662">
        <f t="shared" si="581"/>
        <v>25.114026969146742</v>
      </c>
      <c r="AX662">
        <f t="shared" si="582"/>
        <v>-338.54929535216502</v>
      </c>
      <c r="AY662">
        <f t="shared" si="590"/>
        <v>-1.4967506488188076</v>
      </c>
      <c r="BA662">
        <f t="shared" si="572"/>
        <v>0.46533968363893019</v>
      </c>
      <c r="BB662">
        <f t="shared" si="583"/>
        <v>-6.6445981949601007</v>
      </c>
      <c r="BC662">
        <f t="shared" si="584"/>
        <v>-1.5889614899897135</v>
      </c>
      <c r="BD662">
        <f t="shared" si="573"/>
        <v>-271.04078728925867</v>
      </c>
      <c r="BF662">
        <f t="shared" si="574"/>
        <v>-90.059216964086133</v>
      </c>
      <c r="BG662">
        <f t="shared" si="575"/>
        <v>-223.78503168535553</v>
      </c>
      <c r="BH662">
        <f t="shared" si="585"/>
        <v>-43.785031685355534</v>
      </c>
      <c r="BI662">
        <f t="shared" si="586"/>
        <v>-43.785031685355534</v>
      </c>
      <c r="BJ662">
        <f t="shared" si="576"/>
        <v>0</v>
      </c>
      <c r="BK662">
        <f t="shared" si="587"/>
        <v>0</v>
      </c>
      <c r="BM662">
        <f t="shared" si="588"/>
        <v>-83.414618769126037</v>
      </c>
      <c r="BN662">
        <f t="shared" si="577"/>
        <v>-132.74424439609689</v>
      </c>
      <c r="BQ662" s="56">
        <f t="shared" si="589"/>
        <v>10.257362605325035</v>
      </c>
    </row>
    <row r="663" spans="1:69" x14ac:dyDescent="0.2">
      <c r="A663">
        <f t="shared" si="563"/>
        <v>8700000</v>
      </c>
      <c r="B663">
        <f t="shared" si="578"/>
        <v>8700</v>
      </c>
      <c r="C663">
        <f t="shared" si="539"/>
        <v>1.4816371244869591</v>
      </c>
      <c r="D663">
        <f t="shared" si="540"/>
        <v>0.82992772458436515</v>
      </c>
      <c r="F663">
        <f t="shared" si="541"/>
        <v>2.9861635716517918E-6</v>
      </c>
      <c r="G663">
        <f t="shared" si="542"/>
        <v>5.9422688263251601E-4</v>
      </c>
      <c r="H663">
        <f t="shared" si="564"/>
        <v>-3.1409984231173675</v>
      </c>
      <c r="J663">
        <f t="shared" si="565"/>
        <v>15</v>
      </c>
      <c r="M663">
        <f t="shared" si="543"/>
        <v>2.0861087387632338E-4</v>
      </c>
      <c r="N663">
        <f t="shared" si="566"/>
        <v>-1.5707963250000001</v>
      </c>
      <c r="O663">
        <f t="shared" si="544"/>
        <v>1038.228365694958</v>
      </c>
      <c r="P663">
        <f t="shared" si="567"/>
        <v>1.5698331474138847</v>
      </c>
      <c r="Q663">
        <f t="shared" si="545"/>
        <v>677.636165208374</v>
      </c>
      <c r="R663">
        <f t="shared" si="568"/>
        <v>1.5693206080917039</v>
      </c>
      <c r="S663">
        <f t="shared" si="546"/>
        <v>0.66690115981302989</v>
      </c>
      <c r="T663">
        <f t="shared" si="569"/>
        <v>-0.8407540207172518</v>
      </c>
      <c r="U663">
        <f t="shared" si="547"/>
        <v>5.6115804055824788E-2</v>
      </c>
      <c r="V663">
        <f t="shared" si="570"/>
        <v>-1.5146510296370992</v>
      </c>
      <c r="X663">
        <f t="shared" si="548"/>
        <v>-68.765604500527559</v>
      </c>
      <c r="Y663">
        <f t="shared" si="549"/>
        <v>-177.50910427827671</v>
      </c>
      <c r="Z663">
        <f t="shared" si="579"/>
        <v>2.490895721723291</v>
      </c>
      <c r="AC663">
        <v>1</v>
      </c>
      <c r="AD663">
        <f t="shared" si="550"/>
        <v>1038.22788410523</v>
      </c>
      <c r="AE663">
        <f t="shared" si="551"/>
        <v>-3.859230530968587</v>
      </c>
      <c r="AF663">
        <f t="shared" si="552"/>
        <v>0.21690560965248004</v>
      </c>
      <c r="AG663">
        <f t="shared" si="553"/>
        <v>14.814439628382953</v>
      </c>
      <c r="AH663">
        <f t="shared" si="554"/>
        <v>-268.19194674701345</v>
      </c>
      <c r="AJ663">
        <f t="shared" si="571"/>
        <v>22100</v>
      </c>
      <c r="AK663">
        <f t="shared" si="555"/>
        <v>24692.910689177643</v>
      </c>
      <c r="AL663">
        <v>38</v>
      </c>
      <c r="AM663">
        <f t="shared" si="556"/>
        <v>677.63542734888847</v>
      </c>
      <c r="AN663">
        <f t="shared" si="557"/>
        <v>38.14872495313648</v>
      </c>
      <c r="AO663">
        <f t="shared" si="558"/>
        <v>-30.474127559373812</v>
      </c>
      <c r="AQ663">
        <f t="shared" si="559"/>
        <v>3.3029462171259541E-5</v>
      </c>
      <c r="AR663">
        <f t="shared" si="560"/>
        <v>-0.57471264177991599</v>
      </c>
      <c r="AT663">
        <f t="shared" si="561"/>
        <v>-154.13281290610135</v>
      </c>
      <c r="AU663">
        <f t="shared" si="562"/>
        <v>-8.5229039710767616</v>
      </c>
      <c r="AV663">
        <f t="shared" si="580"/>
        <v>-3.0863530645487032</v>
      </c>
      <c r="AW663">
        <f t="shared" si="581"/>
        <v>25.467520032798106</v>
      </c>
      <c r="AX663">
        <f t="shared" si="582"/>
        <v>-334.60957652921604</v>
      </c>
      <c r="AY663">
        <f t="shared" si="590"/>
        <v>-1.4948316352740156</v>
      </c>
      <c r="BA663">
        <f t="shared" si="572"/>
        <v>0.46000801277269066</v>
      </c>
      <c r="BB663">
        <f t="shared" si="583"/>
        <v>-6.7446920675573736</v>
      </c>
      <c r="BC663">
        <f t="shared" si="584"/>
        <v>-1.5915214292746875</v>
      </c>
      <c r="BD663">
        <f t="shared" si="573"/>
        <v>-271.18746100626504</v>
      </c>
      <c r="BF663">
        <f t="shared" si="574"/>
        <v>-90.305757996238754</v>
      </c>
      <c r="BG663">
        <f t="shared" si="575"/>
        <v>-223.60205833986279</v>
      </c>
      <c r="BH663">
        <f t="shared" si="585"/>
        <v>-43.602058339862793</v>
      </c>
      <c r="BI663">
        <f t="shared" si="586"/>
        <v>-43.602058339862793</v>
      </c>
      <c r="BJ663">
        <f t="shared" si="576"/>
        <v>0</v>
      </c>
      <c r="BK663">
        <f t="shared" si="587"/>
        <v>0</v>
      </c>
      <c r="BM663">
        <f t="shared" si="588"/>
        <v>-83.561065928681373</v>
      </c>
      <c r="BN663">
        <f t="shared" si="577"/>
        <v>-132.41459733359778</v>
      </c>
      <c r="BQ663" s="56">
        <f t="shared" si="589"/>
        <v>10.157268732727761</v>
      </c>
    </row>
    <row r="664" spans="1:69" x14ac:dyDescent="0.2">
      <c r="A664">
        <f t="shared" si="563"/>
        <v>8800000</v>
      </c>
      <c r="B664">
        <f t="shared" si="578"/>
        <v>8800</v>
      </c>
      <c r="C664">
        <f t="shared" si="539"/>
        <v>1.4909337547047086</v>
      </c>
      <c r="D664">
        <f t="shared" si="540"/>
        <v>0.83561641117054353</v>
      </c>
      <c r="F664">
        <f t="shared" si="541"/>
        <v>2.9186816416644773E-6</v>
      </c>
      <c r="G664">
        <f t="shared" si="542"/>
        <v>5.8747426619091181E-4</v>
      </c>
      <c r="H664">
        <f t="shared" si="564"/>
        <v>-3.1410051757338091</v>
      </c>
      <c r="J664">
        <f t="shared" si="565"/>
        <v>15</v>
      </c>
      <c r="M664">
        <f t="shared" si="543"/>
        <v>2.0624029576409242E-4</v>
      </c>
      <c r="N664">
        <f t="shared" si="566"/>
        <v>-1.5707963250000001</v>
      </c>
      <c r="O664">
        <f t="shared" si="544"/>
        <v>1050.1620140626399</v>
      </c>
      <c r="P664">
        <f t="shared" si="567"/>
        <v>1.569844092627469</v>
      </c>
      <c r="Q664">
        <f t="shared" si="545"/>
        <v>685.4250697816492</v>
      </c>
      <c r="R664">
        <f t="shared" si="568"/>
        <v>1.5693373775984891</v>
      </c>
      <c r="S664">
        <f t="shared" si="546"/>
        <v>0.66266124693750283</v>
      </c>
      <c r="T664">
        <f t="shared" si="569"/>
        <v>-0.84642967765766752</v>
      </c>
      <c r="U664">
        <f t="shared" si="547"/>
        <v>5.5480098513782855E-2</v>
      </c>
      <c r="V664">
        <f t="shared" si="570"/>
        <v>-1.5152877271132277</v>
      </c>
      <c r="X664">
        <f t="shared" si="548"/>
        <v>-68.964901147875381</v>
      </c>
      <c r="Y664">
        <f t="shared" si="549"/>
        <v>-177.5436367727294</v>
      </c>
      <c r="Z664">
        <f t="shared" si="579"/>
        <v>2.4563632272706002</v>
      </c>
      <c r="AC664">
        <v>1</v>
      </c>
      <c r="AD664">
        <f t="shared" si="550"/>
        <v>1050.16153794552</v>
      </c>
      <c r="AE664">
        <f t="shared" si="551"/>
        <v>-3.9484583474462589</v>
      </c>
      <c r="AF664">
        <f t="shared" si="552"/>
        <v>0.21939877757952003</v>
      </c>
      <c r="AG664">
        <f t="shared" si="553"/>
        <v>14.48069130323972</v>
      </c>
      <c r="AH664">
        <f t="shared" si="554"/>
        <v>-265.16285594154488</v>
      </c>
      <c r="AJ664">
        <f t="shared" si="571"/>
        <v>22100</v>
      </c>
      <c r="AK664">
        <f t="shared" si="555"/>
        <v>24976.737248823363</v>
      </c>
      <c r="AL664">
        <v>39</v>
      </c>
      <c r="AM664">
        <f t="shared" si="556"/>
        <v>685.42434030692164</v>
      </c>
      <c r="AN664">
        <f t="shared" si="557"/>
        <v>38.15088796853815</v>
      </c>
      <c r="AO664">
        <f t="shared" si="558"/>
        <v>-30.072050490645328</v>
      </c>
      <c r="AQ664">
        <f t="shared" si="559"/>
        <v>3.2283057747020086E-5</v>
      </c>
      <c r="AR664">
        <f t="shared" si="560"/>
        <v>-0.56818181634755349</v>
      </c>
      <c r="AT664">
        <f t="shared" si="561"/>
        <v>-150.66024563577807</v>
      </c>
      <c r="AU664">
        <f t="shared" si="562"/>
        <v>-8.2362257544336916</v>
      </c>
      <c r="AV664">
        <f t="shared" si="580"/>
        <v>-3.0869794698937945</v>
      </c>
      <c r="AW664">
        <f t="shared" si="581"/>
        <v>25.807746808555201</v>
      </c>
      <c r="AX664">
        <f t="shared" si="582"/>
        <v>-330.75859102244323</v>
      </c>
      <c r="AY664">
        <f t="shared" si="590"/>
        <v>-1.4929281622971968</v>
      </c>
      <c r="BA664">
        <f t="shared" si="572"/>
        <v>0.45479693485614936</v>
      </c>
      <c r="BB664">
        <f t="shared" si="583"/>
        <v>-6.8436494188041896</v>
      </c>
      <c r="BC664">
        <f t="shared" si="584"/>
        <v>-1.5940513075965976</v>
      </c>
      <c r="BD664">
        <f t="shared" si="573"/>
        <v>-271.33241235695772</v>
      </c>
      <c r="BF664">
        <f t="shared" si="574"/>
        <v>-90.548922763559744</v>
      </c>
      <c r="BG664">
        <f t="shared" si="575"/>
        <v>-223.42145885424557</v>
      </c>
      <c r="BH664">
        <f t="shared" si="585"/>
        <v>-43.421458854245572</v>
      </c>
      <c r="BI664">
        <f t="shared" si="586"/>
        <v>-43.421458854245572</v>
      </c>
      <c r="BJ664">
        <f t="shared" si="576"/>
        <v>0</v>
      </c>
      <c r="BK664">
        <f t="shared" si="587"/>
        <v>0</v>
      </c>
      <c r="BM664">
        <f t="shared" si="588"/>
        <v>-83.705273344755568</v>
      </c>
      <c r="BN664">
        <f t="shared" si="577"/>
        <v>-132.08904649728788</v>
      </c>
      <c r="BQ664" s="56">
        <f t="shared" si="589"/>
        <v>10.058311381480946</v>
      </c>
    </row>
    <row r="665" spans="1:69" x14ac:dyDescent="0.2">
      <c r="A665">
        <f t="shared" si="563"/>
        <v>8900000</v>
      </c>
      <c r="B665">
        <f t="shared" si="578"/>
        <v>8900</v>
      </c>
      <c r="C665">
        <f t="shared" si="539"/>
        <v>1.5002780344049191</v>
      </c>
      <c r="D665">
        <f t="shared" si="540"/>
        <v>0.84123441524692055</v>
      </c>
      <c r="F665">
        <f t="shared" si="541"/>
        <v>2.8534615882539488E-6</v>
      </c>
      <c r="G665">
        <f t="shared" si="542"/>
        <v>5.8087339520600744E-4</v>
      </c>
      <c r="H665">
        <f t="shared" si="564"/>
        <v>-3.141011776604794</v>
      </c>
      <c r="J665">
        <f t="shared" si="565"/>
        <v>15</v>
      </c>
      <c r="M665">
        <f t="shared" si="543"/>
        <v>2.0392298907011386E-4</v>
      </c>
      <c r="N665">
        <f t="shared" si="566"/>
        <v>-1.5707963250000001</v>
      </c>
      <c r="O665">
        <f t="shared" si="544"/>
        <v>1062.095662553302</v>
      </c>
      <c r="P665">
        <f t="shared" si="567"/>
        <v>1.5698547918814181</v>
      </c>
      <c r="Q665">
        <f t="shared" si="545"/>
        <v>693.21397454334578</v>
      </c>
      <c r="R665">
        <f t="shared" si="568"/>
        <v>1.5693537702632181</v>
      </c>
      <c r="S665">
        <f t="shared" si="546"/>
        <v>0.65845409495017415</v>
      </c>
      <c r="T665">
        <f t="shared" si="569"/>
        <v>-0.85203344516338952</v>
      </c>
      <c r="U665">
        <f t="shared" si="547"/>
        <v>5.4858613264538579E-2</v>
      </c>
      <c r="V665">
        <f t="shared" si="570"/>
        <v>-1.5159101603313301</v>
      </c>
      <c r="X665">
        <f t="shared" si="548"/>
        <v>-69.161949974408174</v>
      </c>
      <c r="Y665">
        <f t="shared" si="549"/>
        <v>-177.57730982323002</v>
      </c>
      <c r="Z665">
        <f t="shared" si="579"/>
        <v>2.4226901767699758</v>
      </c>
      <c r="AC665">
        <v>1</v>
      </c>
      <c r="AD665">
        <f t="shared" si="550"/>
        <v>1062.0951917858101</v>
      </c>
      <c r="AE665">
        <f t="shared" si="551"/>
        <v>-4.0387059103979617</v>
      </c>
      <c r="AF665">
        <f t="shared" si="552"/>
        <v>0.22189194550656005</v>
      </c>
      <c r="AG665">
        <f t="shared" si="553"/>
        <v>14.158084454642442</v>
      </c>
      <c r="AH665">
        <f t="shared" si="554"/>
        <v>-262.2012224646428</v>
      </c>
      <c r="AJ665">
        <f t="shared" si="571"/>
        <v>22100</v>
      </c>
      <c r="AK665">
        <f t="shared" si="555"/>
        <v>25260.563808469084</v>
      </c>
      <c r="AL665">
        <v>40</v>
      </c>
      <c r="AM665">
        <f t="shared" si="556"/>
        <v>693.2132532649548</v>
      </c>
      <c r="AN665">
        <f t="shared" si="557"/>
        <v>38.15236562575474</v>
      </c>
      <c r="AO665">
        <f t="shared" si="558"/>
        <v>-29.679042167859716</v>
      </c>
      <c r="AQ665">
        <f t="shared" si="559"/>
        <v>3.1561671406509055E-5</v>
      </c>
      <c r="AR665">
        <f t="shared" si="560"/>
        <v>-0.56179775103586116</v>
      </c>
      <c r="AT665">
        <f t="shared" si="561"/>
        <v>-147.30361024668056</v>
      </c>
      <c r="AU665">
        <f t="shared" si="562"/>
        <v>-7.9622555144197245</v>
      </c>
      <c r="AV665">
        <f t="shared" si="580"/>
        <v>-3.0875918422644832</v>
      </c>
      <c r="AW665">
        <f t="shared" si="581"/>
        <v>26.135329887477504</v>
      </c>
      <c r="AX665">
        <f t="shared" si="582"/>
        <v>-326.99339797347147</v>
      </c>
      <c r="AY665">
        <f t="shared" si="590"/>
        <v>-1.4910397020904789</v>
      </c>
      <c r="BA665">
        <f t="shared" si="572"/>
        <v>0.44970236206904035</v>
      </c>
      <c r="BB665">
        <f t="shared" si="583"/>
        <v>-6.9414966257434081</v>
      </c>
      <c r="BC665">
        <f t="shared" si="584"/>
        <v>-1.5965521401740044</v>
      </c>
      <c r="BD665">
        <f t="shared" si="573"/>
        <v>-271.4756995090757</v>
      </c>
      <c r="BF665">
        <f t="shared" si="574"/>
        <v>-90.788795814833477</v>
      </c>
      <c r="BG665">
        <f t="shared" si="575"/>
        <v>-223.24323628518101</v>
      </c>
      <c r="BH665">
        <f t="shared" si="585"/>
        <v>-43.243236285181013</v>
      </c>
      <c r="BI665">
        <f t="shared" si="586"/>
        <v>-43.243236285181013</v>
      </c>
      <c r="BJ665">
        <f t="shared" si="576"/>
        <v>0</v>
      </c>
      <c r="BK665">
        <f t="shared" si="587"/>
        <v>0</v>
      </c>
      <c r="BM665">
        <f t="shared" si="588"/>
        <v>-83.847299189090052</v>
      </c>
      <c r="BN665">
        <f t="shared" si="577"/>
        <v>-131.76753677610532</v>
      </c>
      <c r="BQ665" s="56">
        <f t="shared" si="589"/>
        <v>9.9604641745417286</v>
      </c>
    </row>
    <row r="666" spans="1:69" x14ac:dyDescent="0.2">
      <c r="A666">
        <f t="shared" si="563"/>
        <v>9000000</v>
      </c>
      <c r="B666">
        <f t="shared" si="578"/>
        <v>9000</v>
      </c>
      <c r="C666">
        <f t="shared" si="539"/>
        <v>1.5096690787911138</v>
      </c>
      <c r="D666">
        <f t="shared" si="540"/>
        <v>0.84678269794170069</v>
      </c>
      <c r="F666">
        <f t="shared" si="541"/>
        <v>2.7904034437317889E-6</v>
      </c>
      <c r="G666">
        <f t="shared" si="542"/>
        <v>5.7441921144053755E-4</v>
      </c>
      <c r="H666">
        <f t="shared" si="564"/>
        <v>-3.1410182307885597</v>
      </c>
      <c r="J666">
        <f t="shared" si="565"/>
        <v>15</v>
      </c>
      <c r="M666">
        <f t="shared" si="543"/>
        <v>2.0165717808044592E-4</v>
      </c>
      <c r="N666">
        <f t="shared" si="566"/>
        <v>-1.5707963250000001</v>
      </c>
      <c r="O666">
        <f t="shared" si="544"/>
        <v>1074.0293111628441</v>
      </c>
      <c r="P666">
        <f t="shared" si="567"/>
        <v>1.5698652533743769</v>
      </c>
      <c r="Q666">
        <f t="shared" si="545"/>
        <v>701.00287948718289</v>
      </c>
      <c r="R666">
        <f t="shared" si="568"/>
        <v>1.5693697986472586</v>
      </c>
      <c r="S666">
        <f t="shared" si="546"/>
        <v>0.65427986903676505</v>
      </c>
      <c r="T666">
        <f t="shared" si="569"/>
        <v>-0.8575663351646643</v>
      </c>
      <c r="U666">
        <f t="shared" si="547"/>
        <v>5.4250877138417745E-2</v>
      </c>
      <c r="V666">
        <f t="shared" si="570"/>
        <v>-1.5165188028689458</v>
      </c>
      <c r="X666">
        <f t="shared" si="548"/>
        <v>-69.35680076409389</v>
      </c>
      <c r="Y666">
        <f t="shared" si="549"/>
        <v>-177.61015257487</v>
      </c>
      <c r="Z666">
        <f t="shared" si="579"/>
        <v>2.3898474251300001</v>
      </c>
      <c r="AC666">
        <v>1</v>
      </c>
      <c r="AD666">
        <f t="shared" si="550"/>
        <v>1074.0288456261001</v>
      </c>
      <c r="AE666">
        <f t="shared" si="551"/>
        <v>-4.1299732198236949</v>
      </c>
      <c r="AF666">
        <f t="shared" si="552"/>
        <v>0.22438511343360001</v>
      </c>
      <c r="AG666">
        <f t="shared" si="553"/>
        <v>13.846129111262046</v>
      </c>
      <c r="AH666">
        <f t="shared" si="554"/>
        <v>-259.30482435926547</v>
      </c>
      <c r="AJ666">
        <f t="shared" si="571"/>
        <v>22100</v>
      </c>
      <c r="AK666">
        <f t="shared" si="555"/>
        <v>25544.3903681148</v>
      </c>
      <c r="AL666">
        <v>41</v>
      </c>
      <c r="AM666">
        <f t="shared" si="556"/>
        <v>701.00216622298808</v>
      </c>
      <c r="AN666">
        <f t="shared" si="557"/>
        <v>38.153201921258713</v>
      </c>
      <c r="AO666">
        <f t="shared" si="558"/>
        <v>-29.29480065928356</v>
      </c>
      <c r="AQ666">
        <f t="shared" si="559"/>
        <v>3.0864197435604332E-5</v>
      </c>
      <c r="AR666">
        <f t="shared" si="560"/>
        <v>-0.55555555384087796</v>
      </c>
      <c r="AT666">
        <f t="shared" si="561"/>
        <v>-144.05780796086071</v>
      </c>
      <c r="AU666">
        <f t="shared" si="562"/>
        <v>-7.7002971622545182</v>
      </c>
      <c r="AV666">
        <f t="shared" si="580"/>
        <v>-3.0881906475288639</v>
      </c>
      <c r="AW666">
        <f t="shared" si="581"/>
        <v>26.450856480900708</v>
      </c>
      <c r="AX666">
        <f t="shared" si="582"/>
        <v>-323.31118401134705</v>
      </c>
      <c r="AY666">
        <f t="shared" si="590"/>
        <v>-1.4891657508672307</v>
      </c>
      <c r="BA666">
        <f t="shared" si="572"/>
        <v>0.44472039009457887</v>
      </c>
      <c r="BB666">
        <f t="shared" si="583"/>
        <v>-7.0382591604005098</v>
      </c>
      <c r="BC666">
        <f t="shared" si="584"/>
        <v>-1.5990248966616332</v>
      </c>
      <c r="BD666">
        <f t="shared" si="573"/>
        <v>-271.61737801974232</v>
      </c>
      <c r="BF666">
        <f t="shared" si="574"/>
        <v>-91.025458797230272</v>
      </c>
      <c r="BG666">
        <f t="shared" si="575"/>
        <v>-223.06739141101841</v>
      </c>
      <c r="BH666">
        <f t="shared" si="585"/>
        <v>-43.067391411018406</v>
      </c>
      <c r="BI666">
        <f t="shared" si="586"/>
        <v>-43.067391411018406</v>
      </c>
      <c r="BJ666">
        <f t="shared" si="576"/>
        <v>0</v>
      </c>
      <c r="BK666">
        <f t="shared" si="587"/>
        <v>0</v>
      </c>
      <c r="BM666">
        <f t="shared" si="588"/>
        <v>-83.987199636829772</v>
      </c>
      <c r="BN666">
        <f t="shared" si="577"/>
        <v>-131.45001339127612</v>
      </c>
      <c r="BQ666" s="56">
        <f t="shared" si="589"/>
        <v>9.863701639884626</v>
      </c>
    </row>
    <row r="667" spans="1:69" x14ac:dyDescent="0.2">
      <c r="A667">
        <f t="shared" si="563"/>
        <v>9100000</v>
      </c>
      <c r="B667">
        <f t="shared" si="578"/>
        <v>9100</v>
      </c>
      <c r="C667">
        <f t="shared" si="539"/>
        <v>1.5191060205720484</v>
      </c>
      <c r="D667">
        <f t="shared" si="540"/>
        <v>0.85226221384832324</v>
      </c>
      <c r="F667">
        <f t="shared" si="541"/>
        <v>2.7294127028179973E-6</v>
      </c>
      <c r="G667">
        <f t="shared" si="542"/>
        <v>5.681068790003292E-4</v>
      </c>
      <c r="H667">
        <f t="shared" si="564"/>
        <v>-3.141024543121</v>
      </c>
      <c r="J667">
        <f t="shared" si="565"/>
        <v>15</v>
      </c>
      <c r="M667">
        <f t="shared" si="543"/>
        <v>1.9944116513450697E-4</v>
      </c>
      <c r="N667">
        <f t="shared" si="566"/>
        <v>-1.5707963250000001</v>
      </c>
      <c r="O667">
        <f t="shared" si="544"/>
        <v>1085.962959887348</v>
      </c>
      <c r="P667">
        <f t="shared" si="567"/>
        <v>1.5698754849446104</v>
      </c>
      <c r="Q667">
        <f t="shared" si="545"/>
        <v>708.79178460715582</v>
      </c>
      <c r="R667">
        <f t="shared" si="568"/>
        <v>1.5693854747598313</v>
      </c>
      <c r="S667">
        <f t="shared" si="546"/>
        <v>0.65013870646063698</v>
      </c>
      <c r="T667">
        <f t="shared" si="569"/>
        <v>-0.86302935151671545</v>
      </c>
      <c r="U667">
        <f t="shared" si="547"/>
        <v>5.365643952369431E-2</v>
      </c>
      <c r="V667">
        <f t="shared" si="570"/>
        <v>-1.5171141075892136</v>
      </c>
      <c r="X667">
        <f t="shared" si="548"/>
        <v>-69.549501670666714</v>
      </c>
      <c r="Y667">
        <f t="shared" si="549"/>
        <v>-177.64219293718727</v>
      </c>
      <c r="Z667">
        <f t="shared" si="579"/>
        <v>2.357807062812725</v>
      </c>
      <c r="AC667">
        <v>1</v>
      </c>
      <c r="AD667">
        <f t="shared" si="550"/>
        <v>1085.96249946639</v>
      </c>
      <c r="AE667">
        <f t="shared" si="551"/>
        <v>-4.2222602757234595</v>
      </c>
      <c r="AF667">
        <f t="shared" si="552"/>
        <v>0.22687828136064003</v>
      </c>
      <c r="AG667">
        <f t="shared" si="553"/>
        <v>13.544361917533537</v>
      </c>
      <c r="AH667">
        <f t="shared" si="554"/>
        <v>-256.47153590664578</v>
      </c>
      <c r="AJ667">
        <f t="shared" si="571"/>
        <v>22100</v>
      </c>
      <c r="AK667">
        <f t="shared" si="555"/>
        <v>25828.216927760521</v>
      </c>
      <c r="AL667">
        <v>42</v>
      </c>
      <c r="AM667">
        <f t="shared" si="556"/>
        <v>708.79107918102125</v>
      </c>
      <c r="AN667">
        <f t="shared" si="557"/>
        <v>38.153437995429357</v>
      </c>
      <c r="AO667">
        <f t="shared" si="558"/>
        <v>-28.919037225857924</v>
      </c>
      <c r="AQ667">
        <f t="shared" si="559"/>
        <v>3.018959053800993E-5</v>
      </c>
      <c r="AR667">
        <f t="shared" si="560"/>
        <v>-0.54945054779178071</v>
      </c>
      <c r="AT667">
        <f t="shared" si="561"/>
        <v>-140.91801699816551</v>
      </c>
      <c r="AU667">
        <f t="shared" si="562"/>
        <v>-7.4496998457326118</v>
      </c>
      <c r="AV667">
        <f t="shared" si="580"/>
        <v>-3.0887763311795067</v>
      </c>
      <c r="AW667">
        <f t="shared" si="581"/>
        <v>26.754880780844278</v>
      </c>
      <c r="AX667">
        <f t="shared" si="582"/>
        <v>-319.70925647682202</v>
      </c>
      <c r="AY667">
        <f t="shared" si="590"/>
        <v>-1.4873058275112161</v>
      </c>
      <c r="BA667">
        <f t="shared" si="572"/>
        <v>0.43984728789513128</v>
      </c>
      <c r="BB667">
        <f t="shared" si="583"/>
        <v>-7.1339616310225651</v>
      </c>
      <c r="BC667">
        <f t="shared" si="584"/>
        <v>-1.6014705036682906</v>
      </c>
      <c r="BD667">
        <f t="shared" si="573"/>
        <v>-271.7575009797315</v>
      </c>
      <c r="BF667">
        <f t="shared" si="574"/>
        <v>-91.258990581979603</v>
      </c>
      <c r="BG667">
        <f t="shared" si="575"/>
        <v>-222.8939229054327</v>
      </c>
      <c r="BH667">
        <f t="shared" si="585"/>
        <v>-42.893922905432703</v>
      </c>
      <c r="BI667">
        <f t="shared" si="586"/>
        <v>-42.893922905432703</v>
      </c>
      <c r="BJ667">
        <f t="shared" si="576"/>
        <v>0</v>
      </c>
      <c r="BK667">
        <f t="shared" si="587"/>
        <v>0</v>
      </c>
      <c r="BM667">
        <f t="shared" si="588"/>
        <v>-84.125028950957045</v>
      </c>
      <c r="BN667">
        <f t="shared" si="577"/>
        <v>-131.13642192570123</v>
      </c>
      <c r="BQ667" s="56">
        <f t="shared" si="589"/>
        <v>9.7679991692625716</v>
      </c>
    </row>
    <row r="668" spans="1:69" x14ac:dyDescent="0.2">
      <c r="A668">
        <f t="shared" si="563"/>
        <v>9200000</v>
      </c>
      <c r="B668">
        <f t="shared" si="578"/>
        <v>9200</v>
      </c>
      <c r="C668">
        <f t="shared" si="539"/>
        <v>1.5285880096869109</v>
      </c>
      <c r="D668">
        <f t="shared" si="540"/>
        <v>0.8576739105646306</v>
      </c>
      <c r="F668">
        <f t="shared" si="541"/>
        <v>2.6703999683454494E-6</v>
      </c>
      <c r="G668">
        <f t="shared" si="542"/>
        <v>5.6193177225024574E-4</v>
      </c>
      <c r="H668">
        <f t="shared" si="564"/>
        <v>-3.1410307182277499</v>
      </c>
      <c r="J668">
        <f t="shared" si="565"/>
        <v>15</v>
      </c>
      <c r="M668">
        <f t="shared" si="543"/>
        <v>1.9727332638304492E-4</v>
      </c>
      <c r="N668">
        <f t="shared" si="566"/>
        <v>-1.5707963250000001</v>
      </c>
      <c r="O668">
        <f t="shared" si="544"/>
        <v>1097.8966087230642</v>
      </c>
      <c r="P668">
        <f t="shared" si="567"/>
        <v>1.5698854940895908</v>
      </c>
      <c r="Q668">
        <f t="shared" si="545"/>
        <v>716.58068989752121</v>
      </c>
      <c r="R668">
        <f t="shared" si="568"/>
        <v>1.569400810088019</v>
      </c>
      <c r="S668">
        <f t="shared" si="546"/>
        <v>0.64603071796429024</v>
      </c>
      <c r="T668">
        <f t="shared" si="569"/>
        <v>-0.86842348956574722</v>
      </c>
      <c r="U668">
        <f t="shared" si="547"/>
        <v>5.3074869259064426E-2</v>
      </c>
      <c r="V668">
        <f t="shared" si="570"/>
        <v>-1.5176965077601245</v>
      </c>
      <c r="X668">
        <f t="shared" si="548"/>
        <v>-69.74009928810635</v>
      </c>
      <c r="Y668">
        <f t="shared" si="549"/>
        <v>-177.67345764768345</v>
      </c>
      <c r="Z668">
        <f t="shared" si="579"/>
        <v>2.3265423523165509</v>
      </c>
      <c r="AC668">
        <v>1</v>
      </c>
      <c r="AD668">
        <f t="shared" si="550"/>
        <v>1097.8961533066802</v>
      </c>
      <c r="AE668">
        <f t="shared" si="551"/>
        <v>-4.3155670780972546</v>
      </c>
      <c r="AF668">
        <f t="shared" si="552"/>
        <v>0.22937144928768005</v>
      </c>
      <c r="AG668">
        <f t="shared" si="553"/>
        <v>13.252344418982091</v>
      </c>
      <c r="AH668">
        <f t="shared" si="554"/>
        <v>-253.69932248708406</v>
      </c>
      <c r="AJ668">
        <f t="shared" si="571"/>
        <v>22100</v>
      </c>
      <c r="AK668">
        <f t="shared" si="555"/>
        <v>26112.043487406245</v>
      </c>
      <c r="AL668">
        <v>43</v>
      </c>
      <c r="AM668">
        <f t="shared" si="556"/>
        <v>716.57999213905441</v>
      </c>
      <c r="AN668">
        <f t="shared" si="557"/>
        <v>38.153112337262172</v>
      </c>
      <c r="AO668">
        <f t="shared" si="558"/>
        <v>-28.551475611849792</v>
      </c>
      <c r="AQ668">
        <f t="shared" si="559"/>
        <v>2.9536861916538098E-5</v>
      </c>
      <c r="AR668">
        <f t="shared" si="560"/>
        <v>-0.54347825926430093</v>
      </c>
      <c r="AT668">
        <f t="shared" si="561"/>
        <v>-137.87967472914579</v>
      </c>
      <c r="AU668">
        <f t="shared" si="562"/>
        <v>-7.2098545578559809</v>
      </c>
      <c r="AV668">
        <f t="shared" si="580"/>
        <v>-3.0893493194342936</v>
      </c>
      <c r="AW668">
        <f t="shared" si="581"/>
        <v>27.047926139924442</v>
      </c>
      <c r="AX668">
        <f t="shared" si="582"/>
        <v>-316.18503707031829</v>
      </c>
      <c r="AY668">
        <f t="shared" si="590"/>
        <v>-1.4854594723246179</v>
      </c>
      <c r="BA668">
        <f t="shared" si="572"/>
        <v>0.43507948816658598</v>
      </c>
      <c r="BB668">
        <f t="shared" si="583"/>
        <v>-7.2286278209785824</v>
      </c>
      <c r="BC668">
        <f t="shared" si="584"/>
        <v>-1.6038898471096756</v>
      </c>
      <c r="BD668">
        <f t="shared" si="573"/>
        <v>-271.8961191482739</v>
      </c>
      <c r="BF668">
        <f t="shared" si="574"/>
        <v>-91.48946738338546</v>
      </c>
      <c r="BG668">
        <f t="shared" si="575"/>
        <v>-222.72282749932683</v>
      </c>
      <c r="BH668">
        <f t="shared" si="585"/>
        <v>-42.722827499326826</v>
      </c>
      <c r="BI668">
        <f t="shared" si="586"/>
        <v>-42.722827499326826</v>
      </c>
      <c r="BJ668">
        <f t="shared" si="576"/>
        <v>0</v>
      </c>
      <c r="BK668">
        <f t="shared" si="587"/>
        <v>0</v>
      </c>
      <c r="BM668">
        <f t="shared" si="588"/>
        <v>-84.260839562406886</v>
      </c>
      <c r="BN668">
        <f t="shared" si="577"/>
        <v>-130.82670835105293</v>
      </c>
      <c r="BQ668" s="56">
        <f t="shared" si="589"/>
        <v>9.6733329793065543</v>
      </c>
    </row>
    <row r="669" spans="1:69" x14ac:dyDescent="0.2">
      <c r="A669">
        <f t="shared" si="563"/>
        <v>9300000</v>
      </c>
      <c r="B669">
        <f t="shared" si="578"/>
        <v>9300</v>
      </c>
      <c r="C669">
        <f t="shared" si="539"/>
        <v>1.5381142130281005</v>
      </c>
      <c r="D669">
        <f t="shared" si="540"/>
        <v>0.86301872826928983</v>
      </c>
      <c r="F669">
        <f t="shared" si="541"/>
        <v>2.6132806234872258E-6</v>
      </c>
      <c r="G669">
        <f t="shared" si="542"/>
        <v>5.5588946450976198E-4</v>
      </c>
      <c r="H669">
        <f t="shared" si="564"/>
        <v>-3.1410367605354903</v>
      </c>
      <c r="J669">
        <f t="shared" si="565"/>
        <v>15</v>
      </c>
      <c r="M669">
        <f t="shared" si="543"/>
        <v>1.9515210781978639E-4</v>
      </c>
      <c r="N669">
        <f t="shared" si="566"/>
        <v>-1.5707963250000001</v>
      </c>
      <c r="O669">
        <f t="shared" si="544"/>
        <v>1109.8302576664062</v>
      </c>
      <c r="P669">
        <f t="shared" si="567"/>
        <v>1.569895287984318</v>
      </c>
      <c r="Q669">
        <f t="shared" si="545"/>
        <v>724.36959535278231</v>
      </c>
      <c r="R669">
        <f t="shared" si="568"/>
        <v>1.5694158156248381</v>
      </c>
      <c r="S669">
        <f t="shared" si="546"/>
        <v>0.64195598912146434</v>
      </c>
      <c r="T669">
        <f t="shared" si="569"/>
        <v>-0.87374973575330572</v>
      </c>
      <c r="U669">
        <f t="shared" si="547"/>
        <v>5.2505753596855657E-2</v>
      </c>
      <c r="V669">
        <f t="shared" si="570"/>
        <v>-1.5182664181020467</v>
      </c>
      <c r="X669">
        <f t="shared" si="548"/>
        <v>-69.928638717338188</v>
      </c>
      <c r="Y669">
        <f t="shared" si="549"/>
        <v>-177.7039723314324</v>
      </c>
      <c r="Z669">
        <f t="shared" si="579"/>
        <v>2.2960276685676035</v>
      </c>
      <c r="AC669">
        <v>1</v>
      </c>
      <c r="AD669">
        <f t="shared" si="550"/>
        <v>1109.8298071469701</v>
      </c>
      <c r="AE669">
        <f t="shared" si="551"/>
        <v>-4.4098936269450792</v>
      </c>
      <c r="AF669">
        <f t="shared" si="552"/>
        <v>0.23186461721472001</v>
      </c>
      <c r="AG669">
        <f t="shared" si="553"/>
        <v>12.969661474936055</v>
      </c>
      <c r="AH669">
        <f t="shared" si="554"/>
        <v>-250.98623576560567</v>
      </c>
      <c r="AJ669">
        <f t="shared" si="571"/>
        <v>22100</v>
      </c>
      <c r="AK669">
        <f t="shared" si="555"/>
        <v>26395.870047051962</v>
      </c>
      <c r="AL669">
        <v>44</v>
      </c>
      <c r="AM669">
        <f t="shared" si="556"/>
        <v>724.36890509708758</v>
      </c>
      <c r="AN669">
        <f t="shared" si="557"/>
        <v>38.152260972732826</v>
      </c>
      <c r="AO669">
        <f t="shared" si="558"/>
        <v>-28.191851380565094</v>
      </c>
      <c r="AQ669">
        <f t="shared" si="559"/>
        <v>2.8905075647748077E-5</v>
      </c>
      <c r="AR669">
        <f t="shared" si="560"/>
        <v>-0.53763440704811416</v>
      </c>
      <c r="AT669">
        <f t="shared" si="561"/>
        <v>-134.93846115403352</v>
      </c>
      <c r="AU669">
        <f t="shared" si="562"/>
        <v>-6.9801910328233641</v>
      </c>
      <c r="AV669">
        <f t="shared" si="580"/>
        <v>-3.0899100202667134</v>
      </c>
      <c r="AW669">
        <f t="shared" si="581"/>
        <v>27.330487086301549</v>
      </c>
      <c r="AX669">
        <f t="shared" si="582"/>
        <v>-312.73605589329151</v>
      </c>
      <c r="AY669">
        <f t="shared" si="590"/>
        <v>-1.4836262458581326</v>
      </c>
      <c r="BA669">
        <f t="shared" si="572"/>
        <v>0.43041357841925343</v>
      </c>
      <c r="BB669">
        <f t="shared" si="583"/>
        <v>-7.3222807254794509</v>
      </c>
      <c r="BC669">
        <f t="shared" si="584"/>
        <v>-1.6062837744085807</v>
      </c>
      <c r="BD669">
        <f t="shared" si="573"/>
        <v>-272.03328107911909</v>
      </c>
      <c r="BF669">
        <f t="shared" si="574"/>
        <v>-91.716962871609482</v>
      </c>
      <c r="BG669">
        <f t="shared" si="575"/>
        <v>-222.55410013181071</v>
      </c>
      <c r="BH669">
        <f t="shared" si="585"/>
        <v>-42.554100131810713</v>
      </c>
      <c r="BI669">
        <f t="shared" si="586"/>
        <v>-42.554100131810713</v>
      </c>
      <c r="BJ669">
        <f t="shared" si="576"/>
        <v>0</v>
      </c>
      <c r="BK669">
        <f t="shared" si="587"/>
        <v>0</v>
      </c>
      <c r="BM669">
        <f t="shared" si="588"/>
        <v>-84.394682146130023</v>
      </c>
      <c r="BN669">
        <f t="shared" si="577"/>
        <v>-130.52081905269168</v>
      </c>
      <c r="BQ669" s="56">
        <f t="shared" si="589"/>
        <v>9.579680074805685</v>
      </c>
    </row>
    <row r="670" spans="1:69" x14ac:dyDescent="0.2">
      <c r="A670">
        <f t="shared" si="563"/>
        <v>9400000</v>
      </c>
      <c r="B670">
        <f t="shared" si="578"/>
        <v>9400</v>
      </c>
      <c r="C670">
        <f t="shared" si="539"/>
        <v>1.5476838141621907</v>
      </c>
      <c r="D670">
        <f t="shared" si="540"/>
        <v>0.86829759933362494</v>
      </c>
      <c r="F670">
        <f t="shared" si="541"/>
        <v>2.5579745282616784E-6</v>
      </c>
      <c r="G670">
        <f t="shared" si="542"/>
        <v>5.4997571747011106E-4</v>
      </c>
      <c r="H670">
        <f t="shared" si="564"/>
        <v>-3.1410426742825299</v>
      </c>
      <c r="J670">
        <f t="shared" si="565"/>
        <v>15</v>
      </c>
      <c r="M670">
        <f t="shared" si="543"/>
        <v>1.930760215663844E-4</v>
      </c>
      <c r="N670">
        <f t="shared" si="566"/>
        <v>-1.5707963250000001</v>
      </c>
      <c r="O670">
        <f t="shared" si="544"/>
        <v>1121.763906713938</v>
      </c>
      <c r="P670">
        <f t="shared" si="567"/>
        <v>1.569904873498474</v>
      </c>
      <c r="Q670">
        <f t="shared" si="545"/>
        <v>732.15850096767667</v>
      </c>
      <c r="R670">
        <f t="shared" si="568"/>
        <v>1.5694305018955186</v>
      </c>
      <c r="S670">
        <f t="shared" si="546"/>
        <v>0.63791458164047576</v>
      </c>
      <c r="T670">
        <f t="shared" si="569"/>
        <v>-0.87900906725698658</v>
      </c>
      <c r="U670">
        <f t="shared" si="547"/>
        <v>5.1948697231763472E-2</v>
      </c>
      <c r="V670">
        <f t="shared" si="570"/>
        <v>-1.5188242357688215</v>
      </c>
      <c r="X670">
        <f t="shared" si="548"/>
        <v>-70.115163629395198</v>
      </c>
      <c r="Y670">
        <f t="shared" si="549"/>
        <v>-177.73376155706558</v>
      </c>
      <c r="Z670">
        <f t="shared" si="579"/>
        <v>2.2662384429344229</v>
      </c>
      <c r="AC670">
        <v>1</v>
      </c>
      <c r="AD670">
        <f t="shared" si="550"/>
        <v>1121.76346098726</v>
      </c>
      <c r="AE670">
        <f t="shared" si="551"/>
        <v>-4.5052399222669344</v>
      </c>
      <c r="AF670">
        <f t="shared" si="552"/>
        <v>0.23435778514176003</v>
      </c>
      <c r="AG670">
        <f t="shared" si="553"/>
        <v>12.695919787934542</v>
      </c>
      <c r="AH670">
        <f t="shared" si="554"/>
        <v>-248.33040917884642</v>
      </c>
      <c r="AJ670">
        <f t="shared" si="571"/>
        <v>22100</v>
      </c>
      <c r="AK670">
        <f t="shared" si="555"/>
        <v>26679.696606697682</v>
      </c>
      <c r="AL670">
        <v>45</v>
      </c>
      <c r="AM670">
        <f t="shared" si="556"/>
        <v>732.15781805512086</v>
      </c>
      <c r="AN670">
        <f t="shared" si="557"/>
        <v>38.150917638261639</v>
      </c>
      <c r="AO670">
        <f t="shared" si="558"/>
        <v>-27.839911291835261</v>
      </c>
      <c r="AQ670">
        <f t="shared" si="559"/>
        <v>2.8293345325109367E-5</v>
      </c>
      <c r="AR670">
        <f t="shared" si="560"/>
        <v>-0.53191489211205611</v>
      </c>
      <c r="AT670">
        <f t="shared" si="561"/>
        <v>-132.09028359646607</v>
      </c>
      <c r="AU670">
        <f t="shared" si="562"/>
        <v>-6.7601749022841426</v>
      </c>
      <c r="AV670">
        <f t="shared" si="580"/>
        <v>-3.0904588243708293</v>
      </c>
      <c r="AW670">
        <f t="shared" si="581"/>
        <v>27.603031187708833</v>
      </c>
      <c r="AX670">
        <f t="shared" si="582"/>
        <v>-309.35994585513203</v>
      </c>
      <c r="AY670">
        <f t="shared" si="590"/>
        <v>-1.4818057278169261</v>
      </c>
      <c r="BA670">
        <f t="shared" si="572"/>
        <v>0.42584629263766616</v>
      </c>
      <c r="BB670">
        <f t="shared" si="583"/>
        <v>-7.4149425862634466</v>
      </c>
      <c r="BC670">
        <f t="shared" si="584"/>
        <v>-1.6086530965539032</v>
      </c>
      <c r="BD670">
        <f t="shared" si="573"/>
        <v>-272.16903323850806</v>
      </c>
      <c r="BF670">
        <f t="shared" si="574"/>
        <v>-91.941548279613187</v>
      </c>
      <c r="BG670">
        <f t="shared" si="575"/>
        <v>-222.3877340910208</v>
      </c>
      <c r="BH670">
        <f t="shared" si="585"/>
        <v>-42.387734091020803</v>
      </c>
      <c r="BI670">
        <f t="shared" si="586"/>
        <v>-42.387734091020803</v>
      </c>
      <c r="BJ670">
        <f t="shared" si="576"/>
        <v>0</v>
      </c>
      <c r="BK670">
        <f t="shared" si="587"/>
        <v>0</v>
      </c>
      <c r="BM670">
        <f t="shared" si="588"/>
        <v>-84.526605693349737</v>
      </c>
      <c r="BN670">
        <f t="shared" si="577"/>
        <v>-130.21870085251277</v>
      </c>
      <c r="BQ670" s="56">
        <f t="shared" si="589"/>
        <v>9.4870182140216901</v>
      </c>
    </row>
    <row r="671" spans="1:69" x14ac:dyDescent="0.2">
      <c r="A671">
        <f t="shared" si="563"/>
        <v>9500000</v>
      </c>
      <c r="B671">
        <f t="shared" si="578"/>
        <v>9500</v>
      </c>
      <c r="C671">
        <f t="shared" si="539"/>
        <v>1.5572960130496429</v>
      </c>
      <c r="D671">
        <f t="shared" si="540"/>
        <v>0.87351144796707947</v>
      </c>
      <c r="F671">
        <f t="shared" si="541"/>
        <v>2.5044057382816554E-6</v>
      </c>
      <c r="G671">
        <f t="shared" si="542"/>
        <v>5.4418647127983395E-4</v>
      </c>
      <c r="H671">
        <f t="shared" si="564"/>
        <v>-3.1410484635287204</v>
      </c>
      <c r="J671">
        <f t="shared" si="565"/>
        <v>15</v>
      </c>
      <c r="M671">
        <f t="shared" si="543"/>
        <v>1.9104364239200142E-4</v>
      </c>
      <c r="N671">
        <f t="shared" si="566"/>
        <v>-1.5707963250000001</v>
      </c>
      <c r="O671">
        <f t="shared" si="544"/>
        <v>1133.6975558623699</v>
      </c>
      <c r="P671">
        <f t="shared" si="567"/>
        <v>1.5699142572124904</v>
      </c>
      <c r="Q671">
        <f t="shared" si="545"/>
        <v>739.94740673716319</v>
      </c>
      <c r="R671">
        <f t="shared" si="568"/>
        <v>1.5694448789821238</v>
      </c>
      <c r="S671">
        <f t="shared" si="546"/>
        <v>0.63390653461953106</v>
      </c>
      <c r="T671">
        <f t="shared" si="569"/>
        <v>-0.88420245166554801</v>
      </c>
      <c r="U671">
        <f t="shared" si="547"/>
        <v>5.1403321390340324E-2</v>
      </c>
      <c r="V671">
        <f t="shared" si="570"/>
        <v>-1.5193703412672932</v>
      </c>
      <c r="X671">
        <f t="shared" si="548"/>
        <v>-70.299716325265237</v>
      </c>
      <c r="Y671">
        <f t="shared" si="549"/>
        <v>-177.7628488893925</v>
      </c>
      <c r="Z671">
        <f t="shared" si="579"/>
        <v>2.237151110607499</v>
      </c>
      <c r="AC671">
        <v>1</v>
      </c>
      <c r="AD671">
        <f t="shared" si="550"/>
        <v>1133.69711482755</v>
      </c>
      <c r="AE671">
        <f t="shared" si="551"/>
        <v>-4.6016059640628209</v>
      </c>
      <c r="AF671">
        <f t="shared" si="552"/>
        <v>0.23685095306880002</v>
      </c>
      <c r="AG671">
        <f t="shared" si="553"/>
        <v>12.430746540135457</v>
      </c>
      <c r="AH671">
        <f t="shared" si="554"/>
        <v>-245.7300537014701</v>
      </c>
      <c r="AJ671">
        <f t="shared" si="571"/>
        <v>22100</v>
      </c>
      <c r="AK671">
        <f t="shared" si="555"/>
        <v>26963.523166343406</v>
      </c>
      <c r="AL671">
        <v>46</v>
      </c>
      <c r="AM671">
        <f t="shared" si="556"/>
        <v>739.94673101315414</v>
      </c>
      <c r="AN671">
        <f t="shared" si="557"/>
        <v>38.149113940583781</v>
      </c>
      <c r="AO671">
        <f t="shared" si="558"/>
        <v>-27.495412718258855</v>
      </c>
      <c r="AQ671">
        <f t="shared" si="559"/>
        <v>2.7700830948197144E-5</v>
      </c>
      <c r="AR671">
        <f t="shared" si="560"/>
        <v>-0.52631578801574574</v>
      </c>
      <c r="AT671">
        <f t="shared" si="561"/>
        <v>-129.33126251103229</v>
      </c>
      <c r="AU671">
        <f t="shared" si="562"/>
        <v>-6.5493050875718746</v>
      </c>
      <c r="AV671">
        <f t="shared" si="580"/>
        <v>-3.0909961060656972</v>
      </c>
      <c r="AW671">
        <f t="shared" si="581"/>
        <v>27.866000777283194</v>
      </c>
      <c r="AX671">
        <f t="shared" si="582"/>
        <v>-306.05443741994651</v>
      </c>
      <c r="AY671">
        <f t="shared" si="590"/>
        <v>-1.4799975160367729</v>
      </c>
      <c r="BA671">
        <f t="shared" si="572"/>
        <v>0.42137450347576594</v>
      </c>
      <c r="BB671">
        <f t="shared" si="583"/>
        <v>-7.5066349243817365</v>
      </c>
      <c r="BC671">
        <f t="shared" si="584"/>
        <v>-1.6109985900289243</v>
      </c>
      <c r="BD671">
        <f t="shared" si="573"/>
        <v>-272.3034201156558</v>
      </c>
      <c r="BF671">
        <f t="shared" si="574"/>
        <v>-92.163292504623058</v>
      </c>
      <c r="BG671">
        <f t="shared" si="575"/>
        <v>-222.22372114548384</v>
      </c>
      <c r="BH671">
        <f t="shared" si="585"/>
        <v>-42.223721145483836</v>
      </c>
      <c r="BI671">
        <f t="shared" si="586"/>
        <v>-42.223721145483836</v>
      </c>
      <c r="BJ671">
        <f t="shared" si="576"/>
        <v>0</v>
      </c>
      <c r="BK671">
        <f t="shared" si="587"/>
        <v>0</v>
      </c>
      <c r="BM671">
        <f t="shared" si="588"/>
        <v>-84.656657580241315</v>
      </c>
      <c r="BN671">
        <f t="shared" si="577"/>
        <v>-129.9203010298281</v>
      </c>
      <c r="BQ671" s="56">
        <f t="shared" si="589"/>
        <v>9.3953258759033993</v>
      </c>
    </row>
    <row r="672" spans="1:69" x14ac:dyDescent="0.2">
      <c r="A672">
        <f t="shared" si="563"/>
        <v>9600000</v>
      </c>
      <c r="B672">
        <f t="shared" si="578"/>
        <v>9600</v>
      </c>
      <c r="C672">
        <f t="shared" si="539"/>
        <v>1.5669500257637807</v>
      </c>
      <c r="D672">
        <f t="shared" si="540"/>
        <v>0.87866118989457753</v>
      </c>
      <c r="F672">
        <f t="shared" si="541"/>
        <v>2.4525022439039523E-6</v>
      </c>
      <c r="G672">
        <f t="shared" si="542"/>
        <v>5.3851783524999262E-4</v>
      </c>
      <c r="H672">
        <f t="shared" si="564"/>
        <v>-3.1410541321647503</v>
      </c>
      <c r="J672">
        <f t="shared" si="565"/>
        <v>15</v>
      </c>
      <c r="M672">
        <f t="shared" si="543"/>
        <v>1.8905360445041806E-4</v>
      </c>
      <c r="N672">
        <f t="shared" si="566"/>
        <v>-1.5707963250000001</v>
      </c>
      <c r="O672">
        <f t="shared" si="544"/>
        <v>1145.6312051085492</v>
      </c>
      <c r="P672">
        <f t="shared" si="567"/>
        <v>1.5699234454326154</v>
      </c>
      <c r="Q672">
        <f t="shared" si="545"/>
        <v>747.73631265641109</v>
      </c>
      <c r="R672">
        <f t="shared" si="568"/>
        <v>1.5694589565466326</v>
      </c>
      <c r="S672">
        <f t="shared" si="546"/>
        <v>0.62993186575483817</v>
      </c>
      <c r="T672">
        <f t="shared" si="569"/>
        <v>-0.8893308466865536</v>
      </c>
      <c r="U672">
        <f t="shared" si="547"/>
        <v>5.0869262976855609E-2</v>
      </c>
      <c r="V672">
        <f t="shared" si="570"/>
        <v>-1.5199050993197261</v>
      </c>
      <c r="X672">
        <f t="shared" si="548"/>
        <v>-70.48233779263056</v>
      </c>
      <c r="Y672">
        <f t="shared" si="549"/>
        <v>-177.79125693889588</v>
      </c>
      <c r="Z672">
        <f t="shared" si="579"/>
        <v>2.2087430611041157</v>
      </c>
      <c r="AC672">
        <v>1</v>
      </c>
      <c r="AD672">
        <f t="shared" si="550"/>
        <v>1145.6307686678401</v>
      </c>
      <c r="AE672">
        <f t="shared" si="551"/>
        <v>-4.6989917523327378</v>
      </c>
      <c r="AF672">
        <f t="shared" si="552"/>
        <v>0.23934412099584004</v>
      </c>
      <c r="AG672">
        <f t="shared" si="553"/>
        <v>12.173788127925864</v>
      </c>
      <c r="AH672">
        <f t="shared" si="554"/>
        <v>-243.18345387218204</v>
      </c>
      <c r="AJ672">
        <f t="shared" si="571"/>
        <v>22100</v>
      </c>
      <c r="AK672">
        <f t="shared" si="555"/>
        <v>27247.349725989123</v>
      </c>
      <c r="AL672">
        <v>47</v>
      </c>
      <c r="AM672">
        <f t="shared" si="556"/>
        <v>747.7356439711873</v>
      </c>
      <c r="AN672">
        <f t="shared" si="557"/>
        <v>38.14687950420516</v>
      </c>
      <c r="AO672">
        <f t="shared" si="558"/>
        <v>-27.158123097425669</v>
      </c>
      <c r="AQ672">
        <f t="shared" si="559"/>
        <v>2.7126736037525129E-5</v>
      </c>
      <c r="AR672">
        <f t="shared" si="560"/>
        <v>-0.52083333192048253</v>
      </c>
      <c r="AT672">
        <f t="shared" si="561"/>
        <v>-126.65771831304241</v>
      </c>
      <c r="AU672">
        <f t="shared" si="562"/>
        <v>-6.347111406123525</v>
      </c>
      <c r="AV672">
        <f t="shared" si="580"/>
        <v>-3.0915222241436178</v>
      </c>
      <c r="AW672">
        <f t="shared" si="581"/>
        <v>28.119814552729853</v>
      </c>
      <c r="AX672">
        <f t="shared" si="582"/>
        <v>-302.81735366958509</v>
      </c>
      <c r="AY672">
        <f t="shared" si="590"/>
        <v>-1.4782012255251766</v>
      </c>
      <c r="BA672">
        <f t="shared" si="572"/>
        <v>0.41699521494766462</v>
      </c>
      <c r="BB672">
        <f t="shared" si="583"/>
        <v>-7.5973785712082131</v>
      </c>
      <c r="BC672">
        <f t="shared" si="584"/>
        <v>-1.6133209986184411</v>
      </c>
      <c r="BD672">
        <f t="shared" si="573"/>
        <v>-272.43648432629209</v>
      </c>
      <c r="BF672">
        <f t="shared" si="574"/>
        <v>-92.382262204454705</v>
      </c>
      <c r="BG672">
        <f t="shared" si="575"/>
        <v>-222.06205166667627</v>
      </c>
      <c r="BH672">
        <f t="shared" si="585"/>
        <v>-42.062051666676268</v>
      </c>
      <c r="BI672">
        <f t="shared" si="586"/>
        <v>-42.062051666676268</v>
      </c>
      <c r="BJ672">
        <f t="shared" si="576"/>
        <v>0</v>
      </c>
      <c r="BK672">
        <f t="shared" si="587"/>
        <v>0</v>
      </c>
      <c r="BM672">
        <f t="shared" si="588"/>
        <v>-84.784883633246508</v>
      </c>
      <c r="BN672">
        <f t="shared" si="577"/>
        <v>-129.62556734038421</v>
      </c>
      <c r="BQ672" s="56">
        <f t="shared" si="589"/>
        <v>9.3045822290769227</v>
      </c>
    </row>
    <row r="673" spans="1:69" x14ac:dyDescent="0.2">
      <c r="A673">
        <f t="shared" si="563"/>
        <v>9700000</v>
      </c>
      <c r="B673">
        <f t="shared" si="578"/>
        <v>9700</v>
      </c>
      <c r="C673">
        <f t="shared" si="539"/>
        <v>1.5766450842095143</v>
      </c>
      <c r="D673">
        <f t="shared" si="540"/>
        <v>0.88374773206411827</v>
      </c>
      <c r="F673">
        <f t="shared" si="541"/>
        <v>2.402195728105242E-6</v>
      </c>
      <c r="G673">
        <f t="shared" si="542"/>
        <v>5.329660791343273E-4</v>
      </c>
      <c r="H673">
        <f t="shared" si="564"/>
        <v>-3.141059683920866</v>
      </c>
      <c r="J673">
        <f t="shared" si="565"/>
        <v>15</v>
      </c>
      <c r="M673">
        <f t="shared" si="543"/>
        <v>1.8710459821897046E-4</v>
      </c>
      <c r="N673">
        <f t="shared" si="566"/>
        <v>-1.5707963250000001</v>
      </c>
      <c r="O673">
        <f t="shared" si="544"/>
        <v>1157.564854449452</v>
      </c>
      <c r="P673">
        <f t="shared" si="567"/>
        <v>1.5699324442050457</v>
      </c>
      <c r="Q673">
        <f t="shared" si="545"/>
        <v>755.52521872078819</v>
      </c>
      <c r="R673">
        <f t="shared" si="568"/>
        <v>1.5694727438525935</v>
      </c>
      <c r="S673">
        <f t="shared" si="546"/>
        <v>0.62599057250241774</v>
      </c>
      <c r="T673">
        <f t="shared" si="569"/>
        <v>-0.89439519988474359</v>
      </c>
      <c r="U673">
        <f t="shared" si="547"/>
        <v>5.0346173771501745E-2</v>
      </c>
      <c r="V673">
        <f t="shared" si="570"/>
        <v>-1.5204288596732023</v>
      </c>
      <c r="X673">
        <f t="shared" si="548"/>
        <v>-70.663067759691813</v>
      </c>
      <c r="Y673">
        <f t="shared" si="549"/>
        <v>-177.81900740831875</v>
      </c>
      <c r="Z673">
        <f t="shared" si="579"/>
        <v>2.180992591681246</v>
      </c>
      <c r="AC673">
        <v>1</v>
      </c>
      <c r="AD673">
        <f t="shared" si="550"/>
        <v>1157.5644225081301</v>
      </c>
      <c r="AE673">
        <f t="shared" si="551"/>
        <v>-4.7973972870766852</v>
      </c>
      <c r="AF673">
        <f t="shared" si="552"/>
        <v>0.24183728892288006</v>
      </c>
      <c r="AG673">
        <f t="shared" si="553"/>
        <v>11.924708986741143</v>
      </c>
      <c r="AH673">
        <f t="shared" si="554"/>
        <v>-240.68896406100899</v>
      </c>
      <c r="AJ673">
        <f t="shared" si="571"/>
        <v>22100</v>
      </c>
      <c r="AK673">
        <f t="shared" si="555"/>
        <v>27531.176285634843</v>
      </c>
      <c r="AL673">
        <v>48</v>
      </c>
      <c r="AM673">
        <f t="shared" si="556"/>
        <v>755.52455692922047</v>
      </c>
      <c r="AN673">
        <f t="shared" si="557"/>
        <v>38.144242107511282</v>
      </c>
      <c r="AO673">
        <f t="shared" si="558"/>
        <v>-26.827819417573636</v>
      </c>
      <c r="AQ673">
        <f t="shared" si="559"/>
        <v>2.65703049565036E-5</v>
      </c>
      <c r="AR673">
        <f t="shared" si="560"/>
        <v>-0.51546391615616982</v>
      </c>
      <c r="AT673">
        <f t="shared" si="561"/>
        <v>-124.06615914730502</v>
      </c>
      <c r="AU673">
        <f t="shared" si="562"/>
        <v>-6.153152372503027</v>
      </c>
      <c r="AV673">
        <f t="shared" si="580"/>
        <v>-3.0920375226662427</v>
      </c>
      <c r="AW673">
        <f t="shared" si="581"/>
        <v>28.364869059284846</v>
      </c>
      <c r="AX673">
        <f t="shared" si="582"/>
        <v>-299.64660566111644</v>
      </c>
      <c r="AY673">
        <f t="shared" si="590"/>
        <v>-1.4764164875627126</v>
      </c>
      <c r="BA673">
        <f t="shared" si="572"/>
        <v>0.41270555557753136</v>
      </c>
      <c r="BB673">
        <f t="shared" si="583"/>
        <v>-7.6871936977884348</v>
      </c>
      <c r="BC673">
        <f t="shared" si="584"/>
        <v>-1.6156210351035301</v>
      </c>
      <c r="BD673">
        <f t="shared" si="573"/>
        <v>-272.56826670976437</v>
      </c>
      <c r="BF673">
        <f t="shared" si="574"/>
        <v>-92.598521889008424</v>
      </c>
      <c r="BG673">
        <f t="shared" si="575"/>
        <v>-221.90271474338019</v>
      </c>
      <c r="BH673">
        <f t="shared" si="585"/>
        <v>-41.902714743380187</v>
      </c>
      <c r="BI673">
        <f t="shared" si="586"/>
        <v>-41.902714743380187</v>
      </c>
      <c r="BJ673">
        <f t="shared" si="576"/>
        <v>0</v>
      </c>
      <c r="BK673">
        <f t="shared" si="587"/>
        <v>0</v>
      </c>
      <c r="BM673">
        <f t="shared" si="588"/>
        <v>-84.91132819121998</v>
      </c>
      <c r="BN673">
        <f t="shared" si="577"/>
        <v>-129.33444803361587</v>
      </c>
      <c r="BQ673" s="56">
        <f t="shared" si="589"/>
        <v>9.2147671024967028</v>
      </c>
    </row>
    <row r="674" spans="1:69" x14ac:dyDescent="0.2">
      <c r="A674">
        <f t="shared" si="563"/>
        <v>9800000</v>
      </c>
      <c r="B674">
        <f t="shared" si="578"/>
        <v>9800</v>
      </c>
      <c r="C674">
        <f t="shared" si="539"/>
        <v>1.586380435842252</v>
      </c>
      <c r="D674">
        <f t="shared" si="540"/>
        <v>0.88877197238298944</v>
      </c>
      <c r="F674">
        <f t="shared" si="541"/>
        <v>2.353421341563678E-6</v>
      </c>
      <c r="G674">
        <f t="shared" si="542"/>
        <v>5.2752762494329196E-4</v>
      </c>
      <c r="H674">
        <f t="shared" si="564"/>
        <v>-3.141065122375057</v>
      </c>
      <c r="J674">
        <f t="shared" si="565"/>
        <v>15</v>
      </c>
      <c r="M674">
        <f t="shared" si="543"/>
        <v>1.851953676248993E-4</v>
      </c>
      <c r="N674">
        <f t="shared" si="566"/>
        <v>-1.5707963250000001</v>
      </c>
      <c r="O674">
        <f t="shared" si="544"/>
        <v>1169.4985038821792</v>
      </c>
      <c r="P674">
        <f t="shared" si="567"/>
        <v>1.5699412593291946</v>
      </c>
      <c r="Q674">
        <f t="shared" si="545"/>
        <v>763.31412492585207</v>
      </c>
      <c r="R674">
        <f t="shared" si="568"/>
        <v>1.5694862497854511</v>
      </c>
      <c r="S674">
        <f t="shared" si="546"/>
        <v>0.62208263319457557</v>
      </c>
      <c r="T674">
        <f t="shared" si="569"/>
        <v>-0.8993964484493987</v>
      </c>
      <c r="U674">
        <f t="shared" si="547"/>
        <v>4.9833719677246355E-2</v>
      </c>
      <c r="V674">
        <f t="shared" si="570"/>
        <v>-1.5209419578597629</v>
      </c>
      <c r="X674">
        <f t="shared" si="548"/>
        <v>-70.841944746254711</v>
      </c>
      <c r="Y674">
        <f t="shared" si="549"/>
        <v>-177.84612113654674</v>
      </c>
      <c r="Z674">
        <f t="shared" si="579"/>
        <v>2.153878863453258</v>
      </c>
      <c r="AC674">
        <v>1</v>
      </c>
      <c r="AD674">
        <f t="shared" si="550"/>
        <v>1169.49807634842</v>
      </c>
      <c r="AE674">
        <f t="shared" si="551"/>
        <v>-4.8968225682946631</v>
      </c>
      <c r="AF674">
        <f t="shared" si="552"/>
        <v>0.24433045684992002</v>
      </c>
      <c r="AG674">
        <f t="shared" si="553"/>
        <v>11.683190498823878</v>
      </c>
      <c r="AH674">
        <f t="shared" si="554"/>
        <v>-238.24500496097525</v>
      </c>
      <c r="AJ674">
        <f t="shared" si="571"/>
        <v>22100</v>
      </c>
      <c r="AK674">
        <f t="shared" si="555"/>
        <v>27815.00284528056</v>
      </c>
      <c r="AL674">
        <v>49</v>
      </c>
      <c r="AM674">
        <f t="shared" si="556"/>
        <v>763.31346988725363</v>
      </c>
      <c r="AN674">
        <f t="shared" si="557"/>
        <v>38.141227808495444</v>
      </c>
      <c r="AO674">
        <f t="shared" si="558"/>
        <v>-26.50428773433277</v>
      </c>
      <c r="AQ674">
        <f t="shared" si="559"/>
        <v>2.603082042370153E-5</v>
      </c>
      <c r="AR674">
        <f t="shared" si="560"/>
        <v>-0.51020408030455</v>
      </c>
      <c r="AT674">
        <f t="shared" si="561"/>
        <v>-121.55326952023347</v>
      </c>
      <c r="AU674">
        <f t="shared" si="562"/>
        <v>-5.9670131764162759</v>
      </c>
      <c r="AV674">
        <f t="shared" si="580"/>
        <v>-3.0925423317122425</v>
      </c>
      <c r="AW674">
        <f t="shared" si="581"/>
        <v>28.601540065980469</v>
      </c>
      <c r="AX674">
        <f t="shared" si="582"/>
        <v>-296.54018805863871</v>
      </c>
      <c r="AY674">
        <f t="shared" si="590"/>
        <v>-1.4746429488602217</v>
      </c>
      <c r="BA674">
        <f t="shared" si="572"/>
        <v>0.4085027719751983</v>
      </c>
      <c r="BB674">
        <f t="shared" si="583"/>
        <v>-7.7760998426338555</v>
      </c>
      <c r="BC674">
        <f t="shared" si="584"/>
        <v>-1.6178993828520207</v>
      </c>
      <c r="BD674">
        <f t="shared" si="573"/>
        <v>-272.69880642016517</v>
      </c>
      <c r="BF674">
        <f t="shared" si="574"/>
        <v>-92.812134007225524</v>
      </c>
      <c r="BG674">
        <f t="shared" si="575"/>
        <v>-221.7456982883939</v>
      </c>
      <c r="BH674">
        <f t="shared" si="585"/>
        <v>-41.745698288393896</v>
      </c>
      <c r="BI674">
        <f t="shared" si="586"/>
        <v>-41.745698288393896</v>
      </c>
      <c r="BJ674">
        <f t="shared" si="576"/>
        <v>0</v>
      </c>
      <c r="BK674">
        <f t="shared" si="587"/>
        <v>0</v>
      </c>
      <c r="BM674">
        <f t="shared" si="588"/>
        <v>-85.036034164591683</v>
      </c>
      <c r="BN674">
        <f t="shared" si="577"/>
        <v>-129.04689186822873</v>
      </c>
      <c r="BQ674" s="56">
        <f t="shared" si="589"/>
        <v>9.1258609576512804</v>
      </c>
    </row>
    <row r="675" spans="1:69" x14ac:dyDescent="0.2">
      <c r="A675">
        <f t="shared" si="563"/>
        <v>9900000</v>
      </c>
      <c r="B675">
        <f t="shared" si="578"/>
        <v>9900</v>
      </c>
      <c r="C675">
        <f t="shared" si="539"/>
        <v>1.5961553433874134</v>
      </c>
      <c r="D675">
        <f t="shared" si="540"/>
        <v>0.89373479948105183</v>
      </c>
      <c r="F675">
        <f t="shared" si="541"/>
        <v>2.3061174935628869E-6</v>
      </c>
      <c r="G675">
        <f t="shared" si="542"/>
        <v>5.2219903925421597E-4</v>
      </c>
      <c r="H675">
        <f t="shared" si="564"/>
        <v>-3.1410704509607461</v>
      </c>
      <c r="J675">
        <f t="shared" si="565"/>
        <v>15</v>
      </c>
      <c r="M675">
        <f t="shared" si="543"/>
        <v>1.8332470734585995E-4</v>
      </c>
      <c r="N675">
        <f t="shared" si="566"/>
        <v>-1.5707963250000001</v>
      </c>
      <c r="O675">
        <f t="shared" si="544"/>
        <v>1181.432153403948</v>
      </c>
      <c r="P675">
        <f t="shared" si="567"/>
        <v>1.5699498963701564</v>
      </c>
      <c r="Q675">
        <f t="shared" si="545"/>
        <v>771.10303126733936</v>
      </c>
      <c r="R675">
        <f t="shared" si="568"/>
        <v>1.569499482871644</v>
      </c>
      <c r="S675">
        <f t="shared" si="546"/>
        <v>0.61820800811205834</v>
      </c>
      <c r="T675">
        <f t="shared" si="569"/>
        <v>-0.90433551898903353</v>
      </c>
      <c r="U675">
        <f t="shared" si="547"/>
        <v>4.9331580011925891E-2</v>
      </c>
      <c r="V675">
        <f t="shared" si="570"/>
        <v>-1.5214447159107491</v>
      </c>
      <c r="X675">
        <f t="shared" si="548"/>
        <v>-71.01900611224562</v>
      </c>
      <c r="Y675">
        <f t="shared" si="549"/>
        <v>-177.87261813996855</v>
      </c>
      <c r="Z675">
        <f t="shared" si="579"/>
        <v>2.1273818600314485</v>
      </c>
      <c r="AC675">
        <v>1</v>
      </c>
      <c r="AD675">
        <f t="shared" si="550"/>
        <v>1181.4317301887102</v>
      </c>
      <c r="AE675">
        <f t="shared" si="551"/>
        <v>-4.9972675959866724</v>
      </c>
      <c r="AF675">
        <f t="shared" si="552"/>
        <v>0.24682362477696004</v>
      </c>
      <c r="AG675">
        <f t="shared" si="553"/>
        <v>11.448929977304703</v>
      </c>
      <c r="AH675">
        <f t="shared" si="554"/>
        <v>-235.85006028863407</v>
      </c>
      <c r="AJ675">
        <f t="shared" si="571"/>
        <v>22100</v>
      </c>
      <c r="AK675">
        <f t="shared" si="555"/>
        <v>28098.829404926284</v>
      </c>
      <c r="AL675">
        <v>50</v>
      </c>
      <c r="AM675">
        <f t="shared" si="556"/>
        <v>771.1023828452868</v>
      </c>
      <c r="AN675">
        <f t="shared" si="557"/>
        <v>38.137861060982445</v>
      </c>
      <c r="AO675">
        <f t="shared" si="558"/>
        <v>-26.187322716395236</v>
      </c>
      <c r="AQ675">
        <f t="shared" si="559"/>
        <v>2.550760120011325E-5</v>
      </c>
      <c r="AR675">
        <f t="shared" si="560"/>
        <v>-0.50505050376224236</v>
      </c>
      <c r="AT675">
        <f t="shared" si="561"/>
        <v>-119.11589972638984</v>
      </c>
      <c r="AU675">
        <f t="shared" si="562"/>
        <v>-5.7883038218572427</v>
      </c>
      <c r="AV675">
        <f t="shared" si="580"/>
        <v>-3.0930369680799239</v>
      </c>
      <c r="AW675">
        <f t="shared" si="581"/>
        <v>28.830183843856314</v>
      </c>
      <c r="AX675">
        <f t="shared" si="582"/>
        <v>-293.49617502085437</v>
      </c>
      <c r="AY675">
        <f t="shared" si="590"/>
        <v>-1.4728802707678492</v>
      </c>
      <c r="BA675">
        <f t="shared" si="572"/>
        <v>0.40438422280683184</v>
      </c>
      <c r="BB675">
        <f t="shared" si="583"/>
        <v>-7.8641159380597365</v>
      </c>
      <c r="BC675">
        <f t="shared" si="584"/>
        <v>-1.6201566973120747</v>
      </c>
      <c r="BD675">
        <f t="shared" si="573"/>
        <v>-272.82814101190792</v>
      </c>
      <c r="BF675">
        <f t="shared" si="574"/>
        <v>-93.023159029775314</v>
      </c>
      <c r="BG675">
        <f t="shared" si="575"/>
        <v>-221.59098913811067</v>
      </c>
      <c r="BH675">
        <f t="shared" si="585"/>
        <v>-41.590989138110672</v>
      </c>
      <c r="BI675">
        <f t="shared" si="586"/>
        <v>-41.590989138110672</v>
      </c>
      <c r="BJ675">
        <f t="shared" si="576"/>
        <v>0</v>
      </c>
      <c r="BK675">
        <f t="shared" si="587"/>
        <v>0</v>
      </c>
      <c r="BM675">
        <f t="shared" si="588"/>
        <v>-85.159043091715574</v>
      </c>
      <c r="BN675">
        <f t="shared" si="577"/>
        <v>-128.76284812620278</v>
      </c>
      <c r="BQ675" s="56">
        <f t="shared" si="589"/>
        <v>9.0378448622253984</v>
      </c>
    </row>
    <row r="676" spans="1:69" x14ac:dyDescent="0.2">
      <c r="A676">
        <f t="shared" si="563"/>
        <v>10000000</v>
      </c>
      <c r="B676">
        <f t="shared" si="578"/>
        <v>10000</v>
      </c>
      <c r="C676">
        <f t="shared" si="539"/>
        <v>1.6059690845609216</v>
      </c>
      <c r="D676">
        <f t="shared" si="540"/>
        <v>0.898637092499599</v>
      </c>
      <c r="F676">
        <f t="shared" si="541"/>
        <v>2.2602256574589493E-6</v>
      </c>
      <c r="G676">
        <f t="shared" si="542"/>
        <v>5.1697702598286252E-4</v>
      </c>
      <c r="H676">
        <f t="shared" si="564"/>
        <v>-3.1410756729740172</v>
      </c>
      <c r="J676">
        <f t="shared" si="565"/>
        <v>15</v>
      </c>
      <c r="M676">
        <f t="shared" si="543"/>
        <v>1.8149146027240134E-4</v>
      </c>
      <c r="N676">
        <f t="shared" si="566"/>
        <v>-1.5707963250000001</v>
      </c>
      <c r="O676">
        <f t="shared" si="544"/>
        <v>1193.3658030120871</v>
      </c>
      <c r="P676">
        <f t="shared" si="567"/>
        <v>1.5699583606704215</v>
      </c>
      <c r="Q676">
        <f t="shared" si="545"/>
        <v>778.89193774115745</v>
      </c>
      <c r="R676">
        <f t="shared" si="568"/>
        <v>1.5695124512965537</v>
      </c>
      <c r="S676">
        <f t="shared" si="546"/>
        <v>0.61436664051294854</v>
      </c>
      <c r="T676">
        <f t="shared" si="569"/>
        <v>-0.90921332735182159</v>
      </c>
      <c r="U676">
        <f t="shared" si="547"/>
        <v>4.8839446842445608E-2</v>
      </c>
      <c r="V676">
        <f t="shared" si="570"/>
        <v>-1.5219374430285304</v>
      </c>
      <c r="X676">
        <f t="shared" si="548"/>
        <v>-71.194288103809598</v>
      </c>
      <c r="Y676">
        <f t="shared" si="549"/>
        <v>-177.89851765148583</v>
      </c>
      <c r="Z676">
        <f t="shared" si="579"/>
        <v>2.1014823485141676</v>
      </c>
      <c r="AC676">
        <v>1</v>
      </c>
      <c r="AD676">
        <f t="shared" si="550"/>
        <v>1193.3653840289999</v>
      </c>
      <c r="AE676">
        <f t="shared" si="551"/>
        <v>-5.0987323701527112</v>
      </c>
      <c r="AF676">
        <f t="shared" si="552"/>
        <v>0.24931679270400006</v>
      </c>
      <c r="AG676">
        <f t="shared" si="553"/>
        <v>11.221639720575446</v>
      </c>
      <c r="AH676">
        <f t="shared" si="554"/>
        <v>-233.50267367913014</v>
      </c>
      <c r="AJ676">
        <f t="shared" si="571"/>
        <v>22100</v>
      </c>
      <c r="AK676">
        <f t="shared" si="555"/>
        <v>28382.655964572004</v>
      </c>
      <c r="AL676">
        <v>51</v>
      </c>
      <c r="AM676">
        <f t="shared" si="556"/>
        <v>778.89129580332008</v>
      </c>
      <c r="AN676">
        <f t="shared" si="557"/>
        <v>38.134164822142736</v>
      </c>
      <c r="AO676">
        <f t="shared" si="558"/>
        <v>-25.876727218120248</v>
      </c>
      <c r="AQ676">
        <f t="shared" si="559"/>
        <v>2.4999999937500001E-5</v>
      </c>
      <c r="AR676">
        <f t="shared" si="560"/>
        <v>-0.49999999875000001</v>
      </c>
      <c r="AT676">
        <f t="shared" si="561"/>
        <v>-116.75105600669443</v>
      </c>
      <c r="AU676">
        <f t="shared" si="562"/>
        <v>-5.616657413088058</v>
      </c>
      <c r="AV676">
        <f t="shared" si="580"/>
        <v>-3.0935217359479439</v>
      </c>
      <c r="AW676">
        <f t="shared" si="581"/>
        <v>29.051138353981568</v>
      </c>
      <c r="AX676">
        <f t="shared" si="582"/>
        <v>-290.51271632724598</v>
      </c>
      <c r="AY676">
        <f t="shared" si="590"/>
        <v>-1.471128128532242</v>
      </c>
      <c r="BA676">
        <f t="shared" si="572"/>
        <v>0.40034737313252522</v>
      </c>
      <c r="BB676">
        <f t="shared" si="583"/>
        <v>-7.9512603351577908</v>
      </c>
      <c r="BC676">
        <f t="shared" si="584"/>
        <v>-1.6223936074157019</v>
      </c>
      <c r="BD676">
        <f t="shared" si="573"/>
        <v>-272.95630652014239</v>
      </c>
      <c r="BF676">
        <f t="shared" si="574"/>
        <v>-93.231655527722324</v>
      </c>
      <c r="BG676">
        <f t="shared" si="575"/>
        <v>-221.43857314544633</v>
      </c>
      <c r="BH676">
        <f t="shared" si="585"/>
        <v>-41.438573145446327</v>
      </c>
      <c r="BI676">
        <f t="shared" si="586"/>
        <v>-41.438573145446327</v>
      </c>
      <c r="BJ676">
        <f t="shared" si="576"/>
        <v>0</v>
      </c>
      <c r="BK676">
        <f t="shared" si="587"/>
        <v>0</v>
      </c>
      <c r="BM676">
        <f t="shared" si="588"/>
        <v>-85.280395192564526</v>
      </c>
      <c r="BN676">
        <f t="shared" si="577"/>
        <v>-128.48226662530396</v>
      </c>
      <c r="BQ676" s="56">
        <f t="shared" si="589"/>
        <v>8.9507004651273459</v>
      </c>
    </row>
    <row r="677" spans="1:69" x14ac:dyDescent="0.2">
      <c r="BD677">
        <f t="shared" si="573"/>
        <v>-180</v>
      </c>
    </row>
    <row r="678" spans="1:69" x14ac:dyDescent="0.2">
      <c r="BD678">
        <f t="shared" si="573"/>
        <v>-180</v>
      </c>
    </row>
    <row r="679" spans="1:69" x14ac:dyDescent="0.2">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437</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436</v>
      </c>
      <c r="BB681" s="2" t="s">
        <v>434</v>
      </c>
      <c r="BC681" s="2" t="s">
        <v>435</v>
      </c>
      <c r="BF681" s="2" t="s">
        <v>71</v>
      </c>
      <c r="BG681" s="2" t="s">
        <v>72</v>
      </c>
      <c r="BH681" s="2" t="s">
        <v>104</v>
      </c>
    </row>
    <row r="682" spans="1:69" x14ac:dyDescent="0.2">
      <c r="A682">
        <f>Fesr</f>
        <v>7957747.1636878178</v>
      </c>
      <c r="B682">
        <f t="shared" ref="B682:B692" si="591">A682/1000</f>
        <v>7957.7471636878181</v>
      </c>
      <c r="C682">
        <f t="shared" ref="C682:C686" si="592">SQRT((A682/Fesr)^2+1)</f>
        <v>1.4142135623730951</v>
      </c>
      <c r="D682">
        <f t="shared" ref="D682:D686" si="593">ATAN(A682/Fesr)</f>
        <v>0.78539816339744828</v>
      </c>
      <c r="F682">
        <f t="shared" ref="F682:F687" si="594">(Ro/(Ro+Rdcr))/SQRT((A682/(Q*Fo))^2+(1-(A682^2/Fo^2))^2)</f>
        <v>3.5692097005695438E-6</v>
      </c>
      <c r="G682">
        <f t="shared" ref="G682:G687" si="595">-ATAN(A682*Fo/(Q*(Fo^2-A682^2)))</f>
        <v>6.4965331007222401E-4</v>
      </c>
      <c r="H682">
        <f t="shared" ref="H682:H687" si="596">IF(G682&gt;0,G682-Pi,G682)</f>
        <v>-3.1409429966899278</v>
      </c>
      <c r="J682">
        <f t="shared" ref="J682:J688" si="597">Vin/Vramp</f>
        <v>15</v>
      </c>
      <c r="M682">
        <f t="shared" ref="M682:M687" si="598">1/(2*Pi*_Rfb1*(Cc1ea_u+Cc2ea_u)*A682)</f>
        <v>2.2806889505181728E-4</v>
      </c>
      <c r="N682">
        <f t="shared" ref="N682:N688" si="599">-Pi/2</f>
        <v>-1.5707963250000001</v>
      </c>
      <c r="O682">
        <f t="shared" ref="O682:O687" si="600">SQRT(1+(A682/Fz1_u)^2)</f>
        <v>949.65052650962093</v>
      </c>
      <c r="P682">
        <f t="shared" ref="P682:P687" si="601">ATAN(A682/Fz1_u)</f>
        <v>1.5697433076505976</v>
      </c>
      <c r="Q682">
        <f t="shared" ref="Q682:Q687" si="602">SQRT(1+(A682/Fz2_u)^2)</f>
        <v>619.82280668268402</v>
      </c>
      <c r="R682">
        <f t="shared" ref="R682:R687" si="603">ATAN(A682/Fz2_u)</f>
        <v>1.5691829617766317</v>
      </c>
      <c r="S682">
        <f t="shared" ref="S682:S687" si="604">1/SQRT(1+(A682/Fp1_u)^2)</f>
        <v>0.69937184055058965</v>
      </c>
      <c r="T682">
        <f t="shared" ref="T682:T687" si="605">-ATAN(A682/Fp1_u)</f>
        <v>-0.7962780506042807</v>
      </c>
      <c r="U682">
        <f t="shared" ref="U682:U687" si="606">1/SQRT(1+(A682/Fp2_u)^2)</f>
        <v>6.1331111809576178E-2</v>
      </c>
      <c r="V682">
        <f t="shared" ref="V682:V687" si="607">-ATAN(A682/Fp2_u)</f>
        <v>-1.5094267002064363</v>
      </c>
      <c r="X682">
        <f t="shared" ref="X682:X686" si="608">20*LOG(C682*J682*O682*Q682*F682*M682*S682*U682)</f>
        <v>-67.210705494925335</v>
      </c>
      <c r="Y682">
        <f t="shared" ref="Y682:Y686" si="609">(180/Pi)*(D682+H682+N682+P682+R682+T682+V682)</f>
        <v>-177.22270108496531</v>
      </c>
      <c r="Z682">
        <f t="shared" ref="Z682:Z687" si="610">Y682+180</f>
        <v>2.7772989150346916</v>
      </c>
      <c r="AC682">
        <v>1</v>
      </c>
      <c r="AD682">
        <f t="shared" ref="AD682:AD687" si="611">Rcea1_u*Cc1ea_u*A682*2*Pi</f>
        <v>949.64999999999975</v>
      </c>
      <c r="AE682">
        <f t="shared" ref="AE682:AE687" si="612">-Rcea1_u*Cc1ea_u*Cc2ea_u*(A682*2*Pi)^2</f>
        <v>-3.2288099999999993</v>
      </c>
      <c r="AF682">
        <f t="shared" ref="AF682:AF687" si="613">(Cc2ea_u+Cc1ea_u)*A682*2*Pi</f>
        <v>0.19839999999999999</v>
      </c>
      <c r="AG682">
        <f t="shared" ref="AG682:AG687" si="614">AC682*AE682/(AE682^2+AF682^2)+AD682*AF682/(AE682^2+AF682^2)</f>
        <v>17.696057614307662</v>
      </c>
      <c r="AH682">
        <f t="shared" ref="AH682:AH687" si="615">AD682*AE682/(AE682^2+AF682^2)-AC682*AF682/(AE682^2+AF682^2)</f>
        <v>-293.03028117768508</v>
      </c>
      <c r="AJ682">
        <f t="shared" ref="AJ682:AJ688" si="616">_Rfb1</f>
        <v>22100</v>
      </c>
      <c r="AK682">
        <f t="shared" ref="AK682:AK687" si="617">_Rfb1*Rcea2_u*Cc3ea_u*A682*2*Pi</f>
        <v>22586.199999999997</v>
      </c>
      <c r="AL682">
        <v>1</v>
      </c>
      <c r="AM682">
        <f t="shared" ref="AM682:AM687" si="618">(_Rfb1+Rcea2_u)*Cc3ea_u*A682*2*Pi</f>
        <v>619.82199999999989</v>
      </c>
      <c r="AN682">
        <f t="shared" ref="AN682:AN687" si="619">AJ682*AL682/(AL682^2+AM682^2)+AK682*AM682/(AL682^2+AM682^2)</f>
        <v>36.49724681345235</v>
      </c>
      <c r="AO682">
        <f t="shared" ref="AO682:AO687" si="620">AK682*AL682/(AL682^2+AM682^2)-AJ682*AM682/(AL682^2+AM682^2)</f>
        <v>-35.596514407663093</v>
      </c>
      <c r="AQ682">
        <f t="shared" ref="AQ682:AQ687" si="621">Eadcg/(1+(Eadcg*A682/GBP)^2)</f>
        <v>3.9478417358281565E-5</v>
      </c>
      <c r="AR682">
        <f t="shared" ref="AR682:AR687" si="622">-(A682*Eadcg*Eadcg/GBP)/(1+(Eadcg*A682/GBP)^2)</f>
        <v>-0.62831852751949813</v>
      </c>
      <c r="AT682">
        <f t="shared" ref="AT682:AT687" si="623">-AR682*AH682+AG682*AQ682</f>
        <v>-184.11565617583952</v>
      </c>
      <c r="AU682">
        <f t="shared" ref="AU682:AU687" si="624">AQ682*AH682+AG682*AR682</f>
        <v>-11.130329234860941</v>
      </c>
      <c r="AV682">
        <f t="shared" ref="AV682:AV687" si="625">IF(AT682&lt;0,ATAN(AU682/AT682)+Pi,ATAN(AU682/AT682))</f>
        <v>3.2019720892970791</v>
      </c>
      <c r="AW682">
        <f t="shared" ref="AW682:AW687" si="626">AG682-AH682*AO682/_Rfb2+AG682*AN682/_Rfb2+AN682-AO682*AR682+AQ682*AN682</f>
        <v>18.988751507743675</v>
      </c>
      <c r="AX682">
        <f t="shared" ref="AX682:AX687" si="627">AH682+AH682*AN682/_Rfb2+AG682*AO682/_Rfb2+AO682+AO682*AQ682+AN682*AR682</f>
        <v>-366.42058492577769</v>
      </c>
      <c r="AY682">
        <f t="shared" ref="AY682:AY687" si="628">IF(AW682&lt;0,ATAN(AX682/AW682)+Pi,ATAN(AX682/AW682))</f>
        <v>-1.5190203589106424</v>
      </c>
      <c r="BA682">
        <f t="shared" ref="BA682:BA687" si="629">SQRT(AT682^2+AU682^2)/SQRT(AW682^2+AX682^2)</f>
        <v>0.50271357011379658</v>
      </c>
      <c r="BB682">
        <f t="shared" ref="BB682:BB687" si="630">20*LOG(BA682)</f>
        <v>-5.9735878277242644</v>
      </c>
      <c r="BC682">
        <f t="shared" ref="BC682:BC687" si="631">AV682-AY682</f>
        <v>4.7209924482077215</v>
      </c>
      <c r="BD682">
        <f t="shared" ref="BD682:BD687" si="632">BC682*180/Pi</f>
        <v>270.49294270451958</v>
      </c>
      <c r="BF682">
        <f t="shared" ref="BF682:BF686" si="633">20*LOG(BA682*J682*F682*C682)</f>
        <v>-88.390021396731555</v>
      </c>
      <c r="BG682">
        <f t="shared" ref="BG682:BG686" si="634">(180/Pi)*(D682+H682+BC682)</f>
        <v>135.53016514879593</v>
      </c>
      <c r="BH682">
        <f t="shared" ref="BH682:BH687" si="635">IF(BG682&gt;180,BG682-180,BG682+180)</f>
        <v>315.53016514879596</v>
      </c>
      <c r="BI682">
        <f t="shared" ref="BI682:BI687" si="636">IF(BH682&gt;180,BH682-360,BH682)</f>
        <v>-44.469834851204041</v>
      </c>
    </row>
    <row r="683" spans="1:69" x14ac:dyDescent="0.2">
      <c r="A683">
        <f>Fo+1</f>
        <v>15063.195235189181</v>
      </c>
      <c r="B683">
        <f t="shared" si="591"/>
        <v>15.063195235189182</v>
      </c>
      <c r="C683">
        <f t="shared" si="592"/>
        <v>1.0000017915278032</v>
      </c>
      <c r="D683">
        <f t="shared" si="593"/>
        <v>1.8928946766732552E-3</v>
      </c>
      <c r="F683">
        <f t="shared" si="594"/>
        <v>2.9024412557551393</v>
      </c>
      <c r="G683">
        <f t="shared" si="595"/>
        <v>1.5704094744258699</v>
      </c>
      <c r="H683">
        <f t="shared" si="596"/>
        <v>-1.5711831755741303</v>
      </c>
      <c r="J683">
        <f t="shared" si="597"/>
        <v>15</v>
      </c>
      <c r="M683">
        <f t="shared" si="598"/>
        <v>0.12048669451513083</v>
      </c>
      <c r="N683">
        <f t="shared" si="599"/>
        <v>-1.5707963250000001</v>
      </c>
      <c r="O683">
        <f t="shared" si="600"/>
        <v>2.0570192721744318</v>
      </c>
      <c r="P683">
        <f t="shared" si="601"/>
        <v>1.0631287440580388</v>
      </c>
      <c r="Q683">
        <f t="shared" si="602"/>
        <v>1.5416021113076235</v>
      </c>
      <c r="R683">
        <f t="shared" si="603"/>
        <v>0.86495309895671235</v>
      </c>
      <c r="S683">
        <f t="shared" si="604"/>
        <v>0.99999812878145011</v>
      </c>
      <c r="T683">
        <f t="shared" si="605"/>
        <v>-1.9345382567791541E-3</v>
      </c>
      <c r="U683">
        <f t="shared" si="606"/>
        <v>0.99952584905776465</v>
      </c>
      <c r="V683">
        <f t="shared" si="607"/>
        <v>-3.0795727522706057E-2</v>
      </c>
      <c r="X683">
        <f t="shared" si="608"/>
        <v>24.41596879984457</v>
      </c>
      <c r="Y683">
        <f t="shared" si="609"/>
        <v>-71.318063835931895</v>
      </c>
      <c r="Z683">
        <f t="shared" si="610"/>
        <v>108.68193616406811</v>
      </c>
      <c r="AC683">
        <v>1</v>
      </c>
      <c r="AD683">
        <f t="shared" si="611"/>
        <v>1.797589576654534</v>
      </c>
      <c r="AE683">
        <f t="shared" si="612"/>
        <v>-1.1569016135133882E-5</v>
      </c>
      <c r="AF683">
        <f t="shared" si="613"/>
        <v>3.755507523911542E-4</v>
      </c>
      <c r="AG683">
        <f t="shared" si="614"/>
        <v>4700.0546567576594</v>
      </c>
      <c r="AH683">
        <f t="shared" si="615"/>
        <v>-2807.5433252277394</v>
      </c>
      <c r="AJ683">
        <f t="shared" si="616"/>
        <v>22100</v>
      </c>
      <c r="AK683">
        <f t="shared" si="617"/>
        <v>42.753348808755476</v>
      </c>
      <c r="AL683">
        <v>1</v>
      </c>
      <c r="AM683">
        <f t="shared" si="618"/>
        <v>1.1732591655674898</v>
      </c>
      <c r="AN683">
        <f t="shared" si="619"/>
        <v>9320.3514650783127</v>
      </c>
      <c r="AO683">
        <f t="shared" si="620"/>
        <v>-10892.434433904757</v>
      </c>
      <c r="AQ683">
        <f t="shared" si="621"/>
        <v>11.005950443586851</v>
      </c>
      <c r="AR683">
        <f t="shared" si="622"/>
        <v>-331.56956056113142</v>
      </c>
      <c r="AT683">
        <f t="shared" si="623"/>
        <v>-879167.33796767483</v>
      </c>
      <c r="AU683">
        <f t="shared" si="624"/>
        <v>-1589294.739860116</v>
      </c>
      <c r="AV683">
        <f t="shared" si="625"/>
        <v>4.207106972286466</v>
      </c>
      <c r="AW683">
        <f t="shared" si="626"/>
        <v>-3477645.6580032553</v>
      </c>
      <c r="AX683">
        <f t="shared" si="627"/>
        <v>-3325442.5875580618</v>
      </c>
      <c r="AY683">
        <f t="shared" si="628"/>
        <v>3.9046219011850982</v>
      </c>
      <c r="BA683">
        <f t="shared" si="629"/>
        <v>0.37746593270997425</v>
      </c>
      <c r="BB683">
        <f t="shared" si="630"/>
        <v>-8.4624447696339207</v>
      </c>
      <c r="BC683">
        <f t="shared" si="631"/>
        <v>0.3024850711013678</v>
      </c>
      <c r="BD683">
        <f t="shared" si="632"/>
        <v>17.331117959626688</v>
      </c>
      <c r="BF683">
        <f t="shared" si="633"/>
        <v>24.314664743553386</v>
      </c>
      <c r="BG683">
        <f t="shared" si="634"/>
        <v>-72.582592069438434</v>
      </c>
      <c r="BH683">
        <f t="shared" si="635"/>
        <v>107.41740793056157</v>
      </c>
      <c r="BI683">
        <f t="shared" si="636"/>
        <v>107.41740793056157</v>
      </c>
    </row>
    <row r="684" spans="1:69" x14ac:dyDescent="0.2">
      <c r="A684">
        <f>Fz1_u</f>
        <v>8379.6632061157452</v>
      </c>
      <c r="B684">
        <f t="shared" si="591"/>
        <v>8.3796632061157457</v>
      </c>
      <c r="C684">
        <f t="shared" si="592"/>
        <v>1.0000005544249153</v>
      </c>
      <c r="D684">
        <f t="shared" si="593"/>
        <v>1.0530191442989871E-3</v>
      </c>
      <c r="F684">
        <f t="shared" si="594"/>
        <v>1.3906425864058867</v>
      </c>
      <c r="G684">
        <f t="shared" si="595"/>
        <v>-0.26980081167354591</v>
      </c>
      <c r="H684">
        <f t="shared" si="596"/>
        <v>-0.26980081167354591</v>
      </c>
      <c r="J684">
        <f t="shared" si="597"/>
        <v>15</v>
      </c>
      <c r="M684">
        <f t="shared" si="598"/>
        <v>0.21658562618595825</v>
      </c>
      <c r="N684">
        <f t="shared" si="599"/>
        <v>-1.5707963250000001</v>
      </c>
      <c r="O684">
        <f t="shared" si="600"/>
        <v>1.4142135623730951</v>
      </c>
      <c r="P684">
        <f t="shared" si="601"/>
        <v>0.78539816339744828</v>
      </c>
      <c r="Q684">
        <f t="shared" si="602"/>
        <v>1.1941512813549329</v>
      </c>
      <c r="R684">
        <f t="shared" si="603"/>
        <v>0.57826019828115549</v>
      </c>
      <c r="S684">
        <f t="shared" si="604"/>
        <v>0.99999942091238925</v>
      </c>
      <c r="T684">
        <f t="shared" si="605"/>
        <v>-1.0761855477789072E-3</v>
      </c>
      <c r="U684">
        <f t="shared" si="606"/>
        <v>0.99985319229215974</v>
      </c>
      <c r="V684">
        <f t="shared" si="607"/>
        <v>-1.7135419461722309E-2</v>
      </c>
      <c r="X684">
        <f t="shared" si="608"/>
        <v>17.648939773332778</v>
      </c>
      <c r="Y684">
        <f t="shared" si="609"/>
        <v>-28.309693478187249</v>
      </c>
      <c r="Z684">
        <f t="shared" si="610"/>
        <v>151.69030652181274</v>
      </c>
      <c r="AC684">
        <v>1</v>
      </c>
      <c r="AD684">
        <f t="shared" si="611"/>
        <v>0.99999999999999978</v>
      </c>
      <c r="AE684">
        <f t="shared" si="612"/>
        <v>-3.580266413941978E-6</v>
      </c>
      <c r="AF684">
        <f t="shared" si="613"/>
        <v>2.0891907544884957E-4</v>
      </c>
      <c r="AG684">
        <f t="shared" si="614"/>
        <v>4703.1336827337336</v>
      </c>
      <c r="AH684">
        <f t="shared" si="615"/>
        <v>-4867.1403957726552</v>
      </c>
      <c r="AJ684">
        <f t="shared" si="616"/>
        <v>22100</v>
      </c>
      <c r="AK684">
        <f t="shared" si="617"/>
        <v>23.783709787816562</v>
      </c>
      <c r="AL684">
        <v>1</v>
      </c>
      <c r="AM684">
        <f t="shared" si="618"/>
        <v>0.65268467330068958</v>
      </c>
      <c r="AN684">
        <f t="shared" si="619"/>
        <v>15508.811643752346</v>
      </c>
      <c r="AO684">
        <f t="shared" si="620"/>
        <v>-10098.579951196614</v>
      </c>
      <c r="AQ684">
        <f t="shared" si="621"/>
        <v>35.476715660847333</v>
      </c>
      <c r="AR684">
        <f t="shared" si="622"/>
        <v>-594.56585779406532</v>
      </c>
      <c r="AT684">
        <f t="shared" si="623"/>
        <v>-2726983.768039417</v>
      </c>
      <c r="AU684">
        <f t="shared" si="624"/>
        <v>-2968992.8682969939</v>
      </c>
      <c r="AV684">
        <f t="shared" si="625"/>
        <v>3.9694530016619227</v>
      </c>
      <c r="AW684">
        <f t="shared" si="626"/>
        <v>-5402641.1220390601</v>
      </c>
      <c r="AX684">
        <f t="shared" si="627"/>
        <v>-9755614.616585467</v>
      </c>
      <c r="AY684">
        <f t="shared" si="628"/>
        <v>4.2066344134282048</v>
      </c>
      <c r="BA684">
        <f t="shared" si="629"/>
        <v>0.36149602886076532</v>
      </c>
      <c r="BB684">
        <f t="shared" si="630"/>
        <v>-8.8379293838940871</v>
      </c>
      <c r="BC684">
        <f t="shared" si="631"/>
        <v>-0.23718141176628205</v>
      </c>
      <c r="BD684">
        <f t="shared" si="632"/>
        <v>-13.589493888690747</v>
      </c>
      <c r="BF684">
        <f t="shared" si="633"/>
        <v>17.548211110689262</v>
      </c>
      <c r="BG684">
        <f t="shared" si="634"/>
        <v>-28.987608171668981</v>
      </c>
      <c r="BH684">
        <f t="shared" si="635"/>
        <v>151.01239182833103</v>
      </c>
      <c r="BI684">
        <f t="shared" si="636"/>
        <v>151.01239182833103</v>
      </c>
    </row>
    <row r="685" spans="1:69" x14ac:dyDescent="0.2">
      <c r="A685">
        <f>Fz2_u</f>
        <v>12838.762037629866</v>
      </c>
      <c r="B685">
        <f t="shared" si="591"/>
        <v>12.838762037629866</v>
      </c>
      <c r="C685">
        <f t="shared" si="592"/>
        <v>1.0000013014747526</v>
      </c>
      <c r="D685">
        <f t="shared" si="593"/>
        <v>1.6133650182648493E-3</v>
      </c>
      <c r="F685">
        <f t="shared" si="594"/>
        <v>2.4878377359635997</v>
      </c>
      <c r="G685">
        <f t="shared" si="595"/>
        <v>-0.81916320294875777</v>
      </c>
      <c r="H685">
        <f t="shared" si="596"/>
        <v>-0.81916320294875777</v>
      </c>
      <c r="J685">
        <f t="shared" si="597"/>
        <v>15</v>
      </c>
      <c r="M685">
        <f t="shared" si="598"/>
        <v>0.14136211866880746</v>
      </c>
      <c r="N685">
        <f t="shared" si="599"/>
        <v>-1.5707963250000001</v>
      </c>
      <c r="O685">
        <f t="shared" si="600"/>
        <v>1.8295990854450344</v>
      </c>
      <c r="P685">
        <f t="shared" si="601"/>
        <v>0.99253612851374118</v>
      </c>
      <c r="Q685">
        <f t="shared" si="602"/>
        <v>1.4142135623730951</v>
      </c>
      <c r="R685">
        <f t="shared" si="603"/>
        <v>0.78539816339744828</v>
      </c>
      <c r="S685">
        <f t="shared" si="604"/>
        <v>0.99999864063233179</v>
      </c>
      <c r="T685">
        <f t="shared" si="605"/>
        <v>-1.6488589850265363E-3</v>
      </c>
      <c r="U685">
        <f t="shared" si="606"/>
        <v>0.99965548098675505</v>
      </c>
      <c r="V685">
        <f t="shared" si="607"/>
        <v>-2.6250287514138371E-2</v>
      </c>
      <c r="X685">
        <f t="shared" si="608"/>
        <v>22.699352286106269</v>
      </c>
      <c r="Y685">
        <f t="shared" si="609"/>
        <v>-36.572527362299589</v>
      </c>
      <c r="Z685">
        <f t="shared" si="610"/>
        <v>143.42747263770042</v>
      </c>
      <c r="AC685">
        <v>1</v>
      </c>
      <c r="AD685">
        <f t="shared" si="611"/>
        <v>1.532133418949311</v>
      </c>
      <c r="AE685">
        <f t="shared" si="612"/>
        <v>-8.4044348610208375E-6</v>
      </c>
      <c r="AF685">
        <f t="shared" si="613"/>
        <v>3.2009189735117502E-4</v>
      </c>
      <c r="AG685">
        <f t="shared" si="614"/>
        <v>4701.2738681701712</v>
      </c>
      <c r="AH685">
        <f t="shared" si="615"/>
        <v>-3247.5409674253656</v>
      </c>
      <c r="AJ685">
        <f t="shared" si="616"/>
        <v>22100</v>
      </c>
      <c r="AK685">
        <f t="shared" si="617"/>
        <v>36.439816592505593</v>
      </c>
      <c r="AL685">
        <v>1</v>
      </c>
      <c r="AM685">
        <f t="shared" si="618"/>
        <v>1</v>
      </c>
      <c r="AN685">
        <f t="shared" si="619"/>
        <v>11068.219908296252</v>
      </c>
      <c r="AO685">
        <f t="shared" si="620"/>
        <v>-11031.780091703748</v>
      </c>
      <c r="AQ685">
        <f t="shared" si="621"/>
        <v>15.143822946792609</v>
      </c>
      <c r="AR685">
        <f t="shared" si="622"/>
        <v>-388.85587830773795</v>
      </c>
      <c r="AT685">
        <f t="shared" si="623"/>
        <v>-1191630.1361445996</v>
      </c>
      <c r="AU685">
        <f t="shared" si="624"/>
        <v>-1877298.1645956738</v>
      </c>
      <c r="AV685">
        <f t="shared" si="625"/>
        <v>4.1468033848845005</v>
      </c>
      <c r="AW685">
        <f t="shared" si="626"/>
        <v>-4085118.7093363339</v>
      </c>
      <c r="AX685">
        <f t="shared" si="627"/>
        <v>-4600508.0778761581</v>
      </c>
      <c r="AY685">
        <f t="shared" si="628"/>
        <v>3.9862595060293495</v>
      </c>
      <c r="BA685">
        <f t="shared" si="629"/>
        <v>0.36140983231027035</v>
      </c>
      <c r="BB685">
        <f t="shared" si="630"/>
        <v>-8.8400007289157383</v>
      </c>
      <c r="BC685">
        <f t="shared" si="631"/>
        <v>0.16054387885515098</v>
      </c>
      <c r="BD685">
        <f t="shared" si="632"/>
        <v>9.1984866955705336</v>
      </c>
      <c r="BF685">
        <f t="shared" si="633"/>
        <v>22.598276776439683</v>
      </c>
      <c r="BG685">
        <f t="shared" si="634"/>
        <v>-37.643668612976143</v>
      </c>
      <c r="BH685">
        <f t="shared" si="635"/>
        <v>142.35633138702386</v>
      </c>
      <c r="BI685">
        <f t="shared" si="636"/>
        <v>142.35633138702386</v>
      </c>
    </row>
    <row r="686" spans="1:69" x14ac:dyDescent="0.2">
      <c r="A686">
        <f>Fp1_u</f>
        <v>7786445.3656436568</v>
      </c>
      <c r="B686">
        <f t="shared" si="591"/>
        <v>7786.4453656436572</v>
      </c>
      <c r="C686">
        <f t="shared" si="592"/>
        <v>1.3990748904659802</v>
      </c>
      <c r="D686">
        <f t="shared" si="593"/>
        <v>0.77451827619061597</v>
      </c>
      <c r="F686">
        <f t="shared" si="594"/>
        <v>3.7279829840159482E-6</v>
      </c>
      <c r="G686">
        <f t="shared" si="595"/>
        <v>6.6394578455055417E-4</v>
      </c>
      <c r="H686">
        <f t="shared" si="596"/>
        <v>-3.1409287042154497</v>
      </c>
      <c r="J686">
        <f t="shared" si="597"/>
        <v>15</v>
      </c>
      <c r="M686">
        <f t="shared" si="598"/>
        <v>2.3308641074295725E-4</v>
      </c>
      <c r="N686">
        <f t="shared" si="599"/>
        <v>-1.5707963250000001</v>
      </c>
      <c r="O686">
        <f t="shared" si="600"/>
        <v>929.20797449204292</v>
      </c>
      <c r="P686">
        <f t="shared" si="601"/>
        <v>1.5697201412471178</v>
      </c>
      <c r="Q686">
        <f t="shared" si="602"/>
        <v>606.48027648447385</v>
      </c>
      <c r="R686">
        <f t="shared" si="603"/>
        <v>1.56914746780987</v>
      </c>
      <c r="S686">
        <f t="shared" si="604"/>
        <v>0.70710678118654746</v>
      </c>
      <c r="T686">
        <f t="shared" si="605"/>
        <v>-0.78539816339744828</v>
      </c>
      <c r="U686">
        <f t="shared" si="606"/>
        <v>6.2675152872311499E-2</v>
      </c>
      <c r="V686">
        <f t="shared" si="607"/>
        <v>-1.5080800680598732</v>
      </c>
      <c r="X686">
        <f t="shared" si="608"/>
        <v>-66.831337779837099</v>
      </c>
      <c r="Y686">
        <f t="shared" si="609"/>
        <v>-177.14808683949843</v>
      </c>
      <c r="Z686">
        <f t="shared" si="610"/>
        <v>2.8519131605015673</v>
      </c>
      <c r="AC686">
        <v>1</v>
      </c>
      <c r="AD686">
        <f t="shared" si="611"/>
        <v>929.20743639921704</v>
      </c>
      <c r="AE686">
        <f t="shared" si="612"/>
        <v>-3.0912967551441657</v>
      </c>
      <c r="AF686">
        <f t="shared" si="613"/>
        <v>0.19412915851272014</v>
      </c>
      <c r="AG686">
        <f t="shared" si="614"/>
        <v>18.480156815706337</v>
      </c>
      <c r="AH686">
        <f t="shared" si="615"/>
        <v>-299.42770701877618</v>
      </c>
      <c r="AJ686">
        <f t="shared" si="616"/>
        <v>22100</v>
      </c>
      <c r="AK686">
        <f t="shared" si="617"/>
        <v>22099.999999999996</v>
      </c>
      <c r="AL686">
        <v>1</v>
      </c>
      <c r="AM686">
        <f t="shared" si="618"/>
        <v>606.47945205479448</v>
      </c>
      <c r="AN686">
        <f t="shared" si="619"/>
        <v>36.499801532455322</v>
      </c>
      <c r="AO686">
        <f t="shared" si="620"/>
        <v>-36.379633512256468</v>
      </c>
      <c r="AQ686">
        <f t="shared" si="621"/>
        <v>4.1234575268805918E-5</v>
      </c>
      <c r="AR686">
        <f t="shared" si="622"/>
        <v>-0.64214153501215687</v>
      </c>
      <c r="AT686">
        <f t="shared" si="623"/>
        <v>-192.27420538879014</v>
      </c>
      <c r="AU686">
        <f t="shared" si="624"/>
        <v>-11.879223039225671</v>
      </c>
      <c r="AV686">
        <f t="shared" si="625"/>
        <v>3.2032969373409226</v>
      </c>
      <c r="AW686">
        <f t="shared" si="626"/>
        <v>18.211635058484184</v>
      </c>
      <c r="AX686">
        <f t="shared" si="627"/>
        <v>-374.47037437814356</v>
      </c>
      <c r="AY686">
        <f t="shared" si="628"/>
        <v>-1.5222015680257051</v>
      </c>
      <c r="BA686">
        <f t="shared" si="629"/>
        <v>0.51382812432294289</v>
      </c>
      <c r="BB686">
        <f t="shared" si="630"/>
        <v>-5.7836425672173997</v>
      </c>
      <c r="BC686">
        <f t="shared" si="631"/>
        <v>4.7254985053666276</v>
      </c>
      <c r="BD686">
        <f t="shared" si="632"/>
        <v>270.75112076226463</v>
      </c>
      <c r="BF686">
        <f t="shared" si="633"/>
        <v>-87.915519712742594</v>
      </c>
      <c r="BG686">
        <f t="shared" si="634"/>
        <v>135.16579048576617</v>
      </c>
      <c r="BH686">
        <f t="shared" si="635"/>
        <v>315.16579048576614</v>
      </c>
      <c r="BI686">
        <f t="shared" si="636"/>
        <v>-44.834209514233862</v>
      </c>
    </row>
    <row r="687" spans="1:69" x14ac:dyDescent="0.2">
      <c r="A687">
        <f>Fp2_u</f>
        <v>488977.99414510711</v>
      </c>
      <c r="B687">
        <f t="shared" si="591"/>
        <v>488.97799414510712</v>
      </c>
      <c r="C687">
        <f>SQRT((A687/Fesr)^2+1)</f>
        <v>1.0018860751701917</v>
      </c>
      <c r="D687">
        <f>ATAN(A687/Fesr)</f>
        <v>6.1369626588460367E-2</v>
      </c>
      <c r="F687">
        <f t="shared" si="594"/>
        <v>9.4615045581220112E-4</v>
      </c>
      <c r="G687">
        <f t="shared" si="595"/>
        <v>1.0582226361355876E-2</v>
      </c>
      <c r="H687">
        <f t="shared" si="596"/>
        <v>-3.1310104236386445</v>
      </c>
      <c r="J687">
        <f t="shared" si="597"/>
        <v>15</v>
      </c>
      <c r="M687">
        <f t="shared" si="598"/>
        <v>3.7116488358480745E-3</v>
      </c>
      <c r="N687">
        <f t="shared" si="599"/>
        <v>-1.5707963250000001</v>
      </c>
      <c r="O687">
        <f t="shared" si="600"/>
        <v>58.361509095847055</v>
      </c>
      <c r="P687">
        <f t="shared" si="601"/>
        <v>1.5536609073331744</v>
      </c>
      <c r="Q687">
        <f t="shared" si="602"/>
        <v>38.099196245394957</v>
      </c>
      <c r="R687">
        <f t="shared" si="603"/>
        <v>1.5445460392807582</v>
      </c>
      <c r="S687">
        <f t="shared" si="604"/>
        <v>0.99803397998887422</v>
      </c>
      <c r="T687">
        <f t="shared" si="605"/>
        <v>-6.2716258735023525E-2</v>
      </c>
      <c r="U687">
        <f t="shared" si="606"/>
        <v>0.70710678118654746</v>
      </c>
      <c r="V687">
        <f t="shared" si="607"/>
        <v>-0.78539816339744828</v>
      </c>
      <c r="X687">
        <f>20*LOG(C687*J687*O687*Q687*F687*M687*S687*U687)</f>
        <v>-21.637813201874586</v>
      </c>
      <c r="Y687">
        <f>(180/Pi)*(D687+H687+N687+P687+R687+T687+V687)</f>
        <v>-136.95665717908088</v>
      </c>
      <c r="Z687">
        <f t="shared" si="610"/>
        <v>43.043342820919122</v>
      </c>
      <c r="AC687">
        <v>1</v>
      </c>
      <c r="AD687">
        <f t="shared" si="611"/>
        <v>58.352941176470587</v>
      </c>
      <c r="AE687">
        <f t="shared" si="612"/>
        <v>-1.2191042520309338E-2</v>
      </c>
      <c r="AF687">
        <f t="shared" si="613"/>
        <v>1.2191042520309342E-2</v>
      </c>
      <c r="AG687">
        <f t="shared" si="614"/>
        <v>2352.2574497187179</v>
      </c>
      <c r="AH687">
        <f t="shared" si="615"/>
        <v>-2434.2848889909596</v>
      </c>
      <c r="AJ687">
        <f t="shared" si="616"/>
        <v>22100</v>
      </c>
      <c r="AK687">
        <f t="shared" si="617"/>
        <v>1387.8494182067079</v>
      </c>
      <c r="AL687">
        <v>1</v>
      </c>
      <c r="AM687">
        <f t="shared" si="618"/>
        <v>38.086070347899074</v>
      </c>
      <c r="AN687">
        <f t="shared" si="619"/>
        <v>51.639829760731359</v>
      </c>
      <c r="AO687">
        <f t="shared" si="620"/>
        <v>-578.9087708140388</v>
      </c>
      <c r="AQ687">
        <f t="shared" si="621"/>
        <v>1.0455888063882007E-2</v>
      </c>
      <c r="AR687">
        <f t="shared" si="622"/>
        <v>-10.225398344965583</v>
      </c>
      <c r="AT687">
        <f t="shared" si="623"/>
        <v>-24866.937734471197</v>
      </c>
      <c r="AU687">
        <f t="shared" si="624"/>
        <v>-24078.222043601632</v>
      </c>
      <c r="AV687">
        <f t="shared" si="625"/>
        <v>3.9108779344829943</v>
      </c>
      <c r="AW687">
        <f t="shared" si="626"/>
        <v>-5204.9546740216128</v>
      </c>
      <c r="AX687">
        <f t="shared" si="627"/>
        <v>-5499.1400268829575</v>
      </c>
      <c r="AY687">
        <f t="shared" si="628"/>
        <v>3.9544673375397794</v>
      </c>
      <c r="BA687">
        <f t="shared" si="629"/>
        <v>4.5714316327715805</v>
      </c>
      <c r="BB687">
        <f t="shared" si="630"/>
        <v>13.201044582780181</v>
      </c>
      <c r="BC687">
        <f t="shared" si="631"/>
        <v>-4.3589403056785159E-2</v>
      </c>
      <c r="BD687">
        <f t="shared" si="632"/>
        <v>-2.4974888295022359</v>
      </c>
      <c r="BF687">
        <f>20*LOG(BA687*J687*F687*C687)</f>
        <v>-23.741559366447564</v>
      </c>
      <c r="BG687">
        <f>(180/Pi)*(D687+H687+BC687)</f>
        <v>-178.37495132262117</v>
      </c>
      <c r="BH687">
        <f t="shared" si="635"/>
        <v>1.6250486773788282</v>
      </c>
      <c r="BI687">
        <f t="shared" si="636"/>
        <v>1.6250486773788282</v>
      </c>
    </row>
    <row r="688" spans="1:69" x14ac:dyDescent="0.2">
      <c r="A688">
        <f>'Bode Plots Calculations'!BK5*1000</f>
        <v>61000</v>
      </c>
      <c r="B688">
        <f t="shared" si="591"/>
        <v>61</v>
      </c>
      <c r="C688">
        <f>SQRT((A688/Fesr)^2+1)</f>
        <v>1.0000293794067392</v>
      </c>
      <c r="D688">
        <f>ATAN(A688/Fesr)</f>
        <v>7.6653359307989584E-3</v>
      </c>
      <c r="F688">
        <f t="shared" ref="F688" si="637">(Ro/(Ro+Rdcr))/SQRT((A688/(Q*Fo))^2+(1-(A688^2/Fo^2))^2)</f>
        <v>6.4424366210778905E-2</v>
      </c>
      <c r="G688">
        <f t="shared" ref="G688" si="638">-ATAN(A688*Fo/(Q*(Fo^2-A688^2)))</f>
        <v>9.0009010437612877E-2</v>
      </c>
      <c r="H688">
        <f t="shared" ref="H688" si="639">IF(G688&gt;0,G688-Pi,G688)</f>
        <v>-3.0515836395623874</v>
      </c>
      <c r="J688">
        <f t="shared" si="597"/>
        <v>15</v>
      </c>
      <c r="M688">
        <f t="shared" ref="M688" si="640">1/(2*Pi*_Rfb1*(Cc1ea_u+Cc2ea_u)*A688)</f>
        <v>2.9752698405311695E-2</v>
      </c>
      <c r="N688">
        <f t="shared" si="599"/>
        <v>-1.5707963250000001</v>
      </c>
      <c r="O688">
        <f t="shared" ref="O688" si="641">SQRT(1+(A688/Fz1_u)^2)</f>
        <v>7.3478935872744513</v>
      </c>
      <c r="P688">
        <f t="shared" ref="P688" si="642">ATAN(A688/Fz1_u)</f>
        <v>1.4342792546654917</v>
      </c>
      <c r="Q688">
        <f t="shared" ref="Q688" si="643">SQRT(1+(A688/Fz2_u)^2)</f>
        <v>4.8553323389583634</v>
      </c>
      <c r="R688">
        <f t="shared" ref="R688" si="644">ATAN(A688/Fz2_u)</f>
        <v>1.3633525818898626</v>
      </c>
      <c r="S688">
        <f t="shared" ref="S688" si="645">1/SQRT(1+(A688/Fp1_u)^2)</f>
        <v>0.99996931464140304</v>
      </c>
      <c r="T688">
        <f t="shared" ref="T688" si="646">-ATAN(A688/Fp1_u)</f>
        <v>-7.833966495984071E-3</v>
      </c>
      <c r="U688">
        <f t="shared" ref="U688" si="647">1/SQRT(1+(A688/Fp2_u)^2)</f>
        <v>0.99230838040440039</v>
      </c>
      <c r="V688">
        <f t="shared" ref="V688" si="648">-ATAN(A688/Fp2_u)</f>
        <v>-0.12410882352663016</v>
      </c>
      <c r="X688">
        <f>20*LOG(C688*J688*O688*Q688*F688*M688*S688*U688)</f>
        <v>0.15391371051815195</v>
      </c>
      <c r="Y688">
        <f>(180/Pi)*(D688+H688+N688+P688+R688+T688+V688)</f>
        <v>-111.67094014489523</v>
      </c>
      <c r="Z688">
        <f t="shared" ref="Z688" si="649">Y688+180</f>
        <v>68.329059855104774</v>
      </c>
      <c r="AC688">
        <v>1</v>
      </c>
      <c r="AD688">
        <f t="shared" ref="AD688" si="650">Rcea1_u*Cc1ea_u*A688*2*Pi</f>
        <v>7.2795288425768998</v>
      </c>
      <c r="AE688">
        <f t="shared" ref="AE688" si="651">-Rcea1_u*Cc1ea_u*Cc2ea_u*(A688*2*Pi)^2</f>
        <v>-1.8972383149338235E-4</v>
      </c>
      <c r="AF688">
        <f t="shared" ref="AF688" si="652">(Cc2ea_u+Cc1ea_u)*A688*2*Pi</f>
        <v>1.5208324354944003E-3</v>
      </c>
      <c r="AG688">
        <f t="shared" ref="AG688" si="653">AC688*AE688/(AE688^2+AF688^2)+AD688*AF688/(AE688^2+AF688^2)</f>
        <v>4632.422545323263</v>
      </c>
      <c r="AH688">
        <f t="shared" ref="AH688" si="654">AD688*AE688/(AE688^2+AF688^2)-AC688*AF688/(AE688^2+AF688^2)</f>
        <v>-1235.4293021007666</v>
      </c>
      <c r="AJ688">
        <f t="shared" si="616"/>
        <v>22100</v>
      </c>
      <c r="AK688">
        <f t="shared" ref="AK688" si="655">_Rfb1*Rcea2_u*Cc3ea_u*A688*2*Pi</f>
        <v>173.13420138388921</v>
      </c>
      <c r="AL688">
        <v>1</v>
      </c>
      <c r="AM688">
        <f t="shared" ref="AM688" si="656">(_Rfb1+Rcea2_u)*Cc3ea_u*A688*2*Pi</f>
        <v>4.751236904400252</v>
      </c>
      <c r="AN688">
        <f t="shared" ref="AN688" si="657">AJ688*AL688/(AL688^2+AM688^2)+AK688*AM688/(AL688^2+AM688^2)</f>
        <v>972.35753179609526</v>
      </c>
      <c r="AO688">
        <f t="shared" ref="AO688" si="658">AK688*AL688/(AL688^2+AM688^2)-AJ688*AM688/(AL688^2+AM688^2)</f>
        <v>-4446.7667879572609</v>
      </c>
      <c r="AQ688">
        <f t="shared" ref="AQ688" si="659">Eadcg/(1+(Eadcg*A688/GBP)^2)</f>
        <v>0.67181726570372857</v>
      </c>
      <c r="AR688">
        <f t="shared" ref="AR688" si="660">-(A688*Eadcg*Eadcg/GBP)/(1+(Eadcg*A688/GBP)^2)</f>
        <v>-81.961706415854891</v>
      </c>
      <c r="AT688">
        <f t="shared" ref="AT688" si="661">-AR688*AH688+AG688*AQ688</f>
        <v>-98145.752308344148</v>
      </c>
      <c r="AU688">
        <f t="shared" ref="AU688" si="662">AQ688*AH688+AG688*AR688</f>
        <v>-380511.23938968015</v>
      </c>
      <c r="AV688">
        <f t="shared" ref="AV688" si="663">IF(AT688&lt;0,ATAN(AU688/AT688)+Pi,ATAN(AU688/AT688))</f>
        <v>4.4599596188887745</v>
      </c>
      <c r="AW688">
        <f t="shared" ref="AW688" si="664">AG688-AH688*AO688/_Rfb2+AG688*AN688/_Rfb2+AN688-AO688*AR688+AQ688*AN688</f>
        <v>-359504.73727702181</v>
      </c>
      <c r="AX688">
        <f t="shared" ref="AX688" si="665">AH688+AH688*AN688/_Rfb2+AG688*AO688/_Rfb2+AO688+AO688*AQ688+AN688*AR688</f>
        <v>-116972.79151756159</v>
      </c>
      <c r="AY688">
        <f t="shared" ref="AY688" si="666">IF(AW688&lt;0,ATAN(AX688/AW688)+Pi,ATAN(AX688/AW688))</f>
        <v>3.4561610141590702</v>
      </c>
      <c r="BA688">
        <f t="shared" ref="BA688" si="667">SQRT(AT688^2+AU688^2)/SQRT(AW688^2+AX688^2)</f>
        <v>1.0394358010019462</v>
      </c>
      <c r="BB688">
        <f t="shared" ref="BB688" si="668">20*LOG(BA688)</f>
        <v>0.33595342060131217</v>
      </c>
      <c r="BC688">
        <f t="shared" ref="BC688" si="669">AV688-AY688</f>
        <v>1.0037986047297043</v>
      </c>
      <c r="BD688">
        <f t="shared" ref="BD688" si="670">BC688*180/Pi</f>
        <v>57.513423597851478</v>
      </c>
      <c r="BF688">
        <v>0</v>
      </c>
      <c r="BG688">
        <f>(180/Pi)*(D688+H688+BC688)</f>
        <v>-116.89024858214482</v>
      </c>
      <c r="BH688">
        <f t="shared" ref="BH688:BH690" si="671">IF(BG688&gt;180,BG688-180,BG688+180)</f>
        <v>63.109751417855179</v>
      </c>
      <c r="BI688">
        <f t="shared" ref="BI688:BI690" si="672">IF(BH688&gt;180,BH688-360,BH688)</f>
        <v>63.109751417855179</v>
      </c>
    </row>
    <row r="689" spans="1:61" x14ac:dyDescent="0.2">
      <c r="A689">
        <v>1000000</v>
      </c>
      <c r="B689">
        <f t="shared" si="591"/>
        <v>1000</v>
      </c>
      <c r="BG689">
        <f>BG688</f>
        <v>-116.89024858214482</v>
      </c>
      <c r="BH689">
        <f t="shared" si="671"/>
        <v>63.109751417855179</v>
      </c>
      <c r="BI689">
        <f t="shared" si="672"/>
        <v>63.109751417855179</v>
      </c>
    </row>
    <row r="690" spans="1:61" x14ac:dyDescent="0.2">
      <c r="A690">
        <f>'Bode Plots Calculations'!BK5*1000</f>
        <v>61000</v>
      </c>
      <c r="B690">
        <f t="shared" si="591"/>
        <v>61</v>
      </c>
      <c r="BG690">
        <f>BG688</f>
        <v>-116.89024858214482</v>
      </c>
      <c r="BH690">
        <f t="shared" si="671"/>
        <v>63.109751417855179</v>
      </c>
      <c r="BI690">
        <f t="shared" si="672"/>
        <v>63.109751417855179</v>
      </c>
    </row>
    <row r="691" spans="1:61" x14ac:dyDescent="0.2">
      <c r="A691">
        <f>'Bode Plots Calculations'!BK5*1000</f>
        <v>61000</v>
      </c>
      <c r="B691">
        <f t="shared" si="591"/>
        <v>61</v>
      </c>
      <c r="BG691">
        <v>-90</v>
      </c>
    </row>
    <row r="692" spans="1:61" x14ac:dyDescent="0.2">
      <c r="A692">
        <f>'Bode Plots Calculations'!BK5*1000</f>
        <v>61000</v>
      </c>
      <c r="B692">
        <f t="shared" si="591"/>
        <v>61</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85" zoomScaleNormal="85" workbookViewId="0">
      <selection activeCell="B2" sqref="B2"/>
    </sheetView>
  </sheetViews>
  <sheetFormatPr defaultColWidth="9.140625" defaultRowHeight="12.75" x14ac:dyDescent="0.2"/>
  <cols>
    <col min="1" max="1" width="10.5703125" style="384" customWidth="1"/>
    <col min="2" max="2" width="129.7109375" style="384" customWidth="1"/>
    <col min="3" max="16384" width="9.140625" style="384"/>
  </cols>
  <sheetData>
    <row r="2" spans="1:2" x14ac:dyDescent="0.2">
      <c r="A2" s="384" t="str">
        <f>IF(RDSON_sense=1, "SCH_RDSON", "SCH_SHUNT")</f>
        <v>SCH_RDSON</v>
      </c>
    </row>
    <row r="5" spans="1:2" ht="403.5" customHeight="1" x14ac:dyDescent="0.2">
      <c r="B5" s="346"/>
    </row>
    <row r="6" spans="1:2" ht="12" customHeight="1" x14ac:dyDescent="0.2">
      <c r="B6" s="346"/>
    </row>
    <row r="7" spans="1:2" ht="34.5" customHeight="1" x14ac:dyDescent="0.2"/>
    <row r="8" spans="1:2" ht="404.1" customHeight="1" x14ac:dyDescent="0.2">
      <c r="B8" s="346"/>
    </row>
    <row r="9" spans="1:2" x14ac:dyDescent="0.2">
      <c r="B9" s="34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V1" workbookViewId="0">
      <selection activeCell="AJ9" sqref="AJ9"/>
    </sheetView>
  </sheetViews>
  <sheetFormatPr defaultRowHeight="12.75" x14ac:dyDescent="0.2"/>
  <cols>
    <col min="1" max="1" width="19.85546875" customWidth="1"/>
    <col min="2" max="2" width="13.140625" bestFit="1" customWidth="1"/>
    <col min="4" max="4" width="61.5703125" customWidth="1"/>
    <col min="8" max="8" width="11" bestFit="1" customWidth="1"/>
    <col min="10" max="10" width="12.42578125" bestFit="1" customWidth="1"/>
    <col min="11" max="11" width="12.42578125" customWidth="1"/>
    <col min="12" max="12" width="10" customWidth="1"/>
    <col min="13" max="13" width="11" customWidth="1"/>
    <col min="14" max="14" width="11.42578125" customWidth="1"/>
    <col min="15" max="15" width="10.28515625" bestFit="1" customWidth="1"/>
    <col min="16" max="16" width="8" customWidth="1"/>
    <col min="17" max="17" width="11.85546875" style="40" customWidth="1"/>
    <col min="18" max="18" width="10.28515625" style="9" customWidth="1"/>
    <col min="19" max="19" width="9.42578125" bestFit="1" customWidth="1"/>
    <col min="20" max="20" width="11.5703125" customWidth="1"/>
    <col min="21" max="21" width="12.5703125" bestFit="1" customWidth="1"/>
    <col min="22" max="22" width="12.28515625" bestFit="1" customWidth="1"/>
    <col min="23" max="23" width="10.5703125" bestFit="1" customWidth="1"/>
    <col min="24" max="25" width="10.28515625" customWidth="1"/>
    <col min="26" max="27" width="12.42578125" customWidth="1"/>
    <col min="28" max="28" width="11.140625" bestFit="1" customWidth="1"/>
    <col min="29" max="29" width="11.85546875" customWidth="1"/>
    <col min="30" max="30" width="12.42578125" customWidth="1"/>
    <col min="31" max="31" width="9.5703125" bestFit="1" customWidth="1"/>
    <col min="32" max="32" width="11.5703125" customWidth="1"/>
    <col min="33" max="34" width="12.7109375" customWidth="1"/>
    <col min="35" max="35" width="14.28515625" customWidth="1"/>
    <col min="36" max="36" width="10.85546875" bestFit="1" customWidth="1"/>
    <col min="37" max="37" width="10" customWidth="1"/>
    <col min="38" max="38" width="11.28515625" customWidth="1"/>
    <col min="39" max="39" width="10.7109375" customWidth="1"/>
    <col min="41" max="41" width="10" style="4" bestFit="1" customWidth="1"/>
    <col min="42" max="42" width="15" customWidth="1"/>
    <col min="43" max="43" width="14.85546875" style="10" customWidth="1"/>
    <col min="55" max="55" width="28.42578125" customWidth="1"/>
    <col min="58" max="58" width="12.42578125" bestFit="1" customWidth="1"/>
  </cols>
  <sheetData>
    <row r="1" spans="1:69" ht="12.75" customHeight="1" x14ac:dyDescent="0.2">
      <c r="A1" s="566" t="s">
        <v>195</v>
      </c>
      <c r="B1" s="566"/>
      <c r="C1" s="566"/>
      <c r="D1" s="566"/>
    </row>
    <row r="2" spans="1:69" ht="12.75" customHeight="1" x14ac:dyDescent="0.2">
      <c r="A2" s="566"/>
      <c r="B2" s="566"/>
      <c r="C2" s="566"/>
      <c r="D2" s="566"/>
    </row>
    <row r="3" spans="1:69" ht="12.75" customHeight="1" x14ac:dyDescent="0.2">
      <c r="A3" s="566"/>
      <c r="B3" s="566"/>
      <c r="C3" s="566"/>
      <c r="D3" s="566"/>
      <c r="AG3">
        <f>VsdBot</f>
        <v>0.9</v>
      </c>
      <c r="AK3">
        <f>Iq</f>
        <v>2E-3</v>
      </c>
    </row>
    <row r="4" spans="1:69" ht="12.75" customHeight="1" x14ac:dyDescent="0.2">
      <c r="A4" s="566"/>
      <c r="B4" s="566"/>
      <c r="C4" s="566"/>
      <c r="D4" s="566"/>
    </row>
    <row r="5" spans="1:69" x14ac:dyDescent="0.2">
      <c r="A5" s="11"/>
      <c r="B5" s="12"/>
      <c r="C5" s="6"/>
      <c r="D5" s="6"/>
    </row>
    <row r="6" spans="1:69" ht="13.5" customHeight="1" thickBot="1" x14ac:dyDescent="0.25">
      <c r="A6" s="567" t="s">
        <v>198</v>
      </c>
      <c r="B6" s="567"/>
      <c r="C6" s="567"/>
      <c r="D6" s="567"/>
      <c r="BH6">
        <v>80</v>
      </c>
      <c r="BI6">
        <v>100</v>
      </c>
      <c r="BJ6">
        <v>120</v>
      </c>
      <c r="BK6">
        <v>140</v>
      </c>
      <c r="BL6">
        <v>160</v>
      </c>
      <c r="BM6">
        <v>180</v>
      </c>
      <c r="BN6">
        <v>20</v>
      </c>
      <c r="BO6">
        <v>30</v>
      </c>
      <c r="BP6">
        <v>40</v>
      </c>
      <c r="BQ6">
        <v>50</v>
      </c>
    </row>
    <row r="7" spans="1:69" ht="13.5" thickBot="1" x14ac:dyDescent="0.25">
      <c r="A7" s="567"/>
      <c r="B7" s="567"/>
      <c r="C7" s="567"/>
      <c r="D7" s="567"/>
      <c r="G7" s="13" t="s">
        <v>118</v>
      </c>
      <c r="H7" s="14"/>
      <c r="I7" s="15"/>
      <c r="J7" s="15"/>
      <c r="K7" s="496"/>
      <c r="L7" s="496"/>
      <c r="M7" s="496"/>
      <c r="N7" s="13" t="s">
        <v>143</v>
      </c>
      <c r="O7" s="14"/>
      <c r="P7" s="14"/>
      <c r="Q7" s="16"/>
      <c r="R7" s="67" t="s">
        <v>36</v>
      </c>
      <c r="S7" s="17"/>
      <c r="T7" s="15"/>
      <c r="U7" s="13" t="s">
        <v>127</v>
      </c>
      <c r="V7" s="18"/>
      <c r="W7" s="15"/>
      <c r="X7" s="13" t="s">
        <v>256</v>
      </c>
      <c r="Y7" s="14"/>
      <c r="Z7" s="14"/>
      <c r="AA7" s="478"/>
      <c r="AB7" s="14"/>
      <c r="AC7" s="15"/>
      <c r="AD7" s="13" t="s">
        <v>255</v>
      </c>
      <c r="AE7" s="18"/>
      <c r="AF7" s="68"/>
      <c r="AG7" s="15"/>
      <c r="AH7" s="414" t="s">
        <v>611</v>
      </c>
      <c r="AI7" s="69" t="s">
        <v>371</v>
      </c>
      <c r="AJ7" s="14" t="s">
        <v>370</v>
      </c>
      <c r="AK7" s="70" t="s">
        <v>237</v>
      </c>
      <c r="AL7" s="71"/>
      <c r="AM7" s="72"/>
      <c r="AN7" s="73"/>
      <c r="AO7" s="13" t="s">
        <v>254</v>
      </c>
      <c r="AP7" s="14"/>
      <c r="AQ7" s="14"/>
      <c r="AR7" s="14"/>
      <c r="AS7" s="14"/>
    </row>
    <row r="8" spans="1:69" ht="64.5" thickBot="1" x14ac:dyDescent="0.45">
      <c r="A8" s="19" t="s">
        <v>189</v>
      </c>
      <c r="B8" s="19"/>
      <c r="C8" s="19"/>
      <c r="D8" s="6"/>
      <c r="G8" s="20" t="s">
        <v>120</v>
      </c>
      <c r="H8" s="21" t="s">
        <v>6</v>
      </c>
      <c r="I8" s="21" t="s">
        <v>247</v>
      </c>
      <c r="J8" s="22" t="s">
        <v>248</v>
      </c>
      <c r="K8" s="497" t="s">
        <v>732</v>
      </c>
      <c r="L8" s="497" t="s">
        <v>733</v>
      </c>
      <c r="M8" s="497" t="s">
        <v>731</v>
      </c>
      <c r="N8" s="20" t="s">
        <v>252</v>
      </c>
      <c r="O8" s="21" t="s">
        <v>165</v>
      </c>
      <c r="P8" s="21" t="s">
        <v>121</v>
      </c>
      <c r="Q8" s="74" t="s">
        <v>372</v>
      </c>
      <c r="R8" s="75" t="s">
        <v>157</v>
      </c>
      <c r="S8" s="23" t="s">
        <v>164</v>
      </c>
      <c r="T8" s="74" t="s">
        <v>373</v>
      </c>
      <c r="U8" s="20" t="s">
        <v>157</v>
      </c>
      <c r="V8" s="21" t="s">
        <v>163</v>
      </c>
      <c r="W8" s="74" t="s">
        <v>374</v>
      </c>
      <c r="X8" s="20" t="s">
        <v>157</v>
      </c>
      <c r="Y8" s="21" t="s">
        <v>162</v>
      </c>
      <c r="Z8" s="21" t="s">
        <v>734</v>
      </c>
      <c r="AA8" s="498" t="s">
        <v>723</v>
      </c>
      <c r="AB8" s="76" t="s">
        <v>376</v>
      </c>
      <c r="AC8" s="74" t="s">
        <v>375</v>
      </c>
      <c r="AD8" s="20" t="s">
        <v>157</v>
      </c>
      <c r="AE8" s="21" t="s">
        <v>162</v>
      </c>
      <c r="AF8" s="21" t="s">
        <v>172</v>
      </c>
      <c r="AG8" s="77" t="s">
        <v>735</v>
      </c>
      <c r="AH8" s="77" t="s">
        <v>612</v>
      </c>
      <c r="AI8" s="74" t="s">
        <v>172</v>
      </c>
      <c r="AJ8" s="78" t="s">
        <v>171</v>
      </c>
      <c r="AK8" s="79" t="s">
        <v>197</v>
      </c>
      <c r="AL8" s="80" t="s">
        <v>270</v>
      </c>
      <c r="AM8" s="81" t="s">
        <v>378</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
      <c r="A9" s="24" t="s">
        <v>125</v>
      </c>
      <c r="B9" s="25" t="s">
        <v>201</v>
      </c>
      <c r="C9" s="26" t="s">
        <v>148</v>
      </c>
      <c r="D9" s="27" t="s">
        <v>188</v>
      </c>
      <c r="G9">
        <v>0</v>
      </c>
      <c r="H9">
        <f t="shared" ref="H9:H72" si="0">Iout*(G9/200)</f>
        <v>0</v>
      </c>
      <c r="I9" s="406">
        <f t="shared" ref="I9:I73" si="1">(Vout+Rdcr*H9+RdsonBot*H9)/(Vin-RdsonTop*H9+RdsonBot*H9)</f>
        <v>0.5</v>
      </c>
      <c r="J9" s="407">
        <f t="shared" ref="J9:J72" si="2">(Vin-Vout)*I9/(Fsw*Lout2)</f>
        <v>2.1428571428571428</v>
      </c>
      <c r="K9" s="407">
        <f>H9+J9/2</f>
        <v>1.0714285714285714</v>
      </c>
      <c r="L9" s="407">
        <f>H9-J9/2</f>
        <v>-1.0714285714285714</v>
      </c>
      <c r="M9" s="63">
        <f t="shared" ref="M9:M72" si="3">IF(MIN(Vin, -L9/(CossTop+CossBot)*0.00000002)&lt;0, 0, MIN(Vin, -L9/(CossTop+CossBot)*0.00000002))</f>
        <v>33.01782962799912</v>
      </c>
      <c r="N9" s="406">
        <f t="shared" ref="N9:N40" si="4">SQRT(H9^2+(J9^2)/12)</f>
        <v>0.61858957413174187</v>
      </c>
      <c r="O9" s="406">
        <f t="shared" ref="O9:O73" si="5">(N9^2*Rdcr*(1+Ltc*Ta-Ltc*25))/(1-N9^2*Rdcr*Ltc*ThetaCa)</f>
        <v>2.2963401441081013E-3</v>
      </c>
      <c r="P9">
        <f t="shared" ref="P9:P72" si="6">Core_Loss</f>
        <v>0.2</v>
      </c>
      <c r="Q9" s="406">
        <f>O9+P9</f>
        <v>0.20229634014410811</v>
      </c>
      <c r="R9" s="9">
        <f>J9/(2*SQRT(3))</f>
        <v>0.61858957413174187</v>
      </c>
      <c r="S9" s="9">
        <f t="shared" ref="S9:S73" si="7">RCoutEsr*R9^2</f>
        <v>3.8265306122448978E-4</v>
      </c>
      <c r="T9" s="9">
        <f>S9</f>
        <v>3.8265306122448978E-4</v>
      </c>
      <c r="U9" s="406">
        <f t="shared" ref="U9:U40" si="8">SQRT(I9)*SQRT(H9^2+(J9^2)/12)</f>
        <v>0.43740888263985322</v>
      </c>
      <c r="V9" s="408">
        <f t="shared" ref="V9:V73" si="9">RCinEsr*U9^2</f>
        <v>3.8265306122448978E-4</v>
      </c>
      <c r="W9" s="406">
        <f>V9</f>
        <v>3.8265306122448978E-4</v>
      </c>
      <c r="X9" s="406">
        <f t="shared" ref="X9:X40" si="10">SQRT(I9)*SQRT(H9^2+(J9^2)/12)</f>
        <v>0.43740888263985322</v>
      </c>
      <c r="Y9" s="406">
        <f t="shared" ref="Y9:Y73" si="11">RdsonTop*X9^2</f>
        <v>9.9489795918367343E-3</v>
      </c>
      <c r="Z9" s="406">
        <f t="shared" ref="Z9:Z72" si="12">IF(L9&lt;0, (Vin*K9*Tf/2)*Fsw, (Vin*L9*Tr/2+Vin*K9*Tf/2)*Fsw)</f>
        <v>4.3200000000000009E-2</v>
      </c>
      <c r="AA9" s="406">
        <f t="shared" ref="AA9:AA72" si="13">(0.5*CossTop*(Vin-M9)^2-0.5*CossBot*(Vin-M9)^2+(QossBot*(Vin-M9)/Vin)*Vin)*Fsw</f>
        <v>0.24229249031629624</v>
      </c>
      <c r="AB9" s="406">
        <f t="shared" ref="AB9:AB72" si="14">IF(L9&gt;0,0,-L9*VsdTop*Deadtime*Fsw)</f>
        <v>2.5714285714285714E-2</v>
      </c>
      <c r="AC9" s="406">
        <f t="shared" ref="AC9:AC40" si="15">(AB9+AA9+Z9+Y9*(1+RdsonTopTc*Ta-RdsonTopTc*25))/(1-Y9*RdsonTopTc*ThetaJaTop)</f>
        <v>0.32186023542342196</v>
      </c>
      <c r="AD9" s="406">
        <f t="shared" ref="AD9:AD40" si="16">SQRT(1-I9)*SQRT(H9^2+(J9^2)/12)</f>
        <v>0.43740888263985322</v>
      </c>
      <c r="AE9" s="406">
        <f t="shared" ref="AE9:AE73" si="17">RdsonBot*AD9^2</f>
        <v>1.9132653061224489E-3</v>
      </c>
      <c r="AF9" s="406">
        <f t="shared" ref="AF9:AF72" si="18">IF(L9&lt;0, Deadtime*Fsw*IF(VfdSky&gt;0,0,VsdBot)*K9, Deadtime*Fsw*IF(VfdSky&gt;0,0,VsdBot)*(K9+L9))</f>
        <v>2.8928571428571428E-2</v>
      </c>
      <c r="AG9" s="406">
        <f t="shared" ref="AG9:AG40" si="19">(AF9+AE9*(1+RdsonBotTc*Ta-RdsonBotTc*25))/(1-AE9*RdsonBotTc*ThetaJaBot)</f>
        <v>3.0851281004389094E-2</v>
      </c>
      <c r="AH9" s="406">
        <f t="shared" ref="AH9:AH40" si="20">IF(RDSON_sense=1, 0, AD9^2*Rshunt)</f>
        <v>0</v>
      </c>
      <c r="AI9">
        <f t="shared" ref="AI9:AI72" si="21">2*Deadtime*Fsw*IF(VfdSky&gt;0,VfdSky,0)*H9</f>
        <v>0</v>
      </c>
      <c r="AJ9" s="407">
        <f t="shared" ref="AJ9:AJ72" si="22">IF(QrrSky&gt;0,QrrSky,QrrBot)*Fsw*(Vin-H9*RdsonTop)</f>
        <v>2.4</v>
      </c>
      <c r="AK9">
        <f t="shared" ref="AK9:AK73" si="23">Iq*Vin</f>
        <v>9.6000000000000002E-2</v>
      </c>
      <c r="AL9" s="407">
        <f t="shared" ref="AL9:AL72" si="24">IF(Ext_VCC=1, Vdd*(QgTop+QgBot)*Fsw, Vin*(QgTop+QgBot)*Fsw)</f>
        <v>0.1215</v>
      </c>
      <c r="AM9" s="407">
        <f t="shared" ref="AM9:AM73" si="25">(Vin-Vdd)*Fsw*(QgTop+QgBot)+(RdsonDRT+RdsonDRT2)*Fsw*QgTop*Vdd/(RdsonDRT+2*RGateTop+RdsonDRT2)+(RdsonDRB+RdsonDRB2)*Fsw*QgBot*Vdd/(RdsonDRB+2*RGateBot+RdsonDRB2)</f>
        <v>0.70770810810810814</v>
      </c>
      <c r="AN9" s="407">
        <f>SUM(AK9:AL9)</f>
        <v>0.2175</v>
      </c>
      <c r="AO9" s="407">
        <f t="shared" ref="AO9:AO40" si="26">SUM(Q9,T9,W9,AC9,AJ9,AI9,AG9,AN9, AH9)</f>
        <v>3.1732731626943682</v>
      </c>
      <c r="AP9">
        <f t="shared" ref="AP9:AP72" si="27">Vout*H9</f>
        <v>0</v>
      </c>
      <c r="AQ9" s="10">
        <f>AP9/(AP9+AO9)</f>
        <v>0</v>
      </c>
      <c r="AR9" s="63">
        <f t="shared" ref="AR9:AR40" si="28">ThetaJaTop*AC9</f>
        <v>17.702312948288206</v>
      </c>
      <c r="AS9" s="63">
        <f>AG9*ThetaJaBot</f>
        <v>1.2340512401755639</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
      <c r="A10" s="356"/>
      <c r="B10" s="34"/>
      <c r="C10" s="26"/>
      <c r="D10" s="27"/>
      <c r="G10">
        <v>1</v>
      </c>
      <c r="H10">
        <f t="shared" si="0"/>
        <v>7.4999999999999997E-2</v>
      </c>
      <c r="I10" s="406">
        <f t="shared" ref="I10" si="30">(Vout+Rdcr*H10+RdsonBot*H10)/(Vin-RdsonTop*H10+RdsonBot*H10)</f>
        <v>0.50005781629419432</v>
      </c>
      <c r="J10" s="407">
        <f t="shared" si="2"/>
        <v>2.1431049269751186</v>
      </c>
      <c r="K10" s="407">
        <f t="shared" ref="K10:K73" si="31">H10+J10/2</f>
        <v>1.1465524634875592</v>
      </c>
      <c r="L10" s="407">
        <f t="shared" ref="L10:L73" si="32">H10-J10/2</f>
        <v>-0.99655246348755933</v>
      </c>
      <c r="M10" s="63">
        <f t="shared" si="3"/>
        <v>30.710399491142049</v>
      </c>
      <c r="N10" s="406">
        <f t="shared" si="4"/>
        <v>0.62319062947765214</v>
      </c>
      <c r="O10" s="406">
        <f t="shared" ref="O10" si="33">(N10^2*Rdcr*(1+Ltc*Ta-Ltc*25))/(1-N10^2*Rdcr*Ltc*ThetaCa)</f>
        <v>2.330633831330235E-3</v>
      </c>
      <c r="P10">
        <f t="shared" si="6"/>
        <v>0.2</v>
      </c>
      <c r="Q10" s="406">
        <f t="shared" ref="Q10:Q73" si="34">O10+P10</f>
        <v>0.20233063383133024</v>
      </c>
      <c r="R10" s="9">
        <f>J10/(2*SQRT(3))</f>
        <v>0.61866110324534906</v>
      </c>
      <c r="S10" s="9">
        <f t="shared" ref="S10" si="35">RCoutEsr*R10^2</f>
        <v>3.827415606687525E-4</v>
      </c>
      <c r="T10" s="9">
        <f>S10</f>
        <v>3.827415606687525E-4</v>
      </c>
      <c r="U10" s="406">
        <f t="shared" si="8"/>
        <v>0.44068779680143516</v>
      </c>
      <c r="V10" s="408">
        <f t="shared" ref="V10" si="36">RCinEsr*U10^2</f>
        <v>3.8841146849940601E-4</v>
      </c>
      <c r="W10" s="406">
        <f>V10</f>
        <v>3.8841146849940601E-4</v>
      </c>
      <c r="X10" s="406">
        <f t="shared" si="10"/>
        <v>0.44068779680143516</v>
      </c>
      <c r="Y10" s="406">
        <f t="shared" ref="Y10" si="37">RdsonTop*X10^2</f>
        <v>1.0098698180984555E-2</v>
      </c>
      <c r="Z10" s="406">
        <f t="shared" si="12"/>
        <v>4.6228995327818392E-2</v>
      </c>
      <c r="AA10" s="406">
        <f t="shared" si="13"/>
        <v>0.26941532216652625</v>
      </c>
      <c r="AB10" s="406">
        <f t="shared" si="14"/>
        <v>2.3917259123701424E-2</v>
      </c>
      <c r="AC10" s="406">
        <f t="shared" si="15"/>
        <v>0.35043884955699545</v>
      </c>
      <c r="AD10" s="406">
        <f t="shared" si="16"/>
        <v>0.44063684187667435</v>
      </c>
      <c r="AE10" s="406">
        <f t="shared" ref="AE10" si="38">RdsonBot*AD10^2</f>
        <v>1.9416082641904931E-3</v>
      </c>
      <c r="AF10" s="406">
        <f t="shared" si="18"/>
        <v>3.0956916514164098E-2</v>
      </c>
      <c r="AG10" s="406">
        <f t="shared" si="19"/>
        <v>3.2908748121925416E-2</v>
      </c>
      <c r="AH10" s="406">
        <f t="shared" si="20"/>
        <v>0</v>
      </c>
      <c r="AI10">
        <f t="shared" si="21"/>
        <v>0</v>
      </c>
      <c r="AJ10" s="407">
        <f t="shared" si="22"/>
        <v>2.3998049999999997</v>
      </c>
      <c r="AK10">
        <f t="shared" si="23"/>
        <v>9.6000000000000002E-2</v>
      </c>
      <c r="AL10" s="407">
        <f t="shared" si="24"/>
        <v>0.1215</v>
      </c>
      <c r="AM10" s="407">
        <f t="shared" si="25"/>
        <v>0.70770810810810814</v>
      </c>
      <c r="AN10" s="407">
        <f>SUM(AK10:AL10)</f>
        <v>0.2175</v>
      </c>
      <c r="AO10" s="407">
        <f t="shared" si="26"/>
        <v>3.2037543845394185</v>
      </c>
      <c r="AP10">
        <f t="shared" si="27"/>
        <v>1.7999999999999998</v>
      </c>
      <c r="AQ10" s="10">
        <f>AP10/(AP10+AO10)</f>
        <v>0.35972988713467496</v>
      </c>
      <c r="AR10" s="63">
        <f t="shared" si="28"/>
        <v>19.274136725634751</v>
      </c>
      <c r="AS10" s="63">
        <f>AG10*ThetaJaBot</f>
        <v>1.3163499248770165</v>
      </c>
      <c r="AU10">
        <f>AQ10*100</f>
        <v>35.972988713467494</v>
      </c>
      <c r="BD10" s="28"/>
      <c r="BE10" s="28"/>
      <c r="BF10" s="28"/>
      <c r="BG10" s="29"/>
    </row>
    <row r="11" spans="1:69" x14ac:dyDescent="0.2">
      <c r="A11" s="30" t="s">
        <v>4</v>
      </c>
      <c r="B11" s="5">
        <f>Vin</f>
        <v>48</v>
      </c>
      <c r="C11" s="416" t="s">
        <v>0</v>
      </c>
      <c r="D11" s="31" t="s">
        <v>4</v>
      </c>
      <c r="G11">
        <v>2</v>
      </c>
      <c r="H11">
        <f t="shared" si="0"/>
        <v>0.15</v>
      </c>
      <c r="I11" s="406">
        <f t="shared" si="1"/>
        <v>0.50011564017777344</v>
      </c>
      <c r="J11" s="407">
        <f t="shared" si="2"/>
        <v>2.1433527436190292</v>
      </c>
      <c r="K11" s="407">
        <f t="shared" si="31"/>
        <v>1.2216763718095145</v>
      </c>
      <c r="L11" s="407">
        <f t="shared" si="32"/>
        <v>-0.92167637180951456</v>
      </c>
      <c r="M11" s="63">
        <f t="shared" si="3"/>
        <v>28.402969855454998</v>
      </c>
      <c r="N11" s="406">
        <f t="shared" si="4"/>
        <v>0.63665538713257974</v>
      </c>
      <c r="O11" s="406">
        <f t="shared" si="5"/>
        <v>2.4324537461942438E-3</v>
      </c>
      <c r="P11">
        <f t="shared" si="6"/>
        <v>0.2</v>
      </c>
      <c r="Q11" s="406">
        <f t="shared" si="34"/>
        <v>0.20243245374619426</v>
      </c>
      <c r="R11" s="9">
        <f t="shared" ref="R11:R74" si="39">J11/(2*SQRT(3))</f>
        <v>0.61873264174838472</v>
      </c>
      <c r="S11" s="9">
        <f t="shared" si="7"/>
        <v>3.8283008196493502E-4</v>
      </c>
      <c r="T11" s="9">
        <f t="shared" ref="T11:T74" si="40">S11</f>
        <v>3.8283008196493502E-4</v>
      </c>
      <c r="U11" s="406">
        <f t="shared" si="8"/>
        <v>0.45023539779231359</v>
      </c>
      <c r="V11" s="408">
        <f t="shared" si="9"/>
        <v>4.0542382685040571E-4</v>
      </c>
      <c r="W11" s="406">
        <f t="shared" ref="W11:W74" si="41">V11</f>
        <v>4.0542382685040571E-4</v>
      </c>
      <c r="X11" s="406">
        <f t="shared" si="10"/>
        <v>0.45023539779231359</v>
      </c>
      <c r="Y11" s="406">
        <f t="shared" si="11"/>
        <v>1.0541019498110548E-2</v>
      </c>
      <c r="Z11" s="406">
        <f t="shared" si="12"/>
        <v>4.9257991311359633E-2</v>
      </c>
      <c r="AA11" s="406">
        <f t="shared" si="13"/>
        <v>0.29381746552167454</v>
      </c>
      <c r="AB11" s="406">
        <f t="shared" si="14"/>
        <v>2.2120232923428348E-2</v>
      </c>
      <c r="AC11" s="406">
        <f t="shared" si="15"/>
        <v>0.3766100771712354</v>
      </c>
      <c r="AD11" s="406">
        <f t="shared" si="16"/>
        <v>0.45013127922832924</v>
      </c>
      <c r="AE11" s="406">
        <f t="shared" si="17"/>
        <v>2.0261816853973211E-3</v>
      </c>
      <c r="AF11" s="406">
        <f t="shared" si="18"/>
        <v>3.2985262038856891E-2</v>
      </c>
      <c r="AG11" s="406">
        <f t="shared" si="19"/>
        <v>3.5022797732468122E-2</v>
      </c>
      <c r="AH11" s="406">
        <f t="shared" si="20"/>
        <v>0</v>
      </c>
      <c r="AI11">
        <f t="shared" si="21"/>
        <v>0</v>
      </c>
      <c r="AJ11" s="407">
        <f t="shared" si="22"/>
        <v>2.3996099999999996</v>
      </c>
      <c r="AK11">
        <f t="shared" si="23"/>
        <v>9.6000000000000002E-2</v>
      </c>
      <c r="AL11" s="407">
        <f t="shared" si="24"/>
        <v>0.1215</v>
      </c>
      <c r="AM11" s="407">
        <f t="shared" si="25"/>
        <v>0.70770810810810814</v>
      </c>
      <c r="AN11" s="407">
        <f t="shared" ref="AN11:AN74" si="42">SUM(AK11:AL11)</f>
        <v>0.2175</v>
      </c>
      <c r="AO11" s="407">
        <f t="shared" si="26"/>
        <v>3.2319635825587123</v>
      </c>
      <c r="AP11">
        <f t="shared" si="27"/>
        <v>3.5999999999999996</v>
      </c>
      <c r="AQ11" s="10">
        <f t="shared" ref="AQ11:AQ74" si="43">AP11/(AP11+AO11)</f>
        <v>0.52693489309434005</v>
      </c>
      <c r="AR11" s="63">
        <f t="shared" si="28"/>
        <v>20.713554244417946</v>
      </c>
      <c r="AS11" s="63">
        <f t="shared" ref="AS11:AS74" si="44">AG11*ThetaJaBot</f>
        <v>1.400911909298725</v>
      </c>
      <c r="AT11" s="10"/>
      <c r="AU11">
        <f t="shared" ref="AU11:AU74" si="45">AQ11*100</f>
        <v>52.693489309434007</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
      <c r="A12" s="32" t="s">
        <v>5</v>
      </c>
      <c r="B12" s="5">
        <f>Vout</f>
        <v>24</v>
      </c>
      <c r="C12" s="416" t="s">
        <v>0</v>
      </c>
      <c r="D12" s="31" t="s">
        <v>5</v>
      </c>
      <c r="G12">
        <v>3</v>
      </c>
      <c r="H12">
        <f t="shared" si="0"/>
        <v>0.22499999999999998</v>
      </c>
      <c r="I12" s="406">
        <f t="shared" si="1"/>
        <v>0.50017347165223147</v>
      </c>
      <c r="J12" s="407">
        <f t="shared" si="2"/>
        <v>2.1436005927952779</v>
      </c>
      <c r="K12" s="407">
        <f t="shared" si="31"/>
        <v>1.2968002963976391</v>
      </c>
      <c r="L12" s="407">
        <f t="shared" si="32"/>
        <v>-0.84680029639763899</v>
      </c>
      <c r="M12" s="63">
        <f t="shared" si="3"/>
        <v>26.095540721036645</v>
      </c>
      <c r="N12" s="406">
        <f t="shared" si="4"/>
        <v>0.65844029730823395</v>
      </c>
      <c r="O12" s="406">
        <f t="shared" si="5"/>
        <v>2.6018031884054841E-3</v>
      </c>
      <c r="P12">
        <f t="shared" si="6"/>
        <v>0.2</v>
      </c>
      <c r="Q12" s="406">
        <f t="shared" si="34"/>
        <v>0.20260180318840548</v>
      </c>
      <c r="R12" s="9">
        <f t="shared" si="39"/>
        <v>0.61880418964269757</v>
      </c>
      <c r="S12" s="9">
        <f t="shared" si="7"/>
        <v>3.8291862511935558E-4</v>
      </c>
      <c r="T12" s="9">
        <f t="shared" si="40"/>
        <v>3.8291862511935558E-4</v>
      </c>
      <c r="U12" s="406">
        <f t="shared" si="8"/>
        <v>0.46566835847912363</v>
      </c>
      <c r="V12" s="408">
        <f t="shared" si="9"/>
        <v>4.336940401772832E-4</v>
      </c>
      <c r="W12" s="406">
        <f t="shared" si="41"/>
        <v>4.336940401772832E-4</v>
      </c>
      <c r="X12" s="406">
        <f t="shared" si="10"/>
        <v>0.46566835847912363</v>
      </c>
      <c r="Y12" s="406">
        <f t="shared" si="11"/>
        <v>1.1276045044609363E-2</v>
      </c>
      <c r="Z12" s="406">
        <f t="shared" si="12"/>
        <v>5.228698795075281E-2</v>
      </c>
      <c r="AA12" s="406">
        <f t="shared" si="13"/>
        <v>0.31549892215365549</v>
      </c>
      <c r="AB12" s="406">
        <f t="shared" si="14"/>
        <v>2.0323207113543334E-2</v>
      </c>
      <c r="AC12" s="406">
        <f t="shared" si="15"/>
        <v>0.4003783929171138</v>
      </c>
      <c r="AD12" s="406">
        <f t="shared" si="16"/>
        <v>0.46550682597649828</v>
      </c>
      <c r="AE12" s="406">
        <f t="shared" si="17"/>
        <v>2.1669660503071389E-3</v>
      </c>
      <c r="AF12" s="406">
        <f t="shared" si="18"/>
        <v>3.5013608002736257E-2</v>
      </c>
      <c r="AG12" s="406">
        <f t="shared" si="19"/>
        <v>3.7193469570779882E-2</v>
      </c>
      <c r="AH12" s="406">
        <f t="shared" si="20"/>
        <v>0</v>
      </c>
      <c r="AI12">
        <f t="shared" si="21"/>
        <v>0</v>
      </c>
      <c r="AJ12" s="407">
        <f t="shared" si="22"/>
        <v>2.3994149999999999</v>
      </c>
      <c r="AK12">
        <f t="shared" si="23"/>
        <v>9.6000000000000002E-2</v>
      </c>
      <c r="AL12" s="407">
        <f t="shared" si="24"/>
        <v>0.1215</v>
      </c>
      <c r="AM12" s="407">
        <f t="shared" si="25"/>
        <v>0.70770810810810814</v>
      </c>
      <c r="AN12" s="407">
        <f t="shared" si="42"/>
        <v>0.2175</v>
      </c>
      <c r="AO12" s="407">
        <f t="shared" si="26"/>
        <v>3.2579052783415956</v>
      </c>
      <c r="AP12">
        <f t="shared" si="27"/>
        <v>5.3999999999999995</v>
      </c>
      <c r="AQ12" s="10">
        <f t="shared" si="43"/>
        <v>0.62370744728618233</v>
      </c>
      <c r="AR12" s="63">
        <f t="shared" si="28"/>
        <v>22.02081161044126</v>
      </c>
      <c r="AS12" s="63">
        <f t="shared" si="44"/>
        <v>1.4877387828311952</v>
      </c>
      <c r="AT12" s="10"/>
      <c r="AU12">
        <f t="shared" si="45"/>
        <v>62.370744728618234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
      <c r="A13" s="32" t="s">
        <v>7</v>
      </c>
      <c r="B13" s="5">
        <f>Fsw/1000</f>
        <v>1000</v>
      </c>
      <c r="C13" s="416" t="s">
        <v>3</v>
      </c>
      <c r="D13" s="31" t="s">
        <v>173</v>
      </c>
      <c r="G13">
        <v>4</v>
      </c>
      <c r="H13">
        <f t="shared" si="0"/>
        <v>0.3</v>
      </c>
      <c r="I13" s="406">
        <f t="shared" si="1"/>
        <v>0.50023131071906368</v>
      </c>
      <c r="J13" s="407">
        <f t="shared" si="2"/>
        <v>2.143848474510273</v>
      </c>
      <c r="K13" s="407">
        <f t="shared" si="31"/>
        <v>1.3719242372551366</v>
      </c>
      <c r="L13" s="407">
        <f t="shared" si="32"/>
        <v>-0.77192423725513648</v>
      </c>
      <c r="M13" s="63">
        <f t="shared" si="3"/>
        <v>23.78811208798572</v>
      </c>
      <c r="N13" s="406">
        <f t="shared" si="4"/>
        <v>0.68775518183313988</v>
      </c>
      <c r="O13" s="406">
        <f t="shared" si="5"/>
        <v>2.8386876462702885E-3</v>
      </c>
      <c r="P13">
        <f t="shared" si="6"/>
        <v>0.2</v>
      </c>
      <c r="Q13" s="406">
        <f t="shared" si="34"/>
        <v>0.2028386876462703</v>
      </c>
      <c r="R13" s="9">
        <f t="shared" si="39"/>
        <v>0.61887574693013736</v>
      </c>
      <c r="S13" s="9">
        <f t="shared" si="7"/>
        <v>3.830071901383354E-4</v>
      </c>
      <c r="T13" s="9">
        <f t="shared" si="40"/>
        <v>3.830071901383354E-4</v>
      </c>
      <c r="U13" s="406">
        <f t="shared" si="8"/>
        <v>0.48642883004859083</v>
      </c>
      <c r="V13" s="408">
        <f t="shared" si="9"/>
        <v>4.7322601340488174E-4</v>
      </c>
      <c r="W13" s="406">
        <f t="shared" si="41"/>
        <v>4.7322601340488174E-4</v>
      </c>
      <c r="X13" s="406">
        <f t="shared" si="10"/>
        <v>0.48642883004859083</v>
      </c>
      <c r="Y13" s="406">
        <f t="shared" si="11"/>
        <v>1.2303876348526924E-2</v>
      </c>
      <c r="Z13" s="406">
        <f t="shared" si="12"/>
        <v>5.5315985246127117E-2</v>
      </c>
      <c r="AA13" s="406">
        <f t="shared" si="13"/>
        <v>0.33445969383484808</v>
      </c>
      <c r="AB13" s="406">
        <f t="shared" si="14"/>
        <v>1.8526181694123275E-2</v>
      </c>
      <c r="AC13" s="406">
        <f t="shared" si="15"/>
        <v>0.42174734510421141</v>
      </c>
      <c r="AD13" s="406">
        <f t="shared" si="16"/>
        <v>0.48620384967202229</v>
      </c>
      <c r="AE13" s="406">
        <f t="shared" si="17"/>
        <v>2.3639418343589444E-3</v>
      </c>
      <c r="AF13" s="406">
        <f t="shared" si="18"/>
        <v>3.7041954405888686E-2</v>
      </c>
      <c r="AG13" s="406">
        <f t="shared" si="19"/>
        <v>3.9420806399190225E-2</v>
      </c>
      <c r="AH13" s="406">
        <f t="shared" si="20"/>
        <v>0</v>
      </c>
      <c r="AI13">
        <f t="shared" si="21"/>
        <v>0</v>
      </c>
      <c r="AJ13" s="407">
        <f t="shared" si="22"/>
        <v>2.3992199999999997</v>
      </c>
      <c r="AK13">
        <f t="shared" si="23"/>
        <v>9.6000000000000002E-2</v>
      </c>
      <c r="AL13" s="407">
        <f t="shared" si="24"/>
        <v>0.1215</v>
      </c>
      <c r="AM13" s="407">
        <f t="shared" si="25"/>
        <v>0.70770810810810814</v>
      </c>
      <c r="AN13" s="407">
        <f t="shared" si="42"/>
        <v>0.2175</v>
      </c>
      <c r="AO13" s="407">
        <f t="shared" si="26"/>
        <v>3.2815830723532149</v>
      </c>
      <c r="AP13">
        <f t="shared" si="27"/>
        <v>7.1999999999999993</v>
      </c>
      <c r="AQ13" s="10">
        <f t="shared" si="43"/>
        <v>0.68691913714743202</v>
      </c>
      <c r="AR13" s="63">
        <f t="shared" si="28"/>
        <v>23.196103980731628</v>
      </c>
      <c r="AS13" s="63">
        <f t="shared" si="44"/>
        <v>1.5768322559676089</v>
      </c>
      <c r="AT13" s="10"/>
      <c r="AU13">
        <f t="shared" si="45"/>
        <v>68.691913714743208</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
      <c r="A14" s="32" t="s">
        <v>6</v>
      </c>
      <c r="B14" s="5">
        <f>Iout</f>
        <v>15</v>
      </c>
      <c r="C14" s="416" t="s">
        <v>2</v>
      </c>
      <c r="D14" s="31" t="s">
        <v>174</v>
      </c>
      <c r="G14">
        <v>5</v>
      </c>
      <c r="H14">
        <f t="shared" si="0"/>
        <v>0.375</v>
      </c>
      <c r="I14" s="406">
        <f t="shared" si="1"/>
        <v>0.50028915737976531</v>
      </c>
      <c r="J14" s="407">
        <f t="shared" si="2"/>
        <v>2.1440963887704232</v>
      </c>
      <c r="K14" s="407">
        <f t="shared" si="31"/>
        <v>1.4470481943852116</v>
      </c>
      <c r="L14" s="407">
        <f t="shared" si="32"/>
        <v>-0.69704819438521159</v>
      </c>
      <c r="M14" s="63">
        <f t="shared" si="3"/>
        <v>21.480683956400977</v>
      </c>
      <c r="N14" s="406">
        <f t="shared" si="4"/>
        <v>0.72368555120867073</v>
      </c>
      <c r="O14" s="406">
        <f t="shared" si="5"/>
        <v>3.1431147971406328E-3</v>
      </c>
      <c r="P14">
        <f t="shared" si="6"/>
        <v>0.2</v>
      </c>
      <c r="Q14" s="406">
        <f t="shared" si="34"/>
        <v>0.20314311479714064</v>
      </c>
      <c r="R14" s="9">
        <f t="shared" si="39"/>
        <v>0.61894731361255417</v>
      </c>
      <c r="S14" s="9">
        <f t="shared" si="7"/>
        <v>3.830957770281975E-4</v>
      </c>
      <c r="T14" s="9">
        <f t="shared" si="40"/>
        <v>3.830957770281975E-4</v>
      </c>
      <c r="U14" s="406">
        <f t="shared" si="8"/>
        <v>0.51187090778995525</v>
      </c>
      <c r="V14" s="408">
        <f t="shared" si="9"/>
        <v>5.2402365248342578E-4</v>
      </c>
      <c r="W14" s="406">
        <f t="shared" si="41"/>
        <v>5.2402365248342578E-4</v>
      </c>
      <c r="X14" s="406">
        <f t="shared" si="10"/>
        <v>0.51187090778995525</v>
      </c>
      <c r="Y14" s="406">
        <f t="shared" si="11"/>
        <v>1.3624614964569069E-2</v>
      </c>
      <c r="Z14" s="406">
        <f t="shared" si="12"/>
        <v>5.8344983197611736E-2</v>
      </c>
      <c r="AA14" s="406">
        <f t="shared" si="13"/>
        <v>0.35069978233809673</v>
      </c>
      <c r="AB14" s="406">
        <f t="shared" si="14"/>
        <v>1.672915666524508E-2</v>
      </c>
      <c r="AC14" s="406">
        <f t="shared" si="15"/>
        <v>0.44071955670436219</v>
      </c>
      <c r="AD14" s="406">
        <f t="shared" si="16"/>
        <v>0.51157497083661618</v>
      </c>
      <c r="AE14" s="406">
        <f t="shared" si="17"/>
        <v>2.6170895078648469E-3</v>
      </c>
      <c r="AF14" s="406">
        <f t="shared" si="18"/>
        <v>3.9070301248400711E-2</v>
      </c>
      <c r="AG14" s="406">
        <f t="shared" si="19"/>
        <v>4.1704854010002616E-2</v>
      </c>
      <c r="AH14" s="406">
        <f t="shared" si="20"/>
        <v>0</v>
      </c>
      <c r="AI14">
        <f t="shared" si="21"/>
        <v>0</v>
      </c>
      <c r="AJ14" s="407">
        <f t="shared" si="22"/>
        <v>2.399025</v>
      </c>
      <c r="AK14">
        <f t="shared" si="23"/>
        <v>9.6000000000000002E-2</v>
      </c>
      <c r="AL14" s="407">
        <f t="shared" si="24"/>
        <v>0.1215</v>
      </c>
      <c r="AM14" s="407">
        <f t="shared" si="25"/>
        <v>0.70770810810810814</v>
      </c>
      <c r="AN14" s="407">
        <f t="shared" si="42"/>
        <v>0.2175</v>
      </c>
      <c r="AO14" s="407">
        <f t="shared" si="26"/>
        <v>3.3029996449410164</v>
      </c>
      <c r="AP14">
        <f t="shared" si="27"/>
        <v>9</v>
      </c>
      <c r="AQ14" s="10">
        <f t="shared" si="43"/>
        <v>0.7315289165029597</v>
      </c>
      <c r="AR14" s="63">
        <f t="shared" si="28"/>
        <v>24.23957561873992</v>
      </c>
      <c r="AS14" s="63">
        <f t="shared" si="44"/>
        <v>1.6681941604001047</v>
      </c>
      <c r="AT14" s="10"/>
      <c r="AU14">
        <f t="shared" si="45"/>
        <v>73.15289165029597</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
      <c r="A15" s="33" t="s">
        <v>156</v>
      </c>
      <c r="B15" s="5">
        <f>Ta</f>
        <v>25</v>
      </c>
      <c r="C15" s="416" t="s">
        <v>711</v>
      </c>
      <c r="D15" s="31" t="s">
        <v>175</v>
      </c>
      <c r="G15">
        <v>6</v>
      </c>
      <c r="H15">
        <f t="shared" si="0"/>
        <v>0.44999999999999996</v>
      </c>
      <c r="I15" s="406">
        <f t="shared" si="1"/>
        <v>0.50034701163583162</v>
      </c>
      <c r="J15" s="407">
        <f t="shared" si="2"/>
        <v>2.1443443355821357</v>
      </c>
      <c r="K15" s="407">
        <f t="shared" si="31"/>
        <v>1.5221721677910678</v>
      </c>
      <c r="L15" s="407">
        <f t="shared" si="32"/>
        <v>-0.62217216779106788</v>
      </c>
      <c r="M15" s="63">
        <f t="shared" si="3"/>
        <v>19.173256326381139</v>
      </c>
      <c r="N15" s="406">
        <f t="shared" si="4"/>
        <v>0.76530019325442866</v>
      </c>
      <c r="O15" s="406">
        <f t="shared" si="5"/>
        <v>3.5150945080362115E-3</v>
      </c>
      <c r="P15">
        <f t="shared" si="6"/>
        <v>0.2</v>
      </c>
      <c r="Q15" s="406">
        <f t="shared" si="34"/>
        <v>0.20351509450803623</v>
      </c>
      <c r="R15" s="9">
        <f t="shared" si="39"/>
        <v>0.61901888969179764</v>
      </c>
      <c r="S15" s="9">
        <f t="shared" si="7"/>
        <v>3.8318438579526591E-4</v>
      </c>
      <c r="T15" s="9">
        <f t="shared" si="40"/>
        <v>3.8318438579526591E-4</v>
      </c>
      <c r="U15" s="406">
        <f t="shared" si="8"/>
        <v>0.54133670870764783</v>
      </c>
      <c r="V15" s="408">
        <f t="shared" si="9"/>
        <v>5.8609086438885752E-4</v>
      </c>
      <c r="W15" s="406">
        <f t="shared" si="41"/>
        <v>5.8609086438885752E-4</v>
      </c>
      <c r="X15" s="406">
        <f t="shared" si="10"/>
        <v>0.54133670870764783</v>
      </c>
      <c r="Y15" s="406">
        <f t="shared" si="11"/>
        <v>1.5238362474110295E-2</v>
      </c>
      <c r="Z15" s="406">
        <f t="shared" si="12"/>
        <v>6.1373981805335862E-2</v>
      </c>
      <c r="AA15" s="406">
        <f t="shared" si="13"/>
        <v>0.36421918943671111</v>
      </c>
      <c r="AB15" s="406">
        <f t="shared" si="14"/>
        <v>1.493213202698563E-2</v>
      </c>
      <c r="AC15" s="406">
        <f t="shared" si="15"/>
        <v>0.45729672546051692</v>
      </c>
      <c r="AD15" s="406">
        <f t="shared" si="16"/>
        <v>0.54096113871593132</v>
      </c>
      <c r="AE15" s="406">
        <f t="shared" si="17"/>
        <v>2.9263895360083711E-3</v>
      </c>
      <c r="AF15" s="406">
        <f t="shared" si="18"/>
        <v>4.1098648530358828E-2</v>
      </c>
      <c r="AG15" s="406">
        <f t="shared" si="19"/>
        <v>4.4045661228307213E-2</v>
      </c>
      <c r="AH15" s="406">
        <f t="shared" si="20"/>
        <v>0</v>
      </c>
      <c r="AI15">
        <f t="shared" si="21"/>
        <v>0</v>
      </c>
      <c r="AJ15" s="407">
        <f t="shared" si="22"/>
        <v>2.3988299999999998</v>
      </c>
      <c r="AK15">
        <f t="shared" si="23"/>
        <v>9.6000000000000002E-2</v>
      </c>
      <c r="AL15" s="407">
        <f t="shared" si="24"/>
        <v>0.1215</v>
      </c>
      <c r="AM15" s="407">
        <f t="shared" si="25"/>
        <v>0.70770810810810814</v>
      </c>
      <c r="AN15" s="407">
        <f t="shared" si="42"/>
        <v>0.2175</v>
      </c>
      <c r="AO15" s="407">
        <f t="shared" si="26"/>
        <v>3.3221567564470442</v>
      </c>
      <c r="AP15">
        <f t="shared" si="27"/>
        <v>10.799999999999999</v>
      </c>
      <c r="AQ15" s="10">
        <f t="shared" si="43"/>
        <v>0.76475570879565435</v>
      </c>
      <c r="AR15" s="63">
        <f t="shared" si="28"/>
        <v>25.151319900328431</v>
      </c>
      <c r="AS15" s="63">
        <f t="shared" si="44"/>
        <v>1.7618264491322886</v>
      </c>
      <c r="AT15" s="10"/>
      <c r="AU15">
        <f t="shared" si="45"/>
        <v>76.475570879565439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
      <c r="A16" s="405" t="s">
        <v>610</v>
      </c>
      <c r="B16" s="5">
        <v>7.5</v>
      </c>
      <c r="C16" s="416" t="s">
        <v>0</v>
      </c>
      <c r="D16" s="416" t="s">
        <v>615</v>
      </c>
      <c r="G16">
        <v>7</v>
      </c>
      <c r="H16">
        <f t="shared" si="0"/>
        <v>0.52500000000000002</v>
      </c>
      <c r="I16" s="406">
        <f t="shared" si="1"/>
        <v>0.50040487348875895</v>
      </c>
      <c r="J16" s="407">
        <f t="shared" si="2"/>
        <v>2.144592314951824</v>
      </c>
      <c r="K16" s="407">
        <f t="shared" si="31"/>
        <v>1.5972961574759119</v>
      </c>
      <c r="L16" s="407">
        <f t="shared" si="32"/>
        <v>-0.54729615747591198</v>
      </c>
      <c r="M16" s="63">
        <f t="shared" si="3"/>
        <v>16.865829198025025</v>
      </c>
      <c r="N16" s="406">
        <f t="shared" si="4"/>
        <v>0.81172533313052919</v>
      </c>
      <c r="O16" s="406">
        <f t="shared" si="5"/>
        <v>3.9546388364440563E-3</v>
      </c>
      <c r="P16">
        <f t="shared" si="6"/>
        <v>0.2</v>
      </c>
      <c r="Q16" s="406">
        <f t="shared" si="34"/>
        <v>0.20395463883644407</v>
      </c>
      <c r="R16" s="9">
        <f t="shared" si="39"/>
        <v>0.61909047516971916</v>
      </c>
      <c r="S16" s="9">
        <f t="shared" si="7"/>
        <v>3.8327301644586865E-4</v>
      </c>
      <c r="T16" s="9">
        <f t="shared" si="40"/>
        <v>3.8327301644586865E-4</v>
      </c>
      <c r="U16" s="406">
        <f t="shared" si="8"/>
        <v>0.57420882835566811</v>
      </c>
      <c r="V16" s="408">
        <f t="shared" si="9"/>
        <v>6.5943155712317825E-4</v>
      </c>
      <c r="W16" s="406">
        <f t="shared" si="41"/>
        <v>6.5943155712317825E-4</v>
      </c>
      <c r="X16" s="406">
        <f t="shared" si="10"/>
        <v>0.57420882835566811</v>
      </c>
      <c r="Y16" s="406">
        <f t="shared" si="11"/>
        <v>1.7145220485202634E-2</v>
      </c>
      <c r="Z16" s="406">
        <f t="shared" si="12"/>
        <v>6.440298106942878E-2</v>
      </c>
      <c r="AA16" s="406">
        <f t="shared" si="13"/>
        <v>0.37501791690446573</v>
      </c>
      <c r="AB16" s="406">
        <f t="shared" si="14"/>
        <v>1.3135107779421886E-2</v>
      </c>
      <c r="AC16" s="406">
        <f t="shared" si="15"/>
        <v>0.47147962309882713</v>
      </c>
      <c r="AD16" s="406">
        <f t="shared" si="16"/>
        <v>0.57374405259164085</v>
      </c>
      <c r="AE16" s="406">
        <f t="shared" si="17"/>
        <v>3.2918223788427955E-3</v>
      </c>
      <c r="AF16" s="406">
        <f t="shared" si="18"/>
        <v>4.3126996251849618E-2</v>
      </c>
      <c r="AG16" s="406">
        <f t="shared" si="19"/>
        <v>4.6443279915199885E-2</v>
      </c>
      <c r="AH16" s="406">
        <f t="shared" si="20"/>
        <v>0</v>
      </c>
      <c r="AI16">
        <f t="shared" si="21"/>
        <v>0</v>
      </c>
      <c r="AJ16" s="407">
        <f t="shared" si="22"/>
        <v>2.3986350000000001</v>
      </c>
      <c r="AK16">
        <f t="shared" si="23"/>
        <v>9.6000000000000002E-2</v>
      </c>
      <c r="AL16" s="407">
        <f t="shared" si="24"/>
        <v>0.1215</v>
      </c>
      <c r="AM16" s="407">
        <f t="shared" si="25"/>
        <v>0.70770810810810814</v>
      </c>
      <c r="AN16" s="407">
        <f t="shared" si="42"/>
        <v>0.2175</v>
      </c>
      <c r="AO16" s="407">
        <f t="shared" si="26"/>
        <v>3.3390552464240399</v>
      </c>
      <c r="AP16">
        <f t="shared" si="27"/>
        <v>12.600000000000001</v>
      </c>
      <c r="AQ16" s="10">
        <f t="shared" si="43"/>
        <v>0.79051109398888841</v>
      </c>
      <c r="AR16" s="63">
        <f t="shared" si="28"/>
        <v>25.931379270435492</v>
      </c>
      <c r="AS16" s="63">
        <f t="shared" si="44"/>
        <v>1.8577311966079955</v>
      </c>
      <c r="AT16" s="10"/>
      <c r="AU16">
        <f t="shared" si="45"/>
        <v>79.05110939888884</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
      <c r="A17" s="34" t="s">
        <v>128</v>
      </c>
      <c r="B17" s="26" t="s">
        <v>201</v>
      </c>
      <c r="C17" s="34" t="s">
        <v>148</v>
      </c>
      <c r="D17" s="27" t="s">
        <v>188</v>
      </c>
      <c r="G17">
        <v>8</v>
      </c>
      <c r="H17">
        <f t="shared" si="0"/>
        <v>0.6</v>
      </c>
      <c r="I17" s="406">
        <f t="shared" si="1"/>
        <v>0.50046274294004345</v>
      </c>
      <c r="J17" s="407">
        <f t="shared" si="2"/>
        <v>2.1448403268859004</v>
      </c>
      <c r="K17" s="407">
        <f t="shared" si="31"/>
        <v>1.6724201634429501</v>
      </c>
      <c r="L17" s="407">
        <f t="shared" si="32"/>
        <v>-0.47242016344295024</v>
      </c>
      <c r="M17" s="63">
        <f t="shared" si="3"/>
        <v>14.558402571431442</v>
      </c>
      <c r="N17" s="406">
        <f t="shared" si="4"/>
        <v>0.86218424306312558</v>
      </c>
      <c r="O17" s="406">
        <f t="shared" si="5"/>
        <v>4.4617620312957067E-3</v>
      </c>
      <c r="P17">
        <f t="shared" si="6"/>
        <v>0.2</v>
      </c>
      <c r="Q17" s="406">
        <f t="shared" si="34"/>
        <v>0.20446176203129571</v>
      </c>
      <c r="R17" s="9">
        <f t="shared" si="39"/>
        <v>0.61916207004816981</v>
      </c>
      <c r="S17" s="9">
        <f t="shared" si="7"/>
        <v>3.8336166898633473E-4</v>
      </c>
      <c r="T17" s="9">
        <f t="shared" si="40"/>
        <v>3.8336166898633473E-4</v>
      </c>
      <c r="U17" s="406">
        <f t="shared" si="8"/>
        <v>0.60993837381934723</v>
      </c>
      <c r="V17" s="408">
        <f t="shared" si="9"/>
        <v>7.4404963971477962E-4</v>
      </c>
      <c r="W17" s="406">
        <f t="shared" si="41"/>
        <v>7.4404963971477962E-4</v>
      </c>
      <c r="X17" s="406">
        <f t="shared" si="10"/>
        <v>0.60993837381934723</v>
      </c>
      <c r="Y17" s="406">
        <f t="shared" si="11"/>
        <v>1.9345290632584267E-2</v>
      </c>
      <c r="Z17" s="406">
        <f t="shared" si="12"/>
        <v>6.7431980990019749E-2</v>
      </c>
      <c r="AA17" s="406">
        <f t="shared" si="13"/>
        <v>0.38309596651560096</v>
      </c>
      <c r="AB17" s="406">
        <f t="shared" si="14"/>
        <v>1.1338083922630806E-2</v>
      </c>
      <c r="AC17" s="406">
        <f t="shared" si="15"/>
        <v>0.4832680936403197</v>
      </c>
      <c r="AD17" s="406">
        <f t="shared" si="16"/>
        <v>0.60937414543853519</v>
      </c>
      <c r="AE17" s="406">
        <f t="shared" si="17"/>
        <v>3.7133684912894504E-3</v>
      </c>
      <c r="AF17" s="406">
        <f t="shared" si="18"/>
        <v>4.5155344412959653E-2</v>
      </c>
      <c r="AG17" s="406">
        <f t="shared" si="19"/>
        <v>4.8897764971407388E-2</v>
      </c>
      <c r="AH17" s="406">
        <f t="shared" si="20"/>
        <v>0</v>
      </c>
      <c r="AI17">
        <f t="shared" si="21"/>
        <v>0</v>
      </c>
      <c r="AJ17" s="407">
        <f t="shared" si="22"/>
        <v>2.3984399999999999</v>
      </c>
      <c r="AK17">
        <f t="shared" si="23"/>
        <v>9.6000000000000002E-2</v>
      </c>
      <c r="AL17" s="407">
        <f t="shared" si="24"/>
        <v>0.1215</v>
      </c>
      <c r="AM17" s="407">
        <f t="shared" si="25"/>
        <v>0.70770810810810814</v>
      </c>
      <c r="AN17" s="407">
        <f t="shared" si="42"/>
        <v>0.2175</v>
      </c>
      <c r="AO17" s="407">
        <f t="shared" si="26"/>
        <v>3.3536950319517236</v>
      </c>
      <c r="AP17">
        <f t="shared" si="27"/>
        <v>14.399999999999999</v>
      </c>
      <c r="AQ17" s="10">
        <f t="shared" si="43"/>
        <v>0.8110987585448548</v>
      </c>
      <c r="AR17" s="63">
        <f t="shared" si="28"/>
        <v>26.579745150217583</v>
      </c>
      <c r="AS17" s="63">
        <f t="shared" si="44"/>
        <v>1.9559105988562955</v>
      </c>
      <c r="AT17" s="10"/>
      <c r="AU17">
        <f t="shared" si="45"/>
        <v>81.10987585448548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
      <c r="A18" s="45" t="s">
        <v>126</v>
      </c>
      <c r="B18" s="48">
        <f>Lout2*1000000</f>
        <v>5.6</v>
      </c>
      <c r="C18" s="418" t="s">
        <v>11</v>
      </c>
      <c r="D18" s="31" t="s">
        <v>190</v>
      </c>
      <c r="G18">
        <v>9</v>
      </c>
      <c r="H18">
        <f t="shared" si="0"/>
        <v>0.67499999999999993</v>
      </c>
      <c r="I18" s="406">
        <f t="shared" si="1"/>
        <v>0.50052061999118236</v>
      </c>
      <c r="J18" s="407">
        <f t="shared" si="2"/>
        <v>2.145088371390782</v>
      </c>
      <c r="K18" s="407">
        <f t="shared" si="31"/>
        <v>1.7475441856953911</v>
      </c>
      <c r="L18" s="407">
        <f t="shared" si="32"/>
        <v>-0.39754418569539107</v>
      </c>
      <c r="M18" s="63">
        <f t="shared" si="3"/>
        <v>12.250976446699264</v>
      </c>
      <c r="N18" s="406">
        <f t="shared" si="4"/>
        <v>0.91601055857615332</v>
      </c>
      <c r="O18" s="406">
        <f t="shared" si="5"/>
        <v>5.0364805341222086E-3</v>
      </c>
      <c r="P18">
        <f t="shared" si="6"/>
        <v>0.2</v>
      </c>
      <c r="Q18" s="406">
        <f t="shared" si="34"/>
        <v>0.20503648053412221</v>
      </c>
      <c r="R18" s="9">
        <f t="shared" si="39"/>
        <v>0.619233674329002</v>
      </c>
      <c r="S18" s="9">
        <f t="shared" si="7"/>
        <v>3.834503434229965E-4</v>
      </c>
      <c r="T18" s="9">
        <f t="shared" si="40"/>
        <v>3.834503434229965E-4</v>
      </c>
      <c r="U18" s="406">
        <f t="shared" si="8"/>
        <v>0.64805440443638096</v>
      </c>
      <c r="V18" s="408">
        <f t="shared" si="9"/>
        <v>8.3994902221878485E-4</v>
      </c>
      <c r="W18" s="406">
        <f t="shared" si="41"/>
        <v>8.3994902221878485E-4</v>
      </c>
      <c r="X18" s="406">
        <f t="shared" si="10"/>
        <v>0.64805440443638096</v>
      </c>
      <c r="Y18" s="406">
        <f t="shared" si="11"/>
        <v>2.1838674577688406E-2</v>
      </c>
      <c r="Z18" s="406">
        <f t="shared" si="12"/>
        <v>7.0460981567238179E-2</v>
      </c>
      <c r="AA18" s="406">
        <f t="shared" si="13"/>
        <v>0.38845334004482263</v>
      </c>
      <c r="AB18" s="406">
        <f t="shared" si="14"/>
        <v>9.5410604566893865E-3</v>
      </c>
      <c r="AC18" s="406">
        <f t="shared" si="15"/>
        <v>0.49266105080688682</v>
      </c>
      <c r="AD18" s="406">
        <f t="shared" si="16"/>
        <v>0.64737997521826696</v>
      </c>
      <c r="AE18" s="406">
        <f t="shared" si="17"/>
        <v>4.19100832313604E-3</v>
      </c>
      <c r="AF18" s="406">
        <f t="shared" si="18"/>
        <v>4.7183693013775556E-2</v>
      </c>
      <c r="AG18" s="406">
        <f t="shared" si="19"/>
        <v>5.14091743413196E-2</v>
      </c>
      <c r="AH18" s="406">
        <f t="shared" si="20"/>
        <v>0</v>
      </c>
      <c r="AI18">
        <f t="shared" si="21"/>
        <v>0</v>
      </c>
      <c r="AJ18" s="407">
        <f t="shared" si="22"/>
        <v>2.3982449999999997</v>
      </c>
      <c r="AK18">
        <f t="shared" si="23"/>
        <v>9.6000000000000002E-2</v>
      </c>
      <c r="AL18" s="407">
        <f t="shared" si="24"/>
        <v>0.1215</v>
      </c>
      <c r="AM18" s="407">
        <f t="shared" si="25"/>
        <v>0.70770810810810814</v>
      </c>
      <c r="AN18" s="407">
        <f t="shared" si="42"/>
        <v>0.2175</v>
      </c>
      <c r="AO18" s="407">
        <f t="shared" si="26"/>
        <v>3.3660751050479703</v>
      </c>
      <c r="AP18">
        <f t="shared" si="27"/>
        <v>16.2</v>
      </c>
      <c r="AQ18" s="10">
        <f t="shared" si="43"/>
        <v>0.82796370314557699</v>
      </c>
      <c r="AR18" s="63">
        <f t="shared" si="28"/>
        <v>27.096357794378775</v>
      </c>
      <c r="AS18" s="63">
        <f t="shared" si="44"/>
        <v>2.0563669736527839</v>
      </c>
      <c r="AT18" s="10"/>
      <c r="AU18">
        <f t="shared" si="45"/>
        <v>82.796370314557706</v>
      </c>
      <c r="BC18" t="s">
        <v>233</v>
      </c>
      <c r="BE18" s="28"/>
      <c r="BF18" s="29"/>
    </row>
    <row r="19" spans="1:69" x14ac:dyDescent="0.2">
      <c r="A19" s="45" t="s">
        <v>12</v>
      </c>
      <c r="B19" s="49">
        <f>Rdcr*1000</f>
        <v>6</v>
      </c>
      <c r="C19" s="416" t="s">
        <v>613</v>
      </c>
      <c r="D19" s="31" t="s">
        <v>191</v>
      </c>
      <c r="G19">
        <v>10</v>
      </c>
      <c r="H19">
        <f t="shared" si="0"/>
        <v>0.75</v>
      </c>
      <c r="I19" s="406">
        <f t="shared" si="1"/>
        <v>0.50057850464367248</v>
      </c>
      <c r="J19" s="407">
        <f t="shared" si="2"/>
        <v>2.1453364484728819</v>
      </c>
      <c r="K19" s="407">
        <f t="shared" si="31"/>
        <v>1.8226682242364409</v>
      </c>
      <c r="L19" s="407">
        <f t="shared" si="32"/>
        <v>-0.32266822423644093</v>
      </c>
      <c r="M19" s="63">
        <f t="shared" si="3"/>
        <v>9.9435508239273034</v>
      </c>
      <c r="N19" s="406">
        <f t="shared" si="4"/>
        <v>0.97264538232707731</v>
      </c>
      <c r="O19" s="406">
        <f t="shared" si="5"/>
        <v>5.6788129803870165E-3</v>
      </c>
      <c r="P19">
        <f t="shared" si="6"/>
        <v>0.2</v>
      </c>
      <c r="Q19" s="406">
        <f t="shared" si="34"/>
        <v>0.20567881298038704</v>
      </c>
      <c r="R19" s="9">
        <f t="shared" si="39"/>
        <v>0.61930528801406703</v>
      </c>
      <c r="S19" s="9">
        <f t="shared" si="7"/>
        <v>3.8353903976218651E-4</v>
      </c>
      <c r="T19" s="9">
        <f t="shared" si="40"/>
        <v>3.8353903976218651E-4</v>
      </c>
      <c r="U19" s="406">
        <f t="shared" si="8"/>
        <v>0.688161905265535</v>
      </c>
      <c r="V19" s="408">
        <f t="shared" si="9"/>
        <v>9.4713361571738231E-4</v>
      </c>
      <c r="W19" s="406">
        <f t="shared" si="41"/>
        <v>9.4713361571738231E-4</v>
      </c>
      <c r="X19" s="406">
        <f t="shared" si="10"/>
        <v>0.688161905265535</v>
      </c>
      <c r="Y19" s="406">
        <f t="shared" si="11"/>
        <v>2.4625474008651938E-2</v>
      </c>
      <c r="Z19" s="406">
        <f t="shared" si="12"/>
        <v>7.3489982801213299E-2</v>
      </c>
      <c r="AA19" s="406">
        <f t="shared" si="13"/>
        <v>0.39109003926730246</v>
      </c>
      <c r="AB19" s="406">
        <f t="shared" si="14"/>
        <v>7.7440373816745813E-3</v>
      </c>
      <c r="AC19" s="406">
        <f t="shared" si="15"/>
        <v>0.49965647451465361</v>
      </c>
      <c r="AD19" s="406">
        <f t="shared" si="16"/>
        <v>0.68736615562849424</v>
      </c>
      <c r="AE19" s="406">
        <f t="shared" si="17"/>
        <v>4.7247223190349536E-3</v>
      </c>
      <c r="AF19" s="406">
        <f t="shared" si="18"/>
        <v>4.9212042054383905E-2</v>
      </c>
      <c r="AG19" s="406">
        <f t="shared" si="19"/>
        <v>5.3977569017429082E-2</v>
      </c>
      <c r="AH19" s="406">
        <f t="shared" si="20"/>
        <v>0</v>
      </c>
      <c r="AI19">
        <f t="shared" si="21"/>
        <v>0</v>
      </c>
      <c r="AJ19" s="407">
        <f t="shared" si="22"/>
        <v>2.3980499999999996</v>
      </c>
      <c r="AK19">
        <f t="shared" si="23"/>
        <v>9.6000000000000002E-2</v>
      </c>
      <c r="AL19" s="407">
        <f t="shared" si="24"/>
        <v>0.1215</v>
      </c>
      <c r="AM19" s="407">
        <f t="shared" si="25"/>
        <v>0.70770810810810814</v>
      </c>
      <c r="AN19" s="407">
        <f t="shared" si="42"/>
        <v>0.2175</v>
      </c>
      <c r="AO19" s="407">
        <f t="shared" si="26"/>
        <v>3.3761935291679483</v>
      </c>
      <c r="AP19">
        <f t="shared" si="27"/>
        <v>18</v>
      </c>
      <c r="AQ19" s="10">
        <f t="shared" si="43"/>
        <v>0.84205824462801981</v>
      </c>
      <c r="AR19" s="63">
        <f t="shared" si="28"/>
        <v>27.481106098305951</v>
      </c>
      <c r="AS19" s="63">
        <f t="shared" si="44"/>
        <v>2.1591027606971633</v>
      </c>
      <c r="AT19" s="10"/>
      <c r="AU19">
        <f t="shared" si="45"/>
        <v>84.205824462801985</v>
      </c>
      <c r="BC19" t="s">
        <v>234</v>
      </c>
      <c r="BE19" s="28"/>
      <c r="BF19" s="29"/>
    </row>
    <row r="20" spans="1:69" x14ac:dyDescent="0.2">
      <c r="A20" s="45" t="s">
        <v>155</v>
      </c>
      <c r="B20" s="49">
        <f>Ltc*1000000</f>
        <v>4000</v>
      </c>
      <c r="C20" s="418" t="s">
        <v>154</v>
      </c>
      <c r="D20" s="31" t="s">
        <v>176</v>
      </c>
      <c r="G20">
        <v>11</v>
      </c>
      <c r="H20">
        <f t="shared" si="0"/>
        <v>0.82499999999999996</v>
      </c>
      <c r="I20" s="406">
        <f t="shared" si="1"/>
        <v>0.50063639689901152</v>
      </c>
      <c r="J20" s="407">
        <f t="shared" si="2"/>
        <v>2.145584558138621</v>
      </c>
      <c r="K20" s="407">
        <f t="shared" si="31"/>
        <v>1.8977922790693105</v>
      </c>
      <c r="L20" s="407">
        <f t="shared" si="32"/>
        <v>-0.24779227906931056</v>
      </c>
      <c r="M20" s="63">
        <f t="shared" si="3"/>
        <v>7.6361257032145025</v>
      </c>
      <c r="N20" s="406">
        <f t="shared" si="4"/>
        <v>1.0316262685731892</v>
      </c>
      <c r="O20" s="406">
        <f t="shared" si="5"/>
        <v>6.3887802009970828E-3</v>
      </c>
      <c r="P20">
        <f t="shared" si="6"/>
        <v>0.2</v>
      </c>
      <c r="Q20" s="406">
        <f t="shared" si="34"/>
        <v>0.2063887802009971</v>
      </c>
      <c r="R20" s="9">
        <f t="shared" si="39"/>
        <v>0.61937691110521864</v>
      </c>
      <c r="S20" s="9">
        <f t="shared" si="7"/>
        <v>3.8362775801024191E-4</v>
      </c>
      <c r="T20" s="9">
        <f t="shared" si="40"/>
        <v>3.8362775801024191E-4</v>
      </c>
      <c r="U20" s="406">
        <f t="shared" si="8"/>
        <v>0.72993401493565369</v>
      </c>
      <c r="V20" s="408">
        <f t="shared" si="9"/>
        <v>1.0656073323201663E-3</v>
      </c>
      <c r="W20" s="406">
        <f t="shared" si="41"/>
        <v>1.0656073323201663E-3</v>
      </c>
      <c r="X20" s="406">
        <f t="shared" si="10"/>
        <v>0.72993401493565369</v>
      </c>
      <c r="Y20" s="406">
        <f t="shared" si="11"/>
        <v>2.7705790640324322E-2</v>
      </c>
      <c r="Z20" s="406">
        <f t="shared" si="12"/>
        <v>7.6518984692074604E-2</v>
      </c>
      <c r="AA20" s="406">
        <f t="shared" si="13"/>
        <v>0.39100606595867782</v>
      </c>
      <c r="AB20" s="406">
        <f t="shared" si="14"/>
        <v>5.9470146976634535E-3</v>
      </c>
      <c r="AC20" s="406">
        <f t="shared" si="15"/>
        <v>0.50425140644609889</v>
      </c>
      <c r="AD20" s="406">
        <f t="shared" si="16"/>
        <v>0.72900554994468925</v>
      </c>
      <c r="AE20" s="406">
        <f t="shared" si="17"/>
        <v>5.314490918501588E-3</v>
      </c>
      <c r="AF20" s="406">
        <f t="shared" si="18"/>
        <v>5.124039153487138E-2</v>
      </c>
      <c r="AG20" s="406">
        <f t="shared" si="19"/>
        <v>5.6603013045179118E-2</v>
      </c>
      <c r="AH20" s="406">
        <f t="shared" si="20"/>
        <v>0</v>
      </c>
      <c r="AI20">
        <f t="shared" si="21"/>
        <v>0</v>
      </c>
      <c r="AJ20" s="407">
        <f t="shared" si="22"/>
        <v>2.3978549999999998</v>
      </c>
      <c r="AK20">
        <f t="shared" si="23"/>
        <v>9.6000000000000002E-2</v>
      </c>
      <c r="AL20" s="407">
        <f t="shared" si="24"/>
        <v>0.1215</v>
      </c>
      <c r="AM20" s="407">
        <f t="shared" si="25"/>
        <v>0.70770810810810814</v>
      </c>
      <c r="AN20" s="407">
        <f t="shared" si="42"/>
        <v>0.2175</v>
      </c>
      <c r="AO20" s="407">
        <f t="shared" si="26"/>
        <v>3.3840474347826053</v>
      </c>
      <c r="AP20">
        <f t="shared" si="27"/>
        <v>19.799999999999997</v>
      </c>
      <c r="AQ20" s="10">
        <f t="shared" si="43"/>
        <v>0.85403551971233549</v>
      </c>
      <c r="AR20" s="63">
        <f t="shared" si="28"/>
        <v>27.733827354535439</v>
      </c>
      <c r="AS20" s="63">
        <f t="shared" si="44"/>
        <v>2.2641205218071647</v>
      </c>
      <c r="AT20" s="10"/>
      <c r="AU20">
        <f t="shared" si="45"/>
        <v>85.403551971233554</v>
      </c>
      <c r="BE20" s="28"/>
      <c r="BF20" s="29"/>
    </row>
    <row r="21" spans="1:69" x14ac:dyDescent="0.2">
      <c r="A21" s="35" t="s">
        <v>250</v>
      </c>
      <c r="B21" s="49">
        <f>ThetaCa</f>
        <v>20</v>
      </c>
      <c r="C21" s="418" t="s">
        <v>712</v>
      </c>
      <c r="D21" s="36" t="s">
        <v>251</v>
      </c>
      <c r="G21">
        <v>12</v>
      </c>
      <c r="H21">
        <f t="shared" si="0"/>
        <v>0.89999999999999991</v>
      </c>
      <c r="I21" s="406">
        <f t="shared" si="1"/>
        <v>0.50069429675869748</v>
      </c>
      <c r="J21" s="407">
        <f t="shared" si="2"/>
        <v>2.145832700394418</v>
      </c>
      <c r="K21" s="407">
        <f t="shared" si="31"/>
        <v>1.9729163501972089</v>
      </c>
      <c r="L21" s="407">
        <f t="shared" si="32"/>
        <v>-0.17291635019720908</v>
      </c>
      <c r="M21" s="63">
        <f t="shared" si="3"/>
        <v>5.3287010846597562</v>
      </c>
      <c r="N21" s="406">
        <f t="shared" si="4"/>
        <v>1.0925733376636553</v>
      </c>
      <c r="O21" s="406">
        <f t="shared" si="5"/>
        <v>7.1664052239922673E-3</v>
      </c>
      <c r="P21">
        <f t="shared" si="6"/>
        <v>0.2</v>
      </c>
      <c r="Q21" s="406">
        <f t="shared" si="34"/>
        <v>0.20716640522399227</v>
      </c>
      <c r="R21" s="9">
        <f t="shared" si="39"/>
        <v>0.61944854360430945</v>
      </c>
      <c r="S21" s="9">
        <f t="shared" si="7"/>
        <v>3.8371649817350005E-4</v>
      </c>
      <c r="T21" s="9">
        <f t="shared" si="40"/>
        <v>3.8371649817350005E-4</v>
      </c>
      <c r="U21" s="406">
        <f t="shared" si="8"/>
        <v>0.77310222000860618</v>
      </c>
      <c r="V21" s="408">
        <f t="shared" si="9"/>
        <v>1.1953740851644704E-3</v>
      </c>
      <c r="W21" s="406">
        <f t="shared" si="41"/>
        <v>1.1953740851644704E-3</v>
      </c>
      <c r="X21" s="406">
        <f t="shared" si="10"/>
        <v>0.77310222000860618</v>
      </c>
      <c r="Y21" s="406">
        <f t="shared" si="11"/>
        <v>3.1079726214276231E-2</v>
      </c>
      <c r="Z21" s="406">
        <f t="shared" si="12"/>
        <v>7.9547987239951476E-2</v>
      </c>
      <c r="AA21" s="406">
        <f t="shared" si="13"/>
        <v>0.38820142189505297</v>
      </c>
      <c r="AB21" s="406">
        <f t="shared" si="14"/>
        <v>4.1499924047330179E-3</v>
      </c>
      <c r="AC21" s="406">
        <f t="shared" si="15"/>
        <v>0.50644194469058357</v>
      </c>
      <c r="AD21" s="406">
        <f t="shared" si="16"/>
        <v>0.77202943958845527</v>
      </c>
      <c r="AE21" s="406">
        <f t="shared" si="17"/>
        <v>5.9602945559126428E-3</v>
      </c>
      <c r="AF21" s="406">
        <f t="shared" si="18"/>
        <v>5.326874145532464E-2</v>
      </c>
      <c r="AG21" s="406">
        <f t="shared" si="19"/>
        <v>5.9285573528220392E-2</v>
      </c>
      <c r="AH21" s="406">
        <f t="shared" si="20"/>
        <v>0</v>
      </c>
      <c r="AI21">
        <f t="shared" si="21"/>
        <v>0</v>
      </c>
      <c r="AJ21" s="407">
        <f t="shared" si="22"/>
        <v>2.3976600000000001</v>
      </c>
      <c r="AK21">
        <f t="shared" si="23"/>
        <v>9.6000000000000002E-2</v>
      </c>
      <c r="AL21" s="407">
        <f t="shared" si="24"/>
        <v>0.1215</v>
      </c>
      <c r="AM21" s="407">
        <f t="shared" si="25"/>
        <v>0.70770810810810814</v>
      </c>
      <c r="AN21" s="407">
        <f t="shared" si="42"/>
        <v>0.2175</v>
      </c>
      <c r="AO21" s="407">
        <f t="shared" si="26"/>
        <v>3.3896330140261344</v>
      </c>
      <c r="AP21">
        <f t="shared" si="27"/>
        <v>21.599999999999998</v>
      </c>
      <c r="AQ21" s="10">
        <f t="shared" si="43"/>
        <v>0.86435843166950033</v>
      </c>
      <c r="AR21" s="63">
        <f t="shared" si="28"/>
        <v>27.854306957982097</v>
      </c>
      <c r="AS21" s="63">
        <f t="shared" si="44"/>
        <v>2.3714229411288157</v>
      </c>
      <c r="AT21" s="10"/>
      <c r="AU21">
        <f t="shared" si="45"/>
        <v>86.435843166950036</v>
      </c>
      <c r="BE21" s="28"/>
      <c r="BF21" s="29"/>
    </row>
    <row r="22" spans="1:69" x14ac:dyDescent="0.2">
      <c r="A22" s="46" t="s">
        <v>127</v>
      </c>
      <c r="B22" s="49">
        <f>Cin*1000000</f>
        <v>20</v>
      </c>
      <c r="C22" s="419" t="s">
        <v>30</v>
      </c>
      <c r="D22" s="31" t="s">
        <v>177</v>
      </c>
      <c r="G22">
        <v>13</v>
      </c>
      <c r="H22">
        <f t="shared" si="0"/>
        <v>0.97500000000000009</v>
      </c>
      <c r="I22" s="406">
        <f t="shared" si="1"/>
        <v>0.50075220422422884</v>
      </c>
      <c r="J22" s="407">
        <f t="shared" si="2"/>
        <v>2.1460808752466951</v>
      </c>
      <c r="K22" s="407">
        <f t="shared" si="31"/>
        <v>2.0480404376233476</v>
      </c>
      <c r="L22" s="407">
        <f t="shared" si="32"/>
        <v>-9.8040437623347465E-2</v>
      </c>
      <c r="M22" s="63">
        <f t="shared" si="3"/>
        <v>3.021276968362018</v>
      </c>
      <c r="N22" s="406">
        <f t="shared" si="4"/>
        <v>1.1551754240193572</v>
      </c>
      <c r="O22" s="406">
        <f t="shared" si="5"/>
        <v>8.0117132764134392E-3</v>
      </c>
      <c r="P22">
        <f t="shared" si="6"/>
        <v>0.2</v>
      </c>
      <c r="Q22" s="406">
        <f t="shared" si="34"/>
        <v>0.20801171327641346</v>
      </c>
      <c r="R22" s="9">
        <f t="shared" si="39"/>
        <v>0.61952018551319354</v>
      </c>
      <c r="S22" s="9">
        <f t="shared" si="7"/>
        <v>3.8380526025830176E-4</v>
      </c>
      <c r="T22" s="9">
        <f t="shared" si="40"/>
        <v>3.8380526025830176E-4</v>
      </c>
      <c r="U22" s="406">
        <f t="shared" si="8"/>
        <v>0.81744656963489415</v>
      </c>
      <c r="V22" s="408">
        <f t="shared" si="9"/>
        <v>1.3364377884157118E-3</v>
      </c>
      <c r="W22" s="406">
        <f t="shared" si="41"/>
        <v>1.3364377884157118E-3</v>
      </c>
      <c r="X22" s="406">
        <f t="shared" si="10"/>
        <v>0.81744656963489415</v>
      </c>
      <c r="Y22" s="406">
        <f t="shared" si="11"/>
        <v>3.4747382498808502E-2</v>
      </c>
      <c r="Z22" s="406">
        <f t="shared" si="12"/>
        <v>8.257699044497338E-2</v>
      </c>
      <c r="AA22" s="406">
        <f t="shared" si="13"/>
        <v>0.38267610885299713</v>
      </c>
      <c r="AB22" s="406">
        <f t="shared" si="14"/>
        <v>2.3529705029603394E-3</v>
      </c>
      <c r="AC22" s="406">
        <f t="shared" si="15"/>
        <v>0.50622323744119335</v>
      </c>
      <c r="AD22" s="406">
        <f t="shared" si="16"/>
        <v>0.81621771976014212</v>
      </c>
      <c r="AE22" s="406">
        <f t="shared" si="17"/>
        <v>6.66211366050446E-3</v>
      </c>
      <c r="AF22" s="406">
        <f t="shared" si="18"/>
        <v>5.5297091815830389E-2</v>
      </c>
      <c r="AG22" s="406">
        <f t="shared" si="19"/>
        <v>6.2025320634077799E-2</v>
      </c>
      <c r="AH22" s="406">
        <f t="shared" si="20"/>
        <v>0</v>
      </c>
      <c r="AI22">
        <f t="shared" si="21"/>
        <v>0</v>
      </c>
      <c r="AJ22" s="407">
        <f t="shared" si="22"/>
        <v>2.397465</v>
      </c>
      <c r="AK22">
        <f t="shared" si="23"/>
        <v>9.6000000000000002E-2</v>
      </c>
      <c r="AL22" s="407">
        <f t="shared" si="24"/>
        <v>0.1215</v>
      </c>
      <c r="AM22" s="407">
        <f t="shared" si="25"/>
        <v>0.70770810810810814</v>
      </c>
      <c r="AN22" s="407">
        <f t="shared" si="42"/>
        <v>0.2175</v>
      </c>
      <c r="AO22" s="407">
        <f t="shared" si="26"/>
        <v>3.3929455144003584</v>
      </c>
      <c r="AP22">
        <f t="shared" si="27"/>
        <v>23.400000000000002</v>
      </c>
      <c r="AQ22" s="10">
        <f t="shared" si="43"/>
        <v>0.87336422146729786</v>
      </c>
      <c r="AR22" s="63">
        <f t="shared" si="28"/>
        <v>27.842278059265634</v>
      </c>
      <c r="AS22" s="63">
        <f t="shared" si="44"/>
        <v>2.4810128253631119</v>
      </c>
      <c r="AT22" s="10"/>
      <c r="AU22">
        <f t="shared" si="45"/>
        <v>87.336422146729788</v>
      </c>
      <c r="BE22" s="28"/>
      <c r="BF22" s="29"/>
    </row>
    <row r="23" spans="1:69" x14ac:dyDescent="0.2">
      <c r="A23" s="46" t="s">
        <v>159</v>
      </c>
      <c r="B23" s="49">
        <f>RCinEsr*1000</f>
        <v>2</v>
      </c>
      <c r="C23" s="416" t="s">
        <v>613</v>
      </c>
      <c r="D23" s="31" t="s">
        <v>178</v>
      </c>
      <c r="G23">
        <v>14</v>
      </c>
      <c r="H23">
        <f t="shared" si="0"/>
        <v>1.05</v>
      </c>
      <c r="I23" s="406">
        <f t="shared" si="1"/>
        <v>0.50081011929710417</v>
      </c>
      <c r="J23" s="407">
        <f t="shared" si="2"/>
        <v>2.1463290827018753</v>
      </c>
      <c r="K23" s="407">
        <f t="shared" si="31"/>
        <v>2.1231645413509375</v>
      </c>
      <c r="L23" s="407">
        <f t="shared" si="32"/>
        <v>-2.3164541350937595E-2</v>
      </c>
      <c r="M23" s="63">
        <f t="shared" si="3"/>
        <v>0.71385335442026498</v>
      </c>
      <c r="N23" s="406">
        <f t="shared" si="4"/>
        <v>1.2191776098136766</v>
      </c>
      <c r="O23" s="406">
        <f t="shared" si="5"/>
        <v>8.9247317863494317E-3</v>
      </c>
      <c r="P23">
        <f t="shared" si="6"/>
        <v>0.2</v>
      </c>
      <c r="Q23" s="406">
        <f t="shared" si="34"/>
        <v>0.20892473178634943</v>
      </c>
      <c r="R23" s="9">
        <f t="shared" si="39"/>
        <v>0.61959183683372521</v>
      </c>
      <c r="S23" s="9">
        <f t="shared" si="7"/>
        <v>3.8389404427098956E-4</v>
      </c>
      <c r="T23" s="9">
        <f t="shared" si="40"/>
        <v>3.8389404427098956E-4</v>
      </c>
      <c r="U23" s="406">
        <f t="shared" si="8"/>
        <v>0.86278686744401678</v>
      </c>
      <c r="V23" s="408">
        <f t="shared" si="9"/>
        <v>1.4888023572677187E-3</v>
      </c>
      <c r="W23" s="406">
        <f t="shared" si="41"/>
        <v>1.4888023572677187E-3</v>
      </c>
      <c r="X23" s="406">
        <f t="shared" si="10"/>
        <v>0.86278686744401678</v>
      </c>
      <c r="Y23" s="406">
        <f t="shared" si="11"/>
        <v>3.8708861288960686E-2</v>
      </c>
      <c r="Z23" s="406">
        <f t="shared" si="12"/>
        <v>8.5605994307269812E-2</v>
      </c>
      <c r="AA23" s="406">
        <f t="shared" si="13"/>
        <v>0.37443012860954694</v>
      </c>
      <c r="AB23" s="406">
        <f t="shared" si="14"/>
        <v>5.5594899242250226E-4</v>
      </c>
      <c r="AC23" s="406">
        <f t="shared" si="15"/>
        <v>0.50358947573400892</v>
      </c>
      <c r="AD23" s="406">
        <f t="shared" si="16"/>
        <v>0.8613900775125809</v>
      </c>
      <c r="AE23" s="406">
        <f t="shared" si="17"/>
        <v>7.419928656371302E-3</v>
      </c>
      <c r="AF23" s="406">
        <f t="shared" si="18"/>
        <v>5.7325442616475313E-2</v>
      </c>
      <c r="AG23" s="406">
        <f t="shared" si="19"/>
        <v>6.4822327600227991E-2</v>
      </c>
      <c r="AH23" s="406">
        <f t="shared" si="20"/>
        <v>0</v>
      </c>
      <c r="AI23">
        <f t="shared" si="21"/>
        <v>0</v>
      </c>
      <c r="AJ23" s="407">
        <f t="shared" si="22"/>
        <v>2.3972699999999998</v>
      </c>
      <c r="AK23">
        <f t="shared" si="23"/>
        <v>9.6000000000000002E-2</v>
      </c>
      <c r="AL23" s="407">
        <f t="shared" si="24"/>
        <v>0.1215</v>
      </c>
      <c r="AM23" s="407">
        <f t="shared" si="25"/>
        <v>0.70770810810810814</v>
      </c>
      <c r="AN23" s="407">
        <f t="shared" si="42"/>
        <v>0.2175</v>
      </c>
      <c r="AO23" s="407">
        <f t="shared" si="26"/>
        <v>3.3939792315221244</v>
      </c>
      <c r="AP23">
        <f t="shared" si="27"/>
        <v>25.200000000000003</v>
      </c>
      <c r="AQ23" s="10">
        <f t="shared" si="43"/>
        <v>0.88130441013328475</v>
      </c>
      <c r="AR23" s="63">
        <f t="shared" si="28"/>
        <v>27.697421165370489</v>
      </c>
      <c r="AS23" s="63">
        <f t="shared" si="44"/>
        <v>2.5928931040091197</v>
      </c>
      <c r="AT23" s="10"/>
      <c r="AU23">
        <f t="shared" si="45"/>
        <v>88.130441013328479</v>
      </c>
      <c r="BE23" s="28"/>
      <c r="BF23" s="29"/>
    </row>
    <row r="24" spans="1:69" x14ac:dyDescent="0.2">
      <c r="A24" s="45" t="s">
        <v>36</v>
      </c>
      <c r="B24" s="49">
        <f>Cout*1000000</f>
        <v>20</v>
      </c>
      <c r="C24" s="418" t="s">
        <v>30</v>
      </c>
      <c r="D24" s="31" t="s">
        <v>199</v>
      </c>
      <c r="G24">
        <v>15</v>
      </c>
      <c r="H24">
        <f t="shared" si="0"/>
        <v>1.125</v>
      </c>
      <c r="I24" s="406">
        <f t="shared" si="1"/>
        <v>0.50086804197882295</v>
      </c>
      <c r="J24" s="407">
        <f t="shared" si="2"/>
        <v>2.146577322766384</v>
      </c>
      <c r="K24" s="407">
        <f t="shared" si="31"/>
        <v>2.198288661383192</v>
      </c>
      <c r="L24" s="407">
        <f t="shared" si="32"/>
        <v>5.1711338616807989E-2</v>
      </c>
      <c r="M24" s="63">
        <f t="shared" si="3"/>
        <v>0</v>
      </c>
      <c r="N24" s="406">
        <f t="shared" si="4"/>
        <v>1.2843706047001808</v>
      </c>
      <c r="O24" s="406">
        <f t="shared" si="5"/>
        <v>9.9054903851632688E-3</v>
      </c>
      <c r="P24">
        <f t="shared" si="6"/>
        <v>0.2</v>
      </c>
      <c r="Q24" s="406">
        <f t="shared" si="34"/>
        <v>0.20990549038516329</v>
      </c>
      <c r="R24" s="9">
        <f t="shared" si="39"/>
        <v>0.61966349756775907</v>
      </c>
      <c r="S24" s="9">
        <f t="shared" si="7"/>
        <v>3.8398285021790812E-4</v>
      </c>
      <c r="T24" s="9">
        <f t="shared" si="40"/>
        <v>3.8398285021790812E-4</v>
      </c>
      <c r="U24" s="406">
        <f t="shared" si="8"/>
        <v>0.90897516686185609</v>
      </c>
      <c r="V24" s="408">
        <f t="shared" si="9"/>
        <v>1.6524717079430783E-3</v>
      </c>
      <c r="W24" s="406">
        <f t="shared" si="41"/>
        <v>1.6524717079430783E-3</v>
      </c>
      <c r="X24" s="406">
        <f t="shared" si="10"/>
        <v>0.90897516686185609</v>
      </c>
      <c r="Y24" s="406">
        <f t="shared" si="11"/>
        <v>4.2964264406520028E-2</v>
      </c>
      <c r="Z24" s="406">
        <f t="shared" si="12"/>
        <v>9.3767309406735722E-2</v>
      </c>
      <c r="AA24" s="406">
        <f t="shared" si="13"/>
        <v>0.37132800000000021</v>
      </c>
      <c r="AB24" s="406">
        <f t="shared" si="14"/>
        <v>0</v>
      </c>
      <c r="AC24" s="406">
        <f t="shared" si="15"/>
        <v>0.51290764776811981</v>
      </c>
      <c r="AD24" s="406">
        <f t="shared" si="16"/>
        <v>0.90739847710163657</v>
      </c>
      <c r="AE24" s="406">
        <f t="shared" si="17"/>
        <v>8.2337199624636925E-3</v>
      </c>
      <c r="AF24" s="406">
        <f t="shared" si="18"/>
        <v>6.0749999999999998E-2</v>
      </c>
      <c r="AG24" s="406">
        <f t="shared" si="19"/>
        <v>6.9074718664859272E-2</v>
      </c>
      <c r="AH24" s="406">
        <f t="shared" si="20"/>
        <v>0</v>
      </c>
      <c r="AI24">
        <f t="shared" si="21"/>
        <v>0</v>
      </c>
      <c r="AJ24" s="407">
        <f t="shared" si="22"/>
        <v>2.3970749999999996</v>
      </c>
      <c r="AK24">
        <f t="shared" si="23"/>
        <v>9.6000000000000002E-2</v>
      </c>
      <c r="AL24" s="407">
        <f t="shared" si="24"/>
        <v>0.1215</v>
      </c>
      <c r="AM24" s="407">
        <f t="shared" si="25"/>
        <v>0.70770810810810814</v>
      </c>
      <c r="AN24" s="407">
        <f t="shared" si="42"/>
        <v>0.2175</v>
      </c>
      <c r="AO24" s="407">
        <f t="shared" si="26"/>
        <v>3.4084993113763029</v>
      </c>
      <c r="AP24">
        <f t="shared" si="27"/>
        <v>27</v>
      </c>
      <c r="AQ24" s="10">
        <f t="shared" si="43"/>
        <v>0.88790965063832894</v>
      </c>
      <c r="AR24" s="63">
        <f t="shared" si="28"/>
        <v>28.209920627246589</v>
      </c>
      <c r="AS24" s="63">
        <f t="shared" si="44"/>
        <v>2.7629887465943708</v>
      </c>
      <c r="AT24" s="10"/>
      <c r="AU24">
        <f t="shared" si="45"/>
        <v>88.7909650638329</v>
      </c>
      <c r="BE24" s="28"/>
      <c r="BF24" s="29"/>
    </row>
    <row r="25" spans="1:69" x14ac:dyDescent="0.2">
      <c r="A25" s="45" t="s">
        <v>158</v>
      </c>
      <c r="B25" s="50">
        <f>CoutEsr*1000</f>
        <v>1</v>
      </c>
      <c r="C25" s="416" t="s">
        <v>613</v>
      </c>
      <c r="D25" s="31" t="s">
        <v>200</v>
      </c>
      <c r="G25">
        <v>16</v>
      </c>
      <c r="H25">
        <f t="shared" si="0"/>
        <v>1.2</v>
      </c>
      <c r="I25" s="406">
        <f t="shared" si="1"/>
        <v>0.50092597227088442</v>
      </c>
      <c r="J25" s="407">
        <f t="shared" si="2"/>
        <v>2.1468255954466477</v>
      </c>
      <c r="K25" s="407">
        <f t="shared" si="31"/>
        <v>2.2734127977233238</v>
      </c>
      <c r="L25" s="407">
        <f t="shared" si="32"/>
        <v>0.12658720227667608</v>
      </c>
      <c r="M25" s="63">
        <f t="shared" si="3"/>
        <v>0</v>
      </c>
      <c r="N25" s="406">
        <f t="shared" si="4"/>
        <v>1.350581977558343</v>
      </c>
      <c r="O25" s="406">
        <f t="shared" si="5"/>
        <v>1.0954020909897924E-2</v>
      </c>
      <c r="P25">
        <f t="shared" si="6"/>
        <v>0.2</v>
      </c>
      <c r="Q25" s="406">
        <f t="shared" si="34"/>
        <v>0.21095402090989793</v>
      </c>
      <c r="R25" s="9">
        <f t="shared" si="39"/>
        <v>0.61973516771715043</v>
      </c>
      <c r="S25" s="9">
        <f t="shared" si="7"/>
        <v>3.8407167810540455E-4</v>
      </c>
      <c r="T25" s="9">
        <f t="shared" si="40"/>
        <v>3.8407167810540455E-4</v>
      </c>
      <c r="U25" s="406">
        <f t="shared" si="8"/>
        <v>0.95588957460929203</v>
      </c>
      <c r="V25" s="408">
        <f t="shared" si="9"/>
        <v>1.8274497576934666E-3</v>
      </c>
      <c r="W25" s="406">
        <f t="shared" si="41"/>
        <v>1.8274497576934666E-3</v>
      </c>
      <c r="X25" s="406">
        <f t="shared" si="10"/>
        <v>0.95588957460929203</v>
      </c>
      <c r="Y25" s="406">
        <f t="shared" si="11"/>
        <v>4.7513693700030127E-2</v>
      </c>
      <c r="Z25" s="406">
        <f t="shared" si="12"/>
        <v>0.10422768645539356</v>
      </c>
      <c r="AA25" s="406">
        <f t="shared" si="13"/>
        <v>0.37132800000000021</v>
      </c>
      <c r="AB25" s="406">
        <f t="shared" si="14"/>
        <v>0</v>
      </c>
      <c r="AC25" s="406">
        <f t="shared" si="15"/>
        <v>0.52859478814358707</v>
      </c>
      <c r="AD25" s="406">
        <f t="shared" si="16"/>
        <v>0.95412095630411087</v>
      </c>
      <c r="AE25" s="406">
        <f t="shared" si="17"/>
        <v>9.1034679925867095E-3</v>
      </c>
      <c r="AF25" s="406">
        <f t="shared" si="18"/>
        <v>6.4799999999999996E-2</v>
      </c>
      <c r="AG25" s="406">
        <f t="shared" si="19"/>
        <v>7.4011269468217858E-2</v>
      </c>
      <c r="AH25" s="406">
        <f t="shared" si="20"/>
        <v>0</v>
      </c>
      <c r="AI25">
        <f t="shared" si="21"/>
        <v>0</v>
      </c>
      <c r="AJ25" s="407">
        <f t="shared" si="22"/>
        <v>2.3968799999999999</v>
      </c>
      <c r="AK25">
        <f t="shared" si="23"/>
        <v>9.6000000000000002E-2</v>
      </c>
      <c r="AL25" s="407">
        <f t="shared" si="24"/>
        <v>0.1215</v>
      </c>
      <c r="AM25" s="407">
        <f t="shared" si="25"/>
        <v>0.70770810810810814</v>
      </c>
      <c r="AN25" s="407">
        <f t="shared" si="42"/>
        <v>0.2175</v>
      </c>
      <c r="AO25" s="407">
        <f t="shared" si="26"/>
        <v>3.4301515999575014</v>
      </c>
      <c r="AP25">
        <f t="shared" si="27"/>
        <v>28.799999999999997</v>
      </c>
      <c r="AQ25" s="10">
        <f t="shared" si="43"/>
        <v>0.89357320925657613</v>
      </c>
      <c r="AR25" s="63">
        <f t="shared" si="28"/>
        <v>29.072713347897288</v>
      </c>
      <c r="AS25" s="63">
        <f t="shared" si="44"/>
        <v>2.9604507787287142</v>
      </c>
      <c r="AT25" s="10"/>
      <c r="AU25">
        <f t="shared" si="45"/>
        <v>89.357320925657618</v>
      </c>
      <c r="BC25" t="s">
        <v>240</v>
      </c>
      <c r="BD25" t="s">
        <v>4</v>
      </c>
      <c r="BE25" t="s">
        <v>6</v>
      </c>
      <c r="BF25" t="s">
        <v>5</v>
      </c>
      <c r="BG25" t="s">
        <v>241</v>
      </c>
      <c r="BH25" t="s">
        <v>242</v>
      </c>
    </row>
    <row r="26" spans="1:69" x14ac:dyDescent="0.2">
      <c r="A26" s="34" t="s">
        <v>202</v>
      </c>
      <c r="B26" s="47" t="s">
        <v>201</v>
      </c>
      <c r="C26" s="34" t="s">
        <v>148</v>
      </c>
      <c r="D26" s="27" t="s">
        <v>188</v>
      </c>
      <c r="G26">
        <v>17</v>
      </c>
      <c r="H26">
        <f t="shared" si="0"/>
        <v>1.2750000000000001</v>
      </c>
      <c r="I26" s="406">
        <f t="shared" si="1"/>
        <v>0.50098391017478883</v>
      </c>
      <c r="J26" s="407">
        <f t="shared" si="2"/>
        <v>2.1470739007490951</v>
      </c>
      <c r="K26" s="407">
        <f t="shared" si="31"/>
        <v>2.3485369503745477</v>
      </c>
      <c r="L26" s="407">
        <f t="shared" si="32"/>
        <v>0.20146304962545258</v>
      </c>
      <c r="M26" s="63">
        <f t="shared" si="3"/>
        <v>0</v>
      </c>
      <c r="N26" s="406">
        <f t="shared" si="4"/>
        <v>1.4176690473942881</v>
      </c>
      <c r="O26" s="406">
        <f t="shared" si="5"/>
        <v>1.2070357405862023E-2</v>
      </c>
      <c r="P26">
        <f t="shared" si="6"/>
        <v>0.2</v>
      </c>
      <c r="Q26" s="406">
        <f t="shared" si="34"/>
        <v>0.21207035740586203</v>
      </c>
      <c r="R26" s="9">
        <f t="shared" si="39"/>
        <v>0.61980684728375501</v>
      </c>
      <c r="S26" s="9">
        <f t="shared" si="7"/>
        <v>3.8416052793982801E-4</v>
      </c>
      <c r="T26" s="9">
        <f t="shared" si="40"/>
        <v>3.8416052793982801E-4</v>
      </c>
      <c r="U26" s="406">
        <f t="shared" si="8"/>
        <v>1.0034292264031366</v>
      </c>
      <c r="V26" s="408">
        <f t="shared" si="9"/>
        <v>2.0137404247999942E-3</v>
      </c>
      <c r="W26" s="406">
        <f t="shared" si="41"/>
        <v>2.0137404247999942E-3</v>
      </c>
      <c r="X26" s="406">
        <f t="shared" si="10"/>
        <v>1.0034292264031366</v>
      </c>
      <c r="Y26" s="406">
        <f t="shared" si="11"/>
        <v>5.2357251044799845E-2</v>
      </c>
      <c r="Z26" s="406">
        <f t="shared" si="12"/>
        <v>0.11468806254285131</v>
      </c>
      <c r="AA26" s="406">
        <f t="shared" si="13"/>
        <v>0.37132800000000021</v>
      </c>
      <c r="AB26" s="406">
        <f t="shared" si="14"/>
        <v>0</v>
      </c>
      <c r="AC26" s="406">
        <f t="shared" si="15"/>
        <v>0.54464688054788624</v>
      </c>
      <c r="AD26" s="406">
        <f t="shared" si="16"/>
        <v>1.0014565969326032</v>
      </c>
      <c r="AE26" s="406">
        <f t="shared" si="17"/>
        <v>1.0029153155398304E-2</v>
      </c>
      <c r="AF26" s="406">
        <f t="shared" si="18"/>
        <v>6.8850000000000008E-2</v>
      </c>
      <c r="AG26" s="406">
        <f t="shared" si="19"/>
        <v>7.9005931168818627E-2</v>
      </c>
      <c r="AH26" s="406">
        <f t="shared" si="20"/>
        <v>0</v>
      </c>
      <c r="AI26">
        <f t="shared" si="21"/>
        <v>0</v>
      </c>
      <c r="AJ26" s="407">
        <f t="shared" si="22"/>
        <v>2.3966849999999997</v>
      </c>
      <c r="AK26">
        <f t="shared" si="23"/>
        <v>9.6000000000000002E-2</v>
      </c>
      <c r="AL26" s="407">
        <f t="shared" si="24"/>
        <v>0.1215</v>
      </c>
      <c r="AM26" s="407">
        <f t="shared" si="25"/>
        <v>0.70770810810810814</v>
      </c>
      <c r="AN26" s="407">
        <f t="shared" si="42"/>
        <v>0.2175</v>
      </c>
      <c r="AO26" s="407">
        <f t="shared" si="26"/>
        <v>3.4523060700753061</v>
      </c>
      <c r="AP26">
        <f t="shared" si="27"/>
        <v>30.6</v>
      </c>
      <c r="AQ26" s="10">
        <f t="shared" si="43"/>
        <v>0.89861755433036161</v>
      </c>
      <c r="AR26" s="63">
        <f t="shared" si="28"/>
        <v>29.955578430133745</v>
      </c>
      <c r="AS26" s="63">
        <f t="shared" si="44"/>
        <v>3.1602372467527449</v>
      </c>
      <c r="AT26" s="10"/>
      <c r="AU26">
        <f t="shared" si="45"/>
        <v>89.861755433036166</v>
      </c>
      <c r="BC26" t="s">
        <v>243</v>
      </c>
      <c r="BD26">
        <v>9.9989640000000009</v>
      </c>
      <c r="BE26">
        <v>0.1027</v>
      </c>
      <c r="BF26">
        <v>5.1211359999999999</v>
      </c>
      <c r="BG26">
        <v>61.870683235325004</v>
      </c>
      <c r="BH26">
        <v>324.12365701136014</v>
      </c>
    </row>
    <row r="27" spans="1:69" x14ac:dyDescent="0.2">
      <c r="A27" s="32" t="s">
        <v>132</v>
      </c>
      <c r="B27" s="5">
        <v>1.5</v>
      </c>
      <c r="C27" s="415" t="s">
        <v>208</v>
      </c>
      <c r="D27" s="31" t="s">
        <v>204</v>
      </c>
      <c r="G27">
        <v>18</v>
      </c>
      <c r="H27">
        <f t="shared" si="0"/>
        <v>1.3499999999999999</v>
      </c>
      <c r="I27" s="406">
        <f t="shared" si="1"/>
        <v>0.50104185569203619</v>
      </c>
      <c r="J27" s="407">
        <f t="shared" si="2"/>
        <v>2.1473222386801551</v>
      </c>
      <c r="K27" s="407">
        <f t="shared" si="31"/>
        <v>2.4236611193400774</v>
      </c>
      <c r="L27" s="407">
        <f t="shared" si="32"/>
        <v>0.27633888065992229</v>
      </c>
      <c r="M27" s="63">
        <f t="shared" si="3"/>
        <v>0</v>
      </c>
      <c r="N27" s="406">
        <f t="shared" si="4"/>
        <v>1.4855131772311982</v>
      </c>
      <c r="O27" s="406">
        <f t="shared" si="5"/>
        <v>1.3254536129395839E-2</v>
      </c>
      <c r="P27">
        <f t="shared" si="6"/>
        <v>0.2</v>
      </c>
      <c r="Q27" s="406">
        <f t="shared" si="34"/>
        <v>0.21325453612939585</v>
      </c>
      <c r="R27" s="9">
        <f t="shared" si="39"/>
        <v>0.61987853626942868</v>
      </c>
      <c r="S27" s="9">
        <f t="shared" si="7"/>
        <v>3.8424939972752942E-4</v>
      </c>
      <c r="T27" s="9">
        <f t="shared" si="40"/>
        <v>3.8424939972752942E-4</v>
      </c>
      <c r="U27" s="406">
        <f t="shared" si="8"/>
        <v>1.0515102540093313</v>
      </c>
      <c r="V27" s="408">
        <f t="shared" si="9"/>
        <v>2.2113476285735368E-3</v>
      </c>
      <c r="W27" s="406">
        <f t="shared" si="41"/>
        <v>2.2113476285735368E-3</v>
      </c>
      <c r="X27" s="406">
        <f t="shared" si="10"/>
        <v>1.0515102540093313</v>
      </c>
      <c r="Y27" s="406">
        <f t="shared" si="11"/>
        <v>5.7495038342911954E-2</v>
      </c>
      <c r="Z27" s="406">
        <f t="shared" si="12"/>
        <v>0.1251484376689195</v>
      </c>
      <c r="AA27" s="406">
        <f t="shared" si="13"/>
        <v>0.37132800000000021</v>
      </c>
      <c r="AB27" s="406">
        <f t="shared" si="14"/>
        <v>0</v>
      </c>
      <c r="AC27" s="406">
        <f t="shared" si="15"/>
        <v>0.56106837855823588</v>
      </c>
      <c r="AD27" s="406">
        <f t="shared" si="16"/>
        <v>1.0493214881249506</v>
      </c>
      <c r="AE27" s="406">
        <f t="shared" si="17"/>
        <v>1.1010755854407609E-2</v>
      </c>
      <c r="AF27" s="406">
        <f t="shared" si="18"/>
        <v>7.2899999999999993E-2</v>
      </c>
      <c r="AG27" s="406">
        <f t="shared" si="19"/>
        <v>8.4058844079938466E-2</v>
      </c>
      <c r="AH27" s="406">
        <f t="shared" si="20"/>
        <v>0</v>
      </c>
      <c r="AI27">
        <f t="shared" si="21"/>
        <v>0</v>
      </c>
      <c r="AJ27" s="407">
        <f t="shared" si="22"/>
        <v>2.39649</v>
      </c>
      <c r="AK27">
        <f t="shared" si="23"/>
        <v>9.6000000000000002E-2</v>
      </c>
      <c r="AL27" s="407">
        <f t="shared" si="24"/>
        <v>0.1215</v>
      </c>
      <c r="AM27" s="407">
        <f t="shared" si="25"/>
        <v>0.70770810810810814</v>
      </c>
      <c r="AN27" s="407">
        <f t="shared" si="42"/>
        <v>0.2175</v>
      </c>
      <c r="AO27" s="407">
        <f t="shared" si="26"/>
        <v>3.4749673557958713</v>
      </c>
      <c r="AP27">
        <f t="shared" si="27"/>
        <v>32.4</v>
      </c>
      <c r="AQ27" s="10">
        <f t="shared" si="43"/>
        <v>0.90313671030464471</v>
      </c>
      <c r="AR27" s="63">
        <f t="shared" si="28"/>
        <v>30.858760820702972</v>
      </c>
      <c r="AS27" s="63">
        <f t="shared" si="44"/>
        <v>3.3623537631975386</v>
      </c>
      <c r="AT27" s="10"/>
      <c r="AU27">
        <f t="shared" si="45"/>
        <v>90.313671030464477</v>
      </c>
      <c r="BC27" t="s">
        <v>244</v>
      </c>
      <c r="BD27">
        <v>9.9986669999999993</v>
      </c>
      <c r="BE27">
        <v>0.1166</v>
      </c>
      <c r="BF27">
        <v>5.1212980000000003</v>
      </c>
      <c r="BG27">
        <v>64.729420570558148</v>
      </c>
      <c r="BH27">
        <v>325.37886459483997</v>
      </c>
    </row>
    <row r="28" spans="1:69" x14ac:dyDescent="0.2">
      <c r="A28" s="32" t="s">
        <v>239</v>
      </c>
      <c r="B28" s="5">
        <v>0.9</v>
      </c>
      <c r="C28" s="415" t="s">
        <v>208</v>
      </c>
      <c r="D28" s="31" t="s">
        <v>205</v>
      </c>
      <c r="G28">
        <v>19</v>
      </c>
      <c r="H28">
        <f t="shared" si="0"/>
        <v>1.425</v>
      </c>
      <c r="I28" s="406">
        <f t="shared" si="1"/>
        <v>0.50109980882412763</v>
      </c>
      <c r="J28" s="407">
        <f t="shared" si="2"/>
        <v>2.1475706092462614</v>
      </c>
      <c r="K28" s="407">
        <f t="shared" si="31"/>
        <v>2.498785304623131</v>
      </c>
      <c r="L28" s="407">
        <f t="shared" si="32"/>
        <v>0.35121469537686933</v>
      </c>
      <c r="M28" s="63">
        <f t="shared" si="3"/>
        <v>0</v>
      </c>
      <c r="N28" s="406">
        <f t="shared" si="4"/>
        <v>1.5540152166162542</v>
      </c>
      <c r="O28" s="406">
        <f t="shared" si="5"/>
        <v>1.4506595550818067E-2</v>
      </c>
      <c r="P28">
        <f t="shared" si="6"/>
        <v>0.2</v>
      </c>
      <c r="Q28" s="406">
        <f t="shared" si="34"/>
        <v>0.21450659555081808</v>
      </c>
      <c r="R28" s="9">
        <f t="shared" si="39"/>
        <v>0.61995023467602883</v>
      </c>
      <c r="S28" s="9">
        <f t="shared" si="7"/>
        <v>3.8433829347486319E-4</v>
      </c>
      <c r="T28" s="9">
        <f t="shared" si="40"/>
        <v>3.8433829347486319E-4</v>
      </c>
      <c r="U28" s="406">
        <f t="shared" si="8"/>
        <v>1.1000625639833126</v>
      </c>
      <c r="V28" s="408">
        <f t="shared" si="9"/>
        <v>2.4202752893550798E-3</v>
      </c>
      <c r="W28" s="406">
        <f t="shared" si="41"/>
        <v>2.4202752893550798E-3</v>
      </c>
      <c r="X28" s="406">
        <f t="shared" si="10"/>
        <v>1.1000625639833126</v>
      </c>
      <c r="Y28" s="406">
        <f t="shared" si="11"/>
        <v>6.2927157523232066E-2</v>
      </c>
      <c r="Z28" s="406">
        <f t="shared" si="12"/>
        <v>0.13560881183340864</v>
      </c>
      <c r="AA28" s="406">
        <f t="shared" si="13"/>
        <v>0.37132800000000021</v>
      </c>
      <c r="AB28" s="406">
        <f t="shared" si="14"/>
        <v>0</v>
      </c>
      <c r="AC28" s="406">
        <f t="shared" si="15"/>
        <v>0.57786390257803477</v>
      </c>
      <c r="AD28" s="406">
        <f t="shared" si="16"/>
        <v>1.097645502335487</v>
      </c>
      <c r="AE28" s="406">
        <f t="shared" si="17"/>
        <v>1.2048256487973235E-2</v>
      </c>
      <c r="AF28" s="406">
        <f t="shared" si="18"/>
        <v>7.6950000000000018E-2</v>
      </c>
      <c r="AG28" s="406">
        <f t="shared" si="19"/>
        <v>8.9170151665306868E-2</v>
      </c>
      <c r="AH28" s="406">
        <f t="shared" si="20"/>
        <v>0</v>
      </c>
      <c r="AI28">
        <f t="shared" si="21"/>
        <v>0</v>
      </c>
      <c r="AJ28" s="407">
        <f t="shared" si="22"/>
        <v>2.3962949999999998</v>
      </c>
      <c r="AK28">
        <f t="shared" si="23"/>
        <v>9.6000000000000002E-2</v>
      </c>
      <c r="AL28" s="407">
        <f t="shared" si="24"/>
        <v>0.1215</v>
      </c>
      <c r="AM28" s="407">
        <f t="shared" si="25"/>
        <v>0.70770810810810814</v>
      </c>
      <c r="AN28" s="407">
        <f t="shared" si="42"/>
        <v>0.2175</v>
      </c>
      <c r="AO28" s="407">
        <f t="shared" si="26"/>
        <v>3.4981402633769889</v>
      </c>
      <c r="AP28">
        <f t="shared" si="27"/>
        <v>34.200000000000003</v>
      </c>
      <c r="AQ28" s="10">
        <f t="shared" si="43"/>
        <v>0.90720655610761347</v>
      </c>
      <c r="AR28" s="63">
        <f t="shared" si="28"/>
        <v>31.782514641791913</v>
      </c>
      <c r="AS28" s="63">
        <f t="shared" si="44"/>
        <v>3.5668060666122745</v>
      </c>
      <c r="AT28" s="10"/>
      <c r="AU28">
        <f t="shared" si="45"/>
        <v>90.720655610761341</v>
      </c>
      <c r="BC28" t="s">
        <v>245</v>
      </c>
      <c r="BD28">
        <v>9.9987659999999998</v>
      </c>
      <c r="BE28">
        <v>0.14660000000000001</v>
      </c>
      <c r="BF28">
        <v>5.1213230000000003</v>
      </c>
      <c r="BG28">
        <v>69.885376918691776</v>
      </c>
      <c r="BH28">
        <v>323.52446193379996</v>
      </c>
    </row>
    <row r="29" spans="1:69" x14ac:dyDescent="0.2">
      <c r="A29" s="34" t="s">
        <v>203</v>
      </c>
      <c r="B29" s="25" t="s">
        <v>201</v>
      </c>
      <c r="C29" s="34" t="s">
        <v>148</v>
      </c>
      <c r="D29" s="27" t="s">
        <v>188</v>
      </c>
      <c r="G29">
        <v>20</v>
      </c>
      <c r="H29">
        <f t="shared" si="0"/>
        <v>1.5</v>
      </c>
      <c r="I29" s="406">
        <f t="shared" si="1"/>
        <v>0.50115776957256408</v>
      </c>
      <c r="J29" s="407">
        <f t="shared" si="2"/>
        <v>2.1478190124538465</v>
      </c>
      <c r="K29" s="407">
        <f t="shared" si="31"/>
        <v>2.573909506226923</v>
      </c>
      <c r="L29" s="407">
        <f t="shared" si="32"/>
        <v>0.42609049377307673</v>
      </c>
      <c r="M29" s="63">
        <f t="shared" si="3"/>
        <v>0</v>
      </c>
      <c r="N29" s="406">
        <f t="shared" si="4"/>
        <v>1.62309186714375</v>
      </c>
      <c r="O29" s="406">
        <f t="shared" si="5"/>
        <v>1.5826576357553732E-2</v>
      </c>
      <c r="P29">
        <f t="shared" si="6"/>
        <v>0.2</v>
      </c>
      <c r="Q29" s="406">
        <f t="shared" si="34"/>
        <v>0.21582657635755376</v>
      </c>
      <c r="R29" s="9">
        <f t="shared" si="39"/>
        <v>0.62002194250541232</v>
      </c>
      <c r="S29" s="9">
        <f t="shared" si="7"/>
        <v>3.844272091881848E-4</v>
      </c>
      <c r="T29" s="9">
        <f t="shared" si="40"/>
        <v>3.844272091881848E-4</v>
      </c>
      <c r="U29" s="406">
        <f t="shared" si="8"/>
        <v>1.1490272687182082</v>
      </c>
      <c r="V29" s="408">
        <f t="shared" si="9"/>
        <v>2.6405273285160505E-3</v>
      </c>
      <c r="W29" s="406">
        <f t="shared" si="41"/>
        <v>2.6405273285160505E-3</v>
      </c>
      <c r="X29" s="406">
        <f t="shared" si="10"/>
        <v>1.1490272687182082</v>
      </c>
      <c r="Y29" s="406">
        <f t="shared" si="11"/>
        <v>6.8653710541417307E-2</v>
      </c>
      <c r="Z29" s="406">
        <f t="shared" si="12"/>
        <v>0.14606918503612912</v>
      </c>
      <c r="AA29" s="406">
        <f t="shared" si="13"/>
        <v>0.37132800000000021</v>
      </c>
      <c r="AB29" s="406">
        <f t="shared" si="14"/>
        <v>0</v>
      </c>
      <c r="AC29" s="406">
        <f t="shared" si="15"/>
        <v>0.5950382439165085</v>
      </c>
      <c r="AD29" s="406">
        <f t="shared" si="16"/>
        <v>1.1463697243604085</v>
      </c>
      <c r="AE29" s="406">
        <f t="shared" si="17"/>
        <v>1.3141635449301589E-2</v>
      </c>
      <c r="AF29" s="406">
        <f t="shared" si="18"/>
        <v>8.1000000000000003E-2</v>
      </c>
      <c r="AG29" s="406">
        <f t="shared" si="19"/>
        <v>9.434000055258944E-2</v>
      </c>
      <c r="AH29" s="406">
        <f t="shared" si="20"/>
        <v>0</v>
      </c>
      <c r="AI29">
        <f t="shared" si="21"/>
        <v>0</v>
      </c>
      <c r="AJ29" s="407">
        <f t="shared" si="22"/>
        <v>2.3960999999999997</v>
      </c>
      <c r="AK29">
        <f t="shared" si="23"/>
        <v>9.6000000000000002E-2</v>
      </c>
      <c r="AL29" s="407">
        <f t="shared" si="24"/>
        <v>0.1215</v>
      </c>
      <c r="AM29" s="407">
        <f t="shared" si="25"/>
        <v>0.70770810810810814</v>
      </c>
      <c r="AN29" s="407">
        <f t="shared" si="42"/>
        <v>0.2175</v>
      </c>
      <c r="AO29" s="407">
        <f t="shared" si="26"/>
        <v>3.5218297753643553</v>
      </c>
      <c r="AP29">
        <f t="shared" si="27"/>
        <v>36</v>
      </c>
      <c r="AQ29" s="10">
        <f t="shared" si="43"/>
        <v>0.91088899994302241</v>
      </c>
      <c r="AR29" s="63">
        <f t="shared" si="28"/>
        <v>32.727103415407967</v>
      </c>
      <c r="AS29" s="63">
        <f t="shared" si="44"/>
        <v>3.7736000221035777</v>
      </c>
      <c r="AT29" s="10"/>
      <c r="AU29">
        <f t="shared" si="45"/>
        <v>91.088899994302238</v>
      </c>
      <c r="BC29" t="s">
        <v>246</v>
      </c>
      <c r="BD29">
        <v>9.9987899999999996</v>
      </c>
      <c r="BE29">
        <v>0.1958</v>
      </c>
      <c r="BF29">
        <v>5.1217600000000001</v>
      </c>
      <c r="BG29">
        <v>75.662516566515876</v>
      </c>
      <c r="BH29">
        <v>322.57199766699983</v>
      </c>
    </row>
    <row r="30" spans="1:69" x14ac:dyDescent="0.2">
      <c r="A30" s="32" t="s">
        <v>131</v>
      </c>
      <c r="B30" s="37">
        <v>1.5</v>
      </c>
      <c r="C30" s="415" t="s">
        <v>208</v>
      </c>
      <c r="D30" s="31" t="s">
        <v>204</v>
      </c>
      <c r="G30">
        <v>21</v>
      </c>
      <c r="H30">
        <f t="shared" si="0"/>
        <v>1.575</v>
      </c>
      <c r="I30" s="406">
        <f t="shared" si="1"/>
        <v>0.50121573793884699</v>
      </c>
      <c r="J30" s="407">
        <f t="shared" si="2"/>
        <v>2.148067448309344</v>
      </c>
      <c r="K30" s="407">
        <f t="shared" si="31"/>
        <v>2.649033724154672</v>
      </c>
      <c r="L30" s="407">
        <f t="shared" si="32"/>
        <v>0.50096627584532794</v>
      </c>
      <c r="M30" s="63">
        <f t="shared" si="3"/>
        <v>0</v>
      </c>
      <c r="N30" s="406">
        <f t="shared" si="4"/>
        <v>1.6926727819852989</v>
      </c>
      <c r="O30" s="406">
        <f t="shared" si="5"/>
        <v>1.7214521457443812E-2</v>
      </c>
      <c r="P30">
        <f t="shared" si="6"/>
        <v>0.2</v>
      </c>
      <c r="Q30" s="406">
        <f t="shared" si="34"/>
        <v>0.21721452145744383</v>
      </c>
      <c r="R30" s="9">
        <f t="shared" si="39"/>
        <v>0.6200936597594362</v>
      </c>
      <c r="S30" s="9">
        <f t="shared" si="7"/>
        <v>3.8451614687385146E-4</v>
      </c>
      <c r="T30" s="9">
        <f t="shared" si="40"/>
        <v>3.8451614687385146E-4</v>
      </c>
      <c r="U30" s="406">
        <f t="shared" si="8"/>
        <v>1.1983546362531134</v>
      </c>
      <c r="V30" s="408">
        <f t="shared" si="9"/>
        <v>2.8721076684586639E-3</v>
      </c>
      <c r="W30" s="406">
        <f t="shared" si="41"/>
        <v>2.8721076684586639E-3</v>
      </c>
      <c r="X30" s="406">
        <f t="shared" si="10"/>
        <v>1.1983546362531134</v>
      </c>
      <c r="Y30" s="406">
        <f t="shared" si="11"/>
        <v>7.4674799379925258E-2</v>
      </c>
      <c r="Z30" s="406">
        <f t="shared" si="12"/>
        <v>0.15652955727689147</v>
      </c>
      <c r="AA30" s="406">
        <f t="shared" si="13"/>
        <v>0.37132800000000021</v>
      </c>
      <c r="AB30" s="406">
        <f t="shared" si="14"/>
        <v>0</v>
      </c>
      <c r="AC30" s="406">
        <f t="shared" si="15"/>
        <v>0.6125963690682461</v>
      </c>
      <c r="AD30" s="406">
        <f t="shared" si="16"/>
        <v>1.1954443996458051</v>
      </c>
      <c r="AE30" s="406">
        <f t="shared" si="17"/>
        <v>1.4290873126445194E-2</v>
      </c>
      <c r="AF30" s="406">
        <f t="shared" si="18"/>
        <v>8.5050000000000001E-2</v>
      </c>
      <c r="AG30" s="406">
        <f t="shared" si="19"/>
        <v>9.9568540547300674E-2</v>
      </c>
      <c r="AH30" s="406">
        <f t="shared" si="20"/>
        <v>0</v>
      </c>
      <c r="AI30">
        <f t="shared" si="21"/>
        <v>0</v>
      </c>
      <c r="AJ30" s="407">
        <f t="shared" si="22"/>
        <v>2.395905</v>
      </c>
      <c r="AK30">
        <f t="shared" si="23"/>
        <v>9.6000000000000002E-2</v>
      </c>
      <c r="AL30" s="407">
        <f t="shared" si="24"/>
        <v>0.1215</v>
      </c>
      <c r="AM30" s="407">
        <f t="shared" si="25"/>
        <v>0.70770810810810814</v>
      </c>
      <c r="AN30" s="407">
        <f t="shared" si="42"/>
        <v>0.2175</v>
      </c>
      <c r="AO30" s="407">
        <f t="shared" si="26"/>
        <v>3.546041054888323</v>
      </c>
      <c r="AP30">
        <f t="shared" si="27"/>
        <v>37.799999999999997</v>
      </c>
      <c r="AQ30" s="10">
        <f t="shared" si="43"/>
        <v>0.91423505214971301</v>
      </c>
      <c r="AR30" s="63">
        <f t="shared" si="28"/>
        <v>33.692800298753539</v>
      </c>
      <c r="AS30" s="63">
        <f t="shared" si="44"/>
        <v>3.9827416218920271</v>
      </c>
      <c r="AT30" s="10"/>
      <c r="AU30">
        <f t="shared" si="45"/>
        <v>91.4235052149713</v>
      </c>
      <c r="BD30">
        <v>9.9987659999999998</v>
      </c>
      <c r="BE30">
        <v>0.2681</v>
      </c>
      <c r="BF30">
        <v>5.1224080000000001</v>
      </c>
      <c r="BG30">
        <v>80.957553445887683</v>
      </c>
      <c r="BH30">
        <v>323.02506068319997</v>
      </c>
    </row>
    <row r="31" spans="1:69" x14ac:dyDescent="0.2">
      <c r="A31" s="32" t="s">
        <v>238</v>
      </c>
      <c r="B31" s="37">
        <v>0.9</v>
      </c>
      <c r="C31" s="415" t="s">
        <v>208</v>
      </c>
      <c r="D31" s="31" t="s">
        <v>205</v>
      </c>
      <c r="G31">
        <v>22</v>
      </c>
      <c r="H31">
        <f t="shared" si="0"/>
        <v>1.65</v>
      </c>
      <c r="I31" s="406">
        <f t="shared" si="1"/>
        <v>0.50127371392447839</v>
      </c>
      <c r="J31" s="407">
        <f t="shared" si="2"/>
        <v>2.1483159168191932</v>
      </c>
      <c r="K31" s="407">
        <f t="shared" si="31"/>
        <v>2.7241579584095965</v>
      </c>
      <c r="L31" s="407">
        <f t="shared" si="32"/>
        <v>0.57584204159040331</v>
      </c>
      <c r="M31" s="63">
        <f t="shared" si="3"/>
        <v>0</v>
      </c>
      <c r="N31" s="406">
        <f t="shared" si="4"/>
        <v>1.7626982460246063</v>
      </c>
      <c r="O31" s="406">
        <f t="shared" si="5"/>
        <v>1.8670475982236978E-2</v>
      </c>
      <c r="P31">
        <f t="shared" si="6"/>
        <v>0.2</v>
      </c>
      <c r="Q31" s="406">
        <f t="shared" si="34"/>
        <v>0.21867047598223699</v>
      </c>
      <c r="R31" s="9">
        <f t="shared" si="39"/>
        <v>0.62016538643995944</v>
      </c>
      <c r="S31" s="9">
        <f t="shared" si="7"/>
        <v>3.846051065382242E-4</v>
      </c>
      <c r="T31" s="9">
        <f t="shared" si="40"/>
        <v>3.846051065382242E-4</v>
      </c>
      <c r="U31" s="406">
        <f t="shared" si="8"/>
        <v>1.2480024504415554</v>
      </c>
      <c r="V31" s="408">
        <f t="shared" si="9"/>
        <v>3.1150202326162544E-3</v>
      </c>
      <c r="W31" s="406">
        <f t="shared" si="41"/>
        <v>3.1150202326162544E-3</v>
      </c>
      <c r="X31" s="406">
        <f t="shared" si="10"/>
        <v>1.2480024504415554</v>
      </c>
      <c r="Y31" s="406">
        <f t="shared" si="11"/>
        <v>8.0990526048022607E-2</v>
      </c>
      <c r="Z31" s="406">
        <f t="shared" si="12"/>
        <v>0.16698992855550585</v>
      </c>
      <c r="AA31" s="406">
        <f t="shared" si="13"/>
        <v>0.37132800000000021</v>
      </c>
      <c r="AB31" s="406">
        <f t="shared" si="14"/>
        <v>0</v>
      </c>
      <c r="AC31" s="406">
        <f t="shared" si="15"/>
        <v>0.63054342420039322</v>
      </c>
      <c r="AD31" s="406">
        <f t="shared" si="16"/>
        <v>1.2448272933343389</v>
      </c>
      <c r="AE31" s="406">
        <f t="shared" si="17"/>
        <v>1.5495949902300963E-2</v>
      </c>
      <c r="AF31" s="406">
        <f t="shared" si="18"/>
        <v>8.9099999999999999E-2</v>
      </c>
      <c r="AG31" s="406">
        <f t="shared" si="19"/>
        <v>0.10485592464714762</v>
      </c>
      <c r="AH31" s="406">
        <f t="shared" si="20"/>
        <v>0</v>
      </c>
      <c r="AI31">
        <f t="shared" si="21"/>
        <v>0</v>
      </c>
      <c r="AJ31" s="407">
        <f t="shared" si="22"/>
        <v>2.3957099999999998</v>
      </c>
      <c r="AK31">
        <f t="shared" si="23"/>
        <v>9.6000000000000002E-2</v>
      </c>
      <c r="AL31" s="407">
        <f t="shared" si="24"/>
        <v>0.1215</v>
      </c>
      <c r="AM31" s="407">
        <f t="shared" si="25"/>
        <v>0.70770810810810814</v>
      </c>
      <c r="AN31" s="407">
        <f t="shared" si="42"/>
        <v>0.2175</v>
      </c>
      <c r="AO31" s="407">
        <f t="shared" si="26"/>
        <v>3.5707794501689318</v>
      </c>
      <c r="AP31">
        <f t="shared" si="27"/>
        <v>39.599999999999994</v>
      </c>
      <c r="AQ31" s="10">
        <f t="shared" si="43"/>
        <v>0.91728712115817579</v>
      </c>
      <c r="AR31" s="63">
        <f t="shared" si="28"/>
        <v>34.67988833102163</v>
      </c>
      <c r="AS31" s="63">
        <f t="shared" si="44"/>
        <v>4.1942369858859045</v>
      </c>
      <c r="AT31" s="10"/>
      <c r="AU31">
        <f t="shared" si="45"/>
        <v>91.728712115817572</v>
      </c>
      <c r="BD31">
        <v>9.998704</v>
      </c>
      <c r="BE31">
        <v>0.36549999999999999</v>
      </c>
      <c r="BF31">
        <v>5.123094</v>
      </c>
      <c r="BG31">
        <v>85.419022273213088</v>
      </c>
      <c r="BH31">
        <v>319.63300692320018</v>
      </c>
    </row>
    <row r="32" spans="1:69" x14ac:dyDescent="0.2">
      <c r="A32" s="34" t="s">
        <v>133</v>
      </c>
      <c r="B32" s="25" t="s">
        <v>201</v>
      </c>
      <c r="C32" s="34" t="s">
        <v>148</v>
      </c>
      <c r="D32" s="27" t="s">
        <v>188</v>
      </c>
      <c r="G32">
        <v>23</v>
      </c>
      <c r="H32">
        <f t="shared" si="0"/>
        <v>1.7250000000000001</v>
      </c>
      <c r="I32" s="406">
        <f t="shared" si="1"/>
        <v>0.50133169753096085</v>
      </c>
      <c r="J32" s="407">
        <f t="shared" si="2"/>
        <v>2.148564417989832</v>
      </c>
      <c r="K32" s="407">
        <f t="shared" si="31"/>
        <v>2.7992822089949163</v>
      </c>
      <c r="L32" s="407">
        <f t="shared" si="32"/>
        <v>0.65071779100508409</v>
      </c>
      <c r="M32" s="63">
        <f t="shared" si="3"/>
        <v>0</v>
      </c>
      <c r="N32" s="406">
        <f t="shared" si="4"/>
        <v>1.8331173143548849</v>
      </c>
      <c r="O32" s="406">
        <f t="shared" si="5"/>
        <v>2.0194487291264076E-2</v>
      </c>
      <c r="P32">
        <f t="shared" si="6"/>
        <v>0.2</v>
      </c>
      <c r="Q32" s="406">
        <f t="shared" si="34"/>
        <v>0.22019448729126409</v>
      </c>
      <c r="R32" s="9">
        <f t="shared" si="39"/>
        <v>0.62023712254884056</v>
      </c>
      <c r="S32" s="9">
        <f t="shared" si="7"/>
        <v>3.8469408818766549E-4</v>
      </c>
      <c r="T32" s="9">
        <f t="shared" si="40"/>
        <v>3.8469408818766549E-4</v>
      </c>
      <c r="U32" s="406">
        <f t="shared" si="8"/>
        <v>1.297934695093252</v>
      </c>
      <c r="V32" s="408">
        <f t="shared" si="9"/>
        <v>3.3692689454536259E-3</v>
      </c>
      <c r="W32" s="406">
        <f t="shared" si="41"/>
        <v>3.3692689454536259E-3</v>
      </c>
      <c r="X32" s="406">
        <f t="shared" si="10"/>
        <v>1.297934695093252</v>
      </c>
      <c r="Y32" s="406">
        <f t="shared" si="11"/>
        <v>8.7600992581794268E-2</v>
      </c>
      <c r="Z32" s="406">
        <f t="shared" si="12"/>
        <v>0.17745029887178268</v>
      </c>
      <c r="AA32" s="406">
        <f t="shared" si="13"/>
        <v>0.37132800000000021</v>
      </c>
      <c r="AB32" s="406">
        <f t="shared" si="14"/>
        <v>0</v>
      </c>
      <c r="AC32" s="406">
        <f t="shared" si="15"/>
        <v>0.64888473985573625</v>
      </c>
      <c r="AD32" s="406">
        <f t="shared" si="16"/>
        <v>1.2944823735612829</v>
      </c>
      <c r="AE32" s="406">
        <f t="shared" si="17"/>
        <v>1.675684615460853E-2</v>
      </c>
      <c r="AF32" s="406">
        <f t="shared" si="18"/>
        <v>9.3150000000000011E-2</v>
      </c>
      <c r="AG32" s="406">
        <f t="shared" si="19"/>
        <v>0.11020230905680815</v>
      </c>
      <c r="AH32" s="406">
        <f t="shared" si="20"/>
        <v>0</v>
      </c>
      <c r="AI32">
        <f t="shared" si="21"/>
        <v>0</v>
      </c>
      <c r="AJ32" s="407">
        <f t="shared" si="22"/>
        <v>2.3955149999999996</v>
      </c>
      <c r="AK32">
        <f t="shared" si="23"/>
        <v>9.6000000000000002E-2</v>
      </c>
      <c r="AL32" s="407">
        <f t="shared" si="24"/>
        <v>0.1215</v>
      </c>
      <c r="AM32" s="407">
        <f t="shared" si="25"/>
        <v>0.70770810810810814</v>
      </c>
      <c r="AN32" s="407">
        <f t="shared" si="42"/>
        <v>0.2175</v>
      </c>
      <c r="AO32" s="407">
        <f t="shared" si="26"/>
        <v>3.5960504992374496</v>
      </c>
      <c r="AP32">
        <f t="shared" si="27"/>
        <v>41.400000000000006</v>
      </c>
      <c r="AQ32" s="10">
        <f t="shared" si="43"/>
        <v>0.92008075243629683</v>
      </c>
      <c r="AR32" s="63">
        <f t="shared" si="28"/>
        <v>35.688660692065497</v>
      </c>
      <c r="AS32" s="63">
        <f t="shared" si="44"/>
        <v>4.4080923622723258</v>
      </c>
      <c r="AT32" s="10"/>
      <c r="AU32">
        <f t="shared" si="45"/>
        <v>92.00807524362969</v>
      </c>
      <c r="BD32">
        <v>9.9987290000000009</v>
      </c>
      <c r="BE32">
        <v>0.49059999999999998</v>
      </c>
      <c r="BF32">
        <v>5.1238169999999998</v>
      </c>
      <c r="BG32">
        <v>88.551850267052174</v>
      </c>
      <c r="BH32">
        <v>324.98153184230057</v>
      </c>
    </row>
    <row r="33" spans="1:60" x14ac:dyDescent="0.2">
      <c r="A33" s="32" t="s">
        <v>133</v>
      </c>
      <c r="B33" s="5">
        <v>20</v>
      </c>
      <c r="C33" s="416" t="s">
        <v>147</v>
      </c>
      <c r="D33" s="31" t="s">
        <v>179</v>
      </c>
      <c r="G33">
        <v>24</v>
      </c>
      <c r="H33">
        <f t="shared" si="0"/>
        <v>1.7999999999999998</v>
      </c>
      <c r="I33" s="406">
        <f t="shared" si="1"/>
        <v>0.50138968875979673</v>
      </c>
      <c r="J33" s="407">
        <f t="shared" si="2"/>
        <v>2.1488129518277002</v>
      </c>
      <c r="K33" s="407">
        <f t="shared" si="31"/>
        <v>2.8744064759138501</v>
      </c>
      <c r="L33" s="407">
        <f t="shared" si="32"/>
        <v>0.72559352408614974</v>
      </c>
      <c r="M33" s="63">
        <f t="shared" si="3"/>
        <v>0</v>
      </c>
      <c r="N33" s="406">
        <f t="shared" si="4"/>
        <v>1.903886312737328</v>
      </c>
      <c r="O33" s="406">
        <f t="shared" si="5"/>
        <v>2.1786604975295779E-2</v>
      </c>
      <c r="P33">
        <f t="shared" si="6"/>
        <v>0.2</v>
      </c>
      <c r="Q33" s="406">
        <f t="shared" si="34"/>
        <v>0.22178660497529579</v>
      </c>
      <c r="R33" s="9">
        <f t="shared" si="39"/>
        <v>0.6203088680879385</v>
      </c>
      <c r="S33" s="9">
        <f t="shared" si="7"/>
        <v>3.8478309182853949E-4</v>
      </c>
      <c r="T33" s="9">
        <f t="shared" si="40"/>
        <v>3.8478309182853949E-4</v>
      </c>
      <c r="U33" s="406">
        <f t="shared" si="8"/>
        <v>1.348120493959529</v>
      </c>
      <c r="V33" s="408">
        <f t="shared" si="9"/>
        <v>3.6348577324673693E-3</v>
      </c>
      <c r="W33" s="406">
        <f t="shared" si="41"/>
        <v>3.6348577324673693E-3</v>
      </c>
      <c r="X33" s="406">
        <f t="shared" si="10"/>
        <v>1.348120493959529</v>
      </c>
      <c r="Y33" s="406">
        <f t="shared" si="11"/>
        <v>9.45063010441516E-2</v>
      </c>
      <c r="Z33" s="406">
        <f t="shared" si="12"/>
        <v>0.18791066822553215</v>
      </c>
      <c r="AA33" s="406">
        <f t="shared" si="13"/>
        <v>0.37132800000000021</v>
      </c>
      <c r="AB33" s="406">
        <f t="shared" si="14"/>
        <v>0</v>
      </c>
      <c r="AC33" s="406">
        <f t="shared" si="15"/>
        <v>0.66762583588040869</v>
      </c>
      <c r="AD33" s="406">
        <f t="shared" si="16"/>
        <v>1.3443787507971308</v>
      </c>
      <c r="AE33" s="406">
        <f t="shared" si="17"/>
        <v>1.8073542255948538E-2</v>
      </c>
      <c r="AF33" s="406">
        <f t="shared" si="18"/>
        <v>9.7199999999999995E-2</v>
      </c>
      <c r="AG33" s="406">
        <f t="shared" si="19"/>
        <v>0.11560785320314639</v>
      </c>
      <c r="AH33" s="406">
        <f t="shared" si="20"/>
        <v>0</v>
      </c>
      <c r="AI33">
        <f t="shared" si="21"/>
        <v>0</v>
      </c>
      <c r="AJ33" s="407">
        <f t="shared" si="22"/>
        <v>2.3953199999999999</v>
      </c>
      <c r="AK33">
        <f t="shared" si="23"/>
        <v>9.6000000000000002E-2</v>
      </c>
      <c r="AL33" s="407">
        <f t="shared" si="24"/>
        <v>0.1215</v>
      </c>
      <c r="AM33" s="407">
        <f t="shared" si="25"/>
        <v>0.70770810810810814</v>
      </c>
      <c r="AN33" s="407">
        <f t="shared" si="42"/>
        <v>0.2175</v>
      </c>
      <c r="AO33" s="407">
        <f t="shared" si="26"/>
        <v>3.6218599348831466</v>
      </c>
      <c r="AP33">
        <f t="shared" si="27"/>
        <v>43.199999999999996</v>
      </c>
      <c r="AQ33" s="10">
        <f t="shared" si="43"/>
        <v>0.92264596195195581</v>
      </c>
      <c r="AR33" s="63">
        <f t="shared" si="28"/>
        <v>36.71942097342248</v>
      </c>
      <c r="AS33" s="63">
        <f t="shared" si="44"/>
        <v>4.6243141281258557</v>
      </c>
      <c r="AT33" s="10"/>
      <c r="AU33">
        <f t="shared" si="45"/>
        <v>92.26459619519558</v>
      </c>
      <c r="BD33">
        <v>9.9986420000000003</v>
      </c>
      <c r="BE33">
        <v>0.64549999999999996</v>
      </c>
      <c r="BF33">
        <v>5.1237300000000001</v>
      </c>
      <c r="BG33">
        <v>90.41893857119905</v>
      </c>
      <c r="BH33">
        <v>350.45848473660021</v>
      </c>
    </row>
    <row r="34" spans="1:60" x14ac:dyDescent="0.2">
      <c r="A34" s="34" t="s">
        <v>119</v>
      </c>
      <c r="B34" s="25" t="s">
        <v>201</v>
      </c>
      <c r="C34" s="34" t="s">
        <v>148</v>
      </c>
      <c r="D34" s="27" t="s">
        <v>188</v>
      </c>
      <c r="G34">
        <v>25</v>
      </c>
      <c r="H34">
        <f t="shared" si="0"/>
        <v>1.875</v>
      </c>
      <c r="I34" s="406">
        <f t="shared" si="1"/>
        <v>0.50144768761248926</v>
      </c>
      <c r="J34" s="407">
        <f t="shared" si="2"/>
        <v>2.1490615183392396</v>
      </c>
      <c r="K34" s="407">
        <f t="shared" si="31"/>
        <v>2.9495307591696198</v>
      </c>
      <c r="L34" s="407">
        <f t="shared" si="32"/>
        <v>0.80046924083038018</v>
      </c>
      <c r="M34" s="63">
        <f t="shared" si="3"/>
        <v>0</v>
      </c>
      <c r="N34" s="406">
        <f t="shared" si="4"/>
        <v>1.9749676244098822</v>
      </c>
      <c r="O34" s="406">
        <f t="shared" si="5"/>
        <v>2.3446880860584229E-2</v>
      </c>
      <c r="P34">
        <f t="shared" si="6"/>
        <v>0.2</v>
      </c>
      <c r="Q34" s="406">
        <f t="shared" si="34"/>
        <v>0.22344688086058423</v>
      </c>
      <c r="R34" s="9">
        <f t="shared" si="39"/>
        <v>0.62038062305911301</v>
      </c>
      <c r="S34" s="9">
        <f t="shared" si="7"/>
        <v>3.8487211746721328E-4</v>
      </c>
      <c r="T34" s="9">
        <f t="shared" si="40"/>
        <v>3.8487211746721328E-4</v>
      </c>
      <c r="U34" s="406">
        <f t="shared" si="8"/>
        <v>1.3985332531238268</v>
      </c>
      <c r="V34" s="408">
        <f t="shared" si="9"/>
        <v>3.9117905201862275E-3</v>
      </c>
      <c r="W34" s="406">
        <f t="shared" si="41"/>
        <v>3.9117905201862275E-3</v>
      </c>
      <c r="X34" s="406">
        <f t="shared" si="10"/>
        <v>1.3985332531238268</v>
      </c>
      <c r="Y34" s="406">
        <f t="shared" si="11"/>
        <v>0.10170655352484191</v>
      </c>
      <c r="Z34" s="406">
        <f t="shared" si="12"/>
        <v>0.19837103661656447</v>
      </c>
      <c r="AA34" s="406">
        <f t="shared" si="13"/>
        <v>0.37132800000000021</v>
      </c>
      <c r="AB34" s="406">
        <f t="shared" si="14"/>
        <v>0</v>
      </c>
      <c r="AC34" s="406">
        <f t="shared" si="15"/>
        <v>0.68677242658546456</v>
      </c>
      <c r="AD34" s="406">
        <f t="shared" si="16"/>
        <v>1.3944898197455939</v>
      </c>
      <c r="AE34" s="406">
        <f t="shared" si="17"/>
        <v>1.9446018573740991E-2</v>
      </c>
      <c r="AF34" s="406">
        <f t="shared" si="18"/>
        <v>0.10124999999999999</v>
      </c>
      <c r="AG34" s="406">
        <f t="shared" si="19"/>
        <v>0.12107271975086879</v>
      </c>
      <c r="AH34" s="406">
        <f t="shared" si="20"/>
        <v>0</v>
      </c>
      <c r="AI34">
        <f t="shared" si="21"/>
        <v>0</v>
      </c>
      <c r="AJ34" s="407">
        <f t="shared" si="22"/>
        <v>2.3951250000000002</v>
      </c>
      <c r="AK34">
        <f t="shared" si="23"/>
        <v>9.6000000000000002E-2</v>
      </c>
      <c r="AL34" s="407">
        <f t="shared" si="24"/>
        <v>0.1215</v>
      </c>
      <c r="AM34" s="407">
        <f t="shared" si="25"/>
        <v>0.70770810810810814</v>
      </c>
      <c r="AN34" s="407">
        <f t="shared" si="42"/>
        <v>0.2175</v>
      </c>
      <c r="AO34" s="407">
        <f t="shared" si="26"/>
        <v>3.6482136898345709</v>
      </c>
      <c r="AP34">
        <f t="shared" si="27"/>
        <v>45</v>
      </c>
      <c r="AQ34" s="10">
        <f t="shared" si="43"/>
        <v>0.92500827033250566</v>
      </c>
      <c r="AR34" s="63">
        <f t="shared" si="28"/>
        <v>37.772483462200547</v>
      </c>
      <c r="AS34" s="63">
        <f t="shared" si="44"/>
        <v>4.8429087900347518</v>
      </c>
      <c r="AT34" s="10"/>
      <c r="AU34">
        <f t="shared" si="45"/>
        <v>92.500827033250559</v>
      </c>
      <c r="BD34">
        <v>9.9986049999999995</v>
      </c>
      <c r="BE34">
        <v>0.83240000000000003</v>
      </c>
      <c r="BF34">
        <v>5.1231559999999998</v>
      </c>
      <c r="BG34">
        <v>91.678946361105133</v>
      </c>
      <c r="BH34">
        <v>387.05996035199956</v>
      </c>
    </row>
    <row r="35" spans="1:60" x14ac:dyDescent="0.2">
      <c r="A35" s="32" t="s">
        <v>249</v>
      </c>
      <c r="B35" s="5">
        <v>2</v>
      </c>
      <c r="C35" s="416" t="s">
        <v>135</v>
      </c>
      <c r="D35" s="31" t="s">
        <v>259</v>
      </c>
      <c r="G35">
        <v>26</v>
      </c>
      <c r="H35">
        <f t="shared" si="0"/>
        <v>1.9500000000000002</v>
      </c>
      <c r="I35" s="406">
        <f t="shared" si="1"/>
        <v>0.50150569409054202</v>
      </c>
      <c r="J35" s="407">
        <f t="shared" si="2"/>
        <v>2.1493101175308946</v>
      </c>
      <c r="K35" s="407">
        <f t="shared" si="31"/>
        <v>3.0246550587654477</v>
      </c>
      <c r="L35" s="407">
        <f t="shared" si="32"/>
        <v>0.87534494123455286</v>
      </c>
      <c r="M35" s="63">
        <f t="shared" si="3"/>
        <v>0</v>
      </c>
      <c r="N35" s="406">
        <f t="shared" si="4"/>
        <v>2.0463287040722604</v>
      </c>
      <c r="O35" s="406">
        <f t="shared" si="5"/>
        <v>2.517536901308896E-2</v>
      </c>
      <c r="P35">
        <f t="shared" si="6"/>
        <v>0.2</v>
      </c>
      <c r="Q35" s="406">
        <f t="shared" si="34"/>
        <v>0.22517536901308896</v>
      </c>
      <c r="R35" s="9">
        <f t="shared" si="39"/>
        <v>0.62045238746422415</v>
      </c>
      <c r="S35" s="9">
        <f t="shared" si="7"/>
        <v>3.8496116511005574E-4</v>
      </c>
      <c r="T35" s="9">
        <f t="shared" si="40"/>
        <v>3.8496116511005574E-4</v>
      </c>
      <c r="U35" s="406">
        <f t="shared" si="8"/>
        <v>1.4491499639739527</v>
      </c>
      <c r="V35" s="408">
        <f t="shared" si="9"/>
        <v>4.2000712361714172E-3</v>
      </c>
      <c r="W35" s="406">
        <f t="shared" si="41"/>
        <v>4.2000712361714172E-3</v>
      </c>
      <c r="X35" s="406">
        <f t="shared" si="10"/>
        <v>1.4491499639739527</v>
      </c>
      <c r="Y35" s="406">
        <f t="shared" si="11"/>
        <v>0.10920185214045684</v>
      </c>
      <c r="Z35" s="406">
        <f t="shared" si="12"/>
        <v>0.20883140404468975</v>
      </c>
      <c r="AA35" s="406">
        <f t="shared" si="13"/>
        <v>0.37132800000000021</v>
      </c>
      <c r="AB35" s="406">
        <f t="shared" si="14"/>
        <v>0</v>
      </c>
      <c r="AC35" s="406">
        <f t="shared" si="15"/>
        <v>0.70633042615212016</v>
      </c>
      <c r="AD35" s="406">
        <f t="shared" si="16"/>
        <v>1.4447925619355699</v>
      </c>
      <c r="AE35" s="406">
        <f t="shared" si="17"/>
        <v>2.0874255470243477E-2</v>
      </c>
      <c r="AF35" s="406">
        <f t="shared" si="18"/>
        <v>0.1053</v>
      </c>
      <c r="AG35" s="406">
        <f t="shared" si="19"/>
        <v>0.12659707461862341</v>
      </c>
      <c r="AH35" s="406">
        <f t="shared" si="20"/>
        <v>0</v>
      </c>
      <c r="AI35">
        <f t="shared" si="21"/>
        <v>0</v>
      </c>
      <c r="AJ35" s="407">
        <f t="shared" si="22"/>
        <v>2.39493</v>
      </c>
      <c r="AK35">
        <f t="shared" si="23"/>
        <v>9.6000000000000002E-2</v>
      </c>
      <c r="AL35" s="407">
        <f t="shared" si="24"/>
        <v>0.1215</v>
      </c>
      <c r="AM35" s="407">
        <f t="shared" si="25"/>
        <v>0.70770810810810814</v>
      </c>
      <c r="AN35" s="407">
        <f t="shared" si="42"/>
        <v>0.2175</v>
      </c>
      <c r="AO35" s="407">
        <f t="shared" si="26"/>
        <v>3.6751179021851139</v>
      </c>
      <c r="AP35">
        <f t="shared" si="27"/>
        <v>46.800000000000004</v>
      </c>
      <c r="AQ35" s="10">
        <f t="shared" si="43"/>
        <v>0.92718951327053734</v>
      </c>
      <c r="AR35" s="63">
        <f t="shared" si="28"/>
        <v>38.848173438366608</v>
      </c>
      <c r="AS35" s="63">
        <f t="shared" si="44"/>
        <v>5.0638829847449358</v>
      </c>
      <c r="AT35" s="10"/>
      <c r="AU35">
        <f t="shared" si="45"/>
        <v>92.71895132705373</v>
      </c>
      <c r="BD35">
        <v>9.9986049999999995</v>
      </c>
      <c r="BE35">
        <v>1.0528999999999999</v>
      </c>
      <c r="BF35">
        <v>5.1218219999999999</v>
      </c>
      <c r="BG35">
        <v>92.889938966292178</v>
      </c>
      <c r="BH35">
        <v>412.77762981700039</v>
      </c>
    </row>
    <row r="36" spans="1:60" x14ac:dyDescent="0.2">
      <c r="A36" s="34" t="s">
        <v>129</v>
      </c>
      <c r="B36" s="25" t="s">
        <v>201</v>
      </c>
      <c r="C36" s="34" t="s">
        <v>148</v>
      </c>
      <c r="D36" s="27" t="s">
        <v>188</v>
      </c>
      <c r="G36">
        <v>27</v>
      </c>
      <c r="H36">
        <f t="shared" si="0"/>
        <v>2.0250000000000004</v>
      </c>
      <c r="I36" s="406">
        <f t="shared" si="1"/>
        <v>0.50156370819545881</v>
      </c>
      <c r="J36" s="407">
        <f t="shared" si="2"/>
        <v>2.1495587494091093</v>
      </c>
      <c r="K36" s="407">
        <f t="shared" si="31"/>
        <v>3.0997793747045552</v>
      </c>
      <c r="L36" s="407">
        <f t="shared" si="32"/>
        <v>0.95022062529544571</v>
      </c>
      <c r="M36" s="63">
        <f t="shared" si="3"/>
        <v>0</v>
      </c>
      <c r="N36" s="406">
        <f t="shared" si="4"/>
        <v>2.1179412727371454</v>
      </c>
      <c r="O36" s="406">
        <f t="shared" si="5"/>
        <v>2.697212574288806E-2</v>
      </c>
      <c r="P36">
        <f t="shared" si="6"/>
        <v>0.2</v>
      </c>
      <c r="Q36" s="406">
        <f t="shared" si="34"/>
        <v>0.22697212574288808</v>
      </c>
      <c r="R36" s="9">
        <f t="shared" si="39"/>
        <v>0.62052416130513233</v>
      </c>
      <c r="S36" s="9">
        <f t="shared" si="7"/>
        <v>3.8505023476343786E-4</v>
      </c>
      <c r="T36" s="9">
        <f t="shared" si="40"/>
        <v>3.8505023476343786E-4</v>
      </c>
      <c r="U36" s="406">
        <f t="shared" si="8"/>
        <v>1.4999506340238287</v>
      </c>
      <c r="V36" s="408">
        <f t="shared" si="9"/>
        <v>4.4997038090169713E-3</v>
      </c>
      <c r="W36" s="406">
        <f t="shared" si="41"/>
        <v>4.4997038090169713E-3</v>
      </c>
      <c r="X36" s="406">
        <f t="shared" si="10"/>
        <v>1.4999506340238287</v>
      </c>
      <c r="Y36" s="406">
        <f t="shared" si="11"/>
        <v>0.11699229903444124</v>
      </c>
      <c r="Z36" s="406">
        <f t="shared" si="12"/>
        <v>0.21929177050971813</v>
      </c>
      <c r="AA36" s="406">
        <f t="shared" si="13"/>
        <v>0.37132800000000021</v>
      </c>
      <c r="AB36" s="406">
        <f t="shared" si="14"/>
        <v>0</v>
      </c>
      <c r="AC36" s="406">
        <f t="shared" si="15"/>
        <v>0.72630595429104039</v>
      </c>
      <c r="AD36" s="406">
        <f t="shared" si="16"/>
        <v>1.4952669762470356</v>
      </c>
      <c r="AE36" s="406">
        <f t="shared" si="17"/>
        <v>2.2358233302549532E-2</v>
      </c>
      <c r="AF36" s="406">
        <f t="shared" si="18"/>
        <v>0.10935000000000002</v>
      </c>
      <c r="AG36" s="406">
        <f t="shared" si="19"/>
        <v>0.13218108699554651</v>
      </c>
      <c r="AH36" s="406">
        <f t="shared" si="20"/>
        <v>0</v>
      </c>
      <c r="AI36">
        <f t="shared" si="21"/>
        <v>0</v>
      </c>
      <c r="AJ36" s="407">
        <f t="shared" si="22"/>
        <v>2.3947349999999998</v>
      </c>
      <c r="AK36">
        <f t="shared" si="23"/>
        <v>9.6000000000000002E-2</v>
      </c>
      <c r="AL36" s="407">
        <f t="shared" si="24"/>
        <v>0.1215</v>
      </c>
      <c r="AM36" s="407">
        <f t="shared" si="25"/>
        <v>0.70770810810810814</v>
      </c>
      <c r="AN36" s="407">
        <f t="shared" si="42"/>
        <v>0.2175</v>
      </c>
      <c r="AO36" s="407">
        <f t="shared" si="26"/>
        <v>3.7025789210732549</v>
      </c>
      <c r="AP36">
        <f t="shared" si="27"/>
        <v>48.600000000000009</v>
      </c>
      <c r="AQ36" s="10">
        <f t="shared" si="43"/>
        <v>0.92920848268953238</v>
      </c>
      <c r="AR36" s="63">
        <f t="shared" si="28"/>
        <v>39.946827486007223</v>
      </c>
      <c r="AS36" s="63">
        <f t="shared" si="44"/>
        <v>5.2872434798218606</v>
      </c>
      <c r="AT36" s="10"/>
      <c r="AU36">
        <f t="shared" si="45"/>
        <v>92.920848268953236</v>
      </c>
      <c r="BD36">
        <v>9.9986669999999993</v>
      </c>
      <c r="BE36">
        <v>1.3092999999999999</v>
      </c>
      <c r="BF36">
        <v>5.1195649999999997</v>
      </c>
      <c r="BG36">
        <v>93.690364214923264</v>
      </c>
      <c r="BH36">
        <v>451.42072788069993</v>
      </c>
    </row>
    <row r="37" spans="1:60" x14ac:dyDescent="0.2">
      <c r="A37" s="33" t="s">
        <v>142</v>
      </c>
      <c r="B37" s="5">
        <f>RdsonTop*1000</f>
        <v>52</v>
      </c>
      <c r="C37" s="416" t="s">
        <v>613</v>
      </c>
      <c r="D37" s="31" t="s">
        <v>194</v>
      </c>
      <c r="G37">
        <v>28</v>
      </c>
      <c r="H37">
        <f t="shared" si="0"/>
        <v>2.1</v>
      </c>
      <c r="I37" s="406">
        <f t="shared" si="1"/>
        <v>0.5016217299287441</v>
      </c>
      <c r="J37" s="407">
        <f t="shared" si="2"/>
        <v>2.1498074139803318</v>
      </c>
      <c r="K37" s="407">
        <f t="shared" si="31"/>
        <v>3.174903706990166</v>
      </c>
      <c r="L37" s="407">
        <f t="shared" si="32"/>
        <v>1.0250962930098342</v>
      </c>
      <c r="M37" s="63">
        <f t="shared" si="3"/>
        <v>0</v>
      </c>
      <c r="N37" s="406">
        <f t="shared" si="4"/>
        <v>2.1897806571512439</v>
      </c>
      <c r="O37" s="406">
        <f t="shared" si="5"/>
        <v>2.8837209608775036E-2</v>
      </c>
      <c r="P37">
        <f t="shared" si="6"/>
        <v>0.2</v>
      </c>
      <c r="Q37" s="406">
        <f t="shared" si="34"/>
        <v>0.22883720960877504</v>
      </c>
      <c r="R37" s="9">
        <f t="shared" si="39"/>
        <v>0.62059594458369893</v>
      </c>
      <c r="S37" s="9">
        <f t="shared" si="7"/>
        <v>3.8513932643373351E-4</v>
      </c>
      <c r="T37" s="9">
        <f t="shared" si="40"/>
        <v>3.8513932643373351E-4</v>
      </c>
      <c r="U37" s="406">
        <f t="shared" si="8"/>
        <v>1.5509178199295546</v>
      </c>
      <c r="V37" s="408">
        <f t="shared" si="9"/>
        <v>4.8106921683500848E-3</v>
      </c>
      <c r="W37" s="406">
        <f t="shared" si="41"/>
        <v>4.8106921683500848E-3</v>
      </c>
      <c r="X37" s="406">
        <f t="shared" si="10"/>
        <v>1.5509178199295546</v>
      </c>
      <c r="Y37" s="406">
        <f t="shared" si="11"/>
        <v>0.12507799637710218</v>
      </c>
      <c r="Z37" s="406">
        <f t="shared" si="12"/>
        <v>0.22975213601145952</v>
      </c>
      <c r="AA37" s="406">
        <f t="shared" si="13"/>
        <v>0.37132800000000021</v>
      </c>
      <c r="AB37" s="406">
        <f t="shared" si="14"/>
        <v>0</v>
      </c>
      <c r="AC37" s="406">
        <f t="shared" si="15"/>
        <v>0.74670534216666451</v>
      </c>
      <c r="AD37" s="406">
        <f t="shared" si="16"/>
        <v>1.5458956116952696</v>
      </c>
      <c r="AE37" s="406">
        <f t="shared" si="17"/>
        <v>2.3897932422586921E-2</v>
      </c>
      <c r="AF37" s="406">
        <f t="shared" si="18"/>
        <v>0.1134</v>
      </c>
      <c r="AG37" s="406">
        <f t="shared" si="19"/>
        <v>0.13782492935825916</v>
      </c>
      <c r="AH37" s="406">
        <f t="shared" si="20"/>
        <v>0</v>
      </c>
      <c r="AI37">
        <f t="shared" si="21"/>
        <v>0</v>
      </c>
      <c r="AJ37" s="407">
        <f t="shared" si="22"/>
        <v>2.3945399999999997</v>
      </c>
      <c r="AK37">
        <f t="shared" si="23"/>
        <v>9.6000000000000002E-2</v>
      </c>
      <c r="AL37" s="407">
        <f t="shared" si="24"/>
        <v>0.1215</v>
      </c>
      <c r="AM37" s="407">
        <f t="shared" si="25"/>
        <v>0.70770810810810814</v>
      </c>
      <c r="AN37" s="407">
        <f t="shared" si="42"/>
        <v>0.2175</v>
      </c>
      <c r="AO37" s="407">
        <f t="shared" si="26"/>
        <v>3.7306033126284817</v>
      </c>
      <c r="AP37">
        <f t="shared" si="27"/>
        <v>50.400000000000006</v>
      </c>
      <c r="AQ37" s="10">
        <f t="shared" si="43"/>
        <v>0.93108143851487157</v>
      </c>
      <c r="AR37" s="63">
        <f t="shared" si="28"/>
        <v>41.068793819166551</v>
      </c>
      <c r="AS37" s="63">
        <f t="shared" si="44"/>
        <v>5.5129971743303665</v>
      </c>
      <c r="AT37" s="10"/>
      <c r="AU37">
        <f t="shared" si="45"/>
        <v>93.108143851487156</v>
      </c>
      <c r="BD37">
        <v>9.9985429999999997</v>
      </c>
      <c r="BE37">
        <v>1.6020000000000001</v>
      </c>
      <c r="BF37">
        <v>5.1182809999999996</v>
      </c>
      <c r="BG37">
        <v>93.864473327748414</v>
      </c>
      <c r="BH37">
        <v>535.96589716749952</v>
      </c>
    </row>
    <row r="38" spans="1:60" x14ac:dyDescent="0.2">
      <c r="A38" s="32" t="s">
        <v>152</v>
      </c>
      <c r="B38" s="5">
        <v>4500</v>
      </c>
      <c r="C38" s="416" t="s">
        <v>614</v>
      </c>
      <c r="D38" s="31" t="s">
        <v>193</v>
      </c>
      <c r="G38">
        <v>29</v>
      </c>
      <c r="H38">
        <f t="shared" si="0"/>
        <v>2.1749999999999998</v>
      </c>
      <c r="I38" s="406">
        <f t="shared" si="1"/>
        <v>0.50167975929190245</v>
      </c>
      <c r="J38" s="407">
        <f t="shared" si="2"/>
        <v>2.1500561112510108</v>
      </c>
      <c r="K38" s="407">
        <f t="shared" si="31"/>
        <v>3.2500280556255055</v>
      </c>
      <c r="L38" s="407">
        <f t="shared" si="32"/>
        <v>1.0999719443744944</v>
      </c>
      <c r="M38" s="63">
        <f t="shared" si="3"/>
        <v>0</v>
      </c>
      <c r="N38" s="406">
        <f t="shared" si="4"/>
        <v>2.2618252452670426</v>
      </c>
      <c r="O38" s="406">
        <f t="shared" si="5"/>
        <v>3.0770681423042207E-2</v>
      </c>
      <c r="P38">
        <f t="shared" si="6"/>
        <v>0.2</v>
      </c>
      <c r="Q38" s="406">
        <f t="shared" si="34"/>
        <v>0.23077068142304222</v>
      </c>
      <c r="R38" s="9">
        <f t="shared" si="39"/>
        <v>0.62066773730178559</v>
      </c>
      <c r="S38" s="9">
        <f t="shared" si="7"/>
        <v>3.8522844012731832E-4</v>
      </c>
      <c r="T38" s="9">
        <f t="shared" si="40"/>
        <v>3.8522844012731832E-4</v>
      </c>
      <c r="U38" s="406">
        <f t="shared" si="8"/>
        <v>1.6020362425412615</v>
      </c>
      <c r="V38" s="408">
        <f t="shared" si="9"/>
        <v>5.1330402448314478E-3</v>
      </c>
      <c r="W38" s="406">
        <f t="shared" si="41"/>
        <v>5.1330402448314478E-3</v>
      </c>
      <c r="X38" s="406">
        <f t="shared" si="10"/>
        <v>1.6020362425412615</v>
      </c>
      <c r="Y38" s="406">
        <f t="shared" si="11"/>
        <v>0.13345904636561765</v>
      </c>
      <c r="Z38" s="406">
        <f t="shared" si="12"/>
        <v>0.24021250054972404</v>
      </c>
      <c r="AA38" s="406">
        <f t="shared" si="13"/>
        <v>0.37132800000000021</v>
      </c>
      <c r="AB38" s="406">
        <f t="shared" si="14"/>
        <v>0</v>
      </c>
      <c r="AC38" s="406">
        <f t="shared" si="15"/>
        <v>0.76753513859821443</v>
      </c>
      <c r="AD38" s="406">
        <f t="shared" si="16"/>
        <v>1.5966631822997592</v>
      </c>
      <c r="AE38" s="406">
        <f t="shared" si="17"/>
        <v>2.5493333177115943E-2</v>
      </c>
      <c r="AF38" s="406">
        <f t="shared" si="18"/>
        <v>0.11744999999999998</v>
      </c>
      <c r="AG38" s="406">
        <f t="shared" si="19"/>
        <v>0.14352877748831816</v>
      </c>
      <c r="AH38" s="406">
        <f t="shared" si="20"/>
        <v>0</v>
      </c>
      <c r="AI38">
        <f t="shared" si="21"/>
        <v>0</v>
      </c>
      <c r="AJ38" s="407">
        <f t="shared" si="22"/>
        <v>2.3943449999999995</v>
      </c>
      <c r="AK38">
        <f t="shared" si="23"/>
        <v>9.6000000000000002E-2</v>
      </c>
      <c r="AL38" s="407">
        <f t="shared" si="24"/>
        <v>0.1215</v>
      </c>
      <c r="AM38" s="407">
        <f t="shared" si="25"/>
        <v>0.70770810810810814</v>
      </c>
      <c r="AN38" s="407">
        <f t="shared" si="42"/>
        <v>0.2175</v>
      </c>
      <c r="AO38" s="407">
        <f t="shared" si="26"/>
        <v>3.7591978661945329</v>
      </c>
      <c r="AP38">
        <f t="shared" si="27"/>
        <v>52.199999999999996</v>
      </c>
      <c r="AQ38" s="10">
        <f t="shared" si="43"/>
        <v>0.93282252052319892</v>
      </c>
      <c r="AR38" s="63">
        <f t="shared" si="28"/>
        <v>42.214432622901796</v>
      </c>
      <c r="AS38" s="63">
        <f t="shared" si="44"/>
        <v>5.7411510995327264</v>
      </c>
      <c r="AT38" s="10"/>
      <c r="AU38">
        <f t="shared" si="45"/>
        <v>93.28225205231989</v>
      </c>
      <c r="BD38">
        <v>9.9985429999999997</v>
      </c>
      <c r="BE38">
        <v>1.9350000000000001</v>
      </c>
      <c r="BF38">
        <v>5.117146</v>
      </c>
      <c r="BG38">
        <v>94.224527198076927</v>
      </c>
      <c r="BH38">
        <v>606.92116405899924</v>
      </c>
    </row>
    <row r="39" spans="1:60" x14ac:dyDescent="0.2">
      <c r="A39" s="33" t="s">
        <v>141</v>
      </c>
      <c r="B39" s="5">
        <f>QgTop*1000000000</f>
        <v>3.2</v>
      </c>
      <c r="C39" s="416" t="s">
        <v>136</v>
      </c>
      <c r="D39" s="31" t="s">
        <v>180</v>
      </c>
      <c r="G39">
        <v>30</v>
      </c>
      <c r="H39">
        <f t="shared" si="0"/>
        <v>2.25</v>
      </c>
      <c r="I39" s="406">
        <f t="shared" si="1"/>
        <v>0.50173779628643889</v>
      </c>
      <c r="J39" s="407">
        <f t="shared" si="2"/>
        <v>2.1503048412275954</v>
      </c>
      <c r="K39" s="407">
        <f t="shared" si="31"/>
        <v>3.3251524206137977</v>
      </c>
      <c r="L39" s="407">
        <f t="shared" si="32"/>
        <v>1.1748475793862023</v>
      </c>
      <c r="M39" s="63">
        <f t="shared" si="3"/>
        <v>0</v>
      </c>
      <c r="N39" s="406">
        <f t="shared" si="4"/>
        <v>2.3340560352850508</v>
      </c>
      <c r="O39" s="406">
        <f t="shared" si="5"/>
        <v>3.2772604256451274E-2</v>
      </c>
      <c r="P39">
        <f t="shared" si="6"/>
        <v>0.2</v>
      </c>
      <c r="Q39" s="406">
        <f t="shared" si="34"/>
        <v>0.2327726042564513</v>
      </c>
      <c r="R39" s="9">
        <f t="shared" si="39"/>
        <v>0.62073953946125382</v>
      </c>
      <c r="S39" s="9">
        <f t="shared" si="7"/>
        <v>3.8531757585056947E-4</v>
      </c>
      <c r="T39" s="9">
        <f t="shared" si="40"/>
        <v>3.8531757585056947E-4</v>
      </c>
      <c r="U39" s="406">
        <f t="shared" si="8"/>
        <v>1.6532924681004855</v>
      </c>
      <c r="V39" s="408">
        <f t="shared" si="9"/>
        <v>5.4667519701555893E-3</v>
      </c>
      <c r="W39" s="406">
        <f t="shared" si="41"/>
        <v>5.4667519701555893E-3</v>
      </c>
      <c r="X39" s="406">
        <f t="shared" si="10"/>
        <v>1.6532924681004855</v>
      </c>
      <c r="Y39" s="406">
        <f t="shared" si="11"/>
        <v>0.14213555122404531</v>
      </c>
      <c r="Z39" s="406">
        <f t="shared" si="12"/>
        <v>0.25067286412432171</v>
      </c>
      <c r="AA39" s="406">
        <f t="shared" si="13"/>
        <v>0.37132800000000021</v>
      </c>
      <c r="AB39" s="406">
        <f t="shared" si="14"/>
        <v>0</v>
      </c>
      <c r="AC39" s="406">
        <f t="shared" si="15"/>
        <v>0.78880211654971455</v>
      </c>
      <c r="AD39" s="406">
        <f t="shared" si="16"/>
        <v>1.6475562481362438</v>
      </c>
      <c r="AE39" s="406">
        <f t="shared" si="17"/>
        <v>2.7144415907727759E-2</v>
      </c>
      <c r="AF39" s="406">
        <f t="shared" si="18"/>
        <v>0.1215</v>
      </c>
      <c r="AG39" s="406">
        <f t="shared" si="19"/>
        <v>0.14929281049012416</v>
      </c>
      <c r="AH39" s="406">
        <f t="shared" si="20"/>
        <v>0</v>
      </c>
      <c r="AI39">
        <f t="shared" si="21"/>
        <v>0</v>
      </c>
      <c r="AJ39" s="407">
        <f t="shared" si="22"/>
        <v>2.3941499999999998</v>
      </c>
      <c r="AK39">
        <f t="shared" si="23"/>
        <v>9.6000000000000002E-2</v>
      </c>
      <c r="AL39" s="407">
        <f t="shared" si="24"/>
        <v>0.1215</v>
      </c>
      <c r="AM39" s="407">
        <f t="shared" si="25"/>
        <v>0.70770810810810814</v>
      </c>
      <c r="AN39" s="407">
        <f t="shared" si="42"/>
        <v>0.2175</v>
      </c>
      <c r="AO39" s="407">
        <f t="shared" si="26"/>
        <v>3.7883696008422958</v>
      </c>
      <c r="AP39">
        <f t="shared" si="27"/>
        <v>54</v>
      </c>
      <c r="AQ39" s="10">
        <f t="shared" si="43"/>
        <v>0.93444408231259257</v>
      </c>
      <c r="AR39" s="63">
        <f t="shared" si="28"/>
        <v>43.384116410234299</v>
      </c>
      <c r="AS39" s="63">
        <f t="shared" si="44"/>
        <v>5.971712419604966</v>
      </c>
      <c r="AT39" s="10"/>
      <c r="AU39">
        <f t="shared" si="45"/>
        <v>93.44440823125926</v>
      </c>
      <c r="BD39">
        <v>9.9985060000000008</v>
      </c>
      <c r="BE39">
        <v>2.31</v>
      </c>
      <c r="BF39">
        <v>5.1166349999999996</v>
      </c>
      <c r="BG39">
        <v>94.492663502717292</v>
      </c>
      <c r="BH39">
        <v>688.87413060200208</v>
      </c>
    </row>
    <row r="40" spans="1:60" x14ac:dyDescent="0.2">
      <c r="A40" s="33" t="s">
        <v>218</v>
      </c>
      <c r="B40" s="5">
        <f>QgdTop*1000000000</f>
        <v>0.8</v>
      </c>
      <c r="C40" s="416" t="s">
        <v>136</v>
      </c>
      <c r="D40" s="31" t="s">
        <v>219</v>
      </c>
      <c r="G40">
        <v>31</v>
      </c>
      <c r="H40">
        <f t="shared" si="0"/>
        <v>2.3250000000000002</v>
      </c>
      <c r="I40" s="406">
        <f t="shared" si="1"/>
        <v>0.5017958409138592</v>
      </c>
      <c r="J40" s="407">
        <f t="shared" si="2"/>
        <v>2.1505536039165394</v>
      </c>
      <c r="K40" s="407">
        <f t="shared" si="31"/>
        <v>3.4002768019582699</v>
      </c>
      <c r="L40" s="407">
        <f t="shared" si="32"/>
        <v>1.2497231980417305</v>
      </c>
      <c r="M40" s="63">
        <f t="shared" si="3"/>
        <v>0</v>
      </c>
      <c r="N40" s="406">
        <f t="shared" si="4"/>
        <v>2.4064562604813471</v>
      </c>
      <c r="O40" s="406">
        <f t="shared" si="5"/>
        <v>3.4843043443391807E-2</v>
      </c>
      <c r="P40">
        <f t="shared" si="6"/>
        <v>0.2</v>
      </c>
      <c r="Q40" s="406">
        <f t="shared" si="34"/>
        <v>0.23484304344339182</v>
      </c>
      <c r="R40" s="9">
        <f t="shared" si="39"/>
        <v>0.6208113510639669</v>
      </c>
      <c r="S40" s="9">
        <f t="shared" si="7"/>
        <v>3.8540673360986792E-4</v>
      </c>
      <c r="T40" s="9">
        <f t="shared" si="40"/>
        <v>3.8540673360986792E-4</v>
      </c>
      <c r="U40" s="406">
        <f t="shared" si="8"/>
        <v>1.704674643011272</v>
      </c>
      <c r="V40" s="408">
        <f t="shared" si="9"/>
        <v>5.8118312770512152E-3</v>
      </c>
      <c r="W40" s="406">
        <f t="shared" si="41"/>
        <v>5.8118312770512152E-3</v>
      </c>
      <c r="X40" s="406">
        <f t="shared" si="10"/>
        <v>1.704674643011272</v>
      </c>
      <c r="Y40" s="406">
        <f t="shared" si="11"/>
        <v>0.1511076132033316</v>
      </c>
      <c r="Z40" s="406">
        <f t="shared" si="12"/>
        <v>0.26113322673506223</v>
      </c>
      <c r="AA40" s="406">
        <f t="shared" si="13"/>
        <v>0.37132800000000021</v>
      </c>
      <c r="AB40" s="406">
        <f t="shared" si="14"/>
        <v>0</v>
      </c>
      <c r="AC40" s="406">
        <f t="shared" si="15"/>
        <v>0.81051327992209277</v>
      </c>
      <c r="AD40" s="406">
        <f t="shared" si="16"/>
        <v>1.6985629499916277</v>
      </c>
      <c r="AE40" s="406">
        <f t="shared" si="17"/>
        <v>2.885116095084261E-2</v>
      </c>
      <c r="AF40" s="406">
        <f t="shared" si="18"/>
        <v>0.12554999999999999</v>
      </c>
      <c r="AG40" s="406">
        <f t="shared" si="19"/>
        <v>0.15511721080929136</v>
      </c>
      <c r="AH40" s="406">
        <f t="shared" si="20"/>
        <v>0</v>
      </c>
      <c r="AI40">
        <f t="shared" si="21"/>
        <v>0</v>
      </c>
      <c r="AJ40" s="407">
        <f t="shared" si="22"/>
        <v>2.3939550000000001</v>
      </c>
      <c r="AK40">
        <f t="shared" si="23"/>
        <v>9.6000000000000002E-2</v>
      </c>
      <c r="AL40" s="407">
        <f t="shared" si="24"/>
        <v>0.1215</v>
      </c>
      <c r="AM40" s="407">
        <f t="shared" si="25"/>
        <v>0.70770810810810814</v>
      </c>
      <c r="AN40" s="407">
        <f t="shared" si="42"/>
        <v>0.2175</v>
      </c>
      <c r="AO40" s="407">
        <f t="shared" si="26"/>
        <v>3.8181257721854371</v>
      </c>
      <c r="AP40">
        <f t="shared" si="27"/>
        <v>55.800000000000004</v>
      </c>
      <c r="AQ40" s="10">
        <f t="shared" si="43"/>
        <v>0.93595696404856177</v>
      </c>
      <c r="AR40" s="63">
        <f t="shared" si="28"/>
        <v>44.578230395715103</v>
      </c>
      <c r="AS40" s="63">
        <f t="shared" si="44"/>
        <v>6.204688432371654</v>
      </c>
      <c r="AT40" s="10"/>
      <c r="AU40">
        <f t="shared" si="45"/>
        <v>93.59569640485617</v>
      </c>
      <c r="BD40">
        <v>9.9984319999999993</v>
      </c>
      <c r="BE40">
        <v>2.7269999999999999</v>
      </c>
      <c r="BF40">
        <v>5.115812</v>
      </c>
      <c r="BG40">
        <v>94.558770424517263</v>
      </c>
      <c r="BH40">
        <v>802.77694931200062</v>
      </c>
    </row>
    <row r="41" spans="1:60" x14ac:dyDescent="0.2">
      <c r="A41" s="33" t="s">
        <v>236</v>
      </c>
      <c r="B41" s="5">
        <f>QgsTop*1000000000</f>
        <v>1.6</v>
      </c>
      <c r="C41" s="416" t="s">
        <v>136</v>
      </c>
      <c r="D41" s="416" t="s">
        <v>713</v>
      </c>
      <c r="G41">
        <v>32</v>
      </c>
      <c r="H41">
        <f t="shared" si="0"/>
        <v>2.4</v>
      </c>
      <c r="I41" s="406">
        <f t="shared" si="1"/>
        <v>0.50185389317566886</v>
      </c>
      <c r="J41" s="407">
        <f t="shared" si="2"/>
        <v>2.1508023993242951</v>
      </c>
      <c r="K41" s="407">
        <f t="shared" si="31"/>
        <v>3.4754011996621474</v>
      </c>
      <c r="L41" s="407">
        <f t="shared" si="32"/>
        <v>1.3245988003378524</v>
      </c>
      <c r="M41" s="63">
        <f t="shared" si="3"/>
        <v>0</v>
      </c>
      <c r="N41" s="406">
        <f t="shared" ref="N41:N72" si="46">SQRT(H41^2+(J41^2)/12)</f>
        <v>2.4790110756936112</v>
      </c>
      <c r="O41" s="406">
        <f t="shared" si="5"/>
        <v>3.6982066587228614E-2</v>
      </c>
      <c r="P41">
        <f t="shared" si="6"/>
        <v>0.2</v>
      </c>
      <c r="Q41" s="406">
        <f t="shared" si="34"/>
        <v>0.23698206658722862</v>
      </c>
      <c r="R41" s="9">
        <f t="shared" si="39"/>
        <v>0.62088317211178745</v>
      </c>
      <c r="S41" s="9">
        <f t="shared" si="7"/>
        <v>3.8549591341159551E-4</v>
      </c>
      <c r="T41" s="9">
        <f t="shared" si="40"/>
        <v>3.8549591341159551E-4</v>
      </c>
      <c r="U41" s="406">
        <f t="shared" ref="U41:U72" si="47">SQRT(I41)*SQRT(H41^2+(J41^2)/12)</f>
        <v>1.7561722721990496</v>
      </c>
      <c r="V41" s="408">
        <f t="shared" si="9"/>
        <v>6.1682820992815454E-3</v>
      </c>
      <c r="W41" s="406">
        <f t="shared" si="41"/>
        <v>6.1682820992815454E-3</v>
      </c>
      <c r="X41" s="406">
        <f t="shared" ref="X41:X72" si="48">SQRT(I41)*SQRT(H41^2+(J41^2)/12)</f>
        <v>1.7561722721990496</v>
      </c>
      <c r="Y41" s="406">
        <f t="shared" si="11"/>
        <v>0.16037533458132017</v>
      </c>
      <c r="Z41" s="406">
        <f t="shared" si="12"/>
        <v>0.27159358838175551</v>
      </c>
      <c r="AA41" s="406">
        <f t="shared" si="13"/>
        <v>0.37132800000000021</v>
      </c>
      <c r="AB41" s="406">
        <f t="shared" si="14"/>
        <v>0</v>
      </c>
      <c r="AC41" s="406">
        <f t="shared" ref="AC41:AC72" si="49">(AB41+AA41+Z41+Y41*(1+RdsonTopTc*Ta-RdsonTopTc*25))/(1-Y41*RdsonTopTc*ThetaJaTop)</f>
        <v>0.83267587066119364</v>
      </c>
      <c r="AD41" s="406">
        <f t="shared" ref="AD41:AD72" si="50">SQRT(1-I41)*SQRT(H41^2+(J41^2)/12)</f>
        <v>1.7496727876293965</v>
      </c>
      <c r="AE41" s="406">
        <f t="shared" si="17"/>
        <v>3.0613548637708231E-2</v>
      </c>
      <c r="AF41" s="406">
        <f t="shared" si="18"/>
        <v>0.12959999999999999</v>
      </c>
      <c r="AG41" s="406">
        <f t="shared" ref="AG41:AG72" si="51">(AF41+AE41*(1+RdsonBotTc*Ta-RdsonBotTc*25))/(1-AE41*RdsonBotTc*ThetaJaBot)</f>
        <v>0.16100216425148248</v>
      </c>
      <c r="AH41" s="406">
        <f t="shared" ref="AH41:AH72" si="52">IF(RDSON_sense=1, 0, AD41^2*Rshunt)</f>
        <v>0</v>
      </c>
      <c r="AI41">
        <f t="shared" si="21"/>
        <v>0</v>
      </c>
      <c r="AJ41" s="407">
        <f t="shared" si="22"/>
        <v>2.3937599999999999</v>
      </c>
      <c r="AK41">
        <f t="shared" si="23"/>
        <v>9.6000000000000002E-2</v>
      </c>
      <c r="AL41" s="407">
        <f t="shared" si="24"/>
        <v>0.1215</v>
      </c>
      <c r="AM41" s="407">
        <f t="shared" si="25"/>
        <v>0.70770810810810814</v>
      </c>
      <c r="AN41" s="407">
        <f t="shared" si="42"/>
        <v>0.2175</v>
      </c>
      <c r="AO41" s="407">
        <f t="shared" ref="AO41:AO72" si="53">SUM(Q41,T41,W41,AC41,AJ41,AI41,AG41,AN41, AH41)</f>
        <v>3.8484738795125977</v>
      </c>
      <c r="AP41">
        <f t="shared" si="27"/>
        <v>57.599999999999994</v>
      </c>
      <c r="AQ41" s="10">
        <f t="shared" si="43"/>
        <v>0.93737071669088745</v>
      </c>
      <c r="AR41" s="63">
        <f t="shared" ref="AR41:AR72" si="54">ThetaJaTop*AC41</f>
        <v>45.797172886365651</v>
      </c>
      <c r="AS41" s="63">
        <f t="shared" si="44"/>
        <v>6.4400865700592993</v>
      </c>
      <c r="AT41" s="10"/>
      <c r="AU41">
        <f t="shared" si="45"/>
        <v>93.737071669088749</v>
      </c>
      <c r="BD41">
        <v>9.9985180000000007</v>
      </c>
      <c r="BE41">
        <v>3.1859999999999999</v>
      </c>
      <c r="BF41">
        <v>5.1148889999999998</v>
      </c>
      <c r="BG41">
        <v>94.58411932633652</v>
      </c>
      <c r="BH41">
        <v>933.10990806000302</v>
      </c>
    </row>
    <row r="42" spans="1:60" x14ac:dyDescent="0.2">
      <c r="A42" s="33" t="s">
        <v>168</v>
      </c>
      <c r="B42" s="5">
        <f>RGateTop</f>
        <v>4.5999999999999996</v>
      </c>
      <c r="C42" s="415" t="s">
        <v>208</v>
      </c>
      <c r="D42" s="31" t="s">
        <v>181</v>
      </c>
      <c r="G42">
        <v>33</v>
      </c>
      <c r="H42">
        <f t="shared" si="0"/>
        <v>2.4750000000000001</v>
      </c>
      <c r="I42" s="406">
        <f t="shared" si="1"/>
        <v>0.50191195307337455</v>
      </c>
      <c r="J42" s="407">
        <f t="shared" si="2"/>
        <v>2.1510512274573195</v>
      </c>
      <c r="K42" s="407">
        <f t="shared" si="31"/>
        <v>3.5505256137286598</v>
      </c>
      <c r="L42" s="407">
        <f t="shared" si="32"/>
        <v>1.3994743862713404</v>
      </c>
      <c r="M42" s="63">
        <f t="shared" si="3"/>
        <v>0</v>
      </c>
      <c r="N42" s="406">
        <f t="shared" si="46"/>
        <v>2.5517072941977763</v>
      </c>
      <c r="O42" s="406">
        <f t="shared" si="5"/>
        <v>3.9189743565838625E-2</v>
      </c>
      <c r="P42">
        <f t="shared" si="6"/>
        <v>0.2</v>
      </c>
      <c r="Q42" s="406">
        <f t="shared" si="34"/>
        <v>0.23918974356583864</v>
      </c>
      <c r="R42" s="9">
        <f t="shared" si="39"/>
        <v>0.62095500260657921</v>
      </c>
      <c r="S42" s="9">
        <f t="shared" si="7"/>
        <v>3.8558511526213678E-4</v>
      </c>
      <c r="T42" s="9">
        <f t="shared" si="40"/>
        <v>3.8558511526213678E-4</v>
      </c>
      <c r="U42" s="406">
        <f t="shared" si="47"/>
        <v>1.8077760330921337</v>
      </c>
      <c r="V42" s="408">
        <f t="shared" si="9"/>
        <v>6.5361083716446635E-3</v>
      </c>
      <c r="W42" s="406">
        <f t="shared" si="41"/>
        <v>6.5361083716446635E-3</v>
      </c>
      <c r="X42" s="406">
        <f t="shared" si="48"/>
        <v>1.8077760330921337</v>
      </c>
      <c r="Y42" s="406">
        <f t="shared" si="11"/>
        <v>0.16993881766276123</v>
      </c>
      <c r="Z42" s="406">
        <f t="shared" si="12"/>
        <v>0.28205394906421144</v>
      </c>
      <c r="AA42" s="406">
        <f t="shared" si="13"/>
        <v>0.37132800000000021</v>
      </c>
      <c r="AB42" s="406">
        <f t="shared" si="14"/>
        <v>0</v>
      </c>
      <c r="AC42" s="406">
        <f t="shared" si="49"/>
        <v>0.8552973761963647</v>
      </c>
      <c r="AD42" s="406">
        <f t="shared" si="50"/>
        <v>1.8008764336954954</v>
      </c>
      <c r="AE42" s="406">
        <f t="shared" si="17"/>
        <v>3.243155929439806E-2</v>
      </c>
      <c r="AF42" s="406">
        <f t="shared" si="18"/>
        <v>0.13364999999999999</v>
      </c>
      <c r="AG42" s="406">
        <f t="shared" si="51"/>
        <v>0.16694786000171299</v>
      </c>
      <c r="AH42" s="406">
        <f t="shared" si="52"/>
        <v>0</v>
      </c>
      <c r="AI42">
        <f t="shared" si="21"/>
        <v>0</v>
      </c>
      <c r="AJ42" s="407">
        <f t="shared" si="22"/>
        <v>2.3935649999999997</v>
      </c>
      <c r="AK42">
        <f t="shared" si="23"/>
        <v>9.6000000000000002E-2</v>
      </c>
      <c r="AL42" s="407">
        <f t="shared" si="24"/>
        <v>0.1215</v>
      </c>
      <c r="AM42" s="407">
        <f t="shared" si="25"/>
        <v>0.70770810810810814</v>
      </c>
      <c r="AN42" s="407">
        <f t="shared" si="42"/>
        <v>0.2175</v>
      </c>
      <c r="AO42" s="407">
        <f t="shared" si="53"/>
        <v>3.8794216732508224</v>
      </c>
      <c r="AP42">
        <f t="shared" si="27"/>
        <v>59.400000000000006</v>
      </c>
      <c r="AQ42" s="10">
        <f t="shared" si="43"/>
        <v>0.93869378747987653</v>
      </c>
      <c r="AR42" s="63">
        <f t="shared" si="54"/>
        <v>47.04135569080006</v>
      </c>
      <c r="AS42" s="63">
        <f t="shared" si="44"/>
        <v>6.67791440006852</v>
      </c>
      <c r="AT42" s="10"/>
      <c r="AU42">
        <f t="shared" si="45"/>
        <v>93.869378747987653</v>
      </c>
      <c r="BD42">
        <v>9.9984190000000002</v>
      </c>
      <c r="BE42">
        <v>3.6920000000000002</v>
      </c>
      <c r="BF42">
        <v>5.1137540000000001</v>
      </c>
      <c r="BG42">
        <v>94.441363374789603</v>
      </c>
      <c r="BH42">
        <v>1111.2391205219994</v>
      </c>
    </row>
    <row r="43" spans="1:60" x14ac:dyDescent="0.2">
      <c r="A43" s="33" t="s">
        <v>140</v>
      </c>
      <c r="B43" s="5">
        <f>GmTop</f>
        <v>45</v>
      </c>
      <c r="C43" s="416" t="s">
        <v>137</v>
      </c>
      <c r="D43" s="31" t="s">
        <v>182</v>
      </c>
      <c r="G43">
        <v>34</v>
      </c>
      <c r="H43">
        <f t="shared" si="0"/>
        <v>2.5500000000000003</v>
      </c>
      <c r="I43" s="406">
        <f t="shared" si="1"/>
        <v>0.50197002060848261</v>
      </c>
      <c r="J43" s="407">
        <f t="shared" si="2"/>
        <v>2.1513000883220688</v>
      </c>
      <c r="K43" s="407">
        <f t="shared" si="31"/>
        <v>3.6256500441610346</v>
      </c>
      <c r="L43" s="407">
        <f t="shared" si="32"/>
        <v>1.4743499558389659</v>
      </c>
      <c r="M43" s="63">
        <f t="shared" si="3"/>
        <v>0</v>
      </c>
      <c r="N43" s="406">
        <f t="shared" si="46"/>
        <v>2.6245331659493045</v>
      </c>
      <c r="O43" s="406">
        <f t="shared" si="5"/>
        <v>4.1466146537338162E-2</v>
      </c>
      <c r="P43">
        <f t="shared" si="6"/>
        <v>0.2</v>
      </c>
      <c r="Q43" s="406">
        <f t="shared" si="34"/>
        <v>0.24146614653733817</v>
      </c>
      <c r="R43" s="9">
        <f t="shared" si="39"/>
        <v>0.62102684255020613</v>
      </c>
      <c r="S43" s="9">
        <f t="shared" si="7"/>
        <v>3.8567433916787854E-4</v>
      </c>
      <c r="T43" s="9">
        <f t="shared" si="40"/>
        <v>3.8567433916787854E-4</v>
      </c>
      <c r="U43" s="406">
        <f t="shared" si="47"/>
        <v>1.8594776188453901</v>
      </c>
      <c r="V43" s="408">
        <f t="shared" si="9"/>
        <v>6.9153140299738434E-3</v>
      </c>
      <c r="W43" s="406">
        <f t="shared" si="41"/>
        <v>6.9153140299738434E-3</v>
      </c>
      <c r="X43" s="406">
        <f t="shared" si="48"/>
        <v>1.8594776188453901</v>
      </c>
      <c r="Y43" s="406">
        <f t="shared" si="11"/>
        <v>0.17979816477931992</v>
      </c>
      <c r="Z43" s="406">
        <f t="shared" si="12"/>
        <v>0.29251430878223966</v>
      </c>
      <c r="AA43" s="406">
        <f t="shared" si="13"/>
        <v>0.37132800000000021</v>
      </c>
      <c r="AB43" s="406">
        <f t="shared" si="14"/>
        <v>0</v>
      </c>
      <c r="AC43" s="406">
        <f t="shared" si="49"/>
        <v>0.87838553722515111</v>
      </c>
      <c r="AD43" s="406">
        <f t="shared" si="50"/>
        <v>1.8521655768804683</v>
      </c>
      <c r="AE43" s="406">
        <f t="shared" si="17"/>
        <v>3.4305173241809581E-2</v>
      </c>
      <c r="AF43" s="406">
        <f t="shared" si="18"/>
        <v>0.13770000000000002</v>
      </c>
      <c r="AG43" s="406">
        <f t="shared" si="51"/>
        <v>0.17295449064412891</v>
      </c>
      <c r="AH43" s="406">
        <f t="shared" si="52"/>
        <v>0</v>
      </c>
      <c r="AI43">
        <f t="shared" si="21"/>
        <v>0</v>
      </c>
      <c r="AJ43" s="407">
        <f t="shared" si="22"/>
        <v>2.39337</v>
      </c>
      <c r="AK43">
        <f t="shared" si="23"/>
        <v>9.6000000000000002E-2</v>
      </c>
      <c r="AL43" s="407">
        <f t="shared" si="24"/>
        <v>0.1215</v>
      </c>
      <c r="AM43" s="407">
        <f t="shared" si="25"/>
        <v>0.70770810810810814</v>
      </c>
      <c r="AN43" s="407">
        <f t="shared" si="42"/>
        <v>0.2175</v>
      </c>
      <c r="AO43" s="407">
        <f t="shared" si="53"/>
        <v>3.9109771627757595</v>
      </c>
      <c r="AP43">
        <f t="shared" si="27"/>
        <v>61.2</v>
      </c>
      <c r="AQ43" s="10">
        <f t="shared" si="43"/>
        <v>0.93993367427126118</v>
      </c>
      <c r="AR43" s="63">
        <f t="shared" si="54"/>
        <v>48.311204547383312</v>
      </c>
      <c r="AS43" s="63">
        <f t="shared" si="44"/>
        <v>6.9181796257651564</v>
      </c>
      <c r="AT43" s="10"/>
      <c r="AU43">
        <f t="shared" si="45"/>
        <v>93.993367427126117</v>
      </c>
      <c r="BD43">
        <v>9.998246</v>
      </c>
      <c r="BE43">
        <v>4.2430000000000003</v>
      </c>
      <c r="BF43">
        <v>5.1120590000000004</v>
      </c>
      <c r="BG43">
        <v>94.267178615859891</v>
      </c>
      <c r="BH43">
        <v>1319.0970775599953</v>
      </c>
    </row>
    <row r="44" spans="1:60" x14ac:dyDescent="0.2">
      <c r="A44" s="33" t="s">
        <v>170</v>
      </c>
      <c r="B44" s="5">
        <f>VthTop</f>
        <v>5</v>
      </c>
      <c r="C44" s="416" t="s">
        <v>0</v>
      </c>
      <c r="D44" s="31" t="s">
        <v>183</v>
      </c>
      <c r="G44">
        <v>35</v>
      </c>
      <c r="H44">
        <f t="shared" si="0"/>
        <v>2.625</v>
      </c>
      <c r="I44" s="406">
        <f t="shared" si="1"/>
        <v>0.50202809578250052</v>
      </c>
      <c r="J44" s="407">
        <f t="shared" si="2"/>
        <v>2.1515489819250022</v>
      </c>
      <c r="K44" s="407">
        <f t="shared" si="31"/>
        <v>3.7007744909625009</v>
      </c>
      <c r="L44" s="407">
        <f t="shared" si="32"/>
        <v>1.5492255090374989</v>
      </c>
      <c r="M44" s="63">
        <f t="shared" si="3"/>
        <v>0</v>
      </c>
      <c r="N44" s="406">
        <f t="shared" si="46"/>
        <v>2.6974781899276237</v>
      </c>
      <c r="O44" s="406">
        <f t="shared" si="5"/>
        <v>4.3811349946001547E-2</v>
      </c>
      <c r="P44">
        <f t="shared" si="6"/>
        <v>0.2</v>
      </c>
      <c r="Q44" s="406">
        <f t="shared" si="34"/>
        <v>0.24381134994600157</v>
      </c>
      <c r="R44" s="9">
        <f t="shared" si="39"/>
        <v>0.62109869194453271</v>
      </c>
      <c r="S44" s="9">
        <f t="shared" si="7"/>
        <v>3.8576358513520956E-4</v>
      </c>
      <c r="T44" s="9">
        <f t="shared" si="40"/>
        <v>3.8576358513520956E-4</v>
      </c>
      <c r="U44" s="406">
        <f t="shared" si="47"/>
        <v>1.9112696056728762</v>
      </c>
      <c r="V44" s="408">
        <f t="shared" si="9"/>
        <v>7.305903011137903E-3</v>
      </c>
      <c r="W44" s="406">
        <f t="shared" si="41"/>
        <v>7.305903011137903E-3</v>
      </c>
      <c r="X44" s="406">
        <f t="shared" si="48"/>
        <v>1.9112696056728762</v>
      </c>
      <c r="Y44" s="406">
        <f t="shared" si="11"/>
        <v>0.18995347828958548</v>
      </c>
      <c r="Z44" s="406">
        <f t="shared" si="12"/>
        <v>0.30297466753564978</v>
      </c>
      <c r="AA44" s="406">
        <f t="shared" si="13"/>
        <v>0.37132800000000021</v>
      </c>
      <c r="AB44" s="406">
        <f t="shared" si="14"/>
        <v>0</v>
      </c>
      <c r="AC44" s="406">
        <f t="shared" si="49"/>
        <v>0.90194835586055844</v>
      </c>
      <c r="AD44" s="406">
        <f t="shared" si="50"/>
        <v>1.9035327892017664</v>
      </c>
      <c r="AE44" s="406">
        <f t="shared" si="17"/>
        <v>3.6234370795662565E-2</v>
      </c>
      <c r="AF44" s="406">
        <f t="shared" si="18"/>
        <v>0.14174999999999999</v>
      </c>
      <c r="AG44" s="406">
        <f t="shared" si="51"/>
        <v>0.179022252182262</v>
      </c>
      <c r="AH44" s="406">
        <f t="shared" si="52"/>
        <v>0</v>
      </c>
      <c r="AI44">
        <f t="shared" si="21"/>
        <v>0</v>
      </c>
      <c r="AJ44" s="407">
        <f t="shared" si="22"/>
        <v>2.3931749999999998</v>
      </c>
      <c r="AK44">
        <f t="shared" si="23"/>
        <v>9.6000000000000002E-2</v>
      </c>
      <c r="AL44" s="407">
        <f t="shared" si="24"/>
        <v>0.1215</v>
      </c>
      <c r="AM44" s="407">
        <f t="shared" si="25"/>
        <v>0.70770810810810814</v>
      </c>
      <c r="AN44" s="407">
        <f t="shared" si="42"/>
        <v>0.2175</v>
      </c>
      <c r="AO44" s="407">
        <f t="shared" si="53"/>
        <v>3.9431486245850946</v>
      </c>
      <c r="AP44">
        <f t="shared" si="27"/>
        <v>63</v>
      </c>
      <c r="AQ44" s="10">
        <f t="shared" si="43"/>
        <v>0.94109705465606142</v>
      </c>
      <c r="AR44" s="63">
        <f t="shared" si="54"/>
        <v>49.607159572330715</v>
      </c>
      <c r="AS44" s="63">
        <f t="shared" si="44"/>
        <v>7.1608900872904799</v>
      </c>
      <c r="AT44" s="10"/>
      <c r="AU44">
        <f t="shared" si="45"/>
        <v>94.10970546560614</v>
      </c>
      <c r="BD44">
        <v>9.9981469999999995</v>
      </c>
      <c r="BE44">
        <v>4.8490000000000002</v>
      </c>
      <c r="BF44">
        <v>5.1107740000000002</v>
      </c>
      <c r="BG44">
        <v>93.953815994681278</v>
      </c>
      <c r="BH44">
        <v>1594.7983209009985</v>
      </c>
    </row>
    <row r="45" spans="1:60" x14ac:dyDescent="0.2">
      <c r="A45" s="38" t="s">
        <v>235</v>
      </c>
      <c r="B45" s="5">
        <f>VspTop</f>
        <v>5.333333333333333</v>
      </c>
      <c r="C45" s="417" t="s">
        <v>0</v>
      </c>
      <c r="G45">
        <v>36</v>
      </c>
      <c r="H45">
        <f t="shared" si="0"/>
        <v>2.6999999999999997</v>
      </c>
      <c r="I45" s="406">
        <f t="shared" si="1"/>
        <v>0.50208617859693527</v>
      </c>
      <c r="J45" s="407">
        <f t="shared" si="2"/>
        <v>2.15179790827258</v>
      </c>
      <c r="K45" s="407">
        <f t="shared" si="31"/>
        <v>3.7758989541362897</v>
      </c>
      <c r="L45" s="407">
        <f t="shared" si="32"/>
        <v>1.6241010458637097</v>
      </c>
      <c r="M45" s="63">
        <f t="shared" si="3"/>
        <v>0</v>
      </c>
      <c r="N45" s="406">
        <f t="shared" si="46"/>
        <v>2.7705329547165682</v>
      </c>
      <c r="O45" s="406">
        <f t="shared" si="5"/>
        <v>4.6225430528372025E-2</v>
      </c>
      <c r="P45">
        <f t="shared" si="6"/>
        <v>0.2</v>
      </c>
      <c r="Q45" s="406">
        <f t="shared" si="34"/>
        <v>0.24622543052837204</v>
      </c>
      <c r="R45" s="9">
        <f t="shared" si="39"/>
        <v>0.62117055079142391</v>
      </c>
      <c r="S45" s="9">
        <f t="shared" si="7"/>
        <v>3.85852853170521E-4</v>
      </c>
      <c r="T45" s="9">
        <f t="shared" si="40"/>
        <v>3.85852853170521E-4</v>
      </c>
      <c r="U45" s="406">
        <f t="shared" si="47"/>
        <v>1.9631453401418777</v>
      </c>
      <c r="V45" s="408">
        <f t="shared" si="9"/>
        <v>7.7078792530415373E-3</v>
      </c>
      <c r="W45" s="406">
        <f t="shared" si="41"/>
        <v>7.7078792530415373E-3</v>
      </c>
      <c r="X45" s="406">
        <f t="shared" si="48"/>
        <v>1.9631453401418777</v>
      </c>
      <c r="Y45" s="406">
        <f t="shared" si="11"/>
        <v>0.20040486057907997</v>
      </c>
      <c r="Z45" s="406">
        <f t="shared" si="12"/>
        <v>0.31343502532425155</v>
      </c>
      <c r="AA45" s="406">
        <f t="shared" si="13"/>
        <v>0.37132800000000021</v>
      </c>
      <c r="AB45" s="406">
        <f t="shared" si="14"/>
        <v>0</v>
      </c>
      <c r="AC45" s="406">
        <f t="shared" si="49"/>
        <v>0.92599410415832994</v>
      </c>
      <c r="AD45" s="406">
        <f t="shared" si="50"/>
        <v>1.9549714132564062</v>
      </c>
      <c r="AE45" s="406">
        <f t="shared" si="17"/>
        <v>3.8219132266497507E-2</v>
      </c>
      <c r="AF45" s="406">
        <f t="shared" si="18"/>
        <v>0.14579999999999999</v>
      </c>
      <c r="AG45" s="406">
        <f t="shared" si="51"/>
        <v>0.18515134405976791</v>
      </c>
      <c r="AH45" s="406">
        <f t="shared" si="52"/>
        <v>0</v>
      </c>
      <c r="AI45">
        <f t="shared" si="21"/>
        <v>0</v>
      </c>
      <c r="AJ45" s="407">
        <f t="shared" si="22"/>
        <v>2.3929799999999997</v>
      </c>
      <c r="AK45">
        <f t="shared" si="23"/>
        <v>9.6000000000000002E-2</v>
      </c>
      <c r="AL45" s="407">
        <f t="shared" si="24"/>
        <v>0.1215</v>
      </c>
      <c r="AM45" s="407">
        <f t="shared" si="25"/>
        <v>0.70770810810810814</v>
      </c>
      <c r="AN45" s="407">
        <f t="shared" si="42"/>
        <v>0.2175</v>
      </c>
      <c r="AO45" s="407">
        <f t="shared" si="53"/>
        <v>3.9759446108526815</v>
      </c>
      <c r="AP45">
        <f t="shared" si="27"/>
        <v>64.8</v>
      </c>
      <c r="AQ45" s="10">
        <f t="shared" si="43"/>
        <v>0.94218989454308</v>
      </c>
      <c r="AR45" s="63">
        <f t="shared" si="54"/>
        <v>50.929675728708148</v>
      </c>
      <c r="AS45" s="63">
        <f t="shared" si="44"/>
        <v>7.4060537623907159</v>
      </c>
      <c r="AT45" s="10"/>
      <c r="AU45">
        <f t="shared" si="45"/>
        <v>94.218989454308002</v>
      </c>
      <c r="BD45">
        <v>9.9979859999999992</v>
      </c>
      <c r="BE45">
        <v>5.4960000000000004</v>
      </c>
      <c r="BF45">
        <v>5.1097890000000001</v>
      </c>
      <c r="BG45">
        <v>93.599771362833366</v>
      </c>
      <c r="BH45">
        <v>1920.3056923499939</v>
      </c>
    </row>
    <row r="46" spans="1:60" x14ac:dyDescent="0.2">
      <c r="A46" s="118" t="s">
        <v>377</v>
      </c>
      <c r="B46" s="5">
        <f>VsdTop</f>
        <v>0.8</v>
      </c>
      <c r="C46" s="417" t="s">
        <v>0</v>
      </c>
      <c r="G46">
        <v>37</v>
      </c>
      <c r="H46">
        <f t="shared" si="0"/>
        <v>2.7749999999999999</v>
      </c>
      <c r="I46" s="406">
        <f t="shared" si="1"/>
        <v>0.50214426905329501</v>
      </c>
      <c r="J46" s="407">
        <f t="shared" si="2"/>
        <v>2.1520468673712645</v>
      </c>
      <c r="K46" s="407">
        <f t="shared" si="31"/>
        <v>3.8510234336856319</v>
      </c>
      <c r="L46" s="407">
        <f t="shared" si="32"/>
        <v>1.6989765663143677</v>
      </c>
      <c r="M46" s="63">
        <f t="shared" si="3"/>
        <v>0</v>
      </c>
      <c r="N46" s="406">
        <f t="shared" si="46"/>
        <v>2.8436890025599153</v>
      </c>
      <c r="O46" s="406">
        <f t="shared" si="5"/>
        <v>4.8708467319565692E-2</v>
      </c>
      <c r="P46">
        <f t="shared" si="6"/>
        <v>0.2</v>
      </c>
      <c r="Q46" s="406">
        <f t="shared" si="34"/>
        <v>0.2487084673195657</v>
      </c>
      <c r="R46" s="9">
        <f t="shared" si="39"/>
        <v>0.62124241909274525</v>
      </c>
      <c r="S46" s="9">
        <f t="shared" si="7"/>
        <v>3.8594214328020613E-4</v>
      </c>
      <c r="T46" s="9">
        <f t="shared" si="40"/>
        <v>3.8594214328020613E-4</v>
      </c>
      <c r="U46" s="406">
        <f t="shared" si="47"/>
        <v>2.0150988430627494</v>
      </c>
      <c r="V46" s="408">
        <f t="shared" si="9"/>
        <v>8.1212466946256629E-3</v>
      </c>
      <c r="W46" s="406">
        <f t="shared" si="41"/>
        <v>8.1212466946256629E-3</v>
      </c>
      <c r="X46" s="406">
        <f t="shared" si="48"/>
        <v>2.0150988430627494</v>
      </c>
      <c r="Y46" s="406">
        <f t="shared" si="11"/>
        <v>0.21115241406026722</v>
      </c>
      <c r="Z46" s="406">
        <f t="shared" si="12"/>
        <v>0.32389538214785463</v>
      </c>
      <c r="AA46" s="406">
        <f t="shared" si="13"/>
        <v>0.37132800000000021</v>
      </c>
      <c r="AB46" s="406">
        <f t="shared" si="14"/>
        <v>0</v>
      </c>
      <c r="AC46" s="406">
        <f t="shared" si="49"/>
        <v>0.95053133304273962</v>
      </c>
      <c r="AD46" s="406">
        <f t="shared" si="50"/>
        <v>2.0064754660766164</v>
      </c>
      <c r="AE46" s="406">
        <f t="shared" si="17"/>
        <v>4.0259437959673752E-2</v>
      </c>
      <c r="AF46" s="406">
        <f t="shared" si="18"/>
        <v>0.14984999999999998</v>
      </c>
      <c r="AG46" s="406">
        <f t="shared" si="51"/>
        <v>0.19134196918164978</v>
      </c>
      <c r="AH46" s="406">
        <f t="shared" si="52"/>
        <v>0</v>
      </c>
      <c r="AI46">
        <f t="shared" si="21"/>
        <v>0</v>
      </c>
      <c r="AJ46" s="407">
        <f t="shared" si="22"/>
        <v>2.3927849999999999</v>
      </c>
      <c r="AK46">
        <f t="shared" si="23"/>
        <v>9.6000000000000002E-2</v>
      </c>
      <c r="AL46" s="407">
        <f t="shared" si="24"/>
        <v>0.1215</v>
      </c>
      <c r="AM46" s="407">
        <f t="shared" si="25"/>
        <v>0.70770810810810814</v>
      </c>
      <c r="AN46" s="407">
        <f t="shared" si="42"/>
        <v>0.2175</v>
      </c>
      <c r="AO46" s="407">
        <f t="shared" si="53"/>
        <v>4.0093739583818611</v>
      </c>
      <c r="AP46">
        <f t="shared" si="27"/>
        <v>66.599999999999994</v>
      </c>
      <c r="AQ46" s="10">
        <f t="shared" si="43"/>
        <v>0.94321753991552115</v>
      </c>
      <c r="AR46" s="63">
        <f t="shared" si="54"/>
        <v>52.279223317350677</v>
      </c>
      <c r="AS46" s="63">
        <f t="shared" si="44"/>
        <v>7.6536787672659914</v>
      </c>
      <c r="AT46" s="10"/>
      <c r="AU46">
        <f t="shared" si="45"/>
        <v>94.321753991552114</v>
      </c>
      <c r="BD46">
        <v>9.9978999999999996</v>
      </c>
      <c r="BE46">
        <v>6.1950000000000003</v>
      </c>
      <c r="BF46">
        <v>5.109191</v>
      </c>
      <c r="BG46">
        <v>93.156651672159526</v>
      </c>
      <c r="BH46">
        <v>2325.1351758999972</v>
      </c>
    </row>
    <row r="47" spans="1:60" x14ac:dyDescent="0.2">
      <c r="A47" s="33" t="s">
        <v>161</v>
      </c>
      <c r="B47" s="5">
        <f>ThetaJaTop</f>
        <v>55</v>
      </c>
      <c r="C47" s="416" t="s">
        <v>380</v>
      </c>
      <c r="D47" s="31" t="s">
        <v>184</v>
      </c>
      <c r="G47">
        <v>38</v>
      </c>
      <c r="H47">
        <f t="shared" si="0"/>
        <v>2.85</v>
      </c>
      <c r="I47" s="406">
        <f t="shared" si="1"/>
        <v>0.50220236715308808</v>
      </c>
      <c r="J47" s="407">
        <f t="shared" si="2"/>
        <v>2.1522958592275208</v>
      </c>
      <c r="K47" s="407">
        <f t="shared" si="31"/>
        <v>3.9261479296137605</v>
      </c>
      <c r="L47" s="407">
        <f t="shared" si="32"/>
        <v>1.7738520703862397</v>
      </c>
      <c r="M47" s="63">
        <f t="shared" si="3"/>
        <v>0</v>
      </c>
      <c r="N47" s="406">
        <f t="shared" si="46"/>
        <v>2.9169387130124385</v>
      </c>
      <c r="O47" s="406">
        <f t="shared" si="5"/>
        <v>5.1260541659769537E-2</v>
      </c>
      <c r="P47">
        <f t="shared" si="6"/>
        <v>0.2</v>
      </c>
      <c r="Q47" s="406">
        <f t="shared" si="34"/>
        <v>0.25126054165976952</v>
      </c>
      <c r="R47" s="9">
        <f t="shared" si="39"/>
        <v>0.62131429685036299</v>
      </c>
      <c r="S47" s="9">
        <f t="shared" si="7"/>
        <v>3.8603145547066097E-4</v>
      </c>
      <c r="T47" s="9">
        <f t="shared" si="40"/>
        <v>3.8603145547066097E-4</v>
      </c>
      <c r="U47" s="406">
        <f t="shared" si="47"/>
        <v>2.067124727231977</v>
      </c>
      <c r="V47" s="408">
        <f t="shared" si="9"/>
        <v>8.5460092758677525E-3</v>
      </c>
      <c r="W47" s="406">
        <f t="shared" si="41"/>
        <v>8.5460092758677525E-3</v>
      </c>
      <c r="X47" s="406">
        <f t="shared" si="48"/>
        <v>2.067124727231977</v>
      </c>
      <c r="Y47" s="406">
        <f t="shared" si="11"/>
        <v>0.22219624117256154</v>
      </c>
      <c r="Z47" s="406">
        <f t="shared" si="12"/>
        <v>0.33435573800626855</v>
      </c>
      <c r="AA47" s="406">
        <f t="shared" si="13"/>
        <v>0.37132800000000021</v>
      </c>
      <c r="AB47" s="406">
        <f t="shared" si="14"/>
        <v>0</v>
      </c>
      <c r="AC47" s="406">
        <f t="shared" si="49"/>
        <v>0.97556888165051647</v>
      </c>
      <c r="AD47" s="406">
        <f t="shared" si="50"/>
        <v>2.0580395568445193</v>
      </c>
      <c r="AE47" s="406">
        <f t="shared" si="17"/>
        <v>4.2355268175367861E-2</v>
      </c>
      <c r="AF47" s="406">
        <f t="shared" si="18"/>
        <v>0.15390000000000001</v>
      </c>
      <c r="AG47" s="406">
        <f t="shared" si="51"/>
        <v>0.1975943339359745</v>
      </c>
      <c r="AH47" s="406">
        <f t="shared" si="52"/>
        <v>0</v>
      </c>
      <c r="AI47">
        <f t="shared" si="21"/>
        <v>0</v>
      </c>
      <c r="AJ47" s="407">
        <f t="shared" si="22"/>
        <v>2.3925899999999998</v>
      </c>
      <c r="AK47">
        <f t="shared" si="23"/>
        <v>9.6000000000000002E-2</v>
      </c>
      <c r="AL47" s="407">
        <f t="shared" si="24"/>
        <v>0.1215</v>
      </c>
      <c r="AM47" s="407">
        <f t="shared" si="25"/>
        <v>0.70770810810810814</v>
      </c>
      <c r="AN47" s="407">
        <f t="shared" si="42"/>
        <v>0.2175</v>
      </c>
      <c r="AO47" s="407">
        <f t="shared" si="53"/>
        <v>4.0434457979775988</v>
      </c>
      <c r="AP47">
        <f t="shared" si="27"/>
        <v>68.400000000000006</v>
      </c>
      <c r="AQ47" s="10">
        <f t="shared" si="43"/>
        <v>0.94418479472589534</v>
      </c>
      <c r="AR47" s="63">
        <f t="shared" si="54"/>
        <v>53.656288490778408</v>
      </c>
      <c r="AS47" s="63">
        <f t="shared" si="44"/>
        <v>7.9037733574389799</v>
      </c>
      <c r="AT47" s="10"/>
      <c r="AU47">
        <f t="shared" si="45"/>
        <v>94.418479472589539</v>
      </c>
      <c r="BD47">
        <v>9.9976269999999996</v>
      </c>
      <c r="BE47">
        <v>6.9470000000000001</v>
      </c>
      <c r="BF47">
        <v>5.1086669999999996</v>
      </c>
      <c r="BG47">
        <v>92.656807634751772</v>
      </c>
      <c r="BH47">
        <v>2812.6290012010018</v>
      </c>
    </row>
    <row r="48" spans="1:60" x14ac:dyDescent="0.2">
      <c r="A48" s="34" t="s">
        <v>130</v>
      </c>
      <c r="B48" s="25" t="s">
        <v>201</v>
      </c>
      <c r="C48" s="34" t="s">
        <v>148</v>
      </c>
      <c r="D48" s="27" t="s">
        <v>188</v>
      </c>
      <c r="G48">
        <v>39</v>
      </c>
      <c r="H48">
        <f t="shared" si="0"/>
        <v>2.9250000000000003</v>
      </c>
      <c r="I48" s="406">
        <f t="shared" si="1"/>
        <v>0.50226047289782283</v>
      </c>
      <c r="J48" s="407">
        <f t="shared" si="2"/>
        <v>2.1525448838478121</v>
      </c>
      <c r="K48" s="407">
        <f t="shared" si="31"/>
        <v>4.0012724419239065</v>
      </c>
      <c r="L48" s="407">
        <f t="shared" si="32"/>
        <v>1.8487275580760942</v>
      </c>
      <c r="M48" s="63">
        <f t="shared" si="3"/>
        <v>0</v>
      </c>
      <c r="N48" s="406">
        <f t="shared" si="46"/>
        <v>2.9902752030119708</v>
      </c>
      <c r="O48" s="406">
        <f t="shared" si="5"/>
        <v>5.3881737200934879E-2</v>
      </c>
      <c r="P48">
        <f t="shared" si="6"/>
        <v>0.2</v>
      </c>
      <c r="Q48" s="406">
        <f t="shared" si="34"/>
        <v>0.25388173720093488</v>
      </c>
      <c r="R48" s="9">
        <f t="shared" si="39"/>
        <v>0.6213861840661431</v>
      </c>
      <c r="S48" s="9">
        <f t="shared" si="7"/>
        <v>3.8612078974828266E-4</v>
      </c>
      <c r="T48" s="9">
        <f t="shared" si="40"/>
        <v>3.8612078974828266E-4</v>
      </c>
      <c r="U48" s="406">
        <f t="shared" si="47"/>
        <v>2.1192181267842836</v>
      </c>
      <c r="V48" s="408">
        <f t="shared" si="9"/>
        <v>8.982170937782176E-3</v>
      </c>
      <c r="W48" s="406">
        <f t="shared" si="41"/>
        <v>8.982170937782176E-3</v>
      </c>
      <c r="X48" s="406">
        <f t="shared" si="48"/>
        <v>2.1192181267842836</v>
      </c>
      <c r="Y48" s="406">
        <f t="shared" si="11"/>
        <v>0.23353644438233656</v>
      </c>
      <c r="Z48" s="406">
        <f t="shared" si="12"/>
        <v>0.34481609289930271</v>
      </c>
      <c r="AA48" s="406">
        <f t="shared" si="13"/>
        <v>0.37132800000000021</v>
      </c>
      <c r="AB48" s="406">
        <f t="shared" si="14"/>
        <v>0</v>
      </c>
      <c r="AC48" s="406">
        <f t="shared" si="49"/>
        <v>1.0011158871137043</v>
      </c>
      <c r="AD48" s="406">
        <f t="shared" si="50"/>
        <v>2.1096588162205743</v>
      </c>
      <c r="AE48" s="406">
        <f t="shared" si="17"/>
        <v>4.450660320857195E-2</v>
      </c>
      <c r="AF48" s="406">
        <f t="shared" si="18"/>
        <v>0.15795000000000001</v>
      </c>
      <c r="AG48" s="406">
        <f t="shared" si="51"/>
        <v>0.20390864821608387</v>
      </c>
      <c r="AH48" s="406">
        <f t="shared" si="52"/>
        <v>0</v>
      </c>
      <c r="AI48">
        <f t="shared" si="21"/>
        <v>0</v>
      </c>
      <c r="AJ48" s="407">
        <f t="shared" si="22"/>
        <v>2.392395</v>
      </c>
      <c r="AK48">
        <f t="shared" si="23"/>
        <v>9.6000000000000002E-2</v>
      </c>
      <c r="AL48" s="407">
        <f t="shared" si="24"/>
        <v>0.1215</v>
      </c>
      <c r="AM48" s="407">
        <f t="shared" si="25"/>
        <v>0.70770810810810814</v>
      </c>
      <c r="AN48" s="407">
        <f t="shared" si="42"/>
        <v>0.2175</v>
      </c>
      <c r="AO48" s="407">
        <f t="shared" si="53"/>
        <v>4.0781695642582534</v>
      </c>
      <c r="AP48">
        <f t="shared" si="27"/>
        <v>70.2</v>
      </c>
      <c r="AQ48" s="10">
        <f t="shared" si="43"/>
        <v>0.94509598731118127</v>
      </c>
      <c r="AR48" s="63">
        <f t="shared" si="54"/>
        <v>55.061373791253736</v>
      </c>
      <c r="AS48" s="63">
        <f t="shared" si="44"/>
        <v>8.1563459286433542</v>
      </c>
      <c r="AT48" s="10"/>
      <c r="AU48">
        <f t="shared" si="45"/>
        <v>94.509598731118132</v>
      </c>
      <c r="BD48">
        <v>9.9975280000000009</v>
      </c>
      <c r="BE48">
        <v>7.7530000000000001</v>
      </c>
      <c r="BF48">
        <v>5.10853</v>
      </c>
      <c r="BG48">
        <v>92.034336419785248</v>
      </c>
      <c r="BH48">
        <v>3427.976173640001</v>
      </c>
    </row>
    <row r="49" spans="1:60" x14ac:dyDescent="0.2">
      <c r="A49" s="33" t="s">
        <v>139</v>
      </c>
      <c r="B49" s="5">
        <f>RdsonBot*1000</f>
        <v>10</v>
      </c>
      <c r="C49" s="416" t="s">
        <v>613</v>
      </c>
      <c r="D49" s="31" t="s">
        <v>192</v>
      </c>
      <c r="G49">
        <v>40</v>
      </c>
      <c r="H49">
        <f t="shared" si="0"/>
        <v>3</v>
      </c>
      <c r="I49" s="406">
        <f t="shared" si="1"/>
        <v>0.50231858628900861</v>
      </c>
      <c r="J49" s="407">
        <f t="shared" si="2"/>
        <v>2.1527939412386083</v>
      </c>
      <c r="K49" s="407">
        <f t="shared" si="31"/>
        <v>4.0763969706193039</v>
      </c>
      <c r="L49" s="407">
        <f t="shared" si="32"/>
        <v>1.9236030293806958</v>
      </c>
      <c r="M49" s="63">
        <f t="shared" si="3"/>
        <v>0</v>
      </c>
      <c r="N49" s="406">
        <f t="shared" si="46"/>
        <v>3.0636922407643152</v>
      </c>
      <c r="O49" s="406">
        <f t="shared" si="5"/>
        <v>5.6572139913666587E-2</v>
      </c>
      <c r="P49">
        <f t="shared" si="6"/>
        <v>0.2</v>
      </c>
      <c r="Q49" s="406">
        <f t="shared" si="34"/>
        <v>0.25657213991366662</v>
      </c>
      <c r="R49" s="9">
        <f t="shared" si="39"/>
        <v>0.62145808074195297</v>
      </c>
      <c r="S49" s="9">
        <f t="shared" si="7"/>
        <v>3.8621014611947172E-4</v>
      </c>
      <c r="T49" s="9">
        <f t="shared" si="40"/>
        <v>3.8621014611947172E-4</v>
      </c>
      <c r="U49" s="406">
        <f t="shared" si="47"/>
        <v>2.1713746363099764</v>
      </c>
      <c r="V49" s="408">
        <f t="shared" si="9"/>
        <v>9.4297356224205646E-3</v>
      </c>
      <c r="W49" s="406">
        <f t="shared" si="41"/>
        <v>9.4297356224205646E-3</v>
      </c>
      <c r="X49" s="406">
        <f t="shared" si="48"/>
        <v>2.1713746363099764</v>
      </c>
      <c r="Y49" s="406">
        <f t="shared" si="11"/>
        <v>0.24517312618293466</v>
      </c>
      <c r="Z49" s="406">
        <f t="shared" si="12"/>
        <v>0.3552764468267664</v>
      </c>
      <c r="AA49" s="406">
        <f t="shared" si="13"/>
        <v>0.37132800000000021</v>
      </c>
      <c r="AB49" s="406">
        <f t="shared" si="14"/>
        <v>0</v>
      </c>
      <c r="AC49" s="406">
        <f t="shared" si="49"/>
        <v>1.0271817948035413</v>
      </c>
      <c r="AD49" s="406">
        <f t="shared" si="50"/>
        <v>2.1613288354411018</v>
      </c>
      <c r="AE49" s="406">
        <f t="shared" si="17"/>
        <v>4.6713423349091898E-2</v>
      </c>
      <c r="AF49" s="406">
        <f t="shared" si="18"/>
        <v>0.16200000000000001</v>
      </c>
      <c r="AG49" s="406">
        <f t="shared" si="51"/>
        <v>0.21028512544330794</v>
      </c>
      <c r="AH49" s="406">
        <f t="shared" si="52"/>
        <v>0</v>
      </c>
      <c r="AI49">
        <f t="shared" si="21"/>
        <v>0</v>
      </c>
      <c r="AJ49" s="407">
        <f t="shared" si="22"/>
        <v>2.3921999999999999</v>
      </c>
      <c r="AK49">
        <f t="shared" si="23"/>
        <v>9.6000000000000002E-2</v>
      </c>
      <c r="AL49" s="407">
        <f t="shared" si="24"/>
        <v>0.1215</v>
      </c>
      <c r="AM49" s="407">
        <f t="shared" si="25"/>
        <v>0.70770810810810814</v>
      </c>
      <c r="AN49" s="407">
        <f t="shared" si="42"/>
        <v>0.2175</v>
      </c>
      <c r="AO49" s="407">
        <f t="shared" si="53"/>
        <v>4.1135550059290562</v>
      </c>
      <c r="AP49">
        <f t="shared" si="27"/>
        <v>72</v>
      </c>
      <c r="AQ49" s="10">
        <f t="shared" si="43"/>
        <v>0.94595502725357361</v>
      </c>
      <c r="AR49" s="63">
        <f t="shared" si="54"/>
        <v>56.494998714194772</v>
      </c>
      <c r="AS49" s="63">
        <f t="shared" si="44"/>
        <v>8.4114050177323172</v>
      </c>
      <c r="AT49" s="10"/>
      <c r="AU49">
        <f t="shared" si="45"/>
        <v>94.595502725357363</v>
      </c>
      <c r="BD49">
        <v>9.9970090000000003</v>
      </c>
      <c r="BE49">
        <v>8.6120000000000001</v>
      </c>
      <c r="BF49">
        <v>5.1085419999999999</v>
      </c>
      <c r="BG49">
        <v>91.346378256658895</v>
      </c>
      <c r="BH49">
        <v>4167.8065612820019</v>
      </c>
    </row>
    <row r="50" spans="1:60" x14ac:dyDescent="0.2">
      <c r="A50" s="33" t="s">
        <v>153</v>
      </c>
      <c r="B50" s="5">
        <v>4500</v>
      </c>
      <c r="C50" s="416" t="s">
        <v>614</v>
      </c>
      <c r="D50" s="31" t="s">
        <v>185</v>
      </c>
      <c r="G50">
        <v>41</v>
      </c>
      <c r="H50">
        <f t="shared" si="0"/>
        <v>3.0749999999999997</v>
      </c>
      <c r="I50" s="406">
        <f t="shared" si="1"/>
        <v>0.50237670732815487</v>
      </c>
      <c r="J50" s="407">
        <f t="shared" si="2"/>
        <v>2.1530430314063782</v>
      </c>
      <c r="K50" s="407">
        <f t="shared" si="31"/>
        <v>4.1515215157031893</v>
      </c>
      <c r="L50" s="407">
        <f t="shared" si="32"/>
        <v>1.9984784842968106</v>
      </c>
      <c r="M50" s="63">
        <f t="shared" si="3"/>
        <v>0</v>
      </c>
      <c r="N50" s="406">
        <f t="shared" si="46"/>
        <v>3.1371841712896975</v>
      </c>
      <c r="O50" s="406">
        <f t="shared" si="5"/>
        <v>5.9331838094309884E-2</v>
      </c>
      <c r="P50">
        <f t="shared" si="6"/>
        <v>0.2</v>
      </c>
      <c r="Q50" s="406">
        <f t="shared" si="34"/>
        <v>0.25933183809430987</v>
      </c>
      <c r="R50" s="9">
        <f t="shared" si="39"/>
        <v>0.62152998687966021</v>
      </c>
      <c r="S50" s="9">
        <f t="shared" si="7"/>
        <v>3.8629952459063059E-4</v>
      </c>
      <c r="T50" s="9">
        <f t="shared" si="40"/>
        <v>3.8629952459063059E-4</v>
      </c>
      <c r="U50" s="406">
        <f t="shared" si="47"/>
        <v>2.2235902582166651</v>
      </c>
      <c r="V50" s="408">
        <f t="shared" si="9"/>
        <v>9.8887072728721104E-3</v>
      </c>
      <c r="W50" s="406">
        <f t="shared" si="41"/>
        <v>9.8887072728721104E-3</v>
      </c>
      <c r="X50" s="406">
        <f t="shared" si="48"/>
        <v>2.2235902582166651</v>
      </c>
      <c r="Y50" s="406">
        <f t="shared" si="11"/>
        <v>0.25710638909467487</v>
      </c>
      <c r="Z50" s="406">
        <f t="shared" si="12"/>
        <v>0.36573679978846929</v>
      </c>
      <c r="AA50" s="406">
        <f t="shared" si="13"/>
        <v>0.37132800000000021</v>
      </c>
      <c r="AB50" s="406">
        <f t="shared" si="14"/>
        <v>0</v>
      </c>
      <c r="AC50" s="406">
        <f t="shared" si="49"/>
        <v>1.0537763690587847</v>
      </c>
      <c r="AD50" s="406">
        <f t="shared" si="50"/>
        <v>2.2130456136633452</v>
      </c>
      <c r="AE50" s="406">
        <f t="shared" si="17"/>
        <v>4.8975708881545725E-2</v>
      </c>
      <c r="AF50" s="406">
        <f t="shared" si="18"/>
        <v>0.16605</v>
      </c>
      <c r="AG50" s="406">
        <f t="shared" si="51"/>
        <v>0.21672398259018349</v>
      </c>
      <c r="AH50" s="406">
        <f t="shared" si="52"/>
        <v>0</v>
      </c>
      <c r="AI50">
        <f t="shared" si="21"/>
        <v>0</v>
      </c>
      <c r="AJ50" s="407">
        <f t="shared" si="22"/>
        <v>2.3920049999999997</v>
      </c>
      <c r="AK50">
        <f t="shared" si="23"/>
        <v>9.6000000000000002E-2</v>
      </c>
      <c r="AL50" s="407">
        <f t="shared" si="24"/>
        <v>0.1215</v>
      </c>
      <c r="AM50" s="407">
        <f t="shared" si="25"/>
        <v>0.70770810810810814</v>
      </c>
      <c r="AN50" s="407">
        <f t="shared" si="42"/>
        <v>0.2175</v>
      </c>
      <c r="AO50" s="407">
        <f t="shared" si="53"/>
        <v>4.1496121965407404</v>
      </c>
      <c r="AP50">
        <f t="shared" si="27"/>
        <v>73.8</v>
      </c>
      <c r="AQ50" s="10">
        <f t="shared" si="43"/>
        <v>0.94676545425167757</v>
      </c>
      <c r="AR50" s="63">
        <f t="shared" si="54"/>
        <v>57.957700298233156</v>
      </c>
      <c r="AS50" s="63">
        <f t="shared" si="44"/>
        <v>8.6689593036073394</v>
      </c>
      <c r="AT50" s="10"/>
      <c r="AU50">
        <f t="shared" si="45"/>
        <v>94.67654542516776</v>
      </c>
      <c r="BD50">
        <v>9.9969590000000004</v>
      </c>
      <c r="BE50">
        <v>9.5229999999999997</v>
      </c>
      <c r="BF50">
        <v>5.1087540000000002</v>
      </c>
      <c r="BG50">
        <v>90.547826191651922</v>
      </c>
      <c r="BH50">
        <v>5078.5816240809982</v>
      </c>
    </row>
    <row r="51" spans="1:60" x14ac:dyDescent="0.2">
      <c r="A51" s="33" t="s">
        <v>138</v>
      </c>
      <c r="B51" s="5">
        <f>QgBot*1000000000</f>
        <v>13</v>
      </c>
      <c r="C51" s="416" t="s">
        <v>136</v>
      </c>
      <c r="D51" s="31" t="s">
        <v>180</v>
      </c>
      <c r="G51">
        <v>42</v>
      </c>
      <c r="H51">
        <f t="shared" si="0"/>
        <v>3.15</v>
      </c>
      <c r="I51" s="406">
        <f t="shared" si="1"/>
        <v>0.50243483601677119</v>
      </c>
      <c r="J51" s="407">
        <f t="shared" si="2"/>
        <v>2.1532921543575911</v>
      </c>
      <c r="K51" s="407">
        <f t="shared" si="31"/>
        <v>4.2266460771787955</v>
      </c>
      <c r="L51" s="407">
        <f t="shared" si="32"/>
        <v>2.0733539228212043</v>
      </c>
      <c r="M51" s="63">
        <f t="shared" si="3"/>
        <v>0</v>
      </c>
      <c r="N51" s="406">
        <f t="shared" si="46"/>
        <v>3.210745851849405</v>
      </c>
      <c r="O51" s="406">
        <f t="shared" si="5"/>
        <v>6.2160922372235229E-2</v>
      </c>
      <c r="P51">
        <f t="shared" si="6"/>
        <v>0.2</v>
      </c>
      <c r="Q51" s="406">
        <f t="shared" si="34"/>
        <v>0.26216092237223526</v>
      </c>
      <c r="R51" s="9">
        <f t="shared" si="39"/>
        <v>0.62160190248113223</v>
      </c>
      <c r="S51" s="9">
        <f t="shared" si="7"/>
        <v>3.8638892516816304E-4</v>
      </c>
      <c r="T51" s="9">
        <f t="shared" si="40"/>
        <v>3.8638892516816304E-4</v>
      </c>
      <c r="U51" s="406">
        <f t="shared" si="47"/>
        <v>2.2758613570760353</v>
      </c>
      <c r="V51" s="408">
        <f t="shared" si="9"/>
        <v>1.0359089833263946E-2</v>
      </c>
      <c r="W51" s="406">
        <f t="shared" si="41"/>
        <v>1.0359089833263946E-2</v>
      </c>
      <c r="X51" s="406">
        <f t="shared" si="48"/>
        <v>2.2758613570760353</v>
      </c>
      <c r="Y51" s="406">
        <f t="shared" si="11"/>
        <v>0.26933633566486259</v>
      </c>
      <c r="Z51" s="406">
        <f t="shared" si="12"/>
        <v>0.37619715178422064</v>
      </c>
      <c r="AA51" s="406">
        <f t="shared" si="13"/>
        <v>0.37132800000000021</v>
      </c>
      <c r="AB51" s="406">
        <f t="shared" si="14"/>
        <v>0</v>
      </c>
      <c r="AC51" s="406">
        <f t="shared" si="49"/>
        <v>1.0809097044233582</v>
      </c>
      <c r="AD51" s="406">
        <f t="shared" si="50"/>
        <v>2.2648055122981727</v>
      </c>
      <c r="AE51" s="406">
        <f t="shared" si="17"/>
        <v>5.1293440085361887E-2</v>
      </c>
      <c r="AF51" s="406">
        <f t="shared" si="18"/>
        <v>0.1701</v>
      </c>
      <c r="AG51" s="406">
        <f t="shared" si="51"/>
        <v>0.22322544020418458</v>
      </c>
      <c r="AH51" s="406">
        <f t="shared" si="52"/>
        <v>0</v>
      </c>
      <c r="AI51">
        <f t="shared" si="21"/>
        <v>0</v>
      </c>
      <c r="AJ51" s="407">
        <f t="shared" si="22"/>
        <v>2.3918099999999995</v>
      </c>
      <c r="AK51">
        <f t="shared" si="23"/>
        <v>9.6000000000000002E-2</v>
      </c>
      <c r="AL51" s="407">
        <f t="shared" si="24"/>
        <v>0.1215</v>
      </c>
      <c r="AM51" s="407">
        <f t="shared" si="25"/>
        <v>0.70770810810810814</v>
      </c>
      <c r="AN51" s="407">
        <f t="shared" si="42"/>
        <v>0.2175</v>
      </c>
      <c r="AO51" s="407">
        <f t="shared" si="53"/>
        <v>4.1863515457582094</v>
      </c>
      <c r="AP51">
        <f t="shared" si="27"/>
        <v>75.599999999999994</v>
      </c>
      <c r="AQ51" s="10">
        <f t="shared" si="43"/>
        <v>0.94753048028073694</v>
      </c>
      <c r="AR51" s="63">
        <f t="shared" si="54"/>
        <v>59.450033743284699</v>
      </c>
      <c r="AS51" s="63">
        <f t="shared" si="44"/>
        <v>8.9290176081673831</v>
      </c>
      <c r="AT51" s="10"/>
      <c r="AU51">
        <f t="shared" si="45"/>
        <v>94.753048028073692</v>
      </c>
      <c r="BD51">
        <v>9.9964639999999996</v>
      </c>
      <c r="BE51">
        <v>10.493</v>
      </c>
      <c r="BF51">
        <v>5.1092279999999999</v>
      </c>
      <c r="BG51">
        <v>89.626660259106615</v>
      </c>
      <c r="BH51">
        <v>6204.9221585439973</v>
      </c>
    </row>
    <row r="52" spans="1:60" x14ac:dyDescent="0.2">
      <c r="A52" s="33" t="s">
        <v>169</v>
      </c>
      <c r="B52" s="5">
        <f>RGateBot</f>
        <v>1</v>
      </c>
      <c r="C52" s="415" t="s">
        <v>208</v>
      </c>
      <c r="D52" s="31" t="s">
        <v>181</v>
      </c>
      <c r="G52">
        <v>43</v>
      </c>
      <c r="H52">
        <f t="shared" si="0"/>
        <v>3.2250000000000001</v>
      </c>
      <c r="I52" s="406">
        <f t="shared" si="1"/>
        <v>0.50249297235636825</v>
      </c>
      <c r="J52" s="407">
        <f t="shared" si="2"/>
        <v>2.1535413100987211</v>
      </c>
      <c r="K52" s="407">
        <f t="shared" si="31"/>
        <v>4.3017706550493608</v>
      </c>
      <c r="L52" s="407">
        <f t="shared" si="32"/>
        <v>2.1482293449506393</v>
      </c>
      <c r="M52" s="63">
        <f t="shared" si="3"/>
        <v>0</v>
      </c>
      <c r="N52" s="406">
        <f t="shared" si="46"/>
        <v>3.2843725957720564</v>
      </c>
      <c r="O52" s="406">
        <f t="shared" si="5"/>
        <v>6.5059485717322688E-2</v>
      </c>
      <c r="P52">
        <f t="shared" si="6"/>
        <v>0.2</v>
      </c>
      <c r="Q52" s="406">
        <f t="shared" si="34"/>
        <v>0.26505948571732268</v>
      </c>
      <c r="R52" s="9">
        <f t="shared" si="39"/>
        <v>0.62167382754823797</v>
      </c>
      <c r="S52" s="9">
        <f t="shared" si="7"/>
        <v>3.8647834785847634E-4</v>
      </c>
      <c r="T52" s="9">
        <f t="shared" si="40"/>
        <v>3.8647834785847634E-4</v>
      </c>
      <c r="U52" s="406">
        <f t="shared" si="47"/>
        <v>2.3281846199089831</v>
      </c>
      <c r="V52" s="408">
        <f t="shared" si="9"/>
        <v>1.0840887248761472E-2</v>
      </c>
      <c r="W52" s="406">
        <f t="shared" si="41"/>
        <v>1.0840887248761472E-2</v>
      </c>
      <c r="X52" s="406">
        <f t="shared" si="48"/>
        <v>2.3281846199089831</v>
      </c>
      <c r="Y52" s="406">
        <f t="shared" si="11"/>
        <v>0.28186306846779824</v>
      </c>
      <c r="Z52" s="406">
        <f t="shared" si="12"/>
        <v>0.38665750281382971</v>
      </c>
      <c r="AA52" s="406">
        <f t="shared" si="13"/>
        <v>0.37132800000000021</v>
      </c>
      <c r="AB52" s="406">
        <f t="shared" si="14"/>
        <v>0</v>
      </c>
      <c r="AC52" s="406">
        <f t="shared" si="49"/>
        <v>1.1085922374197446</v>
      </c>
      <c r="AD52" s="406">
        <f t="shared" si="50"/>
        <v>2.3166052152832903</v>
      </c>
      <c r="AE52" s="406">
        <f t="shared" si="17"/>
        <v>5.3666597234777402E-2</v>
      </c>
      <c r="AF52" s="406">
        <f t="shared" si="18"/>
        <v>0.17415</v>
      </c>
      <c r="AG52" s="406">
        <f t="shared" si="51"/>
        <v>0.22978972243196905</v>
      </c>
      <c r="AH52" s="406">
        <f t="shared" si="52"/>
        <v>0</v>
      </c>
      <c r="AI52">
        <f t="shared" si="21"/>
        <v>0</v>
      </c>
      <c r="AJ52" s="407">
        <f t="shared" si="22"/>
        <v>2.3916149999999998</v>
      </c>
      <c r="AK52">
        <f t="shared" si="23"/>
        <v>9.6000000000000002E-2</v>
      </c>
      <c r="AL52" s="407">
        <f t="shared" si="24"/>
        <v>0.1215</v>
      </c>
      <c r="AM52" s="407">
        <f t="shared" si="25"/>
        <v>0.70770810810810814</v>
      </c>
      <c r="AN52" s="407">
        <f t="shared" si="42"/>
        <v>0.2175</v>
      </c>
      <c r="AO52" s="407">
        <f t="shared" si="53"/>
        <v>4.2237838111656565</v>
      </c>
      <c r="AP52">
        <f t="shared" si="27"/>
        <v>77.400000000000006</v>
      </c>
      <c r="AQ52" s="10">
        <f t="shared" si="43"/>
        <v>0.9482530260917913</v>
      </c>
      <c r="AR52" s="63">
        <f t="shared" si="54"/>
        <v>60.972573058085949</v>
      </c>
      <c r="AS52" s="63">
        <f t="shared" si="44"/>
        <v>9.1915888972787627</v>
      </c>
      <c r="AT52" s="10"/>
      <c r="AU52">
        <f t="shared" si="45"/>
        <v>94.825302609179133</v>
      </c>
      <c r="BD52">
        <v>9.9959819999999997</v>
      </c>
      <c r="BE52">
        <v>11.519</v>
      </c>
      <c r="BF52">
        <v>5.1101260000000002</v>
      </c>
      <c r="BG52">
        <v>88.591390420220321</v>
      </c>
      <c r="BH52">
        <v>7580.3207309739973</v>
      </c>
    </row>
    <row r="53" spans="1:60" x14ac:dyDescent="0.2">
      <c r="A53" s="33" t="s">
        <v>144</v>
      </c>
      <c r="B53" s="5">
        <f>VsdBot</f>
        <v>0.9</v>
      </c>
      <c r="C53" s="416" t="s">
        <v>0</v>
      </c>
      <c r="D53" s="31" t="s">
        <v>186</v>
      </c>
      <c r="G53">
        <v>44</v>
      </c>
      <c r="H53">
        <f t="shared" si="0"/>
        <v>3.3</v>
      </c>
      <c r="I53" s="406">
        <f t="shared" si="1"/>
        <v>0.50255111634845617</v>
      </c>
      <c r="J53" s="407">
        <f t="shared" si="2"/>
        <v>2.1537904986362411</v>
      </c>
      <c r="K53" s="407">
        <f t="shared" si="31"/>
        <v>4.3768952493181201</v>
      </c>
      <c r="L53" s="407">
        <f t="shared" si="32"/>
        <v>2.2231047506818795</v>
      </c>
      <c r="M53" s="63">
        <f t="shared" si="3"/>
        <v>0</v>
      </c>
      <c r="N53" s="406">
        <f t="shared" si="46"/>
        <v>3.3580601234444831</v>
      </c>
      <c r="O53" s="406">
        <f t="shared" si="5"/>
        <v>6.8027623447646984E-2</v>
      </c>
      <c r="P53">
        <f t="shared" si="6"/>
        <v>0.2</v>
      </c>
      <c r="Q53" s="406">
        <f t="shared" si="34"/>
        <v>0.26802762344764697</v>
      </c>
      <c r="R53" s="9">
        <f t="shared" si="39"/>
        <v>0.62174576208284604</v>
      </c>
      <c r="S53" s="9">
        <f t="shared" si="7"/>
        <v>3.8656779266797898E-4</v>
      </c>
      <c r="T53" s="9">
        <f t="shared" si="40"/>
        <v>3.8656779266797898E-4</v>
      </c>
      <c r="U53" s="406">
        <f t="shared" si="47"/>
        <v>2.3805570215359975</v>
      </c>
      <c r="V53" s="408">
        <f t="shared" si="9"/>
        <v>1.1334103465568679E-2</v>
      </c>
      <c r="W53" s="406">
        <f t="shared" si="41"/>
        <v>1.1334103465568679E-2</v>
      </c>
      <c r="X53" s="406">
        <f t="shared" si="48"/>
        <v>2.3805570215359975</v>
      </c>
      <c r="Y53" s="406">
        <f t="shared" si="11"/>
        <v>0.29468669010478565</v>
      </c>
      <c r="Z53" s="406">
        <f t="shared" si="12"/>
        <v>0.39711785287710571</v>
      </c>
      <c r="AA53" s="406">
        <f t="shared" si="13"/>
        <v>0.37132800000000021</v>
      </c>
      <c r="AB53" s="406">
        <f t="shared" si="14"/>
        <v>0</v>
      </c>
      <c r="AC53" s="406">
        <f t="shared" si="49"/>
        <v>1.1368347588861847</v>
      </c>
      <c r="AD53" s="406">
        <f t="shared" si="50"/>
        <v>2.3684416944234954</v>
      </c>
      <c r="AE53" s="406">
        <f t="shared" si="17"/>
        <v>5.6095160598836381E-2</v>
      </c>
      <c r="AF53" s="406">
        <f t="shared" si="18"/>
        <v>0.1782</v>
      </c>
      <c r="AG53" s="406">
        <f t="shared" si="51"/>
        <v>0.23641705704414767</v>
      </c>
      <c r="AH53" s="406">
        <f t="shared" si="52"/>
        <v>0</v>
      </c>
      <c r="AI53">
        <f t="shared" si="21"/>
        <v>0</v>
      </c>
      <c r="AJ53" s="407">
        <f t="shared" si="22"/>
        <v>2.3914200000000001</v>
      </c>
      <c r="AK53">
        <f t="shared" si="23"/>
        <v>9.6000000000000002E-2</v>
      </c>
      <c r="AL53" s="407">
        <f t="shared" si="24"/>
        <v>0.1215</v>
      </c>
      <c r="AM53" s="407">
        <f t="shared" si="25"/>
        <v>0.70770810810810814</v>
      </c>
      <c r="AN53" s="407">
        <f t="shared" si="42"/>
        <v>0.2175</v>
      </c>
      <c r="AO53" s="407">
        <f t="shared" si="53"/>
        <v>4.2619201106362166</v>
      </c>
      <c r="AP53">
        <f t="shared" si="27"/>
        <v>79.199999999999989</v>
      </c>
      <c r="AQ53" s="10">
        <f t="shared" si="43"/>
        <v>0.94893575291598065</v>
      </c>
      <c r="AR53" s="63">
        <f t="shared" si="54"/>
        <v>62.525911738740156</v>
      </c>
      <c r="AS53" s="63">
        <f t="shared" si="44"/>
        <v>9.4566822817659073</v>
      </c>
      <c r="AT53" s="10"/>
      <c r="AU53">
        <f t="shared" si="45"/>
        <v>94.893575291598069</v>
      </c>
      <c r="BD53">
        <v>9.9955739999999995</v>
      </c>
      <c r="BE53">
        <v>12.605</v>
      </c>
      <c r="BF53">
        <v>5.1111979999999999</v>
      </c>
      <c r="BG53">
        <v>87.386508098290477</v>
      </c>
      <c r="BH53">
        <v>9299.4335961019988</v>
      </c>
    </row>
    <row r="54" spans="1:60" x14ac:dyDescent="0.2">
      <c r="A54" s="33" t="s">
        <v>145</v>
      </c>
      <c r="B54" s="5">
        <f>QrrBot*1000000000</f>
        <v>50</v>
      </c>
      <c r="C54" s="416" t="s">
        <v>136</v>
      </c>
      <c r="D54" s="31" t="s">
        <v>196</v>
      </c>
      <c r="G54">
        <v>45</v>
      </c>
      <c r="H54">
        <f t="shared" si="0"/>
        <v>3.375</v>
      </c>
      <c r="I54" s="406">
        <f t="shared" si="1"/>
        <v>0.50260926799454642</v>
      </c>
      <c r="J54" s="407">
        <f t="shared" si="2"/>
        <v>2.1540397199766277</v>
      </c>
      <c r="K54" s="407">
        <f t="shared" si="31"/>
        <v>4.4520198599883134</v>
      </c>
      <c r="L54" s="407">
        <f t="shared" si="32"/>
        <v>2.2979801400116862</v>
      </c>
      <c r="M54" s="63">
        <f t="shared" si="3"/>
        <v>0</v>
      </c>
      <c r="N54" s="406">
        <f t="shared" si="46"/>
        <v>3.4318045194333378</v>
      </c>
      <c r="O54" s="406">
        <f t="shared" si="5"/>
        <v>7.1065433237364459E-2</v>
      </c>
      <c r="P54">
        <f t="shared" si="6"/>
        <v>0.2</v>
      </c>
      <c r="Q54" s="406">
        <f t="shared" si="34"/>
        <v>0.27106543323736448</v>
      </c>
      <c r="R54" s="9">
        <f t="shared" si="39"/>
        <v>0.62181770608682607</v>
      </c>
      <c r="S54" s="9">
        <f t="shared" si="7"/>
        <v>3.8665725960308241E-4</v>
      </c>
      <c r="T54" s="9">
        <f t="shared" si="40"/>
        <v>3.8665725960308241E-4</v>
      </c>
      <c r="U54" s="406">
        <f t="shared" si="47"/>
        <v>2.4329757942618877</v>
      </c>
      <c r="V54" s="408">
        <f t="shared" si="9"/>
        <v>1.1838742430928527E-2</v>
      </c>
      <c r="W54" s="406">
        <f t="shared" si="41"/>
        <v>1.1838742430928527E-2</v>
      </c>
      <c r="X54" s="406">
        <f t="shared" si="48"/>
        <v>2.4329757942618877</v>
      </c>
      <c r="Y54" s="406">
        <f t="shared" si="11"/>
        <v>0.30780730320414168</v>
      </c>
      <c r="Z54" s="406">
        <f t="shared" si="12"/>
        <v>0.40757820197385786</v>
      </c>
      <c r="AA54" s="406">
        <f t="shared" si="13"/>
        <v>0.37132800000000021</v>
      </c>
      <c r="AB54" s="406">
        <f t="shared" si="14"/>
        <v>0</v>
      </c>
      <c r="AC54" s="406">
        <f t="shared" si="49"/>
        <v>1.1656484269075218</v>
      </c>
      <c r="AD54" s="406">
        <f t="shared" si="50"/>
        <v>2.4203121790667459</v>
      </c>
      <c r="AE54" s="406">
        <f t="shared" si="17"/>
        <v>5.8579110441388201E-2</v>
      </c>
      <c r="AF54" s="406">
        <f t="shared" si="18"/>
        <v>0.18225</v>
      </c>
      <c r="AG54" s="406">
        <f t="shared" si="51"/>
        <v>0.2431076754605809</v>
      </c>
      <c r="AH54" s="406">
        <f t="shared" si="52"/>
        <v>0</v>
      </c>
      <c r="AI54">
        <f t="shared" si="21"/>
        <v>0</v>
      </c>
      <c r="AJ54" s="407">
        <f t="shared" si="22"/>
        <v>2.3912249999999999</v>
      </c>
      <c r="AK54">
        <f t="shared" si="23"/>
        <v>9.6000000000000002E-2</v>
      </c>
      <c r="AL54" s="407">
        <f t="shared" si="24"/>
        <v>0.1215</v>
      </c>
      <c r="AM54" s="407">
        <f t="shared" si="25"/>
        <v>0.70770810810810814</v>
      </c>
      <c r="AN54" s="407">
        <f t="shared" si="42"/>
        <v>0.2175</v>
      </c>
      <c r="AO54" s="407">
        <f t="shared" si="53"/>
        <v>4.300771935295999</v>
      </c>
      <c r="AP54">
        <f t="shared" si="27"/>
        <v>81</v>
      </c>
      <c r="AQ54" s="10">
        <f t="shared" si="43"/>
        <v>0.94958109009191261</v>
      </c>
      <c r="AR54" s="63">
        <f t="shared" si="54"/>
        <v>64.110663479913697</v>
      </c>
      <c r="AS54" s="63">
        <f t="shared" si="44"/>
        <v>9.7243070184232359</v>
      </c>
      <c r="AT54" s="10"/>
      <c r="AU54">
        <f t="shared" si="45"/>
        <v>94.958109009191261</v>
      </c>
      <c r="BD54">
        <v>9.9949670000000008</v>
      </c>
      <c r="BE54">
        <v>13.75</v>
      </c>
      <c r="BF54">
        <v>5.1122329999999998</v>
      </c>
      <c r="BG54">
        <v>85.985113444924963</v>
      </c>
      <c r="BH54">
        <v>11457.230537720005</v>
      </c>
    </row>
    <row r="55" spans="1:60" x14ac:dyDescent="0.2">
      <c r="A55" s="33" t="s">
        <v>146</v>
      </c>
      <c r="B55" s="5">
        <f>TrrBot*1000000000</f>
        <v>40</v>
      </c>
      <c r="C55" s="416" t="s">
        <v>147</v>
      </c>
      <c r="D55" s="31" t="s">
        <v>187</v>
      </c>
      <c r="G55">
        <v>46</v>
      </c>
      <c r="H55">
        <f t="shared" si="0"/>
        <v>3.45</v>
      </c>
      <c r="I55" s="406">
        <f t="shared" si="1"/>
        <v>0.50266742729615033</v>
      </c>
      <c r="J55" s="407">
        <f t="shared" si="2"/>
        <v>2.1542889741263589</v>
      </c>
      <c r="K55" s="407">
        <f t="shared" si="31"/>
        <v>4.5271444870631798</v>
      </c>
      <c r="L55" s="407">
        <f t="shared" si="32"/>
        <v>2.3728555129368205</v>
      </c>
      <c r="M55" s="63">
        <f t="shared" si="3"/>
        <v>0</v>
      </c>
      <c r="N55" s="406">
        <f t="shared" si="46"/>
        <v>3.5056021948689788</v>
      </c>
      <c r="O55" s="406">
        <f t="shared" si="5"/>
        <v>7.4173015124802746E-2</v>
      </c>
      <c r="P55">
        <f t="shared" si="6"/>
        <v>0.2</v>
      </c>
      <c r="Q55" s="406">
        <f t="shared" si="34"/>
        <v>0.27417301512480274</v>
      </c>
      <c r="R55" s="9">
        <f t="shared" si="39"/>
        <v>0.621889659562048</v>
      </c>
      <c r="S55" s="9">
        <f t="shared" si="7"/>
        <v>3.8674674867019999E-4</v>
      </c>
      <c r="T55" s="9">
        <f t="shared" si="40"/>
        <v>3.8674674867019999E-4</v>
      </c>
      <c r="U55" s="406">
        <f t="shared" si="47"/>
        <v>2.485438401280875</v>
      </c>
      <c r="V55" s="408">
        <f t="shared" si="9"/>
        <v>1.2354808093123264E-2</v>
      </c>
      <c r="W55" s="406">
        <f t="shared" si="41"/>
        <v>1.2354808093123264E-2</v>
      </c>
      <c r="X55" s="406">
        <f t="shared" si="48"/>
        <v>2.485438401280875</v>
      </c>
      <c r="Y55" s="406">
        <f t="shared" si="11"/>
        <v>0.32122501042120483</v>
      </c>
      <c r="Z55" s="406">
        <f t="shared" si="12"/>
        <v>0.4180385501038954</v>
      </c>
      <c r="AA55" s="406">
        <f t="shared" si="13"/>
        <v>0.37132800000000021</v>
      </c>
      <c r="AB55" s="406">
        <f t="shared" si="14"/>
        <v>0</v>
      </c>
      <c r="AC55" s="406">
        <f t="shared" si="49"/>
        <v>1.1950447803713942</v>
      </c>
      <c r="AD55" s="406">
        <f t="shared" si="50"/>
        <v>2.4722141295018463</v>
      </c>
      <c r="AE55" s="406">
        <f t="shared" si="17"/>
        <v>6.1118427021085719E-2</v>
      </c>
      <c r="AF55" s="406">
        <f t="shared" si="18"/>
        <v>0.18630000000000002</v>
      </c>
      <c r="AG55" s="406">
        <f t="shared" si="51"/>
        <v>0.24986181277620875</v>
      </c>
      <c r="AH55" s="406">
        <f t="shared" si="52"/>
        <v>0</v>
      </c>
      <c r="AI55">
        <f t="shared" si="21"/>
        <v>0</v>
      </c>
      <c r="AJ55" s="407">
        <f t="shared" si="22"/>
        <v>2.3910299999999998</v>
      </c>
      <c r="AK55">
        <f t="shared" si="23"/>
        <v>9.6000000000000002E-2</v>
      </c>
      <c r="AL55" s="407">
        <f t="shared" si="24"/>
        <v>0.1215</v>
      </c>
      <c r="AM55" s="407">
        <f t="shared" si="25"/>
        <v>0.70770810810810814</v>
      </c>
      <c r="AN55" s="407">
        <f t="shared" si="42"/>
        <v>0.2175</v>
      </c>
      <c r="AO55" s="407">
        <f t="shared" si="53"/>
        <v>4.3403511631141996</v>
      </c>
      <c r="AP55">
        <f t="shared" si="27"/>
        <v>82.800000000000011</v>
      </c>
      <c r="AQ55" s="10">
        <f t="shared" si="43"/>
        <v>0.95019125921365988</v>
      </c>
      <c r="AR55" s="63">
        <f t="shared" si="54"/>
        <v>65.727462920426674</v>
      </c>
      <c r="AS55" s="63">
        <f t="shared" si="44"/>
        <v>9.9944725110483503</v>
      </c>
      <c r="AT55" s="10"/>
      <c r="AU55">
        <f t="shared" si="45"/>
        <v>95.019125921365983</v>
      </c>
      <c r="BD55">
        <v>9.9943860000000004</v>
      </c>
      <c r="BE55">
        <v>14.954000000000001</v>
      </c>
      <c r="BF55">
        <v>5.1130310000000003</v>
      </c>
      <c r="BG55">
        <v>84.352650264578628</v>
      </c>
      <c r="BH55">
        <v>14183.318533699994</v>
      </c>
    </row>
    <row r="56" spans="1:60" x14ac:dyDescent="0.2">
      <c r="A56" s="33" t="s">
        <v>160</v>
      </c>
      <c r="B56" s="5">
        <f>ThetaJaBot</f>
        <v>40</v>
      </c>
      <c r="C56" s="416" t="s">
        <v>380</v>
      </c>
      <c r="D56" s="31" t="s">
        <v>184</v>
      </c>
      <c r="E56" s="2"/>
      <c r="G56">
        <v>47</v>
      </c>
      <c r="H56">
        <f t="shared" si="0"/>
        <v>3.5249999999999999</v>
      </c>
      <c r="I56" s="406">
        <f t="shared" si="1"/>
        <v>0.50272559425477958</v>
      </c>
      <c r="J56" s="407">
        <f t="shared" si="2"/>
        <v>2.1545382610919126</v>
      </c>
      <c r="K56" s="407">
        <f t="shared" si="31"/>
        <v>4.602269130545956</v>
      </c>
      <c r="L56" s="407">
        <f t="shared" si="32"/>
        <v>2.4477308694540438</v>
      </c>
      <c r="M56" s="63">
        <f t="shared" si="3"/>
        <v>0</v>
      </c>
      <c r="N56" s="406">
        <f t="shared" si="46"/>
        <v>3.5794498543597095</v>
      </c>
      <c r="O56" s="406">
        <f t="shared" si="5"/>
        <v>7.7350471520755026E-2</v>
      </c>
      <c r="P56">
        <f t="shared" si="6"/>
        <v>0.2</v>
      </c>
      <c r="Q56" s="406">
        <f t="shared" si="34"/>
        <v>0.27735047152075504</v>
      </c>
      <c r="R56" s="9">
        <f t="shared" si="39"/>
        <v>0.62196162251038201</v>
      </c>
      <c r="S56" s="9">
        <f t="shared" si="7"/>
        <v>3.8683625987574695E-4</v>
      </c>
      <c r="T56" s="9">
        <f t="shared" si="40"/>
        <v>3.8683625987574695E-4</v>
      </c>
      <c r="U56" s="406">
        <f t="shared" si="47"/>
        <v>2.5379425132846047</v>
      </c>
      <c r="V56" s="408">
        <f t="shared" si="9"/>
        <v>1.2882304401474752E-2</v>
      </c>
      <c r="W56" s="406">
        <f t="shared" si="41"/>
        <v>1.2882304401474752E-2</v>
      </c>
      <c r="X56" s="406">
        <f t="shared" si="48"/>
        <v>2.5379425132846047</v>
      </c>
      <c r="Y56" s="406">
        <f t="shared" si="11"/>
        <v>0.33493991443834353</v>
      </c>
      <c r="Z56" s="406">
        <f t="shared" si="12"/>
        <v>0.42849889726702728</v>
      </c>
      <c r="AA56" s="406">
        <f t="shared" si="13"/>
        <v>0.37132800000000021</v>
      </c>
      <c r="AB56" s="406">
        <f t="shared" si="14"/>
        <v>0</v>
      </c>
      <c r="AC56" s="406">
        <f t="shared" si="49"/>
        <v>1.2250357531835148</v>
      </c>
      <c r="AD56" s="406">
        <f t="shared" si="50"/>
        <v>2.5241452135601015</v>
      </c>
      <c r="AE56" s="406">
        <f t="shared" si="17"/>
        <v>6.3713090591383706E-2</v>
      </c>
      <c r="AF56" s="406">
        <f t="shared" si="18"/>
        <v>0.19034999999999999</v>
      </c>
      <c r="AG56" s="406">
        <f t="shared" si="51"/>
        <v>0.2566797077874205</v>
      </c>
      <c r="AH56" s="406">
        <f t="shared" si="52"/>
        <v>0</v>
      </c>
      <c r="AI56">
        <f t="shared" si="21"/>
        <v>0</v>
      </c>
      <c r="AJ56" s="407">
        <f t="shared" si="22"/>
        <v>2.3908349999999996</v>
      </c>
      <c r="AK56">
        <f t="shared" si="23"/>
        <v>9.6000000000000002E-2</v>
      </c>
      <c r="AL56" s="407">
        <f t="shared" si="24"/>
        <v>0.1215</v>
      </c>
      <c r="AM56" s="407">
        <f t="shared" si="25"/>
        <v>0.70770810810810814</v>
      </c>
      <c r="AN56" s="407">
        <f t="shared" si="42"/>
        <v>0.2175</v>
      </c>
      <c r="AO56" s="407">
        <f t="shared" si="53"/>
        <v>4.3806700731530404</v>
      </c>
      <c r="AP56">
        <f t="shared" si="27"/>
        <v>84.6</v>
      </c>
      <c r="AQ56" s="10">
        <f t="shared" si="43"/>
        <v>0.95076829529883744</v>
      </c>
      <c r="AR56" s="63">
        <f t="shared" si="54"/>
        <v>67.376966425093315</v>
      </c>
      <c r="AS56" s="63">
        <f t="shared" si="44"/>
        <v>10.26718831149682</v>
      </c>
      <c r="AT56" s="10"/>
      <c r="AU56">
        <f t="shared" si="45"/>
        <v>95.076829529883739</v>
      </c>
      <c r="BE56" s="28"/>
      <c r="BF56" s="29"/>
    </row>
    <row r="57" spans="1:60" x14ac:dyDescent="0.2">
      <c r="A57" s="34" t="s">
        <v>363</v>
      </c>
      <c r="B57" s="25" t="s">
        <v>201</v>
      </c>
      <c r="C57" s="34" t="s">
        <v>148</v>
      </c>
      <c r="D57" s="476" t="s">
        <v>390</v>
      </c>
      <c r="G57">
        <v>48</v>
      </c>
      <c r="H57">
        <f t="shared" si="0"/>
        <v>3.5999999999999996</v>
      </c>
      <c r="I57" s="406">
        <f t="shared" si="1"/>
        <v>0.50278376887194665</v>
      </c>
      <c r="J57" s="407">
        <f t="shared" si="2"/>
        <v>2.1547875808797716</v>
      </c>
      <c r="K57" s="407">
        <f t="shared" si="31"/>
        <v>4.6773937904398855</v>
      </c>
      <c r="L57" s="407">
        <f t="shared" si="32"/>
        <v>2.5226062095601138</v>
      </c>
      <c r="M57" s="63">
        <f t="shared" si="3"/>
        <v>0</v>
      </c>
      <c r="N57" s="406">
        <f t="shared" si="46"/>
        <v>3.6533444668175132</v>
      </c>
      <c r="O57" s="406">
        <f t="shared" si="5"/>
        <v>8.0597907216979722E-2</v>
      </c>
      <c r="P57">
        <f t="shared" si="6"/>
        <v>0.2</v>
      </c>
      <c r="Q57" s="406">
        <f t="shared" si="34"/>
        <v>0.28059790721697975</v>
      </c>
      <c r="R57" s="9">
        <f t="shared" si="39"/>
        <v>0.62203359493369936</v>
      </c>
      <c r="S57" s="9">
        <f t="shared" si="7"/>
        <v>3.8692579322614155E-4</v>
      </c>
      <c r="T57" s="9">
        <f t="shared" si="40"/>
        <v>3.8692579322614155E-4</v>
      </c>
      <c r="U57" s="406">
        <f t="shared" si="47"/>
        <v>2.5904859878355713</v>
      </c>
      <c r="V57" s="408">
        <f t="shared" si="9"/>
        <v>1.3421235306344871E-2</v>
      </c>
      <c r="W57" s="406">
        <f t="shared" si="41"/>
        <v>1.3421235306344871E-2</v>
      </c>
      <c r="X57" s="406">
        <f t="shared" si="48"/>
        <v>2.5904859878355713</v>
      </c>
      <c r="Y57" s="406">
        <f t="shared" si="11"/>
        <v>0.34895211796496661</v>
      </c>
      <c r="Z57" s="406">
        <f t="shared" si="12"/>
        <v>0.43895924346306242</v>
      </c>
      <c r="AA57" s="406">
        <f t="shared" si="13"/>
        <v>0.37132800000000021</v>
      </c>
      <c r="AB57" s="406">
        <f t="shared" si="14"/>
        <v>0</v>
      </c>
      <c r="AC57" s="406">
        <f t="shared" si="49"/>
        <v>1.2556336891779256</v>
      </c>
      <c r="AD57" s="406">
        <f t="shared" si="50"/>
        <v>2.5761032859832511</v>
      </c>
      <c r="AE57" s="406">
        <f t="shared" si="17"/>
        <v>6.6363081400537038E-2</v>
      </c>
      <c r="AF57" s="406">
        <f t="shared" si="18"/>
        <v>0.19439999999999999</v>
      </c>
      <c r="AG57" s="406">
        <f t="shared" si="51"/>
        <v>0.26356160301896969</v>
      </c>
      <c r="AH57" s="406">
        <f t="shared" si="52"/>
        <v>0</v>
      </c>
      <c r="AI57">
        <f t="shared" si="21"/>
        <v>0</v>
      </c>
      <c r="AJ57" s="407">
        <f t="shared" si="22"/>
        <v>2.3906399999999999</v>
      </c>
      <c r="AK57">
        <f t="shared" si="23"/>
        <v>9.6000000000000002E-2</v>
      </c>
      <c r="AL57" s="407">
        <f t="shared" si="24"/>
        <v>0.1215</v>
      </c>
      <c r="AM57" s="407">
        <f t="shared" si="25"/>
        <v>0.70770810810810814</v>
      </c>
      <c r="AN57" s="407">
        <f t="shared" si="42"/>
        <v>0.2175</v>
      </c>
      <c r="AO57" s="407">
        <f t="shared" si="53"/>
        <v>4.4217413605134466</v>
      </c>
      <c r="AP57">
        <f t="shared" si="27"/>
        <v>86.399999999999991</v>
      </c>
      <c r="AQ57" s="10">
        <f t="shared" si="43"/>
        <v>0.95131406539584484</v>
      </c>
      <c r="AR57" s="63">
        <f t="shared" si="54"/>
        <v>69.059852904785913</v>
      </c>
      <c r="AS57" s="63">
        <f t="shared" si="44"/>
        <v>10.542464120758787</v>
      </c>
      <c r="AT57" s="10"/>
      <c r="AU57">
        <f t="shared" si="45"/>
        <v>95.131406539584489</v>
      </c>
      <c r="BE57" s="28"/>
      <c r="BF57" s="29"/>
    </row>
    <row r="58" spans="1:60" x14ac:dyDescent="0.2">
      <c r="A58" s="33" t="s">
        <v>364</v>
      </c>
      <c r="B58" s="115">
        <f>VfdSky</f>
        <v>0</v>
      </c>
      <c r="C58" s="416" t="s">
        <v>0</v>
      </c>
      <c r="D58" s="31" t="s">
        <v>367</v>
      </c>
      <c r="G58">
        <v>49</v>
      </c>
      <c r="H58">
        <f t="shared" si="0"/>
        <v>3.6749999999999998</v>
      </c>
      <c r="I58" s="406">
        <f t="shared" si="1"/>
        <v>0.50284195114916408</v>
      </c>
      <c r="J58" s="407">
        <f t="shared" si="2"/>
        <v>2.1550369334964179</v>
      </c>
      <c r="K58" s="407">
        <f t="shared" si="31"/>
        <v>4.7525184667482083</v>
      </c>
      <c r="L58" s="407">
        <f t="shared" si="32"/>
        <v>2.5974815332517909</v>
      </c>
      <c r="M58" s="63">
        <f t="shared" si="3"/>
        <v>0</v>
      </c>
      <c r="N58" s="406">
        <f t="shared" si="46"/>
        <v>3.7272832396703905</v>
      </c>
      <c r="O58" s="406">
        <f t="shared" si="5"/>
        <v>8.3915429394907232E-2</v>
      </c>
      <c r="P58">
        <f t="shared" si="6"/>
        <v>0.2</v>
      </c>
      <c r="Q58" s="406">
        <f t="shared" si="34"/>
        <v>0.28391542939490721</v>
      </c>
      <c r="R58" s="9">
        <f t="shared" si="39"/>
        <v>0.62210557683387124</v>
      </c>
      <c r="S58" s="9">
        <f t="shared" si="7"/>
        <v>3.8701534872780368E-4</v>
      </c>
      <c r="T58" s="9">
        <f t="shared" si="40"/>
        <v>3.8701534872780368E-4</v>
      </c>
      <c r="U58" s="406">
        <f t="shared" si="47"/>
        <v>2.6430668511348503</v>
      </c>
      <c r="V58" s="408">
        <f t="shared" si="9"/>
        <v>1.3971604759135786E-2</v>
      </c>
      <c r="W58" s="406">
        <f t="shared" si="41"/>
        <v>1.3971604759135786E-2</v>
      </c>
      <c r="X58" s="406">
        <f t="shared" si="48"/>
        <v>2.6430668511348503</v>
      </c>
      <c r="Y58" s="406">
        <f t="shared" si="11"/>
        <v>0.36326172373753041</v>
      </c>
      <c r="Z58" s="406">
        <f t="shared" si="12"/>
        <v>0.44941958869181015</v>
      </c>
      <c r="AA58" s="406">
        <f t="shared" si="13"/>
        <v>0.37132800000000021</v>
      </c>
      <c r="AB58" s="406">
        <f t="shared" si="14"/>
        <v>0</v>
      </c>
      <c r="AC58" s="406">
        <f t="shared" si="49"/>
        <v>1.2868513577604284</v>
      </c>
      <c r="AD58" s="406">
        <f t="shared" si="50"/>
        <v>2.6280863701864732</v>
      </c>
      <c r="AE58" s="406">
        <f t="shared" si="17"/>
        <v>6.9068379691599124E-2</v>
      </c>
      <c r="AF58" s="406">
        <f t="shared" si="18"/>
        <v>0.19844999999999999</v>
      </c>
      <c r="AG58" s="406">
        <f t="shared" si="51"/>
        <v>0.27050774475144079</v>
      </c>
      <c r="AH58" s="406">
        <f t="shared" si="52"/>
        <v>0</v>
      </c>
      <c r="AI58">
        <f t="shared" si="21"/>
        <v>0</v>
      </c>
      <c r="AJ58" s="407">
        <f t="shared" si="22"/>
        <v>2.3904449999999997</v>
      </c>
      <c r="AK58">
        <f t="shared" si="23"/>
        <v>9.6000000000000002E-2</v>
      </c>
      <c r="AL58" s="407">
        <f t="shared" si="24"/>
        <v>0.1215</v>
      </c>
      <c r="AM58" s="407">
        <f t="shared" si="25"/>
        <v>0.70770810810810814</v>
      </c>
      <c r="AN58" s="407">
        <f t="shared" si="42"/>
        <v>0.2175</v>
      </c>
      <c r="AO58" s="407">
        <f t="shared" si="53"/>
        <v>4.46357815201464</v>
      </c>
      <c r="AP58">
        <f t="shared" si="27"/>
        <v>88.199999999999989</v>
      </c>
      <c r="AQ58" s="10">
        <f t="shared" si="43"/>
        <v>0.95183028498325273</v>
      </c>
      <c r="AR58" s="63">
        <f t="shared" si="54"/>
        <v>70.776824676823566</v>
      </c>
      <c r="AS58" s="63">
        <f t="shared" si="44"/>
        <v>10.820309790057632</v>
      </c>
      <c r="AT58" s="10"/>
      <c r="AU58">
        <f t="shared" si="45"/>
        <v>95.183028498325271</v>
      </c>
      <c r="BE58" s="28"/>
      <c r="BF58" s="29"/>
    </row>
    <row r="59" spans="1:60" x14ac:dyDescent="0.2">
      <c r="A59" s="33" t="s">
        <v>365</v>
      </c>
      <c r="B59" s="115">
        <f>QrrSky</f>
        <v>0</v>
      </c>
      <c r="C59" s="416" t="s">
        <v>136</v>
      </c>
      <c r="D59" s="31" t="s">
        <v>368</v>
      </c>
      <c r="G59">
        <v>50</v>
      </c>
      <c r="H59">
        <f t="shared" si="0"/>
        <v>3.75</v>
      </c>
      <c r="I59" s="406">
        <f t="shared" si="1"/>
        <v>0.5029001410879449</v>
      </c>
      <c r="J59" s="407">
        <f t="shared" si="2"/>
        <v>2.1552863189483356</v>
      </c>
      <c r="K59" s="407">
        <f t="shared" si="31"/>
        <v>4.8276431594741673</v>
      </c>
      <c r="L59" s="407">
        <f t="shared" si="32"/>
        <v>2.6723568405258322</v>
      </c>
      <c r="M59" s="63">
        <f t="shared" si="3"/>
        <v>0</v>
      </c>
      <c r="N59" s="406">
        <f t="shared" si="46"/>
        <v>3.8012635960147723</v>
      </c>
      <c r="O59" s="406">
        <f t="shared" si="5"/>
        <v>8.7303147634554656E-2</v>
      </c>
      <c r="P59">
        <f t="shared" si="6"/>
        <v>0.2</v>
      </c>
      <c r="Q59" s="406">
        <f t="shared" si="34"/>
        <v>0.28730314763455467</v>
      </c>
      <c r="R59" s="9">
        <f t="shared" si="39"/>
        <v>0.62217756821276959</v>
      </c>
      <c r="S59" s="9">
        <f t="shared" si="7"/>
        <v>3.8710492638715556E-4</v>
      </c>
      <c r="T59" s="9">
        <f t="shared" si="40"/>
        <v>3.8710492638715556E-4</v>
      </c>
      <c r="U59" s="406">
        <f t="shared" si="47"/>
        <v>2.6956832818684702</v>
      </c>
      <c r="V59" s="408">
        <f t="shared" si="9"/>
        <v>1.4533416712290333E-2</v>
      </c>
      <c r="W59" s="406">
        <f t="shared" si="41"/>
        <v>1.4533416712290333E-2</v>
      </c>
      <c r="X59" s="406">
        <f t="shared" si="48"/>
        <v>2.6956832818684702</v>
      </c>
      <c r="Y59" s="406">
        <f t="shared" si="11"/>
        <v>0.37786883451954861</v>
      </c>
      <c r="Z59" s="406">
        <f t="shared" si="12"/>
        <v>0.45987993295307916</v>
      </c>
      <c r="AA59" s="406">
        <f t="shared" si="13"/>
        <v>0.37132800000000021</v>
      </c>
      <c r="AB59" s="406">
        <f t="shared" si="14"/>
        <v>0</v>
      </c>
      <c r="AC59" s="406">
        <f t="shared" si="49"/>
        <v>1.3187019703258755</v>
      </c>
      <c r="AD59" s="406">
        <f t="shared" si="50"/>
        <v>2.6800926421006408</v>
      </c>
      <c r="AE59" s="406">
        <f t="shared" si="17"/>
        <v>7.1828965702419936E-2</v>
      </c>
      <c r="AF59" s="406">
        <f t="shared" si="18"/>
        <v>0.20249999999999999</v>
      </c>
      <c r="AG59" s="406">
        <f t="shared" si="51"/>
        <v>0.2775183830492739</v>
      </c>
      <c r="AH59" s="406">
        <f t="shared" si="52"/>
        <v>0</v>
      </c>
      <c r="AI59">
        <f t="shared" si="21"/>
        <v>0</v>
      </c>
      <c r="AJ59" s="407">
        <f t="shared" si="22"/>
        <v>2.39025</v>
      </c>
      <c r="AK59">
        <f t="shared" si="23"/>
        <v>9.6000000000000002E-2</v>
      </c>
      <c r="AL59" s="407">
        <f t="shared" si="24"/>
        <v>0.1215</v>
      </c>
      <c r="AM59" s="407">
        <f t="shared" si="25"/>
        <v>0.70770810810810814</v>
      </c>
      <c r="AN59" s="407">
        <f t="shared" si="42"/>
        <v>0.2175</v>
      </c>
      <c r="AO59" s="407">
        <f t="shared" si="53"/>
        <v>4.5061940226483816</v>
      </c>
      <c r="AP59">
        <f t="shared" si="27"/>
        <v>90</v>
      </c>
      <c r="AQ59" s="10">
        <f t="shared" si="43"/>
        <v>0.952318532459698</v>
      </c>
      <c r="AR59" s="63">
        <f t="shared" si="54"/>
        <v>72.528608367923155</v>
      </c>
      <c r="AS59" s="63">
        <f t="shared" si="44"/>
        <v>11.100735321970955</v>
      </c>
      <c r="AT59" s="10"/>
      <c r="AU59">
        <f t="shared" si="45"/>
        <v>95.231853245969802</v>
      </c>
      <c r="BE59" s="28"/>
      <c r="BF59" s="29"/>
    </row>
    <row r="60" spans="1:60" x14ac:dyDescent="0.2">
      <c r="A60" s="33" t="s">
        <v>366</v>
      </c>
      <c r="B60" s="115">
        <f>Ireverse</f>
        <v>0</v>
      </c>
      <c r="C60" s="416" t="s">
        <v>135</v>
      </c>
      <c r="D60" s="31" t="s">
        <v>369</v>
      </c>
      <c r="E60" s="2"/>
      <c r="G60">
        <v>51</v>
      </c>
      <c r="H60">
        <f t="shared" si="0"/>
        <v>3.8250000000000002</v>
      </c>
      <c r="I60" s="406">
        <f t="shared" si="1"/>
        <v>0.50295833868980255</v>
      </c>
      <c r="J60" s="407">
        <f t="shared" si="2"/>
        <v>2.1555357372420114</v>
      </c>
      <c r="K60" s="407">
        <f t="shared" si="31"/>
        <v>4.9027678686210061</v>
      </c>
      <c r="L60" s="407">
        <f t="shared" si="32"/>
        <v>2.7472321313789942</v>
      </c>
      <c r="M60" s="63">
        <f t="shared" si="3"/>
        <v>0</v>
      </c>
      <c r="N60" s="406">
        <f t="shared" si="46"/>
        <v>3.8752831543270001</v>
      </c>
      <c r="O60" s="406">
        <f t="shared" si="5"/>
        <v>9.076117392365049E-2</v>
      </c>
      <c r="P60">
        <f t="shared" si="6"/>
        <v>0.2</v>
      </c>
      <c r="Q60" s="406">
        <f t="shared" si="34"/>
        <v>0.29076117392365053</v>
      </c>
      <c r="R60" s="9">
        <f t="shared" si="39"/>
        <v>0.62224956907226692</v>
      </c>
      <c r="S60" s="9">
        <f t="shared" si="7"/>
        <v>3.8719452621062189E-4</v>
      </c>
      <c r="T60" s="9">
        <f t="shared" si="40"/>
        <v>3.8719452621062189E-4</v>
      </c>
      <c r="U60" s="406">
        <f t="shared" si="47"/>
        <v>2.7483335968630467</v>
      </c>
      <c r="V60" s="408">
        <f t="shared" si="9"/>
        <v>1.5106675119292343E-2</v>
      </c>
      <c r="W60" s="406">
        <f t="shared" si="41"/>
        <v>1.5106675119292343E-2</v>
      </c>
      <c r="X60" s="406">
        <f t="shared" si="48"/>
        <v>2.7483335968630467</v>
      </c>
      <c r="Y60" s="406">
        <f t="shared" si="11"/>
        <v>0.39277355310160089</v>
      </c>
      <c r="Z60" s="406">
        <f t="shared" si="12"/>
        <v>0.47034027624667851</v>
      </c>
      <c r="AA60" s="406">
        <f t="shared" si="13"/>
        <v>0.37132800000000021</v>
      </c>
      <c r="AB60" s="406">
        <f t="shared" si="14"/>
        <v>0</v>
      </c>
      <c r="AC60" s="406">
        <f t="shared" si="49"/>
        <v>1.3511991974926698</v>
      </c>
      <c r="AD60" s="406">
        <f t="shared" si="50"/>
        <v>2.7321204158243924</v>
      </c>
      <c r="AE60" s="406">
        <f t="shared" si="17"/>
        <v>7.4644819665644513E-2</v>
      </c>
      <c r="AF60" s="406">
        <f t="shared" si="18"/>
        <v>0.20655000000000001</v>
      </c>
      <c r="AG60" s="406">
        <f t="shared" si="51"/>
        <v>0.28459377178935363</v>
      </c>
      <c r="AH60" s="406">
        <f t="shared" si="52"/>
        <v>0</v>
      </c>
      <c r="AI60">
        <f t="shared" si="21"/>
        <v>0</v>
      </c>
      <c r="AJ60" s="407">
        <f t="shared" si="22"/>
        <v>2.3900549999999998</v>
      </c>
      <c r="AK60">
        <f t="shared" si="23"/>
        <v>9.6000000000000002E-2</v>
      </c>
      <c r="AL60" s="407">
        <f t="shared" si="24"/>
        <v>0.1215</v>
      </c>
      <c r="AM60" s="407">
        <f t="shared" si="25"/>
        <v>0.70770810810810814</v>
      </c>
      <c r="AN60" s="407">
        <f t="shared" si="42"/>
        <v>0.2175</v>
      </c>
      <c r="AO60" s="407">
        <f t="shared" si="53"/>
        <v>4.5496030128511764</v>
      </c>
      <c r="AP60">
        <f t="shared" si="27"/>
        <v>91.800000000000011</v>
      </c>
      <c r="AQ60" s="10">
        <f t="shared" si="43"/>
        <v>0.95278026197737054</v>
      </c>
      <c r="AR60" s="63">
        <f t="shared" si="54"/>
        <v>74.315955862096843</v>
      </c>
      <c r="AS60" s="63">
        <f t="shared" si="44"/>
        <v>11.383750871574145</v>
      </c>
      <c r="AT60" s="10"/>
      <c r="AU60">
        <f t="shared" si="45"/>
        <v>95.278026197737049</v>
      </c>
      <c r="BE60" s="28"/>
      <c r="BF60" s="29"/>
    </row>
    <row r="61" spans="1:60" x14ac:dyDescent="0.2">
      <c r="A61" s="34" t="s">
        <v>209</v>
      </c>
      <c r="B61" s="25" t="s">
        <v>201</v>
      </c>
      <c r="C61" s="34" t="s">
        <v>148</v>
      </c>
      <c r="D61" s="476" t="s">
        <v>390</v>
      </c>
      <c r="G61">
        <v>52</v>
      </c>
      <c r="H61">
        <f t="shared" si="0"/>
        <v>3.9000000000000004</v>
      </c>
      <c r="I61" s="406">
        <f t="shared" si="1"/>
        <v>0.50301654395625073</v>
      </c>
      <c r="J61" s="407">
        <f t="shared" si="2"/>
        <v>2.1557851883839318</v>
      </c>
      <c r="K61" s="407">
        <f t="shared" si="31"/>
        <v>4.9778925941919665</v>
      </c>
      <c r="L61" s="407">
        <f t="shared" si="32"/>
        <v>2.8221074058080342</v>
      </c>
      <c r="M61" s="63">
        <f t="shared" si="3"/>
        <v>0</v>
      </c>
      <c r="N61" s="406">
        <f t="shared" si="46"/>
        <v>3.9493397104078842</v>
      </c>
      <c r="O61" s="406">
        <f t="shared" si="5"/>
        <v>9.4289622666970385E-2</v>
      </c>
      <c r="P61">
        <f t="shared" si="6"/>
        <v>0.2</v>
      </c>
      <c r="Q61" s="406">
        <f t="shared" si="34"/>
        <v>0.2942896226669704</v>
      </c>
      <c r="R61" s="9">
        <f t="shared" si="39"/>
        <v>0.6223215794142356</v>
      </c>
      <c r="S61" s="9">
        <f t="shared" si="7"/>
        <v>3.8728414820462875E-4</v>
      </c>
      <c r="T61" s="9">
        <f t="shared" si="40"/>
        <v>3.8728414820462875E-4</v>
      </c>
      <c r="U61" s="406">
        <f t="shared" si="47"/>
        <v>2.8010162383202113</v>
      </c>
      <c r="V61" s="408">
        <f t="shared" si="9"/>
        <v>1.5691383934667014E-2</v>
      </c>
      <c r="W61" s="406">
        <f t="shared" si="41"/>
        <v>1.5691383934667014E-2</v>
      </c>
      <c r="X61" s="406">
        <f t="shared" si="48"/>
        <v>2.8010162383202113</v>
      </c>
      <c r="Y61" s="406">
        <f t="shared" si="11"/>
        <v>0.40797598230134235</v>
      </c>
      <c r="Z61" s="406">
        <f t="shared" si="12"/>
        <v>0.48080061857241685</v>
      </c>
      <c r="AA61" s="406">
        <f t="shared" si="13"/>
        <v>0.37132800000000021</v>
      </c>
      <c r="AB61" s="406">
        <f t="shared" si="14"/>
        <v>0</v>
      </c>
      <c r="AC61" s="406">
        <f t="shared" si="49"/>
        <v>1.3843571872006644</v>
      </c>
      <c r="AD61" s="406">
        <f t="shared" si="50"/>
        <v>2.7841681308554485</v>
      </c>
      <c r="AE61" s="406">
        <f t="shared" si="17"/>
        <v>7.7515921808711211E-2</v>
      </c>
      <c r="AF61" s="406">
        <f t="shared" si="18"/>
        <v>0.21060000000000001</v>
      </c>
      <c r="AG61" s="406">
        <f t="shared" si="51"/>
        <v>0.29173416869016988</v>
      </c>
      <c r="AH61" s="406">
        <f t="shared" si="52"/>
        <v>0</v>
      </c>
      <c r="AI61">
        <f t="shared" si="21"/>
        <v>0</v>
      </c>
      <c r="AJ61" s="407">
        <f t="shared" si="22"/>
        <v>2.3898599999999997</v>
      </c>
      <c r="AK61">
        <f t="shared" si="23"/>
        <v>9.6000000000000002E-2</v>
      </c>
      <c r="AL61" s="407">
        <f t="shared" si="24"/>
        <v>0.1215</v>
      </c>
      <c r="AM61" s="407">
        <f t="shared" si="25"/>
        <v>0.70770810810810814</v>
      </c>
      <c r="AN61" s="407">
        <f t="shared" si="42"/>
        <v>0.2175</v>
      </c>
      <c r="AO61" s="407">
        <f t="shared" si="53"/>
        <v>4.5938196466406769</v>
      </c>
      <c r="AP61">
        <f t="shared" si="27"/>
        <v>93.600000000000009</v>
      </c>
      <c r="AQ61" s="10">
        <f t="shared" si="43"/>
        <v>0.95321681483445742</v>
      </c>
      <c r="AR61" s="63">
        <f t="shared" si="54"/>
        <v>76.139645296036534</v>
      </c>
      <c r="AS61" s="63">
        <f t="shared" si="44"/>
        <v>11.669366747606794</v>
      </c>
      <c r="AT61" s="10"/>
      <c r="AU61">
        <f t="shared" si="45"/>
        <v>95.321681483445744</v>
      </c>
      <c r="BE61" s="28"/>
      <c r="BF61" s="29"/>
    </row>
    <row r="62" spans="1:60" x14ac:dyDescent="0.2">
      <c r="A62" s="33" t="s">
        <v>210</v>
      </c>
      <c r="B62" s="116">
        <v>20</v>
      </c>
      <c r="C62" s="416" t="s">
        <v>380</v>
      </c>
      <c r="D62" s="31" t="s">
        <v>184</v>
      </c>
      <c r="G62">
        <v>53</v>
      </c>
      <c r="H62">
        <f t="shared" si="0"/>
        <v>3.9750000000000001</v>
      </c>
      <c r="I62" s="406">
        <f t="shared" si="1"/>
        <v>0.50307475688880388</v>
      </c>
      <c r="J62" s="407">
        <f t="shared" si="2"/>
        <v>2.1560346723805881</v>
      </c>
      <c r="K62" s="407">
        <f t="shared" si="31"/>
        <v>5.0530173361902939</v>
      </c>
      <c r="L62" s="407">
        <f t="shared" si="32"/>
        <v>2.8969826638097063</v>
      </c>
      <c r="M62" s="63">
        <f t="shared" si="3"/>
        <v>0</v>
      </c>
      <c r="N62" s="406">
        <f t="shared" si="46"/>
        <v>4.0234312212806129</v>
      </c>
      <c r="O62" s="406">
        <f t="shared" si="5"/>
        <v>9.7888610695885142E-2</v>
      </c>
      <c r="P62">
        <f t="shared" si="6"/>
        <v>0.2</v>
      </c>
      <c r="Q62" s="406">
        <f t="shared" si="34"/>
        <v>0.29788861069588513</v>
      </c>
      <c r="R62" s="9">
        <f t="shared" si="39"/>
        <v>0.6223935992405496</v>
      </c>
      <c r="S62" s="9">
        <f t="shared" si="7"/>
        <v>3.8737379237560588E-4</v>
      </c>
      <c r="T62" s="9">
        <f t="shared" si="40"/>
        <v>3.8737379237560588E-4</v>
      </c>
      <c r="U62" s="406">
        <f t="shared" si="47"/>
        <v>2.8537297624320717</v>
      </c>
      <c r="V62" s="408">
        <f t="shared" si="9"/>
        <v>1.6287547113981216E-2</v>
      </c>
      <c r="W62" s="406">
        <f t="shared" si="41"/>
        <v>1.6287547113981216E-2</v>
      </c>
      <c r="X62" s="406">
        <f t="shared" si="48"/>
        <v>2.8537297624320717</v>
      </c>
      <c r="Y62" s="406">
        <f t="shared" si="11"/>
        <v>0.42347622496351156</v>
      </c>
      <c r="Z62" s="406">
        <f t="shared" si="12"/>
        <v>0.49126095993010305</v>
      </c>
      <c r="AA62" s="406">
        <f t="shared" si="13"/>
        <v>0.37132800000000021</v>
      </c>
      <c r="AB62" s="406">
        <f t="shared" si="14"/>
        <v>0</v>
      </c>
      <c r="AC62" s="406">
        <f t="shared" si="49"/>
        <v>1.4181905837217363</v>
      </c>
      <c r="AD62" s="406">
        <f t="shared" si="50"/>
        <v>2.8362343407033554</v>
      </c>
      <c r="AE62" s="406">
        <f t="shared" si="17"/>
        <v>8.0442252353849983E-2</v>
      </c>
      <c r="AF62" s="406">
        <f t="shared" si="18"/>
        <v>0.21465000000000001</v>
      </c>
      <c r="AG62" s="406">
        <f t="shared" si="51"/>
        <v>0.29893983534155621</v>
      </c>
      <c r="AH62" s="406">
        <f t="shared" si="52"/>
        <v>0</v>
      </c>
      <c r="AI62">
        <f t="shared" si="21"/>
        <v>0</v>
      </c>
      <c r="AJ62" s="407">
        <f t="shared" si="22"/>
        <v>2.3896649999999999</v>
      </c>
      <c r="AK62">
        <f t="shared" si="23"/>
        <v>9.6000000000000002E-2</v>
      </c>
      <c r="AL62" s="407">
        <f t="shared" si="24"/>
        <v>0.1215</v>
      </c>
      <c r="AM62" s="407">
        <f t="shared" si="25"/>
        <v>0.70770810810810814</v>
      </c>
      <c r="AN62" s="407">
        <f t="shared" si="42"/>
        <v>0.2175</v>
      </c>
      <c r="AO62" s="407">
        <f t="shared" si="53"/>
        <v>4.6388589506655356</v>
      </c>
      <c r="AP62">
        <f t="shared" si="27"/>
        <v>95.4</v>
      </c>
      <c r="AQ62" s="10">
        <f t="shared" si="43"/>
        <v>0.95362942961041564</v>
      </c>
      <c r="AR62" s="63">
        <f t="shared" si="54"/>
        <v>78.000482104695493</v>
      </c>
      <c r="AS62" s="63">
        <f t="shared" si="44"/>
        <v>11.957593413662249</v>
      </c>
      <c r="AT62" s="10"/>
      <c r="AU62">
        <f t="shared" si="45"/>
        <v>95.362942961041568</v>
      </c>
      <c r="BE62" s="28"/>
      <c r="BF62" s="29"/>
    </row>
    <row r="63" spans="1:60" x14ac:dyDescent="0.2">
      <c r="A63" s="33" t="s">
        <v>210</v>
      </c>
      <c r="B63" s="116">
        <v>2</v>
      </c>
      <c r="C63" s="416" t="s">
        <v>278</v>
      </c>
      <c r="D63" s="31" t="s">
        <v>184</v>
      </c>
      <c r="G63">
        <v>54</v>
      </c>
      <c r="H63">
        <f t="shared" si="0"/>
        <v>4.0500000000000007</v>
      </c>
      <c r="I63" s="406">
        <f t="shared" si="1"/>
        <v>0.50313297748897656</v>
      </c>
      <c r="J63" s="407">
        <f t="shared" si="2"/>
        <v>2.156284189238471</v>
      </c>
      <c r="K63" s="407">
        <f t="shared" si="31"/>
        <v>5.1281420946192364</v>
      </c>
      <c r="L63" s="407">
        <f t="shared" si="32"/>
        <v>2.971857905380765</v>
      </c>
      <c r="M63" s="63">
        <f t="shared" si="3"/>
        <v>0</v>
      </c>
      <c r="N63" s="406">
        <f t="shared" si="46"/>
        <v>4.0975557908013887</v>
      </c>
      <c r="O63" s="406">
        <f t="shared" si="5"/>
        <v>0.10155825727812333</v>
      </c>
      <c r="P63">
        <f t="shared" si="6"/>
        <v>0.2</v>
      </c>
      <c r="Q63" s="406">
        <f t="shared" si="34"/>
        <v>0.30155825727812335</v>
      </c>
      <c r="R63" s="9">
        <f t="shared" si="39"/>
        <v>0.62246562855308263</v>
      </c>
      <c r="S63" s="9">
        <f t="shared" si="7"/>
        <v>3.8746345872998423E-4</v>
      </c>
      <c r="T63" s="9">
        <f t="shared" si="40"/>
        <v>3.8746345872998423E-4</v>
      </c>
      <c r="U63" s="406">
        <f t="shared" si="47"/>
        <v>2.9064728292075839</v>
      </c>
      <c r="V63" s="408">
        <f t="shared" si="9"/>
        <v>1.6895168613843877E-2</v>
      </c>
      <c r="W63" s="406">
        <f t="shared" si="41"/>
        <v>1.6895168613843877E-2</v>
      </c>
      <c r="X63" s="406">
        <f t="shared" si="48"/>
        <v>2.9064728292075839</v>
      </c>
      <c r="Y63" s="406">
        <f t="shared" si="11"/>
        <v>0.43927438395994073</v>
      </c>
      <c r="Z63" s="406">
        <f t="shared" si="12"/>
        <v>0.50172130031954587</v>
      </c>
      <c r="AA63" s="406">
        <f t="shared" si="13"/>
        <v>0.37132800000000021</v>
      </c>
      <c r="AB63" s="406">
        <f t="shared" si="14"/>
        <v>0</v>
      </c>
      <c r="AC63" s="406">
        <f t="shared" si="49"/>
        <v>1.4527145476355852</v>
      </c>
      <c r="AD63" s="406">
        <f t="shared" si="50"/>
        <v>2.888317702713477</v>
      </c>
      <c r="AE63" s="406">
        <f t="shared" si="17"/>
        <v>8.3423791518080576E-2</v>
      </c>
      <c r="AF63" s="406">
        <f t="shared" si="18"/>
        <v>0.21870000000000003</v>
      </c>
      <c r="AG63" s="406">
        <f t="shared" si="51"/>
        <v>0.30621103723501325</v>
      </c>
      <c r="AH63" s="406">
        <f t="shared" si="52"/>
        <v>0</v>
      </c>
      <c r="AI63">
        <f t="shared" si="21"/>
        <v>0</v>
      </c>
      <c r="AJ63" s="407">
        <f t="shared" si="22"/>
        <v>2.3894699999999998</v>
      </c>
      <c r="AK63">
        <f t="shared" si="23"/>
        <v>9.6000000000000002E-2</v>
      </c>
      <c r="AL63" s="407">
        <f t="shared" si="24"/>
        <v>0.1215</v>
      </c>
      <c r="AM63" s="407">
        <f t="shared" si="25"/>
        <v>0.70770810810810814</v>
      </c>
      <c r="AN63" s="407">
        <f t="shared" si="42"/>
        <v>0.2175</v>
      </c>
      <c r="AO63" s="407">
        <f t="shared" si="53"/>
        <v>4.684736474221296</v>
      </c>
      <c r="AP63">
        <f t="shared" si="27"/>
        <v>97.200000000000017</v>
      </c>
      <c r="AQ63" s="10">
        <f t="shared" si="43"/>
        <v>0.95401925120151221</v>
      </c>
      <c r="AR63" s="63">
        <f t="shared" si="54"/>
        <v>79.899300119957189</v>
      </c>
      <c r="AS63" s="63">
        <f t="shared" si="44"/>
        <v>12.24844148940053</v>
      </c>
      <c r="AT63" s="10"/>
      <c r="AU63">
        <f t="shared" si="45"/>
        <v>95.401925120151219</v>
      </c>
      <c r="BE63" s="28"/>
      <c r="BF63" s="29"/>
    </row>
    <row r="64" spans="1:60" x14ac:dyDescent="0.2">
      <c r="A64" s="117"/>
      <c r="B64" s="40"/>
      <c r="G64">
        <v>55</v>
      </c>
      <c r="H64">
        <f t="shared" si="0"/>
        <v>4.125</v>
      </c>
      <c r="I64" s="406">
        <f t="shared" si="1"/>
        <v>0.50319120575828391</v>
      </c>
      <c r="J64" s="407">
        <f t="shared" si="2"/>
        <v>2.156533738964074</v>
      </c>
      <c r="K64" s="407">
        <f t="shared" si="31"/>
        <v>5.2032668694820368</v>
      </c>
      <c r="L64" s="407">
        <f t="shared" si="32"/>
        <v>3.0467331305179632</v>
      </c>
      <c r="M64" s="63">
        <f t="shared" si="3"/>
        <v>0</v>
      </c>
      <c r="N64" s="406">
        <f t="shared" si="46"/>
        <v>4.1717116567752139</v>
      </c>
      <c r="O64" s="406">
        <f t="shared" si="5"/>
        <v>0.10529868412774861</v>
      </c>
      <c r="P64">
        <f t="shared" si="6"/>
        <v>0.2</v>
      </c>
      <c r="Q64" s="406">
        <f t="shared" si="34"/>
        <v>0.30529868412774863</v>
      </c>
      <c r="R64" s="9">
        <f t="shared" si="39"/>
        <v>0.62253766735370919</v>
      </c>
      <c r="S64" s="9">
        <f t="shared" si="7"/>
        <v>3.8755314727419751E-4</v>
      </c>
      <c r="T64" s="9">
        <f t="shared" si="40"/>
        <v>3.8755314727419751E-4</v>
      </c>
      <c r="U64" s="406">
        <f t="shared" si="47"/>
        <v>2.9592441933630829</v>
      </c>
      <c r="V64" s="408">
        <f t="shared" si="9"/>
        <v>1.7514252391906248E-2</v>
      </c>
      <c r="W64" s="406">
        <f t="shared" si="41"/>
        <v>1.7514252391906248E-2</v>
      </c>
      <c r="X64" s="406">
        <f t="shared" si="48"/>
        <v>2.9592441933630829</v>
      </c>
      <c r="Y64" s="406">
        <f t="shared" si="11"/>
        <v>0.4553705621895624</v>
      </c>
      <c r="Z64" s="406">
        <f t="shared" si="12"/>
        <v>0.51218163974055397</v>
      </c>
      <c r="AA64" s="406">
        <f t="shared" si="13"/>
        <v>0.37132800000000021</v>
      </c>
      <c r="AB64" s="406">
        <f t="shared" si="14"/>
        <v>0</v>
      </c>
      <c r="AC64" s="406">
        <f t="shared" si="49"/>
        <v>1.4879447768268645</v>
      </c>
      <c r="AD64" s="406">
        <f t="shared" si="50"/>
        <v>2.9404169689554367</v>
      </c>
      <c r="AE64" s="406">
        <f t="shared" si="17"/>
        <v>8.6460519513210765E-2</v>
      </c>
      <c r="AF64" s="406">
        <f t="shared" si="18"/>
        <v>0.22275</v>
      </c>
      <c r="AG64" s="406">
        <f t="shared" si="51"/>
        <v>0.31354804379462425</v>
      </c>
      <c r="AH64" s="406">
        <f t="shared" si="52"/>
        <v>0</v>
      </c>
      <c r="AI64">
        <f t="shared" si="21"/>
        <v>0</v>
      </c>
      <c r="AJ64" s="407">
        <f t="shared" si="22"/>
        <v>2.3892749999999996</v>
      </c>
      <c r="AK64">
        <f t="shared" si="23"/>
        <v>9.6000000000000002E-2</v>
      </c>
      <c r="AL64" s="407">
        <f t="shared" si="24"/>
        <v>0.1215</v>
      </c>
      <c r="AM64" s="407">
        <f t="shared" si="25"/>
        <v>0.70770810810810814</v>
      </c>
      <c r="AN64" s="407">
        <f t="shared" si="42"/>
        <v>0.2175</v>
      </c>
      <c r="AO64" s="407">
        <f t="shared" si="53"/>
        <v>4.7314683102884176</v>
      </c>
      <c r="AP64">
        <f t="shared" si="27"/>
        <v>99</v>
      </c>
      <c r="AQ64" s="10">
        <f t="shared" si="43"/>
        <v>0.95438733889184579</v>
      </c>
      <c r="AR64" s="63">
        <f t="shared" si="54"/>
        <v>81.836962725477548</v>
      </c>
      <c r="AS64" s="63">
        <f t="shared" si="44"/>
        <v>12.541921751784971</v>
      </c>
      <c r="AT64" s="10"/>
      <c r="AU64">
        <f t="shared" si="45"/>
        <v>95.438733889184576</v>
      </c>
      <c r="BE64" s="28"/>
      <c r="BF64" s="29"/>
    </row>
    <row r="65" spans="1:58" x14ac:dyDescent="0.2">
      <c r="G65">
        <v>56</v>
      </c>
      <c r="H65">
        <f t="shared" si="0"/>
        <v>4.2</v>
      </c>
      <c r="I65" s="406">
        <f t="shared" si="1"/>
        <v>0.50324944169824115</v>
      </c>
      <c r="J65" s="407">
        <f t="shared" si="2"/>
        <v>2.156783321563891</v>
      </c>
      <c r="K65" s="407">
        <f t="shared" si="31"/>
        <v>5.2783916607819457</v>
      </c>
      <c r="L65" s="407">
        <f t="shared" si="32"/>
        <v>3.1216083392180547</v>
      </c>
      <c r="M65" s="63">
        <f t="shared" si="3"/>
        <v>0</v>
      </c>
      <c r="N65" s="406">
        <f t="shared" si="46"/>
        <v>4.2458971793973861</v>
      </c>
      <c r="O65" s="406">
        <f t="shared" si="5"/>
        <v>0.10911001541535553</v>
      </c>
      <c r="P65">
        <f t="shared" si="6"/>
        <v>0.2</v>
      </c>
      <c r="Q65" s="406">
        <f t="shared" si="34"/>
        <v>0.30911001541535554</v>
      </c>
      <c r="R65" s="9">
        <f t="shared" si="39"/>
        <v>0.6226097156443039</v>
      </c>
      <c r="S65" s="9">
        <f t="shared" si="7"/>
        <v>3.8764285801468095E-4</v>
      </c>
      <c r="T65" s="9">
        <f t="shared" si="40"/>
        <v>3.8764285801468095E-4</v>
      </c>
      <c r="U65" s="406">
        <f t="shared" si="47"/>
        <v>3.0120426961501012</v>
      </c>
      <c r="V65" s="408">
        <f t="shared" si="9"/>
        <v>1.8144802406862344E-2</v>
      </c>
      <c r="W65" s="406">
        <f t="shared" si="41"/>
        <v>1.8144802406862344E-2</v>
      </c>
      <c r="X65" s="406">
        <f t="shared" si="48"/>
        <v>3.0120426961501012</v>
      </c>
      <c r="Y65" s="406">
        <f t="shared" si="11"/>
        <v>0.47176486257842093</v>
      </c>
      <c r="Z65" s="406">
        <f t="shared" si="12"/>
        <v>0.52264197819293601</v>
      </c>
      <c r="AA65" s="406">
        <f t="shared" si="13"/>
        <v>0.37132800000000021</v>
      </c>
      <c r="AB65" s="406">
        <f t="shared" si="14"/>
        <v>0</v>
      </c>
      <c r="AC65" s="406">
        <f t="shared" si="49"/>
        <v>1.5238975285635616</v>
      </c>
      <c r="AD65" s="406">
        <f t="shared" si="50"/>
        <v>2.9925309780491007</v>
      </c>
      <c r="AE65" s="406">
        <f t="shared" si="17"/>
        <v>8.9552416545835067E-2</v>
      </c>
      <c r="AF65" s="406">
        <f t="shared" si="18"/>
        <v>0.2268</v>
      </c>
      <c r="AG65" s="406">
        <f t="shared" si="51"/>
        <v>0.3209511284085711</v>
      </c>
      <c r="AH65" s="406">
        <f t="shared" si="52"/>
        <v>0</v>
      </c>
      <c r="AI65">
        <f t="shared" si="21"/>
        <v>0</v>
      </c>
      <c r="AJ65" s="407">
        <f t="shared" si="22"/>
        <v>2.3890799999999999</v>
      </c>
      <c r="AK65">
        <f t="shared" si="23"/>
        <v>9.6000000000000002E-2</v>
      </c>
      <c r="AL65" s="407">
        <f t="shared" si="24"/>
        <v>0.1215</v>
      </c>
      <c r="AM65" s="407">
        <f t="shared" si="25"/>
        <v>0.70770810810810814</v>
      </c>
      <c r="AN65" s="407">
        <f t="shared" si="42"/>
        <v>0.2175</v>
      </c>
      <c r="AO65" s="407">
        <f t="shared" si="53"/>
        <v>4.7790711176523653</v>
      </c>
      <c r="AP65">
        <f t="shared" si="27"/>
        <v>100.80000000000001</v>
      </c>
      <c r="AQ65" s="10">
        <f t="shared" si="43"/>
        <v>0.95473467357629249</v>
      </c>
      <c r="AR65" s="63">
        <f t="shared" si="54"/>
        <v>83.814364070995893</v>
      </c>
      <c r="AS65" s="63">
        <f t="shared" si="44"/>
        <v>12.838045136342844</v>
      </c>
      <c r="AT65" s="10"/>
      <c r="AU65">
        <f t="shared" si="45"/>
        <v>95.473467357629247</v>
      </c>
      <c r="BE65" s="28"/>
      <c r="BF65" s="29"/>
    </row>
    <row r="66" spans="1:58" x14ac:dyDescent="0.2">
      <c r="A66" s="12" t="s">
        <v>149</v>
      </c>
      <c r="B66" s="41"/>
      <c r="C66" s="41"/>
      <c r="G66">
        <v>57</v>
      </c>
      <c r="H66">
        <f t="shared" si="0"/>
        <v>4.2749999999999995</v>
      </c>
      <c r="I66" s="406">
        <f t="shared" si="1"/>
        <v>0.50330768531036407</v>
      </c>
      <c r="J66" s="407">
        <f t="shared" si="2"/>
        <v>2.1570329370444177</v>
      </c>
      <c r="K66" s="407">
        <f t="shared" si="31"/>
        <v>5.3535164685222085</v>
      </c>
      <c r="L66" s="407">
        <f t="shared" si="32"/>
        <v>3.1964835314777904</v>
      </c>
      <c r="M66" s="63">
        <f t="shared" si="3"/>
        <v>0</v>
      </c>
      <c r="N66" s="406">
        <f t="shared" si="46"/>
        <v>4.3201108308650911</v>
      </c>
      <c r="O66" s="406">
        <f t="shared" si="5"/>
        <v>0.11299237777848277</v>
      </c>
      <c r="P66">
        <f t="shared" si="6"/>
        <v>0.2</v>
      </c>
      <c r="Q66" s="406">
        <f t="shared" si="34"/>
        <v>0.31299237777848277</v>
      </c>
      <c r="R66" s="9">
        <f t="shared" si="39"/>
        <v>0.6226817734267418</v>
      </c>
      <c r="S66" s="9">
        <f t="shared" si="7"/>
        <v>3.8773259095787222E-4</v>
      </c>
      <c r="T66" s="9">
        <f t="shared" si="40"/>
        <v>3.8773259095787222E-4</v>
      </c>
      <c r="U66" s="406">
        <f t="shared" si="47"/>
        <v>3.0648672580104699</v>
      </c>
      <c r="V66" s="408">
        <f t="shared" si="9"/>
        <v>1.8786822618449231E-2</v>
      </c>
      <c r="W66" s="406">
        <f t="shared" si="41"/>
        <v>1.8786822618449231E-2</v>
      </c>
      <c r="X66" s="406">
        <f t="shared" si="48"/>
        <v>3.0648672580104699</v>
      </c>
      <c r="Y66" s="406">
        <f t="shared" si="11"/>
        <v>0.48845738807968003</v>
      </c>
      <c r="Z66" s="406">
        <f t="shared" si="12"/>
        <v>0.53310231567650035</v>
      </c>
      <c r="AA66" s="406">
        <f t="shared" si="13"/>
        <v>0.37132800000000021</v>
      </c>
      <c r="AB66" s="406">
        <f t="shared" si="14"/>
        <v>0</v>
      </c>
      <c r="AC66" s="406">
        <f t="shared" si="49"/>
        <v>1.5605896427206358</v>
      </c>
      <c r="AD66" s="406">
        <f t="shared" si="50"/>
        <v>3.0446586478180522</v>
      </c>
      <c r="AE66" s="406">
        <f t="shared" si="17"/>
        <v>9.269946281733249E-2</v>
      </c>
      <c r="AF66" s="406">
        <f t="shared" si="18"/>
        <v>0.23084999999999997</v>
      </c>
      <c r="AG66" s="406">
        <f t="shared" si="51"/>
        <v>0.32842056846125589</v>
      </c>
      <c r="AH66" s="406">
        <f t="shared" si="52"/>
        <v>0</v>
      </c>
      <c r="AI66">
        <f t="shared" si="21"/>
        <v>0</v>
      </c>
      <c r="AJ66" s="407">
        <f t="shared" si="22"/>
        <v>2.3888850000000001</v>
      </c>
      <c r="AK66">
        <f t="shared" si="23"/>
        <v>9.6000000000000002E-2</v>
      </c>
      <c r="AL66" s="407">
        <f t="shared" si="24"/>
        <v>0.1215</v>
      </c>
      <c r="AM66" s="407">
        <f t="shared" si="25"/>
        <v>0.70770810810810814</v>
      </c>
      <c r="AN66" s="407">
        <f t="shared" si="42"/>
        <v>0.2175</v>
      </c>
      <c r="AO66" s="407">
        <f t="shared" si="53"/>
        <v>4.8275621441697822</v>
      </c>
      <c r="AP66">
        <f t="shared" si="27"/>
        <v>102.6</v>
      </c>
      <c r="AQ66" s="10">
        <f t="shared" si="43"/>
        <v>0.95506216423592394</v>
      </c>
      <c r="AR66" s="63">
        <f t="shared" si="54"/>
        <v>85.832430349634976</v>
      </c>
      <c r="AS66" s="63">
        <f t="shared" si="44"/>
        <v>13.136822738450235</v>
      </c>
      <c r="AT66" s="10"/>
      <c r="AU66">
        <f t="shared" si="45"/>
        <v>95.506216423592392</v>
      </c>
      <c r="BE66" s="28"/>
      <c r="BF66" s="29"/>
    </row>
    <row r="67" spans="1:58" x14ac:dyDescent="0.2">
      <c r="A67" s="24" t="s">
        <v>125</v>
      </c>
      <c r="B67" s="25" t="s">
        <v>8</v>
      </c>
      <c r="C67" s="25" t="s">
        <v>148</v>
      </c>
      <c r="G67">
        <v>58</v>
      </c>
      <c r="H67">
        <f t="shared" si="0"/>
        <v>4.3499999999999996</v>
      </c>
      <c r="I67" s="406">
        <f t="shared" si="1"/>
        <v>0.50336593659616913</v>
      </c>
      <c r="J67" s="407">
        <f t="shared" si="2"/>
        <v>2.1572825854121533</v>
      </c>
      <c r="K67" s="407">
        <f t="shared" si="31"/>
        <v>5.4286412927060761</v>
      </c>
      <c r="L67" s="407">
        <f t="shared" si="32"/>
        <v>3.2713587072939232</v>
      </c>
      <c r="M67" s="63">
        <f t="shared" si="3"/>
        <v>0</v>
      </c>
      <c r="N67" s="406">
        <f t="shared" si="46"/>
        <v>4.3943511860239628</v>
      </c>
      <c r="O67" s="406">
        <f t="shared" si="5"/>
        <v>0.11694590033224769</v>
      </c>
      <c r="P67">
        <f t="shared" si="6"/>
        <v>0.2</v>
      </c>
      <c r="Q67" s="406">
        <f t="shared" si="34"/>
        <v>0.31694590033224768</v>
      </c>
      <c r="R67" s="9">
        <f t="shared" si="39"/>
        <v>0.6227538407028993</v>
      </c>
      <c r="S67" s="9">
        <f t="shared" si="7"/>
        <v>3.8782234611021207E-4</v>
      </c>
      <c r="T67" s="9">
        <f t="shared" si="40"/>
        <v>3.8782234611021207E-4</v>
      </c>
      <c r="U67" s="406">
        <f t="shared" si="47"/>
        <v>3.1177168719631516</v>
      </c>
      <c r="V67" s="408">
        <f t="shared" si="9"/>
        <v>1.9440316987447397E-2</v>
      </c>
      <c r="W67" s="406">
        <f t="shared" si="41"/>
        <v>1.9440316987447397E-2</v>
      </c>
      <c r="X67" s="406">
        <f t="shared" si="48"/>
        <v>3.1177168719631516</v>
      </c>
      <c r="Y67" s="406">
        <f t="shared" si="11"/>
        <v>0.50544824167363223</v>
      </c>
      <c r="Z67" s="406">
        <f t="shared" si="12"/>
        <v>0.54356265219105604</v>
      </c>
      <c r="AA67" s="406">
        <f t="shared" si="13"/>
        <v>0.37132800000000021</v>
      </c>
      <c r="AB67" s="406">
        <f t="shared" si="14"/>
        <v>0</v>
      </c>
      <c r="AC67" s="406">
        <f t="shared" si="49"/>
        <v>1.598038566217356</v>
      </c>
      <c r="AD67" s="406">
        <f t="shared" si="50"/>
        <v>3.0967989686749942</v>
      </c>
      <c r="AE67" s="406">
        <f t="shared" si="17"/>
        <v>9.5901638523865074E-2</v>
      </c>
      <c r="AF67" s="406">
        <f t="shared" si="18"/>
        <v>0.23489999999999997</v>
      </c>
      <c r="AG67" s="406">
        <f t="shared" si="51"/>
        <v>0.33595664536603848</v>
      </c>
      <c r="AH67" s="406">
        <f t="shared" si="52"/>
        <v>0</v>
      </c>
      <c r="AI67">
        <f t="shared" si="21"/>
        <v>0</v>
      </c>
      <c r="AJ67" s="407">
        <f t="shared" si="22"/>
        <v>2.38869</v>
      </c>
      <c r="AK67">
        <f t="shared" si="23"/>
        <v>9.6000000000000002E-2</v>
      </c>
      <c r="AL67" s="407">
        <f t="shared" si="24"/>
        <v>0.1215</v>
      </c>
      <c r="AM67" s="407">
        <f t="shared" si="25"/>
        <v>0.70770810810810814</v>
      </c>
      <c r="AN67" s="407">
        <f t="shared" si="42"/>
        <v>0.2175</v>
      </c>
      <c r="AO67" s="407">
        <f t="shared" si="53"/>
        <v>4.8769592512492004</v>
      </c>
      <c r="AP67">
        <f t="shared" si="27"/>
        <v>104.39999999999999</v>
      </c>
      <c r="AQ67" s="10">
        <f t="shared" si="43"/>
        <v>0.95537065375294605</v>
      </c>
      <c r="AR67" s="63">
        <f t="shared" si="54"/>
        <v>87.892121141954576</v>
      </c>
      <c r="AS67" s="63">
        <f t="shared" si="44"/>
        <v>13.438265814641539</v>
      </c>
      <c r="AT67" s="10"/>
      <c r="AU67">
        <f t="shared" si="45"/>
        <v>95.537065375294603</v>
      </c>
      <c r="BE67" s="28"/>
      <c r="BF67" s="29"/>
    </row>
    <row r="68" spans="1:58" x14ac:dyDescent="0.2">
      <c r="A68" s="42" t="s">
        <v>385</v>
      </c>
      <c r="B68" s="409">
        <f>I109</f>
        <v>0.5058194400754954</v>
      </c>
      <c r="C68" s="31" t="s">
        <v>23</v>
      </c>
      <c r="G68">
        <v>59</v>
      </c>
      <c r="H68">
        <f t="shared" si="0"/>
        <v>4.4249999999999998</v>
      </c>
      <c r="I68" s="406">
        <f t="shared" si="1"/>
        <v>0.50342419555717299</v>
      </c>
      <c r="J68" s="407">
        <f t="shared" si="2"/>
        <v>2.1575322666735985</v>
      </c>
      <c r="K68" s="407">
        <f t="shared" si="31"/>
        <v>5.5037661333367991</v>
      </c>
      <c r="L68" s="407">
        <f t="shared" si="32"/>
        <v>3.3462338666632006</v>
      </c>
      <c r="M68" s="63">
        <f t="shared" si="3"/>
        <v>0</v>
      </c>
      <c r="N68" s="406">
        <f t="shared" si="46"/>
        <v>4.4686169139318865</v>
      </c>
      <c r="O68" s="406">
        <f t="shared" si="5"/>
        <v>0.12097071468020257</v>
      </c>
      <c r="P68">
        <f t="shared" si="6"/>
        <v>0.2</v>
      </c>
      <c r="Q68" s="406">
        <f t="shared" si="34"/>
        <v>0.32097071468020255</v>
      </c>
      <c r="R68" s="9">
        <f t="shared" si="39"/>
        <v>0.62282591747465277</v>
      </c>
      <c r="S68" s="9">
        <f t="shared" si="7"/>
        <v>3.8791212347814299E-4</v>
      </c>
      <c r="T68" s="9">
        <f t="shared" si="40"/>
        <v>3.8791212347814299E-4</v>
      </c>
      <c r="U68" s="406">
        <f t="shared" si="47"/>
        <v>3.1705905976395825</v>
      </c>
      <c r="V68" s="408">
        <f t="shared" si="9"/>
        <v>2.0105289475681052E-2</v>
      </c>
      <c r="W68" s="406">
        <f t="shared" si="41"/>
        <v>2.0105289475681052E-2</v>
      </c>
      <c r="X68" s="406">
        <f t="shared" si="48"/>
        <v>3.1705905976395825</v>
      </c>
      <c r="Y68" s="406">
        <f t="shared" si="11"/>
        <v>0.52273752636770732</v>
      </c>
      <c r="Z68" s="406">
        <f t="shared" si="12"/>
        <v>0.55402298773641101</v>
      </c>
      <c r="AA68" s="406">
        <f t="shared" si="13"/>
        <v>0.37132800000000021</v>
      </c>
      <c r="AB68" s="406">
        <f t="shared" si="14"/>
        <v>0</v>
      </c>
      <c r="AC68" s="406">
        <f t="shared" si="49"/>
        <v>1.6362623787415345</v>
      </c>
      <c r="AD68" s="406">
        <f t="shared" si="50"/>
        <v>3.1489509976558243</v>
      </c>
      <c r="AE68" s="406">
        <f t="shared" si="17"/>
        <v>9.9158923856376119E-2</v>
      </c>
      <c r="AF68" s="406">
        <f t="shared" si="18"/>
        <v>0.23895</v>
      </c>
      <c r="AG68" s="406">
        <f t="shared" si="51"/>
        <v>0.34355964459859628</v>
      </c>
      <c r="AH68" s="406">
        <f t="shared" si="52"/>
        <v>0</v>
      </c>
      <c r="AI68">
        <f t="shared" si="21"/>
        <v>0</v>
      </c>
      <c r="AJ68" s="407">
        <f t="shared" si="22"/>
        <v>2.3884949999999998</v>
      </c>
      <c r="AK68">
        <f t="shared" si="23"/>
        <v>9.6000000000000002E-2</v>
      </c>
      <c r="AL68" s="407">
        <f t="shared" si="24"/>
        <v>0.1215</v>
      </c>
      <c r="AM68" s="407">
        <f t="shared" si="25"/>
        <v>0.70770810810810814</v>
      </c>
      <c r="AN68" s="407">
        <f t="shared" si="42"/>
        <v>0.2175</v>
      </c>
      <c r="AO68" s="407">
        <f t="shared" si="53"/>
        <v>4.927280939619493</v>
      </c>
      <c r="AP68">
        <f t="shared" si="27"/>
        <v>106.19999999999999</v>
      </c>
      <c r="AQ68" s="10">
        <f t="shared" si="43"/>
        <v>0.95566092414070036</v>
      </c>
      <c r="AR68" s="63">
        <f t="shared" si="54"/>
        <v>89.994430830784395</v>
      </c>
      <c r="AS68" s="63">
        <f t="shared" si="44"/>
        <v>13.742385783943851</v>
      </c>
      <c r="AT68" s="10"/>
      <c r="AU68">
        <f t="shared" si="45"/>
        <v>95.566092414070042</v>
      </c>
      <c r="BE68" s="28"/>
      <c r="BF68" s="29"/>
    </row>
    <row r="69" spans="1:58" x14ac:dyDescent="0.2">
      <c r="A69" s="33" t="s">
        <v>151</v>
      </c>
      <c r="B69" s="409">
        <f>1-B68</f>
        <v>0.4941805599245046</v>
      </c>
      <c r="C69" s="31" t="s">
        <v>23</v>
      </c>
      <c r="G69">
        <v>60</v>
      </c>
      <c r="H69">
        <f t="shared" si="0"/>
        <v>4.5</v>
      </c>
      <c r="I69" s="406">
        <f t="shared" si="1"/>
        <v>0.50348246219489246</v>
      </c>
      <c r="J69" s="407">
        <f t="shared" si="2"/>
        <v>2.1577819808352534</v>
      </c>
      <c r="K69" s="407">
        <f t="shared" si="31"/>
        <v>5.5788909904176265</v>
      </c>
      <c r="L69" s="407">
        <f t="shared" si="32"/>
        <v>3.4211090095823735</v>
      </c>
      <c r="M69" s="63">
        <f t="shared" si="3"/>
        <v>0</v>
      </c>
      <c r="N69" s="406">
        <f t="shared" si="46"/>
        <v>4.5429067702373231</v>
      </c>
      <c r="O69" s="406">
        <f t="shared" si="5"/>
        <v>0.12506695492541486</v>
      </c>
      <c r="P69">
        <f t="shared" si="6"/>
        <v>0.2</v>
      </c>
      <c r="Q69" s="406">
        <f t="shared" si="34"/>
        <v>0.32506695492541487</v>
      </c>
      <c r="R69" s="9">
        <f t="shared" si="39"/>
        <v>0.62289800374387871</v>
      </c>
      <c r="S69" s="9">
        <f t="shared" si="7"/>
        <v>3.8800192306810916E-4</v>
      </c>
      <c r="T69" s="9">
        <f t="shared" si="40"/>
        <v>3.8800192306810916E-4</v>
      </c>
      <c r="U69" s="406">
        <f t="shared" si="47"/>
        <v>3.2234875558948968</v>
      </c>
      <c r="V69" s="408">
        <f t="shared" si="9"/>
        <v>2.078174404601851E-2</v>
      </c>
      <c r="W69" s="406">
        <f t="shared" si="41"/>
        <v>2.078174404601851E-2</v>
      </c>
      <c r="X69" s="406">
        <f t="shared" si="48"/>
        <v>3.2234875558948968</v>
      </c>
      <c r="Y69" s="406">
        <f t="shared" si="11"/>
        <v>0.54032534519648123</v>
      </c>
      <c r="Z69" s="406">
        <f t="shared" si="12"/>
        <v>0.56448332231237419</v>
      </c>
      <c r="AA69" s="406">
        <f t="shared" si="13"/>
        <v>0.37132800000000021</v>
      </c>
      <c r="AB69" s="406">
        <f t="shared" si="14"/>
        <v>0</v>
      </c>
      <c r="AC69" s="406">
        <f t="shared" si="49"/>
        <v>1.6752798198390011</v>
      </c>
      <c r="AD69" s="406">
        <f t="shared" si="50"/>
        <v>3.2011138530297312</v>
      </c>
      <c r="AE69" s="406">
        <f t="shared" si="17"/>
        <v>0.10247129900058852</v>
      </c>
      <c r="AF69" s="406">
        <f t="shared" si="18"/>
        <v>0.24299999999999999</v>
      </c>
      <c r="AG69" s="406">
        <f t="shared" si="51"/>
        <v>0.35122985573091425</v>
      </c>
      <c r="AH69" s="406">
        <f t="shared" si="52"/>
        <v>0</v>
      </c>
      <c r="AI69">
        <f t="shared" si="21"/>
        <v>0</v>
      </c>
      <c r="AJ69" s="407">
        <f t="shared" si="22"/>
        <v>2.3882999999999996</v>
      </c>
      <c r="AK69">
        <f t="shared" si="23"/>
        <v>9.6000000000000002E-2</v>
      </c>
      <c r="AL69" s="407">
        <f t="shared" si="24"/>
        <v>0.1215</v>
      </c>
      <c r="AM69" s="407">
        <f t="shared" si="25"/>
        <v>0.70770810810810814</v>
      </c>
      <c r="AN69" s="407">
        <f t="shared" si="42"/>
        <v>0.2175</v>
      </c>
      <c r="AO69" s="407">
        <f t="shared" si="53"/>
        <v>4.9785463764644167</v>
      </c>
      <c r="AP69">
        <f t="shared" si="27"/>
        <v>108</v>
      </c>
      <c r="AQ69" s="10">
        <f t="shared" si="43"/>
        <v>0.95593370125443966</v>
      </c>
      <c r="AR69" s="63">
        <f t="shared" si="54"/>
        <v>92.140390091145065</v>
      </c>
      <c r="AS69" s="63">
        <f t="shared" si="44"/>
        <v>14.049194229236569</v>
      </c>
      <c r="AT69" s="10"/>
      <c r="AU69">
        <f t="shared" si="45"/>
        <v>95.593370125443968</v>
      </c>
      <c r="BE69" s="28"/>
      <c r="BF69" s="29"/>
    </row>
    <row r="70" spans="1:58" x14ac:dyDescent="0.2">
      <c r="A70" s="43" t="s">
        <v>386</v>
      </c>
      <c r="B70" s="409">
        <f>Ipp</f>
        <v>0.4941805599245046</v>
      </c>
      <c r="C70" s="31" t="s">
        <v>2</v>
      </c>
      <c r="G70">
        <v>61</v>
      </c>
      <c r="H70">
        <f t="shared" si="0"/>
        <v>4.5750000000000002</v>
      </c>
      <c r="I70" s="406">
        <f t="shared" si="1"/>
        <v>0.50354073651084508</v>
      </c>
      <c r="J70" s="407">
        <f t="shared" si="2"/>
        <v>2.1580317279036221</v>
      </c>
      <c r="K70" s="407">
        <f t="shared" si="31"/>
        <v>5.6540158639518108</v>
      </c>
      <c r="L70" s="407">
        <f t="shared" si="32"/>
        <v>3.4959841360481891</v>
      </c>
      <c r="M70" s="63">
        <f t="shared" si="3"/>
        <v>0</v>
      </c>
      <c r="N70" s="406">
        <f t="shared" si="46"/>
        <v>4.6172195902822901</v>
      </c>
      <c r="O70" s="406">
        <f t="shared" si="5"/>
        <v>0.129234757681773</v>
      </c>
      <c r="P70">
        <f t="shared" si="6"/>
        <v>0.2</v>
      </c>
      <c r="Q70" s="406">
        <f t="shared" si="34"/>
        <v>0.32923475768177302</v>
      </c>
      <c r="R70" s="9">
        <f t="shared" si="39"/>
        <v>0.62297009951245474</v>
      </c>
      <c r="S70" s="9">
        <f t="shared" si="7"/>
        <v>3.8809174488655778E-4</v>
      </c>
      <c r="T70" s="9">
        <f t="shared" si="40"/>
        <v>3.8809174488655778E-4</v>
      </c>
      <c r="U70" s="406">
        <f t="shared" si="47"/>
        <v>3.2764069239314981</v>
      </c>
      <c r="V70" s="408">
        <f t="shared" si="9"/>
        <v>2.1469684662372524E-2</v>
      </c>
      <c r="W70" s="406">
        <f t="shared" si="41"/>
        <v>2.1469684662372524E-2</v>
      </c>
      <c r="X70" s="406">
        <f t="shared" si="48"/>
        <v>3.2764069239314981</v>
      </c>
      <c r="Y70" s="406">
        <f t="shared" si="11"/>
        <v>0.55821180122168557</v>
      </c>
      <c r="Z70" s="406">
        <f t="shared" si="12"/>
        <v>0.57494365591875363</v>
      </c>
      <c r="AA70" s="406">
        <f t="shared" si="13"/>
        <v>0.37132800000000021</v>
      </c>
      <c r="AB70" s="406">
        <f t="shared" si="14"/>
        <v>0</v>
      </c>
      <c r="AC70" s="406">
        <f t="shared" si="49"/>
        <v>1.7151103174521942</v>
      </c>
      <c r="AD70" s="406">
        <f t="shared" si="50"/>
        <v>3.2532867094217646</v>
      </c>
      <c r="AE70" s="406">
        <f t="shared" si="17"/>
        <v>0.10583874413700294</v>
      </c>
      <c r="AF70" s="406">
        <f t="shared" si="18"/>
        <v>0.24705000000000002</v>
      </c>
      <c r="AG70" s="406">
        <f t="shared" si="51"/>
        <v>0.3589675724659151</v>
      </c>
      <c r="AH70" s="406">
        <f t="shared" si="52"/>
        <v>0</v>
      </c>
      <c r="AI70">
        <f t="shared" si="21"/>
        <v>0</v>
      </c>
      <c r="AJ70" s="407">
        <f t="shared" si="22"/>
        <v>2.3881049999999995</v>
      </c>
      <c r="AK70">
        <f t="shared" si="23"/>
        <v>9.6000000000000002E-2</v>
      </c>
      <c r="AL70" s="407">
        <f t="shared" si="24"/>
        <v>0.1215</v>
      </c>
      <c r="AM70" s="407">
        <f t="shared" si="25"/>
        <v>0.70770810810810814</v>
      </c>
      <c r="AN70" s="407">
        <f t="shared" si="42"/>
        <v>0.2175</v>
      </c>
      <c r="AO70" s="407">
        <f t="shared" si="53"/>
        <v>5.0307754240071416</v>
      </c>
      <c r="AP70">
        <f t="shared" si="27"/>
        <v>109.80000000000001</v>
      </c>
      <c r="AQ70" s="10">
        <f t="shared" si="43"/>
        <v>0.95618965904017239</v>
      </c>
      <c r="AR70" s="63">
        <f t="shared" si="54"/>
        <v>94.331067459870681</v>
      </c>
      <c r="AS70" s="63">
        <f t="shared" si="44"/>
        <v>14.358702898636604</v>
      </c>
      <c r="AT70" s="10"/>
      <c r="AU70">
        <f t="shared" si="45"/>
        <v>95.618965904017244</v>
      </c>
      <c r="BE70" s="28"/>
      <c r="BF70" s="29"/>
    </row>
    <row r="71" spans="1:58" x14ac:dyDescent="0.2">
      <c r="A71" s="24" t="s">
        <v>129</v>
      </c>
      <c r="B71" s="25" t="s">
        <v>8</v>
      </c>
      <c r="C71" s="27" t="s">
        <v>148</v>
      </c>
      <c r="G71">
        <v>62</v>
      </c>
      <c r="H71">
        <f t="shared" si="0"/>
        <v>4.6500000000000004</v>
      </c>
      <c r="I71" s="406">
        <f t="shared" si="1"/>
        <v>0.50359901850654853</v>
      </c>
      <c r="J71" s="407">
        <f t="shared" si="2"/>
        <v>2.1582815078852078</v>
      </c>
      <c r="K71" s="407">
        <f t="shared" si="31"/>
        <v>5.7291407539426045</v>
      </c>
      <c r="L71" s="407">
        <f t="shared" si="32"/>
        <v>3.5708592460573962</v>
      </c>
      <c r="M71" s="63">
        <f t="shared" si="3"/>
        <v>0</v>
      </c>
      <c r="N71" s="406">
        <f t="shared" si="46"/>
        <v>4.6915542828512535</v>
      </c>
      <c r="O71" s="406">
        <f t="shared" si="5"/>
        <v>0.13347426208551952</v>
      </c>
      <c r="P71">
        <f t="shared" si="6"/>
        <v>0.2</v>
      </c>
      <c r="Q71" s="406">
        <f t="shared" si="34"/>
        <v>0.33347426208551956</v>
      </c>
      <c r="R71" s="9">
        <f t="shared" si="39"/>
        <v>0.62304220478225814</v>
      </c>
      <c r="S71" s="9">
        <f t="shared" si="7"/>
        <v>3.8818158893993727E-4</v>
      </c>
      <c r="T71" s="9">
        <f t="shared" si="40"/>
        <v>3.8818158893993727E-4</v>
      </c>
      <c r="U71" s="406">
        <f t="shared" si="47"/>
        <v>3.3293479308793055</v>
      </c>
      <c r="V71" s="408">
        <f t="shared" si="9"/>
        <v>2.2169115289700624E-2</v>
      </c>
      <c r="W71" s="406">
        <f t="shared" si="41"/>
        <v>2.2169115289700624E-2</v>
      </c>
      <c r="X71" s="406">
        <f t="shared" si="48"/>
        <v>3.3293479308793055</v>
      </c>
      <c r="Y71" s="406">
        <f t="shared" si="11"/>
        <v>0.57639699753221618</v>
      </c>
      <c r="Z71" s="406">
        <f t="shared" si="12"/>
        <v>0.5854039885553578</v>
      </c>
      <c r="AA71" s="406">
        <f t="shared" si="13"/>
        <v>0.37132800000000021</v>
      </c>
      <c r="AB71" s="406">
        <f t="shared" si="14"/>
        <v>0</v>
      </c>
      <c r="AC71" s="406">
        <f t="shared" si="49"/>
        <v>1.7557740179977495</v>
      </c>
      <c r="AD71" s="406">
        <f t="shared" si="50"/>
        <v>3.3054687933921909</v>
      </c>
      <c r="AE71" s="406">
        <f t="shared" si="17"/>
        <v>0.10926123944089627</v>
      </c>
      <c r="AF71" s="406">
        <f t="shared" si="18"/>
        <v>0.25109999999999999</v>
      </c>
      <c r="AG71" s="406">
        <f t="shared" si="51"/>
        <v>0.36677309267273528</v>
      </c>
      <c r="AH71" s="406">
        <f t="shared" si="52"/>
        <v>0</v>
      </c>
      <c r="AI71">
        <f t="shared" si="21"/>
        <v>0</v>
      </c>
      <c r="AJ71" s="407">
        <f t="shared" si="22"/>
        <v>2.3879099999999998</v>
      </c>
      <c r="AK71">
        <f t="shared" si="23"/>
        <v>9.6000000000000002E-2</v>
      </c>
      <c r="AL71" s="407">
        <f t="shared" si="24"/>
        <v>0.1215</v>
      </c>
      <c r="AM71" s="407">
        <f t="shared" si="25"/>
        <v>0.70770810810810814</v>
      </c>
      <c r="AN71" s="407">
        <f t="shared" si="42"/>
        <v>0.2175</v>
      </c>
      <c r="AO71" s="407">
        <f t="shared" si="53"/>
        <v>5.0839886696346452</v>
      </c>
      <c r="AP71">
        <f t="shared" si="27"/>
        <v>111.60000000000001</v>
      </c>
      <c r="AQ71" s="10">
        <f t="shared" si="43"/>
        <v>0.95642942337162595</v>
      </c>
      <c r="AR71" s="63">
        <f t="shared" si="54"/>
        <v>96.567570989876216</v>
      </c>
      <c r="AS71" s="63">
        <f t="shared" si="44"/>
        <v>14.670923706909411</v>
      </c>
      <c r="AT71" s="10"/>
      <c r="AU71">
        <f t="shared" si="45"/>
        <v>95.642942337162594</v>
      </c>
      <c r="BE71" s="28"/>
      <c r="BF71" s="29"/>
    </row>
    <row r="72" spans="1:58" x14ac:dyDescent="0.2">
      <c r="A72" s="42" t="s">
        <v>166</v>
      </c>
      <c r="B72" s="409">
        <f>(QgdTop+QgsTop/2)*(RdsonDRT+RGateTop)/(Vdd-VspTop)*1000000000</f>
        <v>4.1353846153846154</v>
      </c>
      <c r="C72" s="31" t="s">
        <v>147</v>
      </c>
      <c r="G72">
        <v>63</v>
      </c>
      <c r="H72">
        <f t="shared" si="0"/>
        <v>4.7249999999999996</v>
      </c>
      <c r="I72" s="406">
        <f t="shared" si="1"/>
        <v>0.50365730818352117</v>
      </c>
      <c r="J72" s="407">
        <f t="shared" si="2"/>
        <v>2.1585313207865195</v>
      </c>
      <c r="K72" s="407">
        <f t="shared" si="31"/>
        <v>5.8042656603932592</v>
      </c>
      <c r="L72" s="407">
        <f t="shared" si="32"/>
        <v>3.6457343396067401</v>
      </c>
      <c r="M72" s="63">
        <f t="shared" si="3"/>
        <v>0</v>
      </c>
      <c r="N72" s="406">
        <f t="shared" si="46"/>
        <v>4.7659098244967559</v>
      </c>
      <c r="O72" s="406">
        <f t="shared" si="5"/>
        <v>0.13778560980701357</v>
      </c>
      <c r="P72">
        <f t="shared" si="6"/>
        <v>0.2</v>
      </c>
      <c r="Q72" s="406">
        <f t="shared" si="34"/>
        <v>0.33778560980701355</v>
      </c>
      <c r="R72" s="9">
        <f t="shared" si="39"/>
        <v>0.62311431955516783</v>
      </c>
      <c r="S72" s="9">
        <f t="shared" si="7"/>
        <v>3.882714552346998E-4</v>
      </c>
      <c r="T72" s="9">
        <f t="shared" si="40"/>
        <v>3.882714552346998E-4</v>
      </c>
      <c r="U72" s="406">
        <f t="shared" si="47"/>
        <v>3.3823098537837621</v>
      </c>
      <c r="V72" s="408">
        <f t="shared" si="9"/>
        <v>2.2880039894005472E-2</v>
      </c>
      <c r="W72" s="406">
        <f t="shared" si="41"/>
        <v>2.2880039894005472E-2</v>
      </c>
      <c r="X72" s="406">
        <f t="shared" si="48"/>
        <v>3.3823098537837621</v>
      </c>
      <c r="Y72" s="406">
        <f t="shared" si="11"/>
        <v>0.59488103724414221</v>
      </c>
      <c r="Z72" s="406">
        <f t="shared" si="12"/>
        <v>0.59586432022199465</v>
      </c>
      <c r="AA72" s="406">
        <f t="shared" si="13"/>
        <v>0.37132800000000021</v>
      </c>
      <c r="AB72" s="406">
        <f t="shared" si="14"/>
        <v>0</v>
      </c>
      <c r="AC72" s="406">
        <f t="shared" si="49"/>
        <v>1.7972918180794268</v>
      </c>
      <c r="AD72" s="406">
        <f t="shared" si="50"/>
        <v>3.3576593794237031</v>
      </c>
      <c r="AE72" s="406">
        <f t="shared" si="17"/>
        <v>0.11273876508231967</v>
      </c>
      <c r="AF72" s="406">
        <f t="shared" si="18"/>
        <v>0.25514999999999999</v>
      </c>
      <c r="AG72" s="406">
        <f t="shared" si="51"/>
        <v>0.3746467184226579</v>
      </c>
      <c r="AH72" s="406">
        <f t="shared" si="52"/>
        <v>0</v>
      </c>
      <c r="AI72">
        <f t="shared" si="21"/>
        <v>0</v>
      </c>
      <c r="AJ72" s="407">
        <f t="shared" si="22"/>
        <v>2.387715</v>
      </c>
      <c r="AK72">
        <f t="shared" si="23"/>
        <v>9.6000000000000002E-2</v>
      </c>
      <c r="AL72" s="407">
        <f t="shared" si="24"/>
        <v>0.1215</v>
      </c>
      <c r="AM72" s="407">
        <f t="shared" si="25"/>
        <v>0.70770810810810814</v>
      </c>
      <c r="AN72" s="407">
        <f t="shared" si="42"/>
        <v>0.2175</v>
      </c>
      <c r="AO72" s="407">
        <f t="shared" si="53"/>
        <v>5.1382074576583383</v>
      </c>
      <c r="AP72">
        <f t="shared" si="27"/>
        <v>113.39999999999999</v>
      </c>
      <c r="AQ72" s="10">
        <f t="shared" si="43"/>
        <v>0.9566535755191532</v>
      </c>
      <c r="AR72" s="63">
        <f t="shared" si="54"/>
        <v>98.851049994368481</v>
      </c>
      <c r="AS72" s="63">
        <f t="shared" si="44"/>
        <v>14.985868736906315</v>
      </c>
      <c r="AT72" s="10"/>
      <c r="AU72">
        <f t="shared" si="45"/>
        <v>95.665357551915321</v>
      </c>
      <c r="BE72" s="28"/>
      <c r="BF72" s="29"/>
    </row>
    <row r="73" spans="1:58" x14ac:dyDescent="0.2">
      <c r="A73" s="43" t="s">
        <v>167</v>
      </c>
      <c r="B73" s="409">
        <f>(QgdTop+QgsTop/2)*(RdsonDRT+RGateTop)/(VspTop)*1000000000</f>
        <v>1.6800000000000002</v>
      </c>
      <c r="C73" s="31" t="s">
        <v>147</v>
      </c>
      <c r="G73">
        <v>64</v>
      </c>
      <c r="H73">
        <f t="shared" ref="H73:H136" si="55">Iout*(G73/200)</f>
        <v>4.8</v>
      </c>
      <c r="I73" s="406">
        <f t="shared" si="1"/>
        <v>0.50371560554328176</v>
      </c>
      <c r="J73" s="407">
        <f t="shared" ref="J73:J136" si="56">(Vin-Vout)*I73/(Fsw*Lout2)</f>
        <v>2.1587811666140646</v>
      </c>
      <c r="K73" s="407">
        <f t="shared" si="31"/>
        <v>5.8793905833070319</v>
      </c>
      <c r="L73" s="407">
        <f t="shared" si="32"/>
        <v>3.7206094166929677</v>
      </c>
      <c r="M73" s="63">
        <f t="shared" ref="M73:M136" si="57">IF(MIN(Vin, -L73/(CossTop+CossBot)*0.00000002)&lt;0, 0, MIN(Vin, -L73/(CossTop+CossBot)*0.00000002))</f>
        <v>0</v>
      </c>
      <c r="N73" s="406">
        <f t="shared" ref="N73:N109" si="58">SQRT(H73^2+(J73^2)/12)</f>
        <v>4.8402852543809125</v>
      </c>
      <c r="O73" s="406">
        <f t="shared" si="5"/>
        <v>0.14216894506272446</v>
      </c>
      <c r="P73">
        <f t="shared" ref="P73:P136" si="59">Core_Loss</f>
        <v>0.2</v>
      </c>
      <c r="Q73" s="406">
        <f t="shared" si="34"/>
        <v>0.34216894506272444</v>
      </c>
      <c r="R73" s="9">
        <f t="shared" si="39"/>
        <v>0.62318644383306232</v>
      </c>
      <c r="S73" s="9">
        <f t="shared" si="7"/>
        <v>3.8836134377729856E-4</v>
      </c>
      <c r="T73" s="9">
        <f t="shared" si="40"/>
        <v>3.8836134377729856E-4</v>
      </c>
      <c r="U73" s="406">
        <f t="shared" ref="U73:U109" si="60">SQRT(I73)*SQRT(H73^2+(J73^2)/12)</f>
        <v>3.4352920139585796</v>
      </c>
      <c r="V73" s="408">
        <f t="shared" si="9"/>
        <v>2.3602462442335187E-2</v>
      </c>
      <c r="W73" s="406">
        <f t="shared" si="41"/>
        <v>2.3602462442335187E-2</v>
      </c>
      <c r="X73" s="406">
        <f t="shared" ref="X73:X109" si="61">SQRT(I73)*SQRT(H73^2+(J73^2)/12)</f>
        <v>3.4352920139585796</v>
      </c>
      <c r="Y73" s="406">
        <f t="shared" si="11"/>
        <v>0.61366402350071492</v>
      </c>
      <c r="Z73" s="406">
        <f t="shared" ref="Z73:Z136" si="62">IF(L73&lt;0, (Vin*K73*Tf/2)*Fsw, (Vin*L73*Tr/2+Vin*K73*Tf/2)*Fsw)</f>
        <v>0.6063246509184731</v>
      </c>
      <c r="AA73" s="406">
        <f t="shared" ref="AA73:AA136" si="63">(0.5*CossTop*(Vin-M73)^2-0.5*CossBot*(Vin-M73)^2+(QossBot*(Vin-M73)/Vin)*Vin)*Fsw</f>
        <v>0.37132800000000021</v>
      </c>
      <c r="AB73" s="406">
        <f t="shared" ref="AB73:AB136" si="64">IF(L73&gt;0,0,-L73*VsdTop*Deadtime*Fsw)</f>
        <v>0</v>
      </c>
      <c r="AC73" s="406">
        <f t="shared" ref="AC73:AC104" si="65">(AB73+AA73+Z73+Y73*(1+RdsonTopTc*Ta-RdsonTopTc*25))/(1-Y73*RdsonTopTc*ThetaJaTop)</f>
        <v>1.839685397939735</v>
      </c>
      <c r="AD73" s="406">
        <f t="shared" ref="AD73:AD109" si="66">SQRT(1-I73)*SQRT(H73^2+(J73^2)/12)</f>
        <v>3.4098577862734536</v>
      </c>
      <c r="AE73" s="406">
        <f t="shared" si="17"/>
        <v>0.11627130122609698</v>
      </c>
      <c r="AF73" s="406">
        <f t="shared" ref="AF73:AF136" si="67">IF(L73&lt;0, Deadtime*Fsw*IF(VfdSky&gt;0,0,VsdBot)*K73, Deadtime*Fsw*IF(VfdSky&gt;0,0,VsdBot)*(K73+L73))</f>
        <v>0.25919999999999999</v>
      </c>
      <c r="AG73" s="406">
        <f t="shared" ref="AG73:AG104" si="68">(AF73+AE73*(1+RdsonBotTc*Ta-RdsonBotTc*25))/(1-AE73*RdsonBotTc*ThetaJaBot)</f>
        <v>0.38258875602571024</v>
      </c>
      <c r="AH73" s="406">
        <f t="shared" ref="AH73:AH109" si="69">IF(RDSON_sense=1, 0, AD73^2*Rshunt)</f>
        <v>0</v>
      </c>
      <c r="AI73">
        <f t="shared" ref="AI73:AI136" si="70">2*Deadtime*Fsw*IF(VfdSky&gt;0,VfdSky,0)*H73</f>
        <v>0</v>
      </c>
      <c r="AJ73" s="407">
        <f t="shared" ref="AJ73:AJ136" si="71">IF(QrrSky&gt;0,QrrSky,QrrBot)*Fsw*(Vin-H73*RdsonTop)</f>
        <v>2.3875199999999999</v>
      </c>
      <c r="AK73">
        <f t="shared" si="23"/>
        <v>9.6000000000000002E-2</v>
      </c>
      <c r="AL73" s="407">
        <f t="shared" ref="AL73:AL136" si="72">IF(Ext_VCC=1, Vdd*(QgTop+QgBot)*Fsw, Vin*(QgTop+QgBot)*Fsw)</f>
        <v>0.1215</v>
      </c>
      <c r="AM73" s="407">
        <f t="shared" si="25"/>
        <v>0.70770810810810814</v>
      </c>
      <c r="AN73" s="407">
        <f t="shared" si="42"/>
        <v>0.2175</v>
      </c>
      <c r="AO73" s="407">
        <f t="shared" ref="AO73:AO104" si="73">SUM(Q73,T73,W73,AC73,AJ73,AI73,AG73,AN73, AH73)</f>
        <v>5.1934539228142826</v>
      </c>
      <c r="AP73">
        <f t="shared" ref="AP73:AP136" si="74">Vout*H73</f>
        <v>115.19999999999999</v>
      </c>
      <c r="AQ73" s="10">
        <f t="shared" si="43"/>
        <v>0.95686265528901704</v>
      </c>
      <c r="AR73" s="63">
        <f t="shared" ref="AR73:AR109" si="75">ThetaJaTop*AC73</f>
        <v>101.18269688668542</v>
      </c>
      <c r="AS73" s="63">
        <f t="shared" si="44"/>
        <v>15.303550241028409</v>
      </c>
      <c r="AT73" s="10"/>
      <c r="AU73">
        <f t="shared" si="45"/>
        <v>95.6862655289017</v>
      </c>
      <c r="BE73" s="28"/>
      <c r="BF73" s="29"/>
    </row>
    <row r="74" spans="1:58" x14ac:dyDescent="0.2">
      <c r="A74" s="24" t="s">
        <v>206</v>
      </c>
      <c r="B74" s="25" t="s">
        <v>8</v>
      </c>
      <c r="C74" s="27" t="s">
        <v>148</v>
      </c>
      <c r="G74">
        <v>65</v>
      </c>
      <c r="H74">
        <f t="shared" si="55"/>
        <v>4.875</v>
      </c>
      <c r="I74" s="406">
        <f t="shared" ref="I74:I109" si="76">(Vout+Rdcr*H74+RdsonBot*H74)/(Vin-RdsonTop*H74+RdsonBot*H74)</f>
        <v>0.50377391058734922</v>
      </c>
      <c r="J74" s="407">
        <f t="shared" si="56"/>
        <v>2.1590310453743538</v>
      </c>
      <c r="K74" s="407">
        <f t="shared" ref="K74:K137" si="77">H74+J74/2</f>
        <v>5.9545155226871769</v>
      </c>
      <c r="L74" s="407">
        <f t="shared" ref="L74:L109" si="78">H74-J74/2</f>
        <v>3.7954844773128231</v>
      </c>
      <c r="M74" s="63">
        <f t="shared" si="57"/>
        <v>0</v>
      </c>
      <c r="N74" s="406">
        <f t="shared" si="58"/>
        <v>4.9146796695791055</v>
      </c>
      <c r="O74" s="406">
        <f t="shared" ref="O74:O109" si="79">(N74^2*Rdcr*(1+Ltc*Ta-Ltc*25))/(1-N74^2*Rdcr*Ltc*ThetaCa)</f>
        <v>0.1466244146274582</v>
      </c>
      <c r="P74">
        <f t="shared" si="59"/>
        <v>0.2</v>
      </c>
      <c r="Q74" s="406">
        <f t="shared" ref="Q74:Q137" si="80">O74+P74</f>
        <v>0.34662441462745819</v>
      </c>
      <c r="R74" s="9">
        <f t="shared" si="39"/>
        <v>0.62325857761782122</v>
      </c>
      <c r="S74" s="9">
        <f t="shared" ref="S74:S109" si="81">RCoutEsr*R74^2</f>
        <v>3.8845125457418969E-4</v>
      </c>
      <c r="T74" s="9">
        <f t="shared" si="40"/>
        <v>3.8845125457418969E-4</v>
      </c>
      <c r="U74" s="406">
        <f t="shared" si="60"/>
        <v>3.4882937736652675</v>
      </c>
      <c r="V74" s="408">
        <f t="shared" ref="V74:V109" si="82">RCinEsr*U74^2</f>
        <v>2.4336386902783745E-2</v>
      </c>
      <c r="W74" s="406">
        <f t="shared" si="41"/>
        <v>2.4336386902783745E-2</v>
      </c>
      <c r="X74" s="406">
        <f t="shared" si="61"/>
        <v>3.4882937736652675</v>
      </c>
      <c r="Y74" s="406">
        <f t="shared" ref="Y74:Y109" si="83">RdsonTop*X74^2</f>
        <v>0.63274605947237728</v>
      </c>
      <c r="Z74" s="406">
        <f t="shared" si="62"/>
        <v>0.61678498064460063</v>
      </c>
      <c r="AA74" s="406">
        <f t="shared" si="63"/>
        <v>0.37132800000000021</v>
      </c>
      <c r="AB74" s="406">
        <f t="shared" si="64"/>
        <v>0</v>
      </c>
      <c r="AC74" s="406">
        <f t="shared" si="65"/>
        <v>1.8829772567611585</v>
      </c>
      <c r="AD74" s="406">
        <f t="shared" si="66"/>
        <v>3.462063373651949</v>
      </c>
      <c r="AE74" s="406">
        <f t="shared" ref="AE74:AE109" si="84">RdsonBot*AD74^2</f>
        <v>0.11985882803182316</v>
      </c>
      <c r="AF74" s="406">
        <f t="shared" si="67"/>
        <v>0.26324999999999998</v>
      </c>
      <c r="AG74" s="406">
        <f t="shared" si="68"/>
        <v>0.39059951606793514</v>
      </c>
      <c r="AH74" s="406">
        <f t="shared" si="69"/>
        <v>0</v>
      </c>
      <c r="AI74">
        <f t="shared" si="70"/>
        <v>0</v>
      </c>
      <c r="AJ74" s="407">
        <f t="shared" si="71"/>
        <v>2.3873249999999997</v>
      </c>
      <c r="AK74">
        <f t="shared" ref="AK74:AK137" si="85">Iq*Vin</f>
        <v>9.6000000000000002E-2</v>
      </c>
      <c r="AL74" s="407">
        <f t="shared" si="72"/>
        <v>0.1215</v>
      </c>
      <c r="AM74" s="407">
        <f t="shared" ref="AM74:AM137" si="86">(Vin-Vdd)*Fsw*(QgTop+QgBot)+(RdsonDRT+RdsonDRT2)*Fsw*QgTop*Vdd/(RdsonDRT+2*RGateTop+RdsonDRT2)+(RdsonDRB+RdsonDRB2)*Fsw*QgBot*Vdd/(RdsonDRB+2*RGateBot+RdsonDRB2)</f>
        <v>0.70770810810810814</v>
      </c>
      <c r="AN74" s="407">
        <f t="shared" si="42"/>
        <v>0.2175</v>
      </c>
      <c r="AO74" s="407">
        <f t="shared" si="73"/>
        <v>5.2497510256139099</v>
      </c>
      <c r="AP74">
        <f t="shared" si="74"/>
        <v>117</v>
      </c>
      <c r="AQ74" s="10">
        <f t="shared" si="43"/>
        <v>0.95705716386682893</v>
      </c>
      <c r="AR74" s="63">
        <f t="shared" si="75"/>
        <v>103.56374912186371</v>
      </c>
      <c r="AS74" s="63">
        <f t="shared" si="44"/>
        <v>15.623980642717406</v>
      </c>
      <c r="AT74" s="10"/>
      <c r="AU74">
        <f t="shared" si="45"/>
        <v>95.705716386682894</v>
      </c>
      <c r="BE74" s="28"/>
      <c r="BF74" s="29"/>
    </row>
    <row r="75" spans="1:58" x14ac:dyDescent="0.2">
      <c r="A75" s="44" t="s">
        <v>207</v>
      </c>
      <c r="B75" s="121">
        <f>AN9</f>
        <v>0.2175</v>
      </c>
      <c r="C75" s="122" t="s">
        <v>208</v>
      </c>
      <c r="G75">
        <v>66</v>
      </c>
      <c r="H75">
        <f t="shared" si="55"/>
        <v>4.95</v>
      </c>
      <c r="I75" s="406">
        <f t="shared" si="76"/>
        <v>0.50383222331724264</v>
      </c>
      <c r="J75" s="407">
        <f t="shared" si="56"/>
        <v>2.1592809570738973</v>
      </c>
      <c r="K75" s="407">
        <f t="shared" si="77"/>
        <v>6.0296404785369493</v>
      </c>
      <c r="L75" s="407">
        <f t="shared" si="78"/>
        <v>3.8703595214630515</v>
      </c>
      <c r="M75" s="63">
        <f t="shared" si="57"/>
        <v>0</v>
      </c>
      <c r="N75" s="406">
        <f t="shared" si="58"/>
        <v>4.9890922207984723</v>
      </c>
      <c r="O75" s="406">
        <f t="shared" si="79"/>
        <v>0.15115216784681901</v>
      </c>
      <c r="P75">
        <f t="shared" si="59"/>
        <v>0.2</v>
      </c>
      <c r="Q75" s="406">
        <f t="shared" si="80"/>
        <v>0.35115216784681902</v>
      </c>
      <c r="R75" s="9">
        <f t="shared" ref="R75:R109" si="87">J75/(2*SQRT(3))</f>
        <v>0.62333072091132369</v>
      </c>
      <c r="S75" s="9">
        <f t="shared" si="81"/>
        <v>3.8854118763183049E-4</v>
      </c>
      <c r="T75" s="9">
        <f t="shared" ref="T75:T109" si="88">S75</f>
        <v>3.8854118763183049E-4</v>
      </c>
      <c r="U75" s="406">
        <f t="shared" si="60"/>
        <v>3.5413145330859281</v>
      </c>
      <c r="V75" s="408">
        <f t="shared" si="82"/>
        <v>2.5081817244491211E-2</v>
      </c>
      <c r="W75" s="406">
        <f t="shared" ref="W75:W109" si="89">V75</f>
        <v>2.5081817244491211E-2</v>
      </c>
      <c r="X75" s="406">
        <f t="shared" si="61"/>
        <v>3.5413145330859281</v>
      </c>
      <c r="Y75" s="406">
        <f t="shared" si="83"/>
        <v>0.65212724835677149</v>
      </c>
      <c r="Z75" s="406">
        <f t="shared" si="62"/>
        <v>0.62724530940018586</v>
      </c>
      <c r="AA75" s="406">
        <f t="shared" si="63"/>
        <v>0.37132800000000021</v>
      </c>
      <c r="AB75" s="406">
        <f t="shared" si="64"/>
        <v>0</v>
      </c>
      <c r="AC75" s="406">
        <f t="shared" si="65"/>
        <v>1.9271907499361434</v>
      </c>
      <c r="AD75" s="406">
        <f t="shared" si="66"/>
        <v>3.5142755391952729</v>
      </c>
      <c r="AE75" s="406">
        <f t="shared" si="84"/>
        <v>0.12350132565386225</v>
      </c>
      <c r="AF75" s="406">
        <f t="shared" si="67"/>
        <v>0.26729999999999998</v>
      </c>
      <c r="AG75" s="406">
        <f t="shared" si="68"/>
        <v>0.39867931344934476</v>
      </c>
      <c r="AH75" s="406">
        <f t="shared" si="69"/>
        <v>0</v>
      </c>
      <c r="AI75">
        <f t="shared" si="70"/>
        <v>0</v>
      </c>
      <c r="AJ75" s="407">
        <f t="shared" si="71"/>
        <v>2.38713</v>
      </c>
      <c r="AK75">
        <f t="shared" si="85"/>
        <v>9.6000000000000002E-2</v>
      </c>
      <c r="AL75" s="407">
        <f t="shared" si="72"/>
        <v>0.1215</v>
      </c>
      <c r="AM75" s="407">
        <f t="shared" si="86"/>
        <v>0.70770810810810814</v>
      </c>
      <c r="AN75" s="407">
        <f t="shared" ref="AN75:AN109" si="90">SUM(AK75:AL75)</f>
        <v>0.2175</v>
      </c>
      <c r="AO75" s="407">
        <f t="shared" si="73"/>
        <v>5.3071225896644307</v>
      </c>
      <c r="AP75">
        <f t="shared" si="74"/>
        <v>118.80000000000001</v>
      </c>
      <c r="AQ75" s="10">
        <f t="shared" ref="AQ75:AQ109" si="91">AP75/(AP75+AO75)</f>
        <v>0.95723756639486857</v>
      </c>
      <c r="AR75" s="63">
        <f t="shared" si="75"/>
        <v>105.99549124648789</v>
      </c>
      <c r="AS75" s="63">
        <f t="shared" ref="AS75:AS109" si="92">AG75*ThetaJaBot</f>
        <v>15.94717253797379</v>
      </c>
      <c r="AT75" s="10"/>
      <c r="AU75">
        <f t="shared" ref="AU75:AU109" si="93">AQ75*100</f>
        <v>95.723756639486851</v>
      </c>
      <c r="BE75" s="28"/>
      <c r="BF75" s="29"/>
    </row>
    <row r="76" spans="1:58" x14ac:dyDescent="0.2">
      <c r="A76" s="44" t="s">
        <v>211</v>
      </c>
      <c r="B76" s="120">
        <f>B75*B62</f>
        <v>4.3499999999999996</v>
      </c>
      <c r="C76" s="416" t="s">
        <v>441</v>
      </c>
      <c r="G76">
        <v>67</v>
      </c>
      <c r="H76">
        <f t="shared" si="55"/>
        <v>5.0250000000000004</v>
      </c>
      <c r="I76" s="406">
        <f t="shared" si="76"/>
        <v>0.5038905437344825</v>
      </c>
      <c r="J76" s="407">
        <f t="shared" si="56"/>
        <v>2.159530901719211</v>
      </c>
      <c r="K76" s="407">
        <f t="shared" si="77"/>
        <v>6.1047654508596061</v>
      </c>
      <c r="L76" s="407">
        <f t="shared" si="78"/>
        <v>3.9452345491403946</v>
      </c>
      <c r="M76" s="63">
        <f t="shared" si="57"/>
        <v>0</v>
      </c>
      <c r="N76" s="406">
        <f t="shared" si="58"/>
        <v>5.0635221084692308</v>
      </c>
      <c r="O76" s="406">
        <f t="shared" si="79"/>
        <v>0.15575235664990786</v>
      </c>
      <c r="P76">
        <f t="shared" si="59"/>
        <v>0.2</v>
      </c>
      <c r="Q76" s="406">
        <f t="shared" si="80"/>
        <v>0.3557523566499079</v>
      </c>
      <c r="R76" s="9">
        <f t="shared" si="87"/>
        <v>0.62340287371545089</v>
      </c>
      <c r="S76" s="9">
        <f t="shared" si="81"/>
        <v>3.8863114295668237E-4</v>
      </c>
      <c r="T76" s="9">
        <f t="shared" si="88"/>
        <v>3.8863114295668237E-4</v>
      </c>
      <c r="U76" s="406">
        <f t="shared" si="60"/>
        <v>3.5943537275596729</v>
      </c>
      <c r="V76" s="408">
        <f t="shared" si="82"/>
        <v>2.583875743764423E-2</v>
      </c>
      <c r="W76" s="406">
        <f t="shared" si="89"/>
        <v>2.583875743764423E-2</v>
      </c>
      <c r="X76" s="406">
        <f t="shared" si="61"/>
        <v>3.5943537275596729</v>
      </c>
      <c r="Y76" s="406">
        <f t="shared" si="83"/>
        <v>0.6718076933787499</v>
      </c>
      <c r="Z76" s="406">
        <f t="shared" si="62"/>
        <v>0.63770563718503648</v>
      </c>
      <c r="AA76" s="406">
        <f t="shared" si="63"/>
        <v>0.37132800000000021</v>
      </c>
      <c r="AB76" s="406">
        <f t="shared" si="64"/>
        <v>0</v>
      </c>
      <c r="AC76" s="406">
        <f t="shared" si="65"/>
        <v>1.9723501284338385</v>
      </c>
      <c r="AD76" s="406">
        <f t="shared" si="66"/>
        <v>3.5664937157009784</v>
      </c>
      <c r="AE76" s="406">
        <f t="shared" si="84"/>
        <v>0.12719877424134571</v>
      </c>
      <c r="AF76" s="406">
        <f t="shared" si="67"/>
        <v>0.27135000000000004</v>
      </c>
      <c r="AG76" s="406">
        <f t="shared" si="68"/>
        <v>0.40682846742256745</v>
      </c>
      <c r="AH76" s="406">
        <f t="shared" si="69"/>
        <v>0</v>
      </c>
      <c r="AI76">
        <f t="shared" si="70"/>
        <v>0</v>
      </c>
      <c r="AJ76" s="407">
        <f t="shared" si="71"/>
        <v>2.3869349999999998</v>
      </c>
      <c r="AK76">
        <f t="shared" si="85"/>
        <v>9.6000000000000002E-2</v>
      </c>
      <c r="AL76" s="407">
        <f t="shared" si="72"/>
        <v>0.1215</v>
      </c>
      <c r="AM76" s="407">
        <f t="shared" si="86"/>
        <v>0.70770810810810814</v>
      </c>
      <c r="AN76" s="407">
        <f t="shared" si="90"/>
        <v>0.2175</v>
      </c>
      <c r="AO76" s="407">
        <f t="shared" si="73"/>
        <v>5.3655933410869148</v>
      </c>
      <c r="AP76">
        <f t="shared" si="74"/>
        <v>120.60000000000001</v>
      </c>
      <c r="AQ76" s="10">
        <f t="shared" si="91"/>
        <v>0.95740429430949381</v>
      </c>
      <c r="AR76" s="63">
        <f t="shared" si="75"/>
        <v>108.47925706386111</v>
      </c>
      <c r="AS76" s="63">
        <f t="shared" si="92"/>
        <v>16.273138696902699</v>
      </c>
      <c r="AT76" s="10"/>
      <c r="AU76">
        <f t="shared" si="93"/>
        <v>95.740429430949376</v>
      </c>
      <c r="BE76" s="28"/>
      <c r="BF76" s="29"/>
    </row>
    <row r="77" spans="1:58" x14ac:dyDescent="0.2">
      <c r="A77" s="44" t="s">
        <v>387</v>
      </c>
      <c r="B77" s="120">
        <f>(QgBot+QgTop)*Fsw+Iq</f>
        <v>1.8200000000000001E-2</v>
      </c>
      <c r="C77" s="31" t="s">
        <v>2</v>
      </c>
      <c r="G77">
        <v>68</v>
      </c>
      <c r="H77">
        <f t="shared" si="55"/>
        <v>5.1000000000000005</v>
      </c>
      <c r="I77" s="406">
        <f t="shared" si="76"/>
        <v>0.50394887184058856</v>
      </c>
      <c r="J77" s="407">
        <f t="shared" si="56"/>
        <v>2.1597808793168083</v>
      </c>
      <c r="K77" s="407">
        <f t="shared" si="77"/>
        <v>6.1798904396584042</v>
      </c>
      <c r="L77" s="407">
        <f t="shared" si="78"/>
        <v>4.0201095603415968</v>
      </c>
      <c r="M77" s="63">
        <f t="shared" si="57"/>
        <v>0</v>
      </c>
      <c r="N77" s="406">
        <f t="shared" si="58"/>
        <v>5.1379685791716563</v>
      </c>
      <c r="O77" s="406">
        <f t="shared" si="79"/>
        <v>0.16042513556226023</v>
      </c>
      <c r="P77">
        <f t="shared" si="59"/>
        <v>0.2</v>
      </c>
      <c r="Q77" s="406">
        <f t="shared" si="80"/>
        <v>0.36042513556226025</v>
      </c>
      <c r="R77" s="9">
        <f t="shared" si="87"/>
        <v>0.62347503603208299</v>
      </c>
      <c r="S77" s="9">
        <f t="shared" si="81"/>
        <v>3.8872112055520722E-4</v>
      </c>
      <c r="T77" s="9">
        <f t="shared" si="88"/>
        <v>3.8872112055520722E-4</v>
      </c>
      <c r="U77" s="406">
        <f t="shared" si="60"/>
        <v>3.6474108250563324</v>
      </c>
      <c r="V77" s="408">
        <f t="shared" si="82"/>
        <v>2.6607211453476231E-2</v>
      </c>
      <c r="W77" s="406">
        <f t="shared" si="89"/>
        <v>2.6607211453476231E-2</v>
      </c>
      <c r="X77" s="406">
        <f t="shared" si="61"/>
        <v>3.6474108250563324</v>
      </c>
      <c r="Y77" s="406">
        <f t="shared" si="83"/>
        <v>0.69178749779038196</v>
      </c>
      <c r="Z77" s="406">
        <f t="shared" si="62"/>
        <v>0.64816596399896087</v>
      </c>
      <c r="AA77" s="406">
        <f t="shared" si="63"/>
        <v>0.37132800000000021</v>
      </c>
      <c r="AB77" s="406">
        <f t="shared" si="64"/>
        <v>0</v>
      </c>
      <c r="AC77" s="406">
        <f t="shared" si="65"/>
        <v>2.0184805804012851</v>
      </c>
      <c r="AD77" s="406">
        <f t="shared" si="66"/>
        <v>3.6187173686013518</v>
      </c>
      <c r="AE77" s="406">
        <f t="shared" si="84"/>
        <v>0.13095115393817092</v>
      </c>
      <c r="AF77" s="406">
        <f t="shared" si="67"/>
        <v>0.27540000000000003</v>
      </c>
      <c r="AG77" s="406">
        <f t="shared" si="68"/>
        <v>0.41504730163219661</v>
      </c>
      <c r="AH77" s="406">
        <f t="shared" si="69"/>
        <v>0</v>
      </c>
      <c r="AI77">
        <f t="shared" si="70"/>
        <v>0</v>
      </c>
      <c r="AJ77" s="407">
        <f t="shared" si="71"/>
        <v>2.3867399999999996</v>
      </c>
      <c r="AK77">
        <f t="shared" si="85"/>
        <v>9.6000000000000002E-2</v>
      </c>
      <c r="AL77" s="407">
        <f t="shared" si="72"/>
        <v>0.1215</v>
      </c>
      <c r="AM77" s="407">
        <f t="shared" si="86"/>
        <v>0.70770810810810814</v>
      </c>
      <c r="AN77" s="407">
        <f t="shared" si="90"/>
        <v>0.2175</v>
      </c>
      <c r="AO77" s="407">
        <f t="shared" si="73"/>
        <v>5.4251889501697734</v>
      </c>
      <c r="AP77">
        <f t="shared" si="74"/>
        <v>122.4</v>
      </c>
      <c r="AQ77" s="10">
        <f t="shared" si="91"/>
        <v>0.95755774746177236</v>
      </c>
      <c r="AR77" s="63">
        <f t="shared" si="75"/>
        <v>111.01643192207068</v>
      </c>
      <c r="AS77" s="63">
        <f t="shared" si="92"/>
        <v>16.601892065287863</v>
      </c>
      <c r="AT77" s="10"/>
      <c r="AU77">
        <f t="shared" si="93"/>
        <v>95.755774746177238</v>
      </c>
      <c r="BE77" s="28"/>
      <c r="BF77" s="29"/>
    </row>
    <row r="78" spans="1:58" x14ac:dyDescent="0.2">
      <c r="A78" s="44" t="s">
        <v>388</v>
      </c>
      <c r="B78" s="119">
        <f>QrrBot*Fsw</f>
        <v>4.9999999999999996E-2</v>
      </c>
      <c r="C78" s="31" t="s">
        <v>2</v>
      </c>
      <c r="G78">
        <v>69</v>
      </c>
      <c r="H78">
        <f t="shared" si="55"/>
        <v>5.1749999999999998</v>
      </c>
      <c r="I78" s="406">
        <f t="shared" si="76"/>
        <v>0.50400720763708162</v>
      </c>
      <c r="J78" s="407">
        <f t="shared" si="56"/>
        <v>2.160030889873207</v>
      </c>
      <c r="K78" s="407">
        <f t="shared" si="77"/>
        <v>6.2550154449366033</v>
      </c>
      <c r="L78" s="407">
        <f t="shared" si="78"/>
        <v>4.0949845550633963</v>
      </c>
      <c r="M78" s="63">
        <f t="shared" si="57"/>
        <v>0</v>
      </c>
      <c r="N78" s="406">
        <f t="shared" si="58"/>
        <v>5.212430922365674</v>
      </c>
      <c r="O78" s="406">
        <f t="shared" si="79"/>
        <v>0.16517066171902475</v>
      </c>
      <c r="P78">
        <f t="shared" si="59"/>
        <v>0.2</v>
      </c>
      <c r="Q78" s="406">
        <f t="shared" si="80"/>
        <v>0.36517066171902479</v>
      </c>
      <c r="R78" s="9">
        <f t="shared" si="87"/>
        <v>0.62354720786310147</v>
      </c>
      <c r="S78" s="9">
        <f t="shared" si="81"/>
        <v>3.8881112043386988E-4</v>
      </c>
      <c r="T78" s="9">
        <f t="shared" si="88"/>
        <v>3.8881112043386988E-4</v>
      </c>
      <c r="U78" s="406">
        <f t="shared" si="60"/>
        <v>3.7004853238641466</v>
      </c>
      <c r="V78" s="408">
        <f t="shared" si="82"/>
        <v>2.7387183264267877E-2</v>
      </c>
      <c r="W78" s="406">
        <f t="shared" si="89"/>
        <v>2.7387183264267877E-2</v>
      </c>
      <c r="X78" s="406">
        <f t="shared" si="61"/>
        <v>3.7004853238641466</v>
      </c>
      <c r="Y78" s="406">
        <f t="shared" si="83"/>
        <v>0.71206676487096476</v>
      </c>
      <c r="Z78" s="406">
        <f t="shared" si="62"/>
        <v>0.65862628984176663</v>
      </c>
      <c r="AA78" s="406">
        <f t="shared" si="63"/>
        <v>0.37132800000000021</v>
      </c>
      <c r="AB78" s="406">
        <f t="shared" si="64"/>
        <v>0</v>
      </c>
      <c r="AC78" s="406">
        <f t="shared" si="65"/>
        <v>2.0656082751471749</v>
      </c>
      <c r="AD78" s="406">
        <f t="shared" si="66"/>
        <v>3.6709459936506739</v>
      </c>
      <c r="AE78" s="406">
        <f t="shared" si="84"/>
        <v>0.13475844488299932</v>
      </c>
      <c r="AF78" s="406">
        <f t="shared" si="67"/>
        <v>0.27944999999999998</v>
      </c>
      <c r="AG78" s="406">
        <f t="shared" si="68"/>
        <v>0.42333614415485094</v>
      </c>
      <c r="AH78" s="406">
        <f t="shared" si="69"/>
        <v>0</v>
      </c>
      <c r="AI78">
        <f t="shared" si="70"/>
        <v>0</v>
      </c>
      <c r="AJ78" s="407">
        <f t="shared" si="71"/>
        <v>2.3865449999999999</v>
      </c>
      <c r="AK78">
        <f t="shared" si="85"/>
        <v>9.6000000000000002E-2</v>
      </c>
      <c r="AL78" s="407">
        <f t="shared" si="72"/>
        <v>0.1215</v>
      </c>
      <c r="AM78" s="407">
        <f t="shared" si="86"/>
        <v>0.70770810810810814</v>
      </c>
      <c r="AN78" s="407">
        <f t="shared" si="90"/>
        <v>0.2175</v>
      </c>
      <c r="AO78" s="407">
        <f t="shared" si="73"/>
        <v>5.4859360754057525</v>
      </c>
      <c r="AP78">
        <f t="shared" si="74"/>
        <v>124.19999999999999</v>
      </c>
      <c r="AQ78" s="10">
        <f t="shared" si="91"/>
        <v>0.95769829604178536</v>
      </c>
      <c r="AR78" s="63">
        <f t="shared" si="75"/>
        <v>113.60845513309462</v>
      </c>
      <c r="AS78" s="63">
        <f t="shared" si="92"/>
        <v>16.933445766194037</v>
      </c>
      <c r="AT78" s="10"/>
      <c r="AU78">
        <f t="shared" si="93"/>
        <v>95.76982960417854</v>
      </c>
      <c r="BE78" s="28"/>
      <c r="BF78" s="29"/>
    </row>
    <row r="79" spans="1:58" x14ac:dyDescent="0.2">
      <c r="A79" s="44" t="s">
        <v>389</v>
      </c>
      <c r="B79" s="475">
        <f>C79/Vin</f>
        <v>2.6253342245989309E-4</v>
      </c>
      <c r="C79" s="474">
        <f>Deadtime*Fsw*(Ipp/2)*(VsdTop+VsdBot)</f>
        <v>1.2601604278074868E-2</v>
      </c>
      <c r="G79">
        <v>70</v>
      </c>
      <c r="H79">
        <f t="shared" si="55"/>
        <v>5.25</v>
      </c>
      <c r="I79" s="406">
        <f t="shared" si="76"/>
        <v>0.50406555112548268</v>
      </c>
      <c r="J79" s="407">
        <f t="shared" si="56"/>
        <v>2.1602809333949256</v>
      </c>
      <c r="K79" s="407">
        <f t="shared" si="77"/>
        <v>6.330140466697463</v>
      </c>
      <c r="L79" s="407">
        <f t="shared" si="78"/>
        <v>4.169859533302537</v>
      </c>
      <c r="M79" s="63">
        <f t="shared" si="57"/>
        <v>0</v>
      </c>
      <c r="N79" s="406">
        <f t="shared" si="58"/>
        <v>5.2869084673936939</v>
      </c>
      <c r="O79" s="406">
        <f t="shared" si="79"/>
        <v>0.16998909487838509</v>
      </c>
      <c r="P79">
        <f t="shared" si="59"/>
        <v>0.2</v>
      </c>
      <c r="Q79" s="406">
        <f t="shared" si="80"/>
        <v>0.36998909487838511</v>
      </c>
      <c r="R79" s="9">
        <f t="shared" si="87"/>
        <v>0.62361938921038818</v>
      </c>
      <c r="S79" s="9">
        <f t="shared" si="81"/>
        <v>3.8890114259913761E-4</v>
      </c>
      <c r="T79" s="9">
        <f t="shared" si="88"/>
        <v>3.8890114259913761E-4</v>
      </c>
      <c r="U79" s="406">
        <f t="shared" si="60"/>
        <v>3.7535767504706339</v>
      </c>
      <c r="V79" s="408">
        <f t="shared" si="82"/>
        <v>2.8178676843347367E-2</v>
      </c>
      <c r="W79" s="406">
        <f t="shared" si="89"/>
        <v>2.8178676843347367E-2</v>
      </c>
      <c r="X79" s="406">
        <f t="shared" si="61"/>
        <v>3.7535767504706339</v>
      </c>
      <c r="Y79" s="406">
        <f t="shared" si="83"/>
        <v>0.73264559792703154</v>
      </c>
      <c r="Z79" s="406">
        <f t="shared" si="62"/>
        <v>0.66908661471326214</v>
      </c>
      <c r="AA79" s="406">
        <f t="shared" si="63"/>
        <v>0.37132800000000021</v>
      </c>
      <c r="AB79" s="406">
        <f t="shared" si="64"/>
        <v>0</v>
      </c>
      <c r="AC79" s="406">
        <f t="shared" si="65"/>
        <v>2.1137604096676994</v>
      </c>
      <c r="AD79" s="406">
        <f t="shared" si="66"/>
        <v>3.7231791148057134</v>
      </c>
      <c r="AE79" s="406">
        <f t="shared" si="84"/>
        <v>0.13862062720925455</v>
      </c>
      <c r="AF79" s="406">
        <f t="shared" si="67"/>
        <v>0.28349999999999997</v>
      </c>
      <c r="AG79" s="406">
        <f t="shared" si="68"/>
        <v>0.43169532753995749</v>
      </c>
      <c r="AH79" s="406">
        <f t="shared" si="69"/>
        <v>0</v>
      </c>
      <c r="AI79">
        <f t="shared" si="70"/>
        <v>0</v>
      </c>
      <c r="AJ79" s="407">
        <f t="shared" si="71"/>
        <v>2.3863499999999997</v>
      </c>
      <c r="AK79">
        <f t="shared" si="85"/>
        <v>9.6000000000000002E-2</v>
      </c>
      <c r="AL79" s="407">
        <f t="shared" si="72"/>
        <v>0.1215</v>
      </c>
      <c r="AM79" s="407">
        <f t="shared" si="86"/>
        <v>0.70770810810810814</v>
      </c>
      <c r="AN79" s="407">
        <f t="shared" si="90"/>
        <v>0.2175</v>
      </c>
      <c r="AO79" s="407">
        <f t="shared" si="73"/>
        <v>5.5478624100719882</v>
      </c>
      <c r="AP79">
        <f t="shared" si="74"/>
        <v>126</v>
      </c>
      <c r="AQ79" s="10">
        <f t="shared" si="91"/>
        <v>0.95782628232469691</v>
      </c>
      <c r="AR79" s="63">
        <f t="shared" si="75"/>
        <v>116.25682253172347</v>
      </c>
      <c r="AS79" s="63">
        <f t="shared" si="92"/>
        <v>17.2678131015983</v>
      </c>
      <c r="AT79" s="10"/>
      <c r="AU79">
        <f t="shared" si="93"/>
        <v>95.78262823246969</v>
      </c>
      <c r="BE79" s="28"/>
      <c r="BF79" s="29"/>
    </row>
    <row r="80" spans="1:58" x14ac:dyDescent="0.2">
      <c r="A80" s="44" t="s">
        <v>92</v>
      </c>
      <c r="B80" s="475">
        <f>SUM(B77:B79)</f>
        <v>6.8462533422459892E-2</v>
      </c>
      <c r="C80" s="31" t="s">
        <v>2</v>
      </c>
      <c r="G80">
        <v>71</v>
      </c>
      <c r="H80">
        <f t="shared" si="55"/>
        <v>5.3249999999999993</v>
      </c>
      <c r="I80" s="406">
        <f t="shared" si="76"/>
        <v>0.50412390230731308</v>
      </c>
      <c r="J80" s="407">
        <f t="shared" si="56"/>
        <v>2.1605310098884845</v>
      </c>
      <c r="K80" s="407">
        <f t="shared" si="77"/>
        <v>6.4052655049442411</v>
      </c>
      <c r="L80" s="407">
        <f t="shared" si="78"/>
        <v>4.2447344950557575</v>
      </c>
      <c r="M80" s="63">
        <f t="shared" si="57"/>
        <v>0</v>
      </c>
      <c r="N80" s="406">
        <f t="shared" si="58"/>
        <v>5.3614005807305123</v>
      </c>
      <c r="O80" s="406">
        <f t="shared" si="79"/>
        <v>0.17488059743522755</v>
      </c>
      <c r="P80">
        <f t="shared" si="59"/>
        <v>0.2</v>
      </c>
      <c r="Q80" s="406">
        <f t="shared" si="80"/>
        <v>0.37488059743522756</v>
      </c>
      <c r="R80" s="9">
        <f t="shared" si="87"/>
        <v>0.62369158007582526</v>
      </c>
      <c r="S80" s="9">
        <f t="shared" si="81"/>
        <v>3.8899118705747952E-4</v>
      </c>
      <c r="T80" s="9">
        <f t="shared" si="88"/>
        <v>3.8899118705747952E-4</v>
      </c>
      <c r="U80" s="406">
        <f t="shared" si="60"/>
        <v>3.806684657618145</v>
      </c>
      <c r="V80" s="408">
        <f t="shared" si="82"/>
        <v>2.8981696165090751E-2</v>
      </c>
      <c r="W80" s="406">
        <f t="shared" si="89"/>
        <v>2.8981696165090751E-2</v>
      </c>
      <c r="X80" s="406">
        <f t="shared" si="61"/>
        <v>3.806684657618145</v>
      </c>
      <c r="Y80" s="406">
        <f t="shared" si="83"/>
        <v>0.7535241002923595</v>
      </c>
      <c r="Z80" s="406">
        <f t="shared" si="62"/>
        <v>0.67954693861325499</v>
      </c>
      <c r="AA80" s="406">
        <f t="shared" si="63"/>
        <v>0.37132800000000021</v>
      </c>
      <c r="AB80" s="406">
        <f t="shared" si="64"/>
        <v>0</v>
      </c>
      <c r="AC80" s="406">
        <f t="shared" si="65"/>
        <v>2.162965257886353</v>
      </c>
      <c r="AD80" s="406">
        <f t="shared" si="66"/>
        <v>3.7754162822809492</v>
      </c>
      <c r="AE80" s="406">
        <f t="shared" si="84"/>
        <v>0.14253768104512105</v>
      </c>
      <c r="AF80" s="406">
        <f t="shared" si="67"/>
        <v>0.28754999999999997</v>
      </c>
      <c r="AG80" s="406">
        <f t="shared" si="68"/>
        <v>0.44012518885126589</v>
      </c>
      <c r="AH80" s="406">
        <f t="shared" si="69"/>
        <v>0</v>
      </c>
      <c r="AI80">
        <f t="shared" si="70"/>
        <v>0</v>
      </c>
      <c r="AJ80" s="407">
        <f t="shared" si="71"/>
        <v>2.386155</v>
      </c>
      <c r="AK80">
        <f t="shared" si="85"/>
        <v>9.6000000000000002E-2</v>
      </c>
      <c r="AL80" s="407">
        <f t="shared" si="72"/>
        <v>0.1215</v>
      </c>
      <c r="AM80" s="407">
        <f t="shared" si="86"/>
        <v>0.70770810810810814</v>
      </c>
      <c r="AN80" s="407">
        <f t="shared" si="90"/>
        <v>0.2175</v>
      </c>
      <c r="AO80" s="407">
        <f t="shared" si="73"/>
        <v>5.6109967315249953</v>
      </c>
      <c r="AP80">
        <f t="shared" si="74"/>
        <v>127.79999999999998</v>
      </c>
      <c r="AQ80" s="10">
        <f t="shared" si="91"/>
        <v>0.95794202225460823</v>
      </c>
      <c r="AR80" s="63">
        <f t="shared" si="75"/>
        <v>118.96308918374942</v>
      </c>
      <c r="AS80" s="63">
        <f t="shared" si="92"/>
        <v>17.605007554050637</v>
      </c>
      <c r="AT80" s="10"/>
      <c r="AU80">
        <f t="shared" si="93"/>
        <v>95.794202225460822</v>
      </c>
      <c r="BE80" s="28"/>
      <c r="BF80" s="29"/>
    </row>
    <row r="81" spans="1:58" x14ac:dyDescent="0.2">
      <c r="A81" s="2"/>
      <c r="G81">
        <v>72</v>
      </c>
      <c r="H81">
        <f t="shared" si="55"/>
        <v>5.3999999999999995</v>
      </c>
      <c r="I81" s="406">
        <f t="shared" si="76"/>
        <v>0.50418226118409482</v>
      </c>
      <c r="J81" s="407">
        <f t="shared" si="56"/>
        <v>2.1607811193604065</v>
      </c>
      <c r="K81" s="407">
        <f t="shared" si="77"/>
        <v>6.4803905596802025</v>
      </c>
      <c r="L81" s="407">
        <f t="shared" si="78"/>
        <v>4.3196094403197964</v>
      </c>
      <c r="M81" s="63">
        <f t="shared" si="57"/>
        <v>0</v>
      </c>
      <c r="N81" s="406">
        <f t="shared" si="58"/>
        <v>5.4359066634569215</v>
      </c>
      <c r="O81" s="406">
        <f t="shared" si="79"/>
        <v>0.17984533443505588</v>
      </c>
      <c r="P81">
        <f t="shared" si="59"/>
        <v>0.2</v>
      </c>
      <c r="Q81" s="406">
        <f t="shared" si="80"/>
        <v>0.37984533443505586</v>
      </c>
      <c r="R81" s="9">
        <f t="shared" si="87"/>
        <v>0.62376378046129588</v>
      </c>
      <c r="S81" s="9">
        <f t="shared" si="81"/>
        <v>3.8908125381536775E-4</v>
      </c>
      <c r="T81" s="9">
        <f t="shared" si="88"/>
        <v>3.8908125381536775E-4</v>
      </c>
      <c r="U81" s="406">
        <f t="shared" si="60"/>
        <v>3.8598086225175954</v>
      </c>
      <c r="V81" s="408">
        <f t="shared" si="82"/>
        <v>2.9796245204922356E-2</v>
      </c>
      <c r="W81" s="406">
        <f t="shared" si="89"/>
        <v>2.9796245204922356E-2</v>
      </c>
      <c r="X81" s="406">
        <f t="shared" si="61"/>
        <v>3.8598086225175954</v>
      </c>
      <c r="Y81" s="406">
        <f t="shared" si="83"/>
        <v>0.77470237532798114</v>
      </c>
      <c r="Z81" s="406">
        <f t="shared" si="62"/>
        <v>0.69000726154155301</v>
      </c>
      <c r="AA81" s="406">
        <f t="shared" si="63"/>
        <v>0.37132800000000021</v>
      </c>
      <c r="AB81" s="406">
        <f t="shared" si="64"/>
        <v>0</v>
      </c>
      <c r="AC81" s="406">
        <f t="shared" si="65"/>
        <v>2.2132522227930265</v>
      </c>
      <c r="AD81" s="406">
        <f t="shared" si="66"/>
        <v>3.8276570707619806</v>
      </c>
      <c r="AE81" s="406">
        <f t="shared" si="84"/>
        <v>0.14650958651354187</v>
      </c>
      <c r="AF81" s="406">
        <f t="shared" si="67"/>
        <v>0.29159999999999997</v>
      </c>
      <c r="AG81" s="406">
        <f t="shared" si="68"/>
        <v>0.44862606970910607</v>
      </c>
      <c r="AH81" s="406">
        <f t="shared" si="69"/>
        <v>0</v>
      </c>
      <c r="AI81">
        <f t="shared" si="70"/>
        <v>0</v>
      </c>
      <c r="AJ81" s="407">
        <f t="shared" si="71"/>
        <v>2.3859599999999999</v>
      </c>
      <c r="AK81">
        <f t="shared" si="85"/>
        <v>9.6000000000000002E-2</v>
      </c>
      <c r="AL81" s="407">
        <f t="shared" si="72"/>
        <v>0.1215</v>
      </c>
      <c r="AM81" s="407">
        <f t="shared" si="86"/>
        <v>0.70770810810810814</v>
      </c>
      <c r="AN81" s="407">
        <f t="shared" si="90"/>
        <v>0.2175</v>
      </c>
      <c r="AO81" s="407">
        <f t="shared" si="73"/>
        <v>5.6753689533959264</v>
      </c>
      <c r="AP81">
        <f t="shared" si="74"/>
        <v>129.6</v>
      </c>
      <c r="AQ81" s="10">
        <f t="shared" si="91"/>
        <v>0.95804580688039997</v>
      </c>
      <c r="AR81" s="63">
        <f t="shared" si="75"/>
        <v>121.72887225361646</v>
      </c>
      <c r="AS81" s="63">
        <f t="shared" si="92"/>
        <v>17.945042788364244</v>
      </c>
      <c r="AT81" s="10"/>
      <c r="AU81">
        <f t="shared" si="93"/>
        <v>95.804580688039991</v>
      </c>
      <c r="BE81" s="28"/>
      <c r="BF81" s="29"/>
    </row>
    <row r="82" spans="1:58" x14ac:dyDescent="0.2">
      <c r="A82" s="2"/>
      <c r="G82">
        <v>73</v>
      </c>
      <c r="H82">
        <f t="shared" si="55"/>
        <v>5.4749999999999996</v>
      </c>
      <c r="I82" s="406">
        <f t="shared" si="76"/>
        <v>0.50424062775735001</v>
      </c>
      <c r="J82" s="407">
        <f t="shared" si="56"/>
        <v>2.1610312618172145</v>
      </c>
      <c r="K82" s="407">
        <f t="shared" si="77"/>
        <v>6.5555156309086069</v>
      </c>
      <c r="L82" s="407">
        <f t="shared" si="78"/>
        <v>4.3944843690913924</v>
      </c>
      <c r="M82" s="63">
        <f t="shared" si="57"/>
        <v>0</v>
      </c>
      <c r="N82" s="406">
        <f t="shared" si="58"/>
        <v>5.5104261489361486</v>
      </c>
      <c r="O82" s="406">
        <f t="shared" si="79"/>
        <v>0.18488347358815652</v>
      </c>
      <c r="P82">
        <f t="shared" si="59"/>
        <v>0.2</v>
      </c>
      <c r="Q82" s="406">
        <f t="shared" si="80"/>
        <v>0.38488347358815655</v>
      </c>
      <c r="R82" s="9">
        <f t="shared" si="87"/>
        <v>0.62383599036868276</v>
      </c>
      <c r="S82" s="9">
        <f t="shared" si="81"/>
        <v>3.8917134287927527E-4</v>
      </c>
      <c r="T82" s="9">
        <f t="shared" si="88"/>
        <v>3.8917134287927527E-4</v>
      </c>
      <c r="U82" s="406">
        <f t="shared" si="60"/>
        <v>3.9129482452055928</v>
      </c>
      <c r="V82" s="408">
        <f t="shared" si="82"/>
        <v>3.0622327939315058E-2</v>
      </c>
      <c r="W82" s="406">
        <f t="shared" si="89"/>
        <v>3.0622327939315058E-2</v>
      </c>
      <c r="X82" s="406">
        <f t="shared" si="61"/>
        <v>3.9129482452055928</v>
      </c>
      <c r="Y82" s="406">
        <f t="shared" si="83"/>
        <v>0.79618052642219139</v>
      </c>
      <c r="Z82" s="406">
        <f t="shared" si="62"/>
        <v>0.70046758349796401</v>
      </c>
      <c r="AA82" s="406">
        <f t="shared" si="63"/>
        <v>0.37132800000000021</v>
      </c>
      <c r="AB82" s="406">
        <f t="shared" si="64"/>
        <v>0</v>
      </c>
      <c r="AC82" s="406">
        <f t="shared" si="65"/>
        <v>2.2646518916823406</v>
      </c>
      <c r="AD82" s="406">
        <f t="shared" si="66"/>
        <v>3.8799010777623879</v>
      </c>
      <c r="AE82" s="406">
        <f t="shared" si="84"/>
        <v>0.1505363237322174</v>
      </c>
      <c r="AF82" s="406">
        <f t="shared" si="67"/>
        <v>0.29564999999999997</v>
      </c>
      <c r="AG82" s="406">
        <f t="shared" si="68"/>
        <v>0.45719831633339963</v>
      </c>
      <c r="AH82" s="406">
        <f t="shared" si="69"/>
        <v>0</v>
      </c>
      <c r="AI82">
        <f t="shared" si="70"/>
        <v>0</v>
      </c>
      <c r="AJ82" s="407">
        <f t="shared" si="71"/>
        <v>2.3857649999999997</v>
      </c>
      <c r="AK82">
        <f t="shared" si="85"/>
        <v>9.6000000000000002E-2</v>
      </c>
      <c r="AL82" s="407">
        <f t="shared" si="72"/>
        <v>0.1215</v>
      </c>
      <c r="AM82" s="407">
        <f t="shared" si="86"/>
        <v>0.70770810810810814</v>
      </c>
      <c r="AN82" s="407">
        <f t="shared" si="90"/>
        <v>0.2175</v>
      </c>
      <c r="AO82" s="407">
        <f t="shared" si="73"/>
        <v>5.7410101808860912</v>
      </c>
      <c r="AP82">
        <f t="shared" si="74"/>
        <v>131.39999999999998</v>
      </c>
      <c r="AQ82" s="10">
        <f t="shared" si="91"/>
        <v>0.95813790365614326</v>
      </c>
      <c r="AR82" s="63">
        <f t="shared" si="75"/>
        <v>124.55585404252874</v>
      </c>
      <c r="AS82" s="63">
        <f t="shared" si="92"/>
        <v>18.287932653335986</v>
      </c>
      <c r="AT82" s="10"/>
      <c r="AU82">
        <f t="shared" si="93"/>
        <v>95.813790365614324</v>
      </c>
      <c r="BE82" s="28"/>
      <c r="BF82" s="29"/>
    </row>
    <row r="83" spans="1:58" x14ac:dyDescent="0.2">
      <c r="A83" s="2"/>
      <c r="G83">
        <v>74</v>
      </c>
      <c r="H83">
        <f t="shared" si="55"/>
        <v>5.55</v>
      </c>
      <c r="I83" s="406">
        <f t="shared" si="76"/>
        <v>0.50429900202860134</v>
      </c>
      <c r="J83" s="407">
        <f t="shared" si="56"/>
        <v>2.1612814372654343</v>
      </c>
      <c r="K83" s="407">
        <f t="shared" si="77"/>
        <v>6.6306407186327174</v>
      </c>
      <c r="L83" s="407">
        <f t="shared" si="78"/>
        <v>4.4693592813672822</v>
      </c>
      <c r="M83" s="63">
        <f t="shared" si="57"/>
        <v>0</v>
      </c>
      <c r="N83" s="406">
        <f t="shared" si="58"/>
        <v>5.5849585006744391</v>
      </c>
      <c r="O83" s="406">
        <f t="shared" si="79"/>
        <v>0.18999518528401543</v>
      </c>
      <c r="P83">
        <f t="shared" si="59"/>
        <v>0.2</v>
      </c>
      <c r="Q83" s="406">
        <f t="shared" si="80"/>
        <v>0.38999518528401544</v>
      </c>
      <c r="R83" s="9">
        <f t="shared" si="87"/>
        <v>0.62390820979986994</v>
      </c>
      <c r="S83" s="9">
        <f t="shared" si="81"/>
        <v>3.8926145425567855E-4</v>
      </c>
      <c r="T83" s="9">
        <f t="shared" si="88"/>
        <v>3.8926145425567855E-4</v>
      </c>
      <c r="U83" s="406">
        <f t="shared" si="60"/>
        <v>3.9661031470317729</v>
      </c>
      <c r="V83" s="408">
        <f t="shared" si="82"/>
        <v>3.1459948345790668E-2</v>
      </c>
      <c r="W83" s="406">
        <f t="shared" si="89"/>
        <v>3.1459948345790668E-2</v>
      </c>
      <c r="X83" s="406">
        <f t="shared" si="61"/>
        <v>3.9661031470317729</v>
      </c>
      <c r="Y83" s="406">
        <f t="shared" si="83"/>
        <v>0.81795865699055725</v>
      </c>
      <c r="Z83" s="406">
        <f t="shared" si="62"/>
        <v>0.71092790448229592</v>
      </c>
      <c r="AA83" s="406">
        <f t="shared" si="63"/>
        <v>0.37132800000000021</v>
      </c>
      <c r="AB83" s="406">
        <f t="shared" si="64"/>
        <v>0</v>
      </c>
      <c r="AC83" s="406">
        <f t="shared" si="65"/>
        <v>2.3171960947071462</v>
      </c>
      <c r="AD83" s="406">
        <f t="shared" si="66"/>
        <v>3.9321479221108078</v>
      </c>
      <c r="AE83" s="406">
        <f t="shared" si="84"/>
        <v>0.15461787281360342</v>
      </c>
      <c r="AF83" s="406">
        <f t="shared" si="67"/>
        <v>0.29969999999999997</v>
      </c>
      <c r="AG83" s="406">
        <f t="shared" si="68"/>
        <v>0.46584227958743524</v>
      </c>
      <c r="AH83" s="406">
        <f t="shared" si="69"/>
        <v>0</v>
      </c>
      <c r="AI83">
        <f t="shared" si="70"/>
        <v>0</v>
      </c>
      <c r="AJ83" s="407">
        <f t="shared" si="71"/>
        <v>2.3855699999999995</v>
      </c>
      <c r="AK83">
        <f t="shared" si="85"/>
        <v>9.6000000000000002E-2</v>
      </c>
      <c r="AL83" s="407">
        <f t="shared" si="72"/>
        <v>0.1215</v>
      </c>
      <c r="AM83" s="407">
        <f t="shared" si="86"/>
        <v>0.70770810810810814</v>
      </c>
      <c r="AN83" s="407">
        <f t="shared" si="90"/>
        <v>0.2175</v>
      </c>
      <c r="AO83" s="407">
        <f t="shared" si="73"/>
        <v>5.8079527693786428</v>
      </c>
      <c r="AP83">
        <f t="shared" si="74"/>
        <v>133.19999999999999</v>
      </c>
      <c r="AQ83" s="10">
        <f t="shared" si="91"/>
        <v>0.95821855761724417</v>
      </c>
      <c r="AR83" s="63">
        <f t="shared" si="75"/>
        <v>127.44578520889304</v>
      </c>
      <c r="AS83" s="63">
        <f t="shared" si="92"/>
        <v>18.633691183497408</v>
      </c>
      <c r="AT83" s="10"/>
      <c r="AU83">
        <f t="shared" si="93"/>
        <v>95.821855761724422</v>
      </c>
      <c r="BE83" s="28"/>
      <c r="BF83" s="29"/>
    </row>
    <row r="84" spans="1:58" x14ac:dyDescent="0.2">
      <c r="G84">
        <v>75</v>
      </c>
      <c r="H84">
        <f t="shared" si="55"/>
        <v>5.625</v>
      </c>
      <c r="I84" s="406">
        <f t="shared" si="76"/>
        <v>0.50435738399937191</v>
      </c>
      <c r="J84" s="407">
        <f t="shared" si="56"/>
        <v>2.1615316457115941</v>
      </c>
      <c r="K84" s="407">
        <f t="shared" si="77"/>
        <v>6.7057658228557973</v>
      </c>
      <c r="L84" s="407">
        <f t="shared" si="78"/>
        <v>4.5442341771442027</v>
      </c>
      <c r="M84" s="63">
        <f t="shared" si="57"/>
        <v>0</v>
      </c>
      <c r="N84" s="406">
        <f t="shared" si="58"/>
        <v>5.6595032103490368</v>
      </c>
      <c r="O84" s="406">
        <f t="shared" si="79"/>
        <v>0.19518064260599008</v>
      </c>
      <c r="P84">
        <f t="shared" si="59"/>
        <v>0.2</v>
      </c>
      <c r="Q84" s="406">
        <f t="shared" si="80"/>
        <v>0.39518064260599006</v>
      </c>
      <c r="R84" s="9">
        <f t="shared" si="87"/>
        <v>0.62398043875674181</v>
      </c>
      <c r="S84" s="9">
        <f t="shared" si="81"/>
        <v>3.8935158795105603E-4</v>
      </c>
      <c r="T84" s="9">
        <f t="shared" si="88"/>
        <v>3.8935158795105603E-4</v>
      </c>
      <c r="U84" s="406">
        <f t="shared" si="60"/>
        <v>4.019272969264482</v>
      </c>
      <c r="V84" s="408">
        <f t="shared" si="82"/>
        <v>3.2309110402920255E-2</v>
      </c>
      <c r="W84" s="406">
        <f t="shared" si="89"/>
        <v>3.2309110402920255E-2</v>
      </c>
      <c r="X84" s="406">
        <f t="shared" si="61"/>
        <v>4.019272969264482</v>
      </c>
      <c r="Y84" s="406">
        <f t="shared" si="83"/>
        <v>0.84003687047592657</v>
      </c>
      <c r="Z84" s="406">
        <f t="shared" si="62"/>
        <v>0.72138822449435624</v>
      </c>
      <c r="AA84" s="406">
        <f t="shared" si="63"/>
        <v>0.37132800000000021</v>
      </c>
      <c r="AB84" s="406">
        <f t="shared" si="64"/>
        <v>0</v>
      </c>
      <c r="AC84" s="406">
        <f t="shared" si="65"/>
        <v>2.3709179669805258</v>
      </c>
      <c r="AD84" s="406">
        <f t="shared" si="66"/>
        <v>3.9843972425563861</v>
      </c>
      <c r="AE84" s="406">
        <f t="shared" si="84"/>
        <v>0.15875421386490934</v>
      </c>
      <c r="AF84" s="406">
        <f t="shared" si="67"/>
        <v>0.30375000000000002</v>
      </c>
      <c r="AG84" s="406">
        <f t="shared" si="68"/>
        <v>0.47455831502241985</v>
      </c>
      <c r="AH84" s="406">
        <f t="shared" si="69"/>
        <v>0</v>
      </c>
      <c r="AI84">
        <f t="shared" si="70"/>
        <v>0</v>
      </c>
      <c r="AJ84" s="407">
        <f t="shared" si="71"/>
        <v>2.3853749999999998</v>
      </c>
      <c r="AK84">
        <f t="shared" si="85"/>
        <v>9.6000000000000002E-2</v>
      </c>
      <c r="AL84" s="407">
        <f t="shared" si="72"/>
        <v>0.1215</v>
      </c>
      <c r="AM84" s="407">
        <f t="shared" si="86"/>
        <v>0.70770810810810814</v>
      </c>
      <c r="AN84" s="407">
        <f t="shared" si="90"/>
        <v>0.2175</v>
      </c>
      <c r="AO84" s="407">
        <f t="shared" si="73"/>
        <v>5.8762303865998069</v>
      </c>
      <c r="AP84">
        <f t="shared" si="74"/>
        <v>135</v>
      </c>
      <c r="AQ84" s="10">
        <f t="shared" si="91"/>
        <v>0.95828799244220286</v>
      </c>
      <c r="AR84" s="63">
        <f t="shared" si="75"/>
        <v>130.40048818392893</v>
      </c>
      <c r="AS84" s="63">
        <f t="shared" si="92"/>
        <v>18.982332600896793</v>
      </c>
      <c r="AT84" s="10"/>
      <c r="AU84">
        <f t="shared" si="93"/>
        <v>95.828799244220292</v>
      </c>
      <c r="BE84" s="28"/>
      <c r="BF84" s="29"/>
    </row>
    <row r="85" spans="1:58" x14ac:dyDescent="0.2">
      <c r="G85">
        <v>76</v>
      </c>
      <c r="H85">
        <f t="shared" si="55"/>
        <v>5.7</v>
      </c>
      <c r="I85" s="406">
        <f t="shared" si="76"/>
        <v>0.50441577367118495</v>
      </c>
      <c r="J85" s="407">
        <f t="shared" si="56"/>
        <v>2.1617818871622214</v>
      </c>
      <c r="K85" s="407">
        <f t="shared" si="77"/>
        <v>6.7808909435811113</v>
      </c>
      <c r="L85" s="407">
        <f t="shared" si="78"/>
        <v>4.619109056418889</v>
      </c>
      <c r="M85" s="63">
        <f t="shared" si="57"/>
        <v>0</v>
      </c>
      <c r="N85" s="406">
        <f t="shared" si="58"/>
        <v>5.734059795988518</v>
      </c>
      <c r="O85" s="406">
        <f t="shared" si="79"/>
        <v>0.20044002134623809</v>
      </c>
      <c r="P85">
        <f t="shared" si="59"/>
        <v>0.2</v>
      </c>
      <c r="Q85" s="406">
        <f t="shared" si="80"/>
        <v>0.40044002134623813</v>
      </c>
      <c r="R85" s="9">
        <f t="shared" si="87"/>
        <v>0.62405267724118285</v>
      </c>
      <c r="S85" s="9">
        <f t="shared" si="81"/>
        <v>3.8944174397188792E-4</v>
      </c>
      <c r="T85" s="9">
        <f t="shared" si="88"/>
        <v>3.8944174397188792E-4</v>
      </c>
      <c r="U85" s="406">
        <f t="shared" si="60"/>
        <v>4.072457371804183</v>
      </c>
      <c r="V85" s="408">
        <f t="shared" si="82"/>
        <v>3.3169818090324467E-2</v>
      </c>
      <c r="W85" s="406">
        <f t="shared" si="89"/>
        <v>3.3169818090324467E-2</v>
      </c>
      <c r="X85" s="406">
        <f t="shared" si="61"/>
        <v>4.072457371804183</v>
      </c>
      <c r="Y85" s="406">
        <f t="shared" si="83"/>
        <v>0.86241527034843612</v>
      </c>
      <c r="Z85" s="406">
        <f t="shared" si="62"/>
        <v>0.73184854353395257</v>
      </c>
      <c r="AA85" s="406">
        <f t="shared" si="63"/>
        <v>0.37132800000000021</v>
      </c>
      <c r="AB85" s="406">
        <f t="shared" si="64"/>
        <v>0</v>
      </c>
      <c r="AC85" s="406">
        <f t="shared" si="65"/>
        <v>2.4258520144785978</v>
      </c>
      <c r="AD85" s="406">
        <f t="shared" si="66"/>
        <v>4.0366486964819774</v>
      </c>
      <c r="AE85" s="406">
        <f t="shared" si="84"/>
        <v>0.16294532698809647</v>
      </c>
      <c r="AF85" s="406">
        <f t="shared" si="67"/>
        <v>0.30780000000000002</v>
      </c>
      <c r="AG85" s="406">
        <f t="shared" si="68"/>
        <v>0.48334678292281696</v>
      </c>
      <c r="AH85" s="406">
        <f t="shared" si="69"/>
        <v>0</v>
      </c>
      <c r="AI85">
        <f t="shared" si="70"/>
        <v>0</v>
      </c>
      <c r="AJ85" s="407">
        <f t="shared" si="71"/>
        <v>2.3851800000000001</v>
      </c>
      <c r="AK85">
        <f t="shared" si="85"/>
        <v>9.6000000000000002E-2</v>
      </c>
      <c r="AL85" s="407">
        <f t="shared" si="72"/>
        <v>0.1215</v>
      </c>
      <c r="AM85" s="407">
        <f t="shared" si="86"/>
        <v>0.70770810810810814</v>
      </c>
      <c r="AN85" s="407">
        <f t="shared" si="90"/>
        <v>0.2175</v>
      </c>
      <c r="AO85" s="407">
        <f t="shared" si="73"/>
        <v>5.9458780785819494</v>
      </c>
      <c r="AP85">
        <f t="shared" si="74"/>
        <v>136.80000000000001</v>
      </c>
      <c r="AQ85" s="10">
        <f t="shared" si="91"/>
        <v>0.95834641140875021</v>
      </c>
      <c r="AR85" s="63">
        <f t="shared" si="75"/>
        <v>133.42186079632287</v>
      </c>
      <c r="AS85" s="63">
        <f t="shared" si="92"/>
        <v>19.333871316912678</v>
      </c>
      <c r="AT85" s="10"/>
      <c r="AU85">
        <f t="shared" si="93"/>
        <v>95.834641140875021</v>
      </c>
      <c r="BE85" s="28"/>
      <c r="BF85" s="29"/>
    </row>
    <row r="86" spans="1:58" x14ac:dyDescent="0.2">
      <c r="G86">
        <v>77</v>
      </c>
      <c r="H86">
        <f t="shared" si="55"/>
        <v>5.7750000000000004</v>
      </c>
      <c r="I86" s="406">
        <f t="shared" si="76"/>
        <v>0.50447417104556458</v>
      </c>
      <c r="J86" s="407">
        <f t="shared" si="56"/>
        <v>2.1620321616238485</v>
      </c>
      <c r="K86" s="407">
        <f t="shared" si="77"/>
        <v>6.8560160808119246</v>
      </c>
      <c r="L86" s="407">
        <f t="shared" si="78"/>
        <v>4.6939839191880761</v>
      </c>
      <c r="M86" s="63">
        <f t="shared" si="57"/>
        <v>0</v>
      </c>
      <c r="N86" s="406">
        <f t="shared" si="58"/>
        <v>5.8086278002919638</v>
      </c>
      <c r="O86" s="406">
        <f t="shared" si="79"/>
        <v>0.20577350002090539</v>
      </c>
      <c r="P86">
        <f t="shared" si="59"/>
        <v>0.2</v>
      </c>
      <c r="Q86" s="406">
        <f t="shared" si="80"/>
        <v>0.4057735000209054</v>
      </c>
      <c r="R86" s="9">
        <f t="shared" si="87"/>
        <v>0.62412492525507879</v>
      </c>
      <c r="S86" s="9">
        <f t="shared" si="81"/>
        <v>3.8953192232465766E-4</v>
      </c>
      <c r="T86" s="9">
        <f t="shared" si="88"/>
        <v>3.8953192232465766E-4</v>
      </c>
      <c r="U86" s="406">
        <f t="shared" si="60"/>
        <v>4.1256560319950326</v>
      </c>
      <c r="V86" s="408">
        <f t="shared" si="82"/>
        <v>3.4042075388673994E-2</v>
      </c>
      <c r="W86" s="406">
        <f t="shared" si="89"/>
        <v>3.4042075388673994E-2</v>
      </c>
      <c r="X86" s="406">
        <f t="shared" si="61"/>
        <v>4.1256560319950326</v>
      </c>
      <c r="Y86" s="406">
        <f t="shared" si="83"/>
        <v>0.88509396010552377</v>
      </c>
      <c r="Z86" s="406">
        <f t="shared" si="62"/>
        <v>0.74230886160089238</v>
      </c>
      <c r="AA86" s="406">
        <f t="shared" si="63"/>
        <v>0.37132800000000021</v>
      </c>
      <c r="AB86" s="406">
        <f t="shared" si="64"/>
        <v>0</v>
      </c>
      <c r="AC86" s="406">
        <f t="shared" si="65"/>
        <v>2.4820341840172135</v>
      </c>
      <c r="AD86" s="406">
        <f t="shared" si="66"/>
        <v>4.0889019587155255</v>
      </c>
      <c r="AE86" s="406">
        <f t="shared" si="84"/>
        <v>0.16719119227987661</v>
      </c>
      <c r="AF86" s="406">
        <f t="shared" si="67"/>
        <v>0.31185000000000002</v>
      </c>
      <c r="AG86" s="406">
        <f t="shared" si="68"/>
        <v>0.49220804835248511</v>
      </c>
      <c r="AH86" s="406">
        <f t="shared" si="69"/>
        <v>0</v>
      </c>
      <c r="AI86">
        <f t="shared" si="70"/>
        <v>0</v>
      </c>
      <c r="AJ86" s="407">
        <f t="shared" si="71"/>
        <v>2.3849849999999999</v>
      </c>
      <c r="AK86">
        <f t="shared" si="85"/>
        <v>9.6000000000000002E-2</v>
      </c>
      <c r="AL86" s="407">
        <f t="shared" si="72"/>
        <v>0.1215</v>
      </c>
      <c r="AM86" s="407">
        <f t="shared" si="86"/>
        <v>0.70770810810810814</v>
      </c>
      <c r="AN86" s="407">
        <f t="shared" si="90"/>
        <v>0.2175</v>
      </c>
      <c r="AO86" s="407">
        <f t="shared" si="73"/>
        <v>6.0169323397016026</v>
      </c>
      <c r="AP86">
        <f t="shared" si="74"/>
        <v>138.60000000000002</v>
      </c>
      <c r="AQ86" s="10">
        <f t="shared" si="91"/>
        <v>0.9583939982520997</v>
      </c>
      <c r="AR86" s="63">
        <f t="shared" si="75"/>
        <v>136.51188012094676</v>
      </c>
      <c r="AS86" s="63">
        <f t="shared" si="92"/>
        <v>19.688321934099406</v>
      </c>
      <c r="AT86" s="10"/>
      <c r="AU86">
        <f t="shared" si="93"/>
        <v>95.839399825209966</v>
      </c>
      <c r="BE86" s="28"/>
      <c r="BF86" s="29"/>
    </row>
    <row r="87" spans="1:58" x14ac:dyDescent="0.2">
      <c r="G87">
        <v>78</v>
      </c>
      <c r="H87">
        <f t="shared" si="55"/>
        <v>5.8500000000000005</v>
      </c>
      <c r="I87" s="406">
        <f t="shared" si="76"/>
        <v>0.5045325761240349</v>
      </c>
      <c r="J87" s="407">
        <f t="shared" si="56"/>
        <v>2.1622824691030069</v>
      </c>
      <c r="K87" s="407">
        <f t="shared" si="77"/>
        <v>6.9311412345515038</v>
      </c>
      <c r="L87" s="407">
        <f t="shared" si="78"/>
        <v>4.7688587654484973</v>
      </c>
      <c r="M87" s="63">
        <f t="shared" si="57"/>
        <v>0</v>
      </c>
      <c r="N87" s="406">
        <f t="shared" si="58"/>
        <v>5.8832067890748032</v>
      </c>
      <c r="O87" s="406">
        <f t="shared" si="79"/>
        <v>0.21118125988557609</v>
      </c>
      <c r="P87">
        <f t="shared" si="59"/>
        <v>0.2</v>
      </c>
      <c r="Q87" s="406">
        <f t="shared" si="80"/>
        <v>0.41118125988557608</v>
      </c>
      <c r="R87" s="9">
        <f t="shared" si="87"/>
        <v>0.62419718280031489</v>
      </c>
      <c r="S87" s="9">
        <f t="shared" si="81"/>
        <v>3.8962212301584968E-4</v>
      </c>
      <c r="T87" s="9">
        <f t="shared" si="88"/>
        <v>3.8962212301584968E-4</v>
      </c>
      <c r="U87" s="406">
        <f t="shared" si="60"/>
        <v>4.1788686435260072</v>
      </c>
      <c r="V87" s="408">
        <f t="shared" si="82"/>
        <v>3.4925886279689788E-2</v>
      </c>
      <c r="W87" s="406">
        <f t="shared" si="89"/>
        <v>3.4925886279689788E-2</v>
      </c>
      <c r="X87" s="406">
        <f t="shared" si="61"/>
        <v>4.1788686435260072</v>
      </c>
      <c r="Y87" s="406">
        <f t="shared" si="83"/>
        <v>0.90807304327193439</v>
      </c>
      <c r="Z87" s="406">
        <f t="shared" si="62"/>
        <v>0.75276917869498361</v>
      </c>
      <c r="AA87" s="406">
        <f t="shared" si="63"/>
        <v>0.37132800000000021</v>
      </c>
      <c r="AB87" s="406">
        <f t="shared" si="64"/>
        <v>0</v>
      </c>
      <c r="AC87" s="406">
        <f t="shared" si="65"/>
        <v>2.5395019375982852</v>
      </c>
      <c r="AD87" s="406">
        <f t="shared" si="66"/>
        <v>4.1411567204310158</v>
      </c>
      <c r="AE87" s="406">
        <f t="shared" si="84"/>
        <v>0.17149178983170965</v>
      </c>
      <c r="AF87" s="406">
        <f t="shared" si="67"/>
        <v>0.31590000000000001</v>
      </c>
      <c r="AG87" s="406">
        <f t="shared" si="68"/>
        <v>0.50114248120162497</v>
      </c>
      <c r="AH87" s="406">
        <f t="shared" si="69"/>
        <v>0</v>
      </c>
      <c r="AI87">
        <f t="shared" si="70"/>
        <v>0</v>
      </c>
      <c r="AJ87" s="407">
        <f t="shared" si="71"/>
        <v>2.3847899999999997</v>
      </c>
      <c r="AK87">
        <f t="shared" si="85"/>
        <v>9.6000000000000002E-2</v>
      </c>
      <c r="AL87" s="407">
        <f t="shared" si="72"/>
        <v>0.1215</v>
      </c>
      <c r="AM87" s="407">
        <f t="shared" si="86"/>
        <v>0.70770810810810814</v>
      </c>
      <c r="AN87" s="407">
        <f t="shared" si="90"/>
        <v>0.2175</v>
      </c>
      <c r="AO87" s="407">
        <f t="shared" si="73"/>
        <v>6.0894311870881914</v>
      </c>
      <c r="AP87">
        <f t="shared" si="74"/>
        <v>140.4</v>
      </c>
      <c r="AQ87" s="10">
        <f t="shared" si="91"/>
        <v>0.95843091793215374</v>
      </c>
      <c r="AR87" s="63">
        <f t="shared" si="75"/>
        <v>139.67260656790569</v>
      </c>
      <c r="AS87" s="63">
        <f t="shared" si="92"/>
        <v>20.045699248064999</v>
      </c>
      <c r="AT87" s="10"/>
      <c r="AU87">
        <f t="shared" si="93"/>
        <v>95.843091793215379</v>
      </c>
      <c r="BE87" s="28"/>
      <c r="BF87" s="29"/>
    </row>
    <row r="88" spans="1:58" x14ac:dyDescent="0.2">
      <c r="G88">
        <v>79</v>
      </c>
      <c r="H88">
        <f t="shared" si="55"/>
        <v>5.9250000000000007</v>
      </c>
      <c r="I88" s="406">
        <f t="shared" si="76"/>
        <v>0.5045909889081206</v>
      </c>
      <c r="J88" s="407">
        <f t="shared" si="56"/>
        <v>2.1625328096062311</v>
      </c>
      <c r="K88" s="407">
        <f t="shared" si="77"/>
        <v>7.0062664048031165</v>
      </c>
      <c r="L88" s="407">
        <f t="shared" si="78"/>
        <v>4.843733595196885</v>
      </c>
      <c r="M88" s="63">
        <f t="shared" si="57"/>
        <v>0</v>
      </c>
      <c r="N88" s="406">
        <f t="shared" si="58"/>
        <v>5.9577963498303603</v>
      </c>
      <c r="O88" s="406">
        <f t="shared" si="79"/>
        <v>0.21666348495098697</v>
      </c>
      <c r="P88">
        <f t="shared" si="59"/>
        <v>0.2</v>
      </c>
      <c r="Q88" s="406">
        <f t="shared" si="80"/>
        <v>0.41666348495098698</v>
      </c>
      <c r="R88" s="9">
        <f t="shared" si="87"/>
        <v>0.62426944987877764</v>
      </c>
      <c r="S88" s="9">
        <f t="shared" si="81"/>
        <v>3.8971234605195165E-4</v>
      </c>
      <c r="T88" s="9">
        <f t="shared" si="88"/>
        <v>3.8971234605195165E-4</v>
      </c>
      <c r="U88" s="406">
        <f t="shared" si="60"/>
        <v>4.2320949154138434</v>
      </c>
      <c r="V88" s="408">
        <f t="shared" si="82"/>
        <v>3.5821254746143408E-2</v>
      </c>
      <c r="W88" s="406">
        <f t="shared" si="89"/>
        <v>3.5821254746143408E-2</v>
      </c>
      <c r="X88" s="406">
        <f t="shared" si="61"/>
        <v>4.2320949154138434</v>
      </c>
      <c r="Y88" s="406">
        <f t="shared" si="83"/>
        <v>0.93135262339972857</v>
      </c>
      <c r="Z88" s="406">
        <f t="shared" si="62"/>
        <v>0.76322949481603297</v>
      </c>
      <c r="AA88" s="406">
        <f t="shared" si="63"/>
        <v>0.37132800000000021</v>
      </c>
      <c r="AB88" s="406">
        <f t="shared" si="64"/>
        <v>0</v>
      </c>
      <c r="AC88" s="406">
        <f t="shared" si="65"/>
        <v>2.5982943314463451</v>
      </c>
      <c r="AD88" s="406">
        <f t="shared" si="66"/>
        <v>4.1934126881312617</v>
      </c>
      <c r="AE88" s="406">
        <f t="shared" si="84"/>
        <v>0.17584709972980253</v>
      </c>
      <c r="AF88" s="406">
        <f t="shared" si="67"/>
        <v>0.31995000000000001</v>
      </c>
      <c r="AG88" s="406">
        <f t="shared" si="68"/>
        <v>0.51015045623455157</v>
      </c>
      <c r="AH88" s="406">
        <f t="shared" si="69"/>
        <v>0</v>
      </c>
      <c r="AI88">
        <f t="shared" si="70"/>
        <v>0</v>
      </c>
      <c r="AJ88" s="407">
        <f t="shared" si="71"/>
        <v>2.3845949999999996</v>
      </c>
      <c r="AK88">
        <f t="shared" si="85"/>
        <v>9.6000000000000002E-2</v>
      </c>
      <c r="AL88" s="407">
        <f t="shared" si="72"/>
        <v>0.1215</v>
      </c>
      <c r="AM88" s="407">
        <f t="shared" si="86"/>
        <v>0.70770810810810814</v>
      </c>
      <c r="AN88" s="407">
        <f t="shared" si="90"/>
        <v>0.2175</v>
      </c>
      <c r="AO88" s="407">
        <f t="shared" si="73"/>
        <v>6.1634142397240792</v>
      </c>
      <c r="AP88">
        <f t="shared" si="74"/>
        <v>142.20000000000002</v>
      </c>
      <c r="AQ88" s="10">
        <f t="shared" si="91"/>
        <v>0.95845731731567385</v>
      </c>
      <c r="AR88" s="63">
        <f t="shared" si="75"/>
        <v>142.90618822954897</v>
      </c>
      <c r="AS88" s="63">
        <f t="shared" si="92"/>
        <v>20.406018249382065</v>
      </c>
      <c r="AT88" s="10"/>
      <c r="AU88">
        <f t="shared" si="93"/>
        <v>95.845731731567383</v>
      </c>
      <c r="BE88" s="28"/>
      <c r="BF88" s="29"/>
    </row>
    <row r="89" spans="1:58" x14ac:dyDescent="0.2">
      <c r="G89">
        <v>80</v>
      </c>
      <c r="H89">
        <f t="shared" si="55"/>
        <v>6</v>
      </c>
      <c r="I89" s="406">
        <f t="shared" si="76"/>
        <v>0.50464940939934655</v>
      </c>
      <c r="J89" s="407">
        <f t="shared" si="56"/>
        <v>2.1627831831400566</v>
      </c>
      <c r="K89" s="407">
        <f t="shared" si="77"/>
        <v>7.0813915915700285</v>
      </c>
      <c r="L89" s="407">
        <f t="shared" si="78"/>
        <v>4.9186084084299715</v>
      </c>
      <c r="M89" s="63">
        <f t="shared" si="57"/>
        <v>0</v>
      </c>
      <c r="N89" s="406">
        <f t="shared" si="58"/>
        <v>6.0323960903972029</v>
      </c>
      <c r="O89" s="406">
        <f t="shared" si="79"/>
        <v>0.22222036199900899</v>
      </c>
      <c r="P89">
        <f t="shared" si="59"/>
        <v>0.2</v>
      </c>
      <c r="Q89" s="406">
        <f t="shared" si="80"/>
        <v>0.42222036199900903</v>
      </c>
      <c r="R89" s="9">
        <f t="shared" si="87"/>
        <v>0.62434172649235375</v>
      </c>
      <c r="S89" s="9">
        <f t="shared" si="81"/>
        <v>3.898025914394531E-4</v>
      </c>
      <c r="T89" s="9">
        <f t="shared" si="88"/>
        <v>3.898025914394531E-4</v>
      </c>
      <c r="U89" s="406">
        <f t="shared" si="60"/>
        <v>4.285334571060786</v>
      </c>
      <c r="V89" s="408">
        <f t="shared" si="82"/>
        <v>3.6728184771857464E-2</v>
      </c>
      <c r="W89" s="406">
        <f t="shared" si="89"/>
        <v>3.6728184771857464E-2</v>
      </c>
      <c r="X89" s="406">
        <f t="shared" si="61"/>
        <v>4.285334571060786</v>
      </c>
      <c r="Y89" s="406">
        <f t="shared" si="83"/>
        <v>0.95493280406829406</v>
      </c>
      <c r="Z89" s="406">
        <f t="shared" si="62"/>
        <v>0.77368980996384862</v>
      </c>
      <c r="AA89" s="406">
        <f t="shared" si="63"/>
        <v>0.37132800000000021</v>
      </c>
      <c r="AB89" s="406">
        <f t="shared" si="64"/>
        <v>0</v>
      </c>
      <c r="AC89" s="406">
        <f t="shared" si="65"/>
        <v>2.6584521000831445</v>
      </c>
      <c r="AD89" s="406">
        <f t="shared" si="66"/>
        <v>4.2456695827055038</v>
      </c>
      <c r="AE89" s="406">
        <f t="shared" si="84"/>
        <v>0.18025710205510728</v>
      </c>
      <c r="AF89" s="406">
        <f t="shared" si="67"/>
        <v>0.32400000000000001</v>
      </c>
      <c r="AG89" s="406">
        <f t="shared" si="68"/>
        <v>0.51923235313830163</v>
      </c>
      <c r="AH89" s="406">
        <f t="shared" si="69"/>
        <v>0</v>
      </c>
      <c r="AI89">
        <f t="shared" si="70"/>
        <v>0</v>
      </c>
      <c r="AJ89" s="407">
        <f t="shared" si="71"/>
        <v>2.3843999999999999</v>
      </c>
      <c r="AK89">
        <f t="shared" si="85"/>
        <v>9.6000000000000002E-2</v>
      </c>
      <c r="AL89" s="407">
        <f t="shared" si="72"/>
        <v>0.1215</v>
      </c>
      <c r="AM89" s="407">
        <f t="shared" si="86"/>
        <v>0.70770810810810814</v>
      </c>
      <c r="AN89" s="407">
        <f t="shared" si="90"/>
        <v>0.2175</v>
      </c>
      <c r="AO89" s="407">
        <f t="shared" si="73"/>
        <v>6.238922802583752</v>
      </c>
      <c r="AP89">
        <f t="shared" si="74"/>
        <v>144</v>
      </c>
      <c r="AQ89" s="10">
        <f t="shared" si="91"/>
        <v>0.95847332577868793</v>
      </c>
      <c r="AR89" s="63">
        <f t="shared" si="75"/>
        <v>146.21486550457294</v>
      </c>
      <c r="AS89" s="63">
        <f t="shared" si="92"/>
        <v>20.769294125532063</v>
      </c>
      <c r="AT89" s="10"/>
      <c r="AU89">
        <f t="shared" si="93"/>
        <v>95.847332577868798</v>
      </c>
      <c r="BE89" s="28"/>
      <c r="BF89" s="29"/>
    </row>
    <row r="90" spans="1:58" x14ac:dyDescent="0.2">
      <c r="G90">
        <v>81</v>
      </c>
      <c r="H90">
        <f t="shared" si="55"/>
        <v>6.0750000000000002</v>
      </c>
      <c r="I90" s="406">
        <f t="shared" si="76"/>
        <v>0.50470783759923843</v>
      </c>
      <c r="J90" s="407">
        <f t="shared" si="56"/>
        <v>2.1630335897110218</v>
      </c>
      <c r="K90" s="407">
        <f t="shared" si="77"/>
        <v>7.1565167948555111</v>
      </c>
      <c r="L90" s="407">
        <f t="shared" si="78"/>
        <v>4.9934832051444893</v>
      </c>
      <c r="M90" s="63">
        <f t="shared" si="57"/>
        <v>0</v>
      </c>
      <c r="N90" s="406">
        <f t="shared" si="58"/>
        <v>6.1070056377233559</v>
      </c>
      <c r="O90" s="406">
        <f t="shared" si="79"/>
        <v>0.22785208059889892</v>
      </c>
      <c r="P90">
        <f t="shared" si="59"/>
        <v>0.2</v>
      </c>
      <c r="Q90" s="406">
        <f t="shared" si="80"/>
        <v>0.4278520805988989</v>
      </c>
      <c r="R90" s="9">
        <f t="shared" si="87"/>
        <v>0.6244140126429305</v>
      </c>
      <c r="S90" s="9">
        <f t="shared" si="81"/>
        <v>3.898928591848458E-4</v>
      </c>
      <c r="T90" s="9">
        <f t="shared" si="88"/>
        <v>3.898928591848458E-4</v>
      </c>
      <c r="U90" s="406">
        <f t="shared" si="60"/>
        <v>4.3385873473808232</v>
      </c>
      <c r="V90" s="408">
        <f t="shared" si="82"/>
        <v>3.7646680341705936E-2</v>
      </c>
      <c r="W90" s="406">
        <f t="shared" si="89"/>
        <v>3.7646680341705936E-2</v>
      </c>
      <c r="X90" s="406">
        <f t="shared" si="61"/>
        <v>4.3385873473808232</v>
      </c>
      <c r="Y90" s="406">
        <f t="shared" si="83"/>
        <v>0.97881368888435438</v>
      </c>
      <c r="Z90" s="406">
        <f t="shared" si="62"/>
        <v>0.7841501241382377</v>
      </c>
      <c r="AA90" s="406">
        <f t="shared" si="63"/>
        <v>0.37132800000000021</v>
      </c>
      <c r="AB90" s="406">
        <f t="shared" si="64"/>
        <v>0</v>
      </c>
      <c r="AC90" s="406">
        <f t="shared" si="65"/>
        <v>2.7200177458178691</v>
      </c>
      <c r="AD90" s="406">
        <f t="shared" si="66"/>
        <v>4.2979271385555018</v>
      </c>
      <c r="AE90" s="406">
        <f t="shared" si="84"/>
        <v>0.18472177688331884</v>
      </c>
      <c r="AF90" s="406">
        <f t="shared" si="67"/>
        <v>0.32805000000000001</v>
      </c>
      <c r="AG90" s="406">
        <f t="shared" si="68"/>
        <v>0.52838855657208816</v>
      </c>
      <c r="AH90" s="406">
        <f t="shared" si="69"/>
        <v>0</v>
      </c>
      <c r="AI90">
        <f t="shared" si="70"/>
        <v>0</v>
      </c>
      <c r="AJ90" s="407">
        <f t="shared" si="71"/>
        <v>2.3842049999999997</v>
      </c>
      <c r="AK90">
        <f t="shared" si="85"/>
        <v>9.6000000000000002E-2</v>
      </c>
      <c r="AL90" s="407">
        <f t="shared" si="72"/>
        <v>0.1215</v>
      </c>
      <c r="AM90" s="407">
        <f t="shared" si="86"/>
        <v>0.70770810810810814</v>
      </c>
      <c r="AN90" s="407">
        <f t="shared" si="90"/>
        <v>0.2175</v>
      </c>
      <c r="AO90" s="407">
        <f t="shared" si="73"/>
        <v>6.3159999561897475</v>
      </c>
      <c r="AP90">
        <f t="shared" si="74"/>
        <v>145.80000000000001</v>
      </c>
      <c r="AQ90" s="10">
        <f t="shared" si="91"/>
        <v>0.95847905573372427</v>
      </c>
      <c r="AR90" s="63">
        <f t="shared" si="75"/>
        <v>149.6009760199828</v>
      </c>
      <c r="AS90" s="63">
        <f t="shared" si="92"/>
        <v>21.135542262883526</v>
      </c>
      <c r="AT90" s="10"/>
      <c r="AU90">
        <f t="shared" si="93"/>
        <v>95.847905573372429</v>
      </c>
      <c r="BE90" s="28"/>
      <c r="BF90" s="29"/>
    </row>
    <row r="91" spans="1:58" x14ac:dyDescent="0.2">
      <c r="G91">
        <v>82</v>
      </c>
      <c r="H91">
        <f t="shared" si="55"/>
        <v>6.1499999999999995</v>
      </c>
      <c r="I91" s="406">
        <f t="shared" si="76"/>
        <v>0.50476627350932202</v>
      </c>
      <c r="J91" s="407">
        <f t="shared" si="56"/>
        <v>2.1632840293256659</v>
      </c>
      <c r="K91" s="407">
        <f t="shared" si="77"/>
        <v>7.2316420146628326</v>
      </c>
      <c r="L91" s="407">
        <f t="shared" si="78"/>
        <v>5.0683579853371663</v>
      </c>
      <c r="M91" s="63">
        <f t="shared" si="57"/>
        <v>0</v>
      </c>
      <c r="N91" s="406">
        <f t="shared" si="58"/>
        <v>6.1816246367192669</v>
      </c>
      <c r="O91" s="406">
        <f t="shared" si="79"/>
        <v>0.23355883312382186</v>
      </c>
      <c r="P91">
        <f t="shared" si="59"/>
        <v>0.2</v>
      </c>
      <c r="Q91" s="406">
        <f t="shared" si="80"/>
        <v>0.43355883312382187</v>
      </c>
      <c r="R91" s="9">
        <f t="shared" si="87"/>
        <v>0.62448630833239582</v>
      </c>
      <c r="S91" s="9">
        <f t="shared" si="81"/>
        <v>3.8998314929462413E-4</v>
      </c>
      <c r="T91" s="9">
        <f t="shared" si="88"/>
        <v>3.8998314929462413E-4</v>
      </c>
      <c r="U91" s="406">
        <f t="shared" si="60"/>
        <v>4.3918529939886657</v>
      </c>
      <c r="V91" s="408">
        <f t="shared" si="82"/>
        <v>3.8576745441614414E-2</v>
      </c>
      <c r="W91" s="406">
        <f t="shared" si="89"/>
        <v>3.8576745441614414E-2</v>
      </c>
      <c r="X91" s="406">
        <f t="shared" si="61"/>
        <v>4.3918529939886657</v>
      </c>
      <c r="Y91" s="406">
        <f t="shared" si="83"/>
        <v>1.0029953814819748</v>
      </c>
      <c r="Z91" s="406">
        <f t="shared" si="62"/>
        <v>0.79461043733900738</v>
      </c>
      <c r="AA91" s="406">
        <f t="shared" si="63"/>
        <v>0.37132800000000021</v>
      </c>
      <c r="AB91" s="406">
        <f t="shared" si="64"/>
        <v>0</v>
      </c>
      <c r="AC91" s="406">
        <f t="shared" si="65"/>
        <v>2.783035634063348</v>
      </c>
      <c r="AD91" s="406">
        <f t="shared" si="66"/>
        <v>4.3501851027844101</v>
      </c>
      <c r="AE91" s="406">
        <f t="shared" si="84"/>
        <v>0.18924110428487409</v>
      </c>
      <c r="AF91" s="406">
        <f t="shared" si="67"/>
        <v>0.33209999999999995</v>
      </c>
      <c r="AG91" s="406">
        <f t="shared" si="68"/>
        <v>0.53761945621761897</v>
      </c>
      <c r="AH91" s="406">
        <f t="shared" si="69"/>
        <v>0</v>
      </c>
      <c r="AI91">
        <f t="shared" si="70"/>
        <v>0</v>
      </c>
      <c r="AJ91" s="407">
        <f t="shared" si="71"/>
        <v>2.38401</v>
      </c>
      <c r="AK91">
        <f t="shared" si="85"/>
        <v>9.6000000000000002E-2</v>
      </c>
      <c r="AL91" s="407">
        <f t="shared" si="72"/>
        <v>0.1215</v>
      </c>
      <c r="AM91" s="407">
        <f t="shared" si="86"/>
        <v>0.70770810810810814</v>
      </c>
      <c r="AN91" s="407">
        <f t="shared" si="90"/>
        <v>0.2175</v>
      </c>
      <c r="AO91" s="407">
        <f t="shared" si="73"/>
        <v>6.3946906519956972</v>
      </c>
      <c r="AP91">
        <f t="shared" si="74"/>
        <v>147.6</v>
      </c>
      <c r="AQ91" s="10">
        <f t="shared" si="91"/>
        <v>0.9584746030858512</v>
      </c>
      <c r="AR91" s="63">
        <f t="shared" si="75"/>
        <v>153.06695987348414</v>
      </c>
      <c r="AS91" s="63">
        <f t="shared" si="92"/>
        <v>21.50477824870476</v>
      </c>
      <c r="AT91" s="10"/>
      <c r="AU91">
        <f t="shared" si="93"/>
        <v>95.847460308585113</v>
      </c>
      <c r="BE91" s="28"/>
      <c r="BF91" s="29"/>
    </row>
    <row r="92" spans="1:58" x14ac:dyDescent="0.2">
      <c r="G92">
        <v>83</v>
      </c>
      <c r="H92">
        <f t="shared" si="55"/>
        <v>6.2249999999999996</v>
      </c>
      <c r="I92" s="406">
        <f t="shared" si="76"/>
        <v>0.50482471713112365</v>
      </c>
      <c r="J92" s="407">
        <f t="shared" si="56"/>
        <v>2.1635345019905303</v>
      </c>
      <c r="K92" s="407">
        <f t="shared" si="77"/>
        <v>7.3067672509952644</v>
      </c>
      <c r="L92" s="407">
        <f t="shared" si="78"/>
        <v>5.1432327490047349</v>
      </c>
      <c r="M92" s="63">
        <f t="shared" si="57"/>
        <v>0</v>
      </c>
      <c r="N92" s="406">
        <f t="shared" si="58"/>
        <v>6.2562527491922255</v>
      </c>
      <c r="O92" s="406">
        <f t="shared" si="79"/>
        <v>0.23934081476765148</v>
      </c>
      <c r="P92">
        <f t="shared" si="59"/>
        <v>0.2</v>
      </c>
      <c r="Q92" s="406">
        <f t="shared" si="80"/>
        <v>0.43934081476765152</v>
      </c>
      <c r="R92" s="9">
        <f t="shared" si="87"/>
        <v>0.62455861356263787</v>
      </c>
      <c r="S92" s="9">
        <f t="shared" si="81"/>
        <v>3.9007346177528441E-4</v>
      </c>
      <c r="T92" s="9">
        <f t="shared" si="88"/>
        <v>3.9007346177528441E-4</v>
      </c>
      <c r="U92" s="406">
        <f t="shared" si="60"/>
        <v>4.4451312724463286</v>
      </c>
      <c r="V92" s="408">
        <f t="shared" si="82"/>
        <v>3.9518384058560632E-2</v>
      </c>
      <c r="W92" s="406">
        <f t="shared" si="89"/>
        <v>3.9518384058560632E-2</v>
      </c>
      <c r="X92" s="406">
        <f t="shared" si="61"/>
        <v>4.4451312724463286</v>
      </c>
      <c r="Y92" s="406">
        <f t="shared" si="83"/>
        <v>1.0274779855225764</v>
      </c>
      <c r="Z92" s="406">
        <f t="shared" si="62"/>
        <v>0.80507074956596514</v>
      </c>
      <c r="AA92" s="406">
        <f t="shared" si="63"/>
        <v>0.37132800000000021</v>
      </c>
      <c r="AB92" s="406">
        <f t="shared" si="64"/>
        <v>0</v>
      </c>
      <c r="AC92" s="406">
        <f t="shared" si="65"/>
        <v>2.8475520949245485</v>
      </c>
      <c r="AD92" s="406">
        <f t="shared" si="66"/>
        <v>4.40244323444323</v>
      </c>
      <c r="AE92" s="406">
        <f t="shared" si="84"/>
        <v>0.19381506432494969</v>
      </c>
      <c r="AF92" s="406">
        <f t="shared" si="67"/>
        <v>0.33615</v>
      </c>
      <c r="AG92" s="406">
        <f t="shared" si="68"/>
        <v>0.54692544683028799</v>
      </c>
      <c r="AH92" s="406">
        <f t="shared" si="69"/>
        <v>0</v>
      </c>
      <c r="AI92">
        <f t="shared" si="70"/>
        <v>0</v>
      </c>
      <c r="AJ92" s="407">
        <f t="shared" si="71"/>
        <v>2.3838149999999998</v>
      </c>
      <c r="AK92">
        <f t="shared" si="85"/>
        <v>9.6000000000000002E-2</v>
      </c>
      <c r="AL92" s="407">
        <f t="shared" si="72"/>
        <v>0.1215</v>
      </c>
      <c r="AM92" s="407">
        <f t="shared" si="86"/>
        <v>0.70770810810810814</v>
      </c>
      <c r="AN92" s="407">
        <f t="shared" si="90"/>
        <v>0.2175</v>
      </c>
      <c r="AO92" s="407">
        <f t="shared" si="73"/>
        <v>6.4750418140428243</v>
      </c>
      <c r="AP92">
        <f t="shared" si="74"/>
        <v>149.39999999999998</v>
      </c>
      <c r="AQ92" s="10">
        <f t="shared" si="91"/>
        <v>0.95846004762091763</v>
      </c>
      <c r="AR92" s="63">
        <f t="shared" si="75"/>
        <v>156.61536522085018</v>
      </c>
      <c r="AS92" s="63">
        <f t="shared" si="92"/>
        <v>21.877017873211521</v>
      </c>
      <c r="AT92" s="10"/>
      <c r="AU92">
        <f t="shared" si="93"/>
        <v>95.846004762091766</v>
      </c>
      <c r="BE92" s="28"/>
      <c r="BF92" s="29"/>
    </row>
    <row r="93" spans="1:58" x14ac:dyDescent="0.2">
      <c r="G93">
        <v>84</v>
      </c>
      <c r="H93">
        <f t="shared" si="55"/>
        <v>6.3</v>
      </c>
      <c r="I93" s="406">
        <f t="shared" si="76"/>
        <v>0.50488316846616965</v>
      </c>
      <c r="J93" s="407">
        <f t="shared" si="56"/>
        <v>2.1637850077121557</v>
      </c>
      <c r="K93" s="407">
        <f t="shared" si="77"/>
        <v>7.3818925038560774</v>
      </c>
      <c r="L93" s="407">
        <f t="shared" si="78"/>
        <v>5.2181074961439222</v>
      </c>
      <c r="M93" s="63">
        <f t="shared" si="57"/>
        <v>0</v>
      </c>
      <c r="N93" s="406">
        <f t="shared" si="58"/>
        <v>6.3308896528555385</v>
      </c>
      <c r="O93" s="406">
        <f t="shared" si="79"/>
        <v>0.24519822356204488</v>
      </c>
      <c r="P93">
        <f t="shared" si="59"/>
        <v>0.2</v>
      </c>
      <c r="Q93" s="406">
        <f t="shared" si="80"/>
        <v>0.44519822356204486</v>
      </c>
      <c r="R93" s="9">
        <f t="shared" si="87"/>
        <v>0.62463092833554479</v>
      </c>
      <c r="S93" s="9">
        <f t="shared" si="81"/>
        <v>3.9016379663332453E-4</v>
      </c>
      <c r="T93" s="9">
        <f t="shared" si="88"/>
        <v>3.9016379663332453E-4</v>
      </c>
      <c r="U93" s="406">
        <f t="shared" si="60"/>
        <v>4.4984219555625611</v>
      </c>
      <c r="V93" s="408">
        <f t="shared" si="82"/>
        <v>4.0471600180574593E-2</v>
      </c>
      <c r="W93" s="406">
        <f t="shared" si="89"/>
        <v>4.0471600180574593E-2</v>
      </c>
      <c r="X93" s="406">
        <f t="shared" si="61"/>
        <v>4.4984219555625611</v>
      </c>
      <c r="Y93" s="406">
        <f t="shared" si="83"/>
        <v>1.0522616046949393</v>
      </c>
      <c r="Z93" s="406">
        <f t="shared" si="62"/>
        <v>0.81553106081891813</v>
      </c>
      <c r="AA93" s="406">
        <f t="shared" si="63"/>
        <v>0.37132800000000021</v>
      </c>
      <c r="AB93" s="406">
        <f t="shared" si="64"/>
        <v>0</v>
      </c>
      <c r="AC93" s="406">
        <f t="shared" si="65"/>
        <v>2.9136155315451808</v>
      </c>
      <c r="AD93" s="406">
        <f t="shared" si="66"/>
        <v>4.4547013038301486</v>
      </c>
      <c r="AE93" s="406">
        <f t="shared" si="84"/>
        <v>0.19844363706346027</v>
      </c>
      <c r="AF93" s="406">
        <f t="shared" si="67"/>
        <v>0.3402</v>
      </c>
      <c r="AG93" s="406">
        <f t="shared" si="68"/>
        <v>0.55630692829125528</v>
      </c>
      <c r="AH93" s="406">
        <f t="shared" si="69"/>
        <v>0</v>
      </c>
      <c r="AI93">
        <f t="shared" si="70"/>
        <v>0</v>
      </c>
      <c r="AJ93" s="407">
        <f t="shared" si="71"/>
        <v>2.3836200000000001</v>
      </c>
      <c r="AK93">
        <f t="shared" si="85"/>
        <v>9.6000000000000002E-2</v>
      </c>
      <c r="AL93" s="407">
        <f t="shared" si="72"/>
        <v>0.1215</v>
      </c>
      <c r="AM93" s="407">
        <f t="shared" si="86"/>
        <v>0.70770810810810814</v>
      </c>
      <c r="AN93" s="407">
        <f t="shared" si="90"/>
        <v>0.2175</v>
      </c>
      <c r="AO93" s="407">
        <f t="shared" si="73"/>
        <v>6.5571024473756889</v>
      </c>
      <c r="AP93">
        <f t="shared" si="74"/>
        <v>151.19999999999999</v>
      </c>
      <c r="AQ93" s="10">
        <f t="shared" si="91"/>
        <v>0.95843545332887314</v>
      </c>
      <c r="AR93" s="63">
        <f t="shared" si="75"/>
        <v>160.24885423498495</v>
      </c>
      <c r="AS93" s="63">
        <f t="shared" si="92"/>
        <v>22.25227713165021</v>
      </c>
      <c r="AT93" s="10"/>
      <c r="AU93">
        <f t="shared" si="93"/>
        <v>95.843545332887317</v>
      </c>
      <c r="BE93" s="28"/>
      <c r="BF93" s="29"/>
    </row>
    <row r="94" spans="1:58" x14ac:dyDescent="0.2">
      <c r="G94">
        <v>85</v>
      </c>
      <c r="H94">
        <f t="shared" si="55"/>
        <v>6.375</v>
      </c>
      <c r="I94" s="406">
        <f t="shared" si="76"/>
        <v>0.50494162751598759</v>
      </c>
      <c r="J94" s="407">
        <f t="shared" si="56"/>
        <v>2.1640355464970895</v>
      </c>
      <c r="K94" s="407">
        <f t="shared" si="77"/>
        <v>7.4570177732485448</v>
      </c>
      <c r="L94" s="407">
        <f t="shared" si="78"/>
        <v>5.2929822267514552</v>
      </c>
      <c r="M94" s="63">
        <f t="shared" si="57"/>
        <v>0</v>
      </c>
      <c r="N94" s="406">
        <f t="shared" si="58"/>
        <v>6.4055350404064804</v>
      </c>
      <c r="O94" s="406">
        <f t="shared" si="79"/>
        <v>0.25113126039380113</v>
      </c>
      <c r="P94">
        <f t="shared" si="59"/>
        <v>0.2</v>
      </c>
      <c r="Q94" s="406">
        <f t="shared" si="80"/>
        <v>0.45113126039380114</v>
      </c>
      <c r="R94" s="9">
        <f t="shared" si="87"/>
        <v>0.62470325265300686</v>
      </c>
      <c r="S94" s="9">
        <f t="shared" si="81"/>
        <v>3.9025415387524656E-4</v>
      </c>
      <c r="T94" s="9">
        <f t="shared" si="88"/>
        <v>3.9025415387524656E-4</v>
      </c>
      <c r="U94" s="406">
        <f t="shared" si="60"/>
        <v>4.5517248267409114</v>
      </c>
      <c r="V94" s="408">
        <f t="shared" si="82"/>
        <v>4.1436397796739161E-2</v>
      </c>
      <c r="W94" s="406">
        <f t="shared" si="89"/>
        <v>4.1436397796739161E-2</v>
      </c>
      <c r="X94" s="406">
        <f t="shared" si="61"/>
        <v>4.5517248267409114</v>
      </c>
      <c r="Y94" s="406">
        <f t="shared" si="83"/>
        <v>1.0773463427152181</v>
      </c>
      <c r="Z94" s="406">
        <f t="shared" si="62"/>
        <v>0.8259913710976734</v>
      </c>
      <c r="AA94" s="406">
        <f t="shared" si="63"/>
        <v>0.37132800000000021</v>
      </c>
      <c r="AB94" s="406">
        <f t="shared" si="64"/>
        <v>0</v>
      </c>
      <c r="AC94" s="406">
        <f t="shared" si="65"/>
        <v>2.9812765357417987</v>
      </c>
      <c r="AD94" s="406">
        <f t="shared" si="66"/>
        <v>4.5069590918384952</v>
      </c>
      <c r="AE94" s="406">
        <f t="shared" si="84"/>
        <v>0.20312680255505672</v>
      </c>
      <c r="AF94" s="406">
        <f t="shared" si="67"/>
        <v>0.34425</v>
      </c>
      <c r="AG94" s="406">
        <f t="shared" si="68"/>
        <v>0.56576430566043034</v>
      </c>
      <c r="AH94" s="406">
        <f t="shared" si="69"/>
        <v>0</v>
      </c>
      <c r="AI94">
        <f t="shared" si="70"/>
        <v>0</v>
      </c>
      <c r="AJ94" s="407">
        <f t="shared" si="71"/>
        <v>2.3834249999999999</v>
      </c>
      <c r="AK94">
        <f t="shared" si="85"/>
        <v>9.6000000000000002E-2</v>
      </c>
      <c r="AL94" s="407">
        <f t="shared" si="72"/>
        <v>0.1215</v>
      </c>
      <c r="AM94" s="407">
        <f t="shared" si="86"/>
        <v>0.70770810810810814</v>
      </c>
      <c r="AN94" s="407">
        <f t="shared" si="90"/>
        <v>0.2175</v>
      </c>
      <c r="AO94" s="407">
        <f t="shared" si="73"/>
        <v>6.6409237537466446</v>
      </c>
      <c r="AP94">
        <f t="shared" si="74"/>
        <v>153</v>
      </c>
      <c r="AQ94" s="10">
        <f t="shared" si="91"/>
        <v>0.95840086866453755</v>
      </c>
      <c r="AR94" s="63">
        <f t="shared" si="75"/>
        <v>163.97020946579892</v>
      </c>
      <c r="AS94" s="63">
        <f t="shared" si="92"/>
        <v>22.630572226417215</v>
      </c>
      <c r="AT94" s="10"/>
      <c r="AU94">
        <f t="shared" si="93"/>
        <v>95.84008686645376</v>
      </c>
      <c r="BE94" s="28"/>
      <c r="BF94" s="29"/>
    </row>
    <row r="95" spans="1:58" x14ac:dyDescent="0.2">
      <c r="G95">
        <v>86</v>
      </c>
      <c r="H95">
        <f t="shared" si="55"/>
        <v>6.45</v>
      </c>
      <c r="I95" s="406">
        <f t="shared" si="76"/>
        <v>0.50500009428210457</v>
      </c>
      <c r="J95" s="407">
        <f t="shared" si="56"/>
        <v>2.1642861183518769</v>
      </c>
      <c r="K95" s="407">
        <f t="shared" si="77"/>
        <v>7.5321430591759384</v>
      </c>
      <c r="L95" s="407">
        <f t="shared" si="78"/>
        <v>5.367856940824062</v>
      </c>
      <c r="M95" s="63">
        <f t="shared" si="57"/>
        <v>0</v>
      </c>
      <c r="N95" s="406">
        <f t="shared" si="58"/>
        <v>6.4801886186674809</v>
      </c>
      <c r="O95" s="406">
        <f t="shared" si="79"/>
        <v>0.25714012902250194</v>
      </c>
      <c r="P95">
        <f t="shared" si="59"/>
        <v>0.2</v>
      </c>
      <c r="Q95" s="406">
        <f t="shared" si="80"/>
        <v>0.45714012902250195</v>
      </c>
      <c r="R95" s="9">
        <f t="shared" si="87"/>
        <v>0.62477558651691323</v>
      </c>
      <c r="S95" s="9">
        <f t="shared" si="81"/>
        <v>3.9034453350755296E-4</v>
      </c>
      <c r="T95" s="9">
        <f t="shared" si="88"/>
        <v>3.9034453350755296E-4</v>
      </c>
      <c r="U95" s="406">
        <f t="shared" si="60"/>
        <v>4.6050396793724895</v>
      </c>
      <c r="V95" s="408">
        <f t="shared" si="82"/>
        <v>4.241278089719016E-2</v>
      </c>
      <c r="W95" s="406">
        <f t="shared" si="89"/>
        <v>4.241278089719016E-2</v>
      </c>
      <c r="X95" s="406">
        <f t="shared" si="61"/>
        <v>4.6050396793724895</v>
      </c>
      <c r="Y95" s="406">
        <f t="shared" si="83"/>
        <v>1.1027323033269441</v>
      </c>
      <c r="Z95" s="406">
        <f t="shared" si="62"/>
        <v>0.83645168040203832</v>
      </c>
      <c r="AA95" s="406">
        <f t="shared" si="63"/>
        <v>0.37132800000000021</v>
      </c>
      <c r="AB95" s="406">
        <f t="shared" si="64"/>
        <v>0</v>
      </c>
      <c r="AC95" s="406">
        <f t="shared" si="65"/>
        <v>3.0505880115026844</v>
      </c>
      <c r="AD95" s="406">
        <f t="shared" si="66"/>
        <v>4.5592163893494329</v>
      </c>
      <c r="AE95" s="406">
        <f t="shared" si="84"/>
        <v>0.20786454084912478</v>
      </c>
      <c r="AF95" s="406">
        <f t="shared" si="67"/>
        <v>0.3483</v>
      </c>
      <c r="AG95" s="406">
        <f t="shared" si="68"/>
        <v>0.57529798923037212</v>
      </c>
      <c r="AH95" s="406">
        <f t="shared" si="69"/>
        <v>0</v>
      </c>
      <c r="AI95">
        <f t="shared" si="70"/>
        <v>0</v>
      </c>
      <c r="AJ95" s="407">
        <f t="shared" si="71"/>
        <v>2.3832299999999997</v>
      </c>
      <c r="AK95">
        <f t="shared" si="85"/>
        <v>9.6000000000000002E-2</v>
      </c>
      <c r="AL95" s="407">
        <f t="shared" si="72"/>
        <v>0.1215</v>
      </c>
      <c r="AM95" s="407">
        <f t="shared" si="86"/>
        <v>0.70770810810810814</v>
      </c>
      <c r="AN95" s="407">
        <f t="shared" si="90"/>
        <v>0.2175</v>
      </c>
      <c r="AO95" s="407">
        <f t="shared" si="73"/>
        <v>6.7265592551862561</v>
      </c>
      <c r="AP95">
        <f t="shared" si="74"/>
        <v>154.80000000000001</v>
      </c>
      <c r="AQ95" s="10">
        <f t="shared" si="91"/>
        <v>0.95835632674773086</v>
      </c>
      <c r="AR95" s="63">
        <f t="shared" si="75"/>
        <v>167.78234063264765</v>
      </c>
      <c r="AS95" s="63">
        <f t="shared" si="92"/>
        <v>23.011919569214886</v>
      </c>
      <c r="AT95" s="10"/>
      <c r="AU95">
        <f t="shared" si="93"/>
        <v>95.83563267477308</v>
      </c>
      <c r="BE95" s="28"/>
      <c r="BF95" s="29"/>
    </row>
    <row r="96" spans="1:58" x14ac:dyDescent="0.2">
      <c r="G96">
        <v>87</v>
      </c>
      <c r="H96">
        <f t="shared" si="55"/>
        <v>6.5250000000000004</v>
      </c>
      <c r="I96" s="406">
        <f t="shared" si="76"/>
        <v>0.5050585687660486</v>
      </c>
      <c r="J96" s="407">
        <f t="shared" si="56"/>
        <v>2.1645367232830659</v>
      </c>
      <c r="K96" s="407">
        <f t="shared" si="77"/>
        <v>7.6072683616415331</v>
      </c>
      <c r="L96" s="407">
        <f t="shared" si="78"/>
        <v>5.4427316383584676</v>
      </c>
      <c r="M96" s="63">
        <f t="shared" si="57"/>
        <v>0</v>
      </c>
      <c r="N96" s="406">
        <f t="shared" si="58"/>
        <v>6.5548501077855894</v>
      </c>
      <c r="O96" s="406">
        <f t="shared" si="79"/>
        <v>0.26322503609843945</v>
      </c>
      <c r="P96">
        <f t="shared" si="59"/>
        <v>0.2</v>
      </c>
      <c r="Q96" s="406">
        <f t="shared" si="80"/>
        <v>0.46322503609843946</v>
      </c>
      <c r="R96" s="9">
        <f t="shared" si="87"/>
        <v>0.62484792992915428</v>
      </c>
      <c r="S96" s="9">
        <f t="shared" si="81"/>
        <v>3.904349355367493E-4</v>
      </c>
      <c r="T96" s="9">
        <f t="shared" si="88"/>
        <v>3.904349355367493E-4</v>
      </c>
      <c r="U96" s="406">
        <f t="shared" si="60"/>
        <v>4.6583663162699489</v>
      </c>
      <c r="V96" s="408">
        <f t="shared" si="82"/>
        <v>4.3400753473116907E-2</v>
      </c>
      <c r="W96" s="406">
        <f t="shared" si="89"/>
        <v>4.3400753473116907E-2</v>
      </c>
      <c r="X96" s="406">
        <f t="shared" si="61"/>
        <v>4.6583663162699489</v>
      </c>
      <c r="Y96" s="406">
        <f t="shared" si="83"/>
        <v>1.1284195903010394</v>
      </c>
      <c r="Z96" s="406">
        <f t="shared" si="62"/>
        <v>0.84691198873181972</v>
      </c>
      <c r="AA96" s="406">
        <f t="shared" si="63"/>
        <v>0.37132800000000021</v>
      </c>
      <c r="AB96" s="406">
        <f t="shared" si="64"/>
        <v>0</v>
      </c>
      <c r="AC96" s="406">
        <f t="shared" si="65"/>
        <v>3.1216053069817593</v>
      </c>
      <c r="AD96" s="406">
        <f t="shared" si="66"/>
        <v>4.6114729966658485</v>
      </c>
      <c r="AE96" s="406">
        <f t="shared" si="84"/>
        <v>0.21265683198978302</v>
      </c>
      <c r="AF96" s="406">
        <f t="shared" si="67"/>
        <v>0.35235</v>
      </c>
      <c r="AG96" s="406">
        <f t="shared" si="68"/>
        <v>0.5849083945811191</v>
      </c>
      <c r="AH96" s="406">
        <f t="shared" si="69"/>
        <v>0</v>
      </c>
      <c r="AI96">
        <f t="shared" si="70"/>
        <v>0</v>
      </c>
      <c r="AJ96" s="407">
        <f t="shared" si="71"/>
        <v>2.3830349999999996</v>
      </c>
      <c r="AK96">
        <f t="shared" si="85"/>
        <v>9.6000000000000002E-2</v>
      </c>
      <c r="AL96" s="407">
        <f t="shared" si="72"/>
        <v>0.1215</v>
      </c>
      <c r="AM96" s="407">
        <f t="shared" si="86"/>
        <v>0.70770810810810814</v>
      </c>
      <c r="AN96" s="407">
        <f t="shared" si="90"/>
        <v>0.2175</v>
      </c>
      <c r="AO96" s="407">
        <f t="shared" si="73"/>
        <v>6.8140649260699711</v>
      </c>
      <c r="AP96">
        <f t="shared" si="74"/>
        <v>156.60000000000002</v>
      </c>
      <c r="AQ96" s="10">
        <f t="shared" si="91"/>
        <v>0.95830184550422448</v>
      </c>
      <c r="AR96" s="63">
        <f t="shared" si="75"/>
        <v>171.68829188399675</v>
      </c>
      <c r="AS96" s="63">
        <f t="shared" si="92"/>
        <v>23.396335783244766</v>
      </c>
      <c r="AT96" s="10"/>
      <c r="AU96">
        <f t="shared" si="93"/>
        <v>95.830184550422445</v>
      </c>
      <c r="BE96" s="28"/>
      <c r="BF96" s="29"/>
    </row>
    <row r="97" spans="7:58" x14ac:dyDescent="0.2">
      <c r="G97">
        <v>88</v>
      </c>
      <c r="H97">
        <f t="shared" si="55"/>
        <v>6.6</v>
      </c>
      <c r="I97" s="406">
        <f t="shared" si="76"/>
        <v>0.505117050969348</v>
      </c>
      <c r="J97" s="407">
        <f t="shared" si="56"/>
        <v>2.1647873612972055</v>
      </c>
      <c r="K97" s="407">
        <f t="shared" si="77"/>
        <v>7.6823936806486026</v>
      </c>
      <c r="L97" s="407">
        <f t="shared" si="78"/>
        <v>5.5176063193513967</v>
      </c>
      <c r="M97" s="63">
        <f t="shared" si="57"/>
        <v>0</v>
      </c>
      <c r="N97" s="406">
        <f t="shared" si="58"/>
        <v>6.6295192404856431</v>
      </c>
      <c r="O97" s="406">
        <f t="shared" si="79"/>
        <v>0.26938619118083307</v>
      </c>
      <c r="P97">
        <f t="shared" si="59"/>
        <v>0.2</v>
      </c>
      <c r="Q97" s="406">
        <f t="shared" si="80"/>
        <v>0.46938619118083308</v>
      </c>
      <c r="R97" s="9">
        <f t="shared" si="87"/>
        <v>0.6249202828916206</v>
      </c>
      <c r="S97" s="9">
        <f t="shared" si="81"/>
        <v>3.9052535996934314E-4</v>
      </c>
      <c r="T97" s="9">
        <f t="shared" si="88"/>
        <v>3.9052535996934314E-4</v>
      </c>
      <c r="U97" s="406">
        <f t="shared" si="60"/>
        <v>4.7117045491394363</v>
      </c>
      <c r="V97" s="408">
        <f t="shared" si="82"/>
        <v>4.4400319516762515E-2</v>
      </c>
      <c r="W97" s="406">
        <f t="shared" si="89"/>
        <v>4.4400319516762515E-2</v>
      </c>
      <c r="X97" s="406">
        <f t="shared" si="61"/>
        <v>4.7117045491394363</v>
      </c>
      <c r="Y97" s="406">
        <f t="shared" si="83"/>
        <v>1.1544083074358253</v>
      </c>
      <c r="Z97" s="406">
        <f t="shared" si="62"/>
        <v>0.85737229608682441</v>
      </c>
      <c r="AA97" s="406">
        <f t="shared" si="63"/>
        <v>0.37132800000000021</v>
      </c>
      <c r="AB97" s="406">
        <f t="shared" si="64"/>
        <v>0</v>
      </c>
      <c r="AC97" s="406">
        <f t="shared" si="65"/>
        <v>3.1943863556761278</v>
      </c>
      <c r="AD97" s="406">
        <f t="shared" si="66"/>
        <v>4.663728722984227</v>
      </c>
      <c r="AE97" s="406">
        <f t="shared" si="84"/>
        <v>0.2175036560158809</v>
      </c>
      <c r="AF97" s="406">
        <f t="shared" si="67"/>
        <v>0.35639999999999999</v>
      </c>
      <c r="AG97" s="406">
        <f t="shared" si="68"/>
        <v>0.59459594263596593</v>
      </c>
      <c r="AH97" s="406">
        <f t="shared" si="69"/>
        <v>0</v>
      </c>
      <c r="AI97">
        <f t="shared" si="70"/>
        <v>0</v>
      </c>
      <c r="AJ97" s="407">
        <f t="shared" si="71"/>
        <v>2.3828399999999998</v>
      </c>
      <c r="AK97">
        <f t="shared" si="85"/>
        <v>9.6000000000000002E-2</v>
      </c>
      <c r="AL97" s="407">
        <f t="shared" si="72"/>
        <v>0.1215</v>
      </c>
      <c r="AM97" s="407">
        <f t="shared" si="86"/>
        <v>0.70770810810810814</v>
      </c>
      <c r="AN97" s="407">
        <f t="shared" si="90"/>
        <v>0.2175</v>
      </c>
      <c r="AO97" s="407">
        <f t="shared" si="73"/>
        <v>6.9034993343696582</v>
      </c>
      <c r="AP97">
        <f t="shared" si="74"/>
        <v>158.39999999999998</v>
      </c>
      <c r="AQ97" s="10">
        <f t="shared" si="91"/>
        <v>0.95823742774854681</v>
      </c>
      <c r="AR97" s="63">
        <f t="shared" si="75"/>
        <v>175.69124956218704</v>
      </c>
      <c r="AS97" s="63">
        <f t="shared" si="92"/>
        <v>23.783837705438636</v>
      </c>
      <c r="AT97" s="10"/>
      <c r="AU97">
        <f t="shared" si="93"/>
        <v>95.823742774854679</v>
      </c>
      <c r="BE97" s="28"/>
      <c r="BF97" s="29"/>
    </row>
    <row r="98" spans="7:58" x14ac:dyDescent="0.2">
      <c r="G98">
        <v>89</v>
      </c>
      <c r="H98">
        <f t="shared" si="55"/>
        <v>6.6749999999999998</v>
      </c>
      <c r="I98" s="406">
        <f t="shared" si="76"/>
        <v>0.50517554089353123</v>
      </c>
      <c r="J98" s="407">
        <f t="shared" si="56"/>
        <v>2.1650380324008482</v>
      </c>
      <c r="K98" s="407">
        <f t="shared" si="77"/>
        <v>7.7575190162004244</v>
      </c>
      <c r="L98" s="407">
        <f t="shared" si="78"/>
        <v>5.5924809837995753</v>
      </c>
      <c r="M98" s="63">
        <f t="shared" si="57"/>
        <v>0</v>
      </c>
      <c r="N98" s="406">
        <f t="shared" si="58"/>
        <v>6.7041957613730112</v>
      </c>
      <c r="O98" s="406">
        <f t="shared" si="79"/>
        <v>0.27562380675634018</v>
      </c>
      <c r="P98">
        <f t="shared" si="59"/>
        <v>0.2</v>
      </c>
      <c r="Q98" s="406">
        <f t="shared" si="80"/>
        <v>0.4756238067563402</v>
      </c>
      <c r="R98" s="9">
        <f t="shared" si="87"/>
        <v>0.62499264540620381</v>
      </c>
      <c r="S98" s="9">
        <f t="shared" si="81"/>
        <v>3.9061580681184485E-4</v>
      </c>
      <c r="T98" s="9">
        <f t="shared" si="88"/>
        <v>3.9061580681184485E-4</v>
      </c>
      <c r="U98" s="406">
        <f t="shared" si="60"/>
        <v>4.7650541980875811</v>
      </c>
      <c r="V98" s="408">
        <f t="shared" si="82"/>
        <v>4.5411483021424164E-2</v>
      </c>
      <c r="W98" s="406">
        <f t="shared" si="89"/>
        <v>4.5411483021424164E-2</v>
      </c>
      <c r="X98" s="406">
        <f t="shared" si="61"/>
        <v>4.7650541980875811</v>
      </c>
      <c r="Y98" s="406">
        <f t="shared" si="83"/>
        <v>1.1806985585570282</v>
      </c>
      <c r="Z98" s="406">
        <f t="shared" si="62"/>
        <v>0.86783260246685989</v>
      </c>
      <c r="AA98" s="406">
        <f t="shared" si="63"/>
        <v>0.37132800000000021</v>
      </c>
      <c r="AB98" s="406">
        <f t="shared" si="64"/>
        <v>0</v>
      </c>
      <c r="AC98" s="406">
        <f t="shared" si="65"/>
        <v>3.2689918275404706</v>
      </c>
      <c r="AD98" s="406">
        <f t="shared" si="66"/>
        <v>4.7159833859015841</v>
      </c>
      <c r="AE98" s="406">
        <f t="shared" si="84"/>
        <v>0.22240499296099769</v>
      </c>
      <c r="AF98" s="406">
        <f t="shared" si="67"/>
        <v>0.36044999999999999</v>
      </c>
      <c r="AG98" s="406">
        <f t="shared" si="68"/>
        <v>0.60436105971820209</v>
      </c>
      <c r="AH98" s="406">
        <f t="shared" si="69"/>
        <v>0</v>
      </c>
      <c r="AI98">
        <f t="shared" si="70"/>
        <v>0</v>
      </c>
      <c r="AJ98" s="407">
        <f t="shared" si="71"/>
        <v>2.3826450000000001</v>
      </c>
      <c r="AK98">
        <f t="shared" si="85"/>
        <v>9.6000000000000002E-2</v>
      </c>
      <c r="AL98" s="407">
        <f t="shared" si="72"/>
        <v>0.1215</v>
      </c>
      <c r="AM98" s="407">
        <f t="shared" si="86"/>
        <v>0.70770810810810814</v>
      </c>
      <c r="AN98" s="407">
        <f t="shared" si="90"/>
        <v>0.2175</v>
      </c>
      <c r="AO98" s="407">
        <f t="shared" si="73"/>
        <v>6.9949237928432488</v>
      </c>
      <c r="AP98">
        <f t="shared" si="74"/>
        <v>160.19999999999999</v>
      </c>
      <c r="AQ98" s="10">
        <f t="shared" si="91"/>
        <v>0.9581630612092622</v>
      </c>
      <c r="AR98" s="63">
        <f t="shared" si="75"/>
        <v>179.79455051472587</v>
      </c>
      <c r="AS98" s="63">
        <f t="shared" si="92"/>
        <v>24.174442388728082</v>
      </c>
      <c r="AT98" s="10"/>
      <c r="AU98">
        <f t="shared" si="93"/>
        <v>95.816306120926214</v>
      </c>
      <c r="BE98" s="28"/>
      <c r="BF98" s="29"/>
    </row>
    <row r="99" spans="7:58" x14ac:dyDescent="0.2">
      <c r="G99">
        <v>90</v>
      </c>
      <c r="H99">
        <f t="shared" si="55"/>
        <v>6.75</v>
      </c>
      <c r="I99" s="406">
        <f t="shared" si="76"/>
        <v>0.50523403854012761</v>
      </c>
      <c r="J99" s="407">
        <f t="shared" si="56"/>
        <v>2.1652887366005467</v>
      </c>
      <c r="K99" s="407">
        <f t="shared" si="77"/>
        <v>7.8326443683002731</v>
      </c>
      <c r="L99" s="407">
        <f t="shared" si="78"/>
        <v>5.6673556316997269</v>
      </c>
      <c r="M99" s="63">
        <f t="shared" si="57"/>
        <v>0</v>
      </c>
      <c r="N99" s="406">
        <f t="shared" si="58"/>
        <v>6.7788794262821028</v>
      </c>
      <c r="O99" s="406">
        <f t="shared" si="79"/>
        <v>0.28193809825786142</v>
      </c>
      <c r="P99">
        <f t="shared" si="59"/>
        <v>0.2</v>
      </c>
      <c r="Q99" s="406">
        <f t="shared" si="80"/>
        <v>0.48193809825786144</v>
      </c>
      <c r="R99" s="9">
        <f t="shared" si="87"/>
        <v>0.62506501747479515</v>
      </c>
      <c r="S99" s="9">
        <f t="shared" si="81"/>
        <v>3.9070627607076596E-4</v>
      </c>
      <c r="T99" s="9">
        <f t="shared" si="88"/>
        <v>3.9070627607076596E-4</v>
      </c>
      <c r="U99" s="406">
        <f t="shared" si="60"/>
        <v>4.8184150911608654</v>
      </c>
      <c r="V99" s="408">
        <f t="shared" si="82"/>
        <v>4.6434247981453548E-2</v>
      </c>
      <c r="W99" s="406">
        <f t="shared" si="89"/>
        <v>4.6434247981453548E-2</v>
      </c>
      <c r="X99" s="406">
        <f t="shared" si="61"/>
        <v>4.8184150911608654</v>
      </c>
      <c r="Y99" s="406">
        <f t="shared" si="83"/>
        <v>1.2072904475177921</v>
      </c>
      <c r="Z99" s="406">
        <f t="shared" si="62"/>
        <v>0.87829290787173275</v>
      </c>
      <c r="AA99" s="406">
        <f t="shared" si="63"/>
        <v>0.37132800000000021</v>
      </c>
      <c r="AB99" s="406">
        <f t="shared" si="64"/>
        <v>0</v>
      </c>
      <c r="AC99" s="406">
        <f t="shared" si="65"/>
        <v>3.3454852908629524</v>
      </c>
      <c r="AD99" s="406">
        <f t="shared" si="66"/>
        <v>4.7682368109547575</v>
      </c>
      <c r="AE99" s="406">
        <f t="shared" si="84"/>
        <v>0.22736082285343998</v>
      </c>
      <c r="AF99" s="406">
        <f t="shared" si="67"/>
        <v>0.36449999999999999</v>
      </c>
      <c r="AG99" s="406">
        <f t="shared" si="68"/>
        <v>0.61420417760882606</v>
      </c>
      <c r="AH99" s="406">
        <f t="shared" si="69"/>
        <v>0</v>
      </c>
      <c r="AI99">
        <f t="shared" si="70"/>
        <v>0</v>
      </c>
      <c r="AJ99" s="407">
        <f t="shared" si="71"/>
        <v>2.38245</v>
      </c>
      <c r="AK99">
        <f t="shared" si="85"/>
        <v>9.6000000000000002E-2</v>
      </c>
      <c r="AL99" s="407">
        <f t="shared" si="72"/>
        <v>0.1215</v>
      </c>
      <c r="AM99" s="407">
        <f t="shared" si="86"/>
        <v>0.70770810810810814</v>
      </c>
      <c r="AN99" s="407">
        <f t="shared" si="90"/>
        <v>0.2175</v>
      </c>
      <c r="AO99" s="407">
        <f t="shared" si="73"/>
        <v>7.0884025209871639</v>
      </c>
      <c r="AP99">
        <f t="shared" si="74"/>
        <v>162</v>
      </c>
      <c r="AQ99" s="10">
        <f t="shared" si="91"/>
        <v>0.95807871849692738</v>
      </c>
      <c r="AR99" s="63">
        <f t="shared" si="75"/>
        <v>184.00169099746239</v>
      </c>
      <c r="AS99" s="63">
        <f t="shared" si="92"/>
        <v>24.568167104353044</v>
      </c>
      <c r="AT99" s="10"/>
      <c r="AU99">
        <f t="shared" si="93"/>
        <v>95.807871849692745</v>
      </c>
      <c r="BE99" s="28"/>
      <c r="BF99" s="29"/>
    </row>
    <row r="100" spans="7:58" x14ac:dyDescent="0.2">
      <c r="G100">
        <v>91</v>
      </c>
      <c r="H100">
        <f t="shared" si="55"/>
        <v>6.8250000000000002</v>
      </c>
      <c r="I100" s="406">
        <f t="shared" si="76"/>
        <v>0.50529254391066647</v>
      </c>
      <c r="J100" s="407">
        <f t="shared" si="56"/>
        <v>2.1655394739028564</v>
      </c>
      <c r="K100" s="407">
        <f t="shared" si="77"/>
        <v>7.9077697369514279</v>
      </c>
      <c r="L100" s="407">
        <f t="shared" si="78"/>
        <v>5.7422302630485724</v>
      </c>
      <c r="M100" s="63">
        <f t="shared" si="57"/>
        <v>0</v>
      </c>
      <c r="N100" s="406">
        <f t="shared" si="58"/>
        <v>6.8535700016672054</v>
      </c>
      <c r="O100" s="406">
        <f t="shared" si="79"/>
        <v>0.2883292840836455</v>
      </c>
      <c r="P100">
        <f t="shared" si="59"/>
        <v>0.2</v>
      </c>
      <c r="Q100" s="406">
        <f t="shared" si="80"/>
        <v>0.48832928408364551</v>
      </c>
      <c r="R100" s="9">
        <f t="shared" si="87"/>
        <v>0.62513739909928734</v>
      </c>
      <c r="S100" s="9">
        <f t="shared" si="81"/>
        <v>3.9079676775262168E-4</v>
      </c>
      <c r="T100" s="9">
        <f t="shared" si="88"/>
        <v>3.9079676775262168E-4</v>
      </c>
      <c r="U100" s="406">
        <f t="shared" si="60"/>
        <v>4.8717870639149012</v>
      </c>
      <c r="V100" s="408">
        <f t="shared" si="82"/>
        <v>4.7468618392257148E-2</v>
      </c>
      <c r="W100" s="406">
        <f t="shared" si="89"/>
        <v>4.7468618392257148E-2</v>
      </c>
      <c r="X100" s="406">
        <f t="shared" si="61"/>
        <v>4.8717870639149012</v>
      </c>
      <c r="Y100" s="406">
        <f t="shared" si="83"/>
        <v>1.2341840781986859</v>
      </c>
      <c r="Z100" s="406">
        <f t="shared" si="62"/>
        <v>0.88875321230125004</v>
      </c>
      <c r="AA100" s="406">
        <f t="shared" si="63"/>
        <v>0.37132800000000021</v>
      </c>
      <c r="AB100" s="406">
        <f t="shared" si="64"/>
        <v>0</v>
      </c>
      <c r="AC100" s="406">
        <f t="shared" si="65"/>
        <v>3.4239333858065035</v>
      </c>
      <c r="AD100" s="406">
        <f t="shared" si="66"/>
        <v>4.8204888311896381</v>
      </c>
      <c r="AE100" s="406">
        <f t="shared" si="84"/>
        <v>0.23237112571624041</v>
      </c>
      <c r="AF100" s="406">
        <f t="shared" si="67"/>
        <v>0.36854999999999999</v>
      </c>
      <c r="AG100" s="406">
        <f t="shared" si="68"/>
        <v>0.62412573360525259</v>
      </c>
      <c r="AH100" s="406">
        <f t="shared" si="69"/>
        <v>0</v>
      </c>
      <c r="AI100">
        <f t="shared" si="70"/>
        <v>0</v>
      </c>
      <c r="AJ100" s="407">
        <f t="shared" si="71"/>
        <v>2.3822549999999998</v>
      </c>
      <c r="AK100">
        <f t="shared" si="85"/>
        <v>9.6000000000000002E-2</v>
      </c>
      <c r="AL100" s="407">
        <f t="shared" si="72"/>
        <v>0.1215</v>
      </c>
      <c r="AM100" s="407">
        <f t="shared" si="86"/>
        <v>0.70770810810810814</v>
      </c>
      <c r="AN100" s="407">
        <f t="shared" si="90"/>
        <v>0.2175</v>
      </c>
      <c r="AO100" s="407">
        <f t="shared" si="73"/>
        <v>7.1840028186554115</v>
      </c>
      <c r="AP100">
        <f t="shared" si="74"/>
        <v>163.80000000000001</v>
      </c>
      <c r="AQ100" s="10">
        <f t="shared" si="91"/>
        <v>0.95798435701452889</v>
      </c>
      <c r="AR100" s="63">
        <f t="shared" si="75"/>
        <v>188.31633621935768</v>
      </c>
      <c r="AS100" s="63">
        <f t="shared" si="92"/>
        <v>24.965029344210102</v>
      </c>
      <c r="AT100" s="10"/>
      <c r="AU100">
        <f t="shared" si="93"/>
        <v>95.798435701452888</v>
      </c>
      <c r="BE100" s="28"/>
      <c r="BF100" s="29"/>
    </row>
    <row r="101" spans="7:58" x14ac:dyDescent="0.2">
      <c r="G101">
        <v>92</v>
      </c>
      <c r="H101">
        <f t="shared" si="55"/>
        <v>6.9</v>
      </c>
      <c r="I101" s="406">
        <f t="shared" si="76"/>
        <v>0.50535105700667782</v>
      </c>
      <c r="J101" s="407">
        <f t="shared" si="56"/>
        <v>2.165790244314334</v>
      </c>
      <c r="K101" s="407">
        <f t="shared" si="77"/>
        <v>7.9828951221571671</v>
      </c>
      <c r="L101" s="407">
        <f t="shared" si="78"/>
        <v>5.8171048778428336</v>
      </c>
      <c r="M101" s="63">
        <f t="shared" si="57"/>
        <v>0</v>
      </c>
      <c r="N101" s="406">
        <f t="shared" si="58"/>
        <v>6.9282672640324678</v>
      </c>
      <c r="O101" s="406">
        <f t="shared" si="79"/>
        <v>0.29479758561669694</v>
      </c>
      <c r="P101">
        <f t="shared" si="59"/>
        <v>0.2</v>
      </c>
      <c r="Q101" s="406">
        <f t="shared" si="80"/>
        <v>0.49479758561669696</v>
      </c>
      <c r="R101" s="9">
        <f t="shared" si="87"/>
        <v>0.62520979028157309</v>
      </c>
      <c r="S101" s="9">
        <f t="shared" si="81"/>
        <v>3.9088728186392865E-4</v>
      </c>
      <c r="T101" s="9">
        <f t="shared" si="88"/>
        <v>3.9088728186392865E-4</v>
      </c>
      <c r="U101" s="406">
        <f t="shared" si="60"/>
        <v>4.9251699590113986</v>
      </c>
      <c r="V101" s="408">
        <f t="shared" si="82"/>
        <v>4.8514598250296685E-2</v>
      </c>
      <c r="W101" s="406">
        <f t="shared" si="89"/>
        <v>4.8514598250296685E-2</v>
      </c>
      <c r="X101" s="406">
        <f t="shared" si="61"/>
        <v>4.9251699590113986</v>
      </c>
      <c r="Y101" s="406">
        <f t="shared" si="83"/>
        <v>1.2613795545077138</v>
      </c>
      <c r="Z101" s="406">
        <f t="shared" si="62"/>
        <v>0.89921351575521824</v>
      </c>
      <c r="AA101" s="406">
        <f t="shared" si="63"/>
        <v>0.37132800000000021</v>
      </c>
      <c r="AB101" s="406">
        <f t="shared" si="64"/>
        <v>0</v>
      </c>
      <c r="AC101" s="406">
        <f t="shared" si="65"/>
        <v>3.5044060106071755</v>
      </c>
      <c r="AD101" s="406">
        <f t="shared" si="66"/>
        <v>4.8727392867580752</v>
      </c>
      <c r="AE101" s="406">
        <f t="shared" si="84"/>
        <v>0.23743588156715598</v>
      </c>
      <c r="AF101" s="406">
        <f t="shared" si="67"/>
        <v>0.37260000000000004</v>
      </c>
      <c r="AG101" s="406">
        <f t="shared" si="68"/>
        <v>0.63412617058102982</v>
      </c>
      <c r="AH101" s="406">
        <f t="shared" si="69"/>
        <v>0</v>
      </c>
      <c r="AI101">
        <f t="shared" si="70"/>
        <v>0</v>
      </c>
      <c r="AJ101" s="407">
        <f t="shared" si="71"/>
        <v>2.3820599999999996</v>
      </c>
      <c r="AK101">
        <f t="shared" si="85"/>
        <v>9.6000000000000002E-2</v>
      </c>
      <c r="AL101" s="407">
        <f t="shared" si="72"/>
        <v>0.1215</v>
      </c>
      <c r="AM101" s="407">
        <f t="shared" si="86"/>
        <v>0.70770810810810814</v>
      </c>
      <c r="AN101" s="407">
        <f t="shared" si="90"/>
        <v>0.2175</v>
      </c>
      <c r="AO101" s="407">
        <f t="shared" si="73"/>
        <v>7.2817952523370622</v>
      </c>
      <c r="AP101">
        <f t="shared" si="74"/>
        <v>165.60000000000002</v>
      </c>
      <c r="AQ101" s="10">
        <f t="shared" si="91"/>
        <v>0.95787991880979362</v>
      </c>
      <c r="AR101" s="63">
        <f t="shared" si="75"/>
        <v>192.74233058339465</v>
      </c>
      <c r="AS101" s="63">
        <f t="shared" si="92"/>
        <v>25.365046823241194</v>
      </c>
      <c r="AT101" s="10"/>
      <c r="AU101">
        <f t="shared" si="93"/>
        <v>95.787991880979362</v>
      </c>
      <c r="BE101" s="28"/>
      <c r="BF101" s="29"/>
    </row>
    <row r="102" spans="7:58" x14ac:dyDescent="0.2">
      <c r="G102">
        <v>93</v>
      </c>
      <c r="H102">
        <f t="shared" si="55"/>
        <v>6.9750000000000005</v>
      </c>
      <c r="I102" s="406">
        <f t="shared" si="76"/>
        <v>0.50540957782969176</v>
      </c>
      <c r="J102" s="407">
        <f t="shared" si="56"/>
        <v>2.1660410478415359</v>
      </c>
      <c r="K102" s="407">
        <f t="shared" si="77"/>
        <v>8.058020523920769</v>
      </c>
      <c r="L102" s="407">
        <f t="shared" si="78"/>
        <v>5.8919794760792321</v>
      </c>
      <c r="M102" s="63">
        <f t="shared" si="57"/>
        <v>0</v>
      </c>
      <c r="N102" s="406">
        <f t="shared" si="58"/>
        <v>7.0029709993981273</v>
      </c>
      <c r="O102" s="406">
        <f t="shared" si="79"/>
        <v>0.30134322724448759</v>
      </c>
      <c r="P102">
        <f t="shared" si="59"/>
        <v>0.2</v>
      </c>
      <c r="Q102" s="406">
        <f t="shared" si="80"/>
        <v>0.50134322724448754</v>
      </c>
      <c r="R102" s="9">
        <f t="shared" si="87"/>
        <v>0.62528219102354499</v>
      </c>
      <c r="S102" s="9">
        <f t="shared" si="81"/>
        <v>3.90977818411205E-4</v>
      </c>
      <c r="T102" s="9">
        <f t="shared" si="88"/>
        <v>3.90977818411205E-4</v>
      </c>
      <c r="U102" s="406">
        <f t="shared" si="60"/>
        <v>4.9785636258407528</v>
      </c>
      <c r="V102" s="408">
        <f t="shared" si="82"/>
        <v>4.957219155308925E-2</v>
      </c>
      <c r="W102" s="406">
        <f t="shared" si="89"/>
        <v>4.957219155308925E-2</v>
      </c>
      <c r="X102" s="406">
        <f t="shared" si="61"/>
        <v>4.9785636258407528</v>
      </c>
      <c r="Y102" s="406">
        <f t="shared" si="83"/>
        <v>1.2888769803803204</v>
      </c>
      <c r="Z102" s="406">
        <f t="shared" si="62"/>
        <v>0.9096738182334444</v>
      </c>
      <c r="AA102" s="406">
        <f t="shared" si="63"/>
        <v>0.37132800000000021</v>
      </c>
      <c r="AB102" s="406">
        <f t="shared" si="64"/>
        <v>0</v>
      </c>
      <c r="AC102" s="406">
        <f t="shared" si="65"/>
        <v>3.5869765215188298</v>
      </c>
      <c r="AD102" s="406">
        <f t="shared" si="66"/>
        <v>4.9249880245404229</v>
      </c>
      <c r="AE102" s="406">
        <f t="shared" si="84"/>
        <v>0.24255507041866581</v>
      </c>
      <c r="AF102" s="406">
        <f t="shared" si="67"/>
        <v>0.37665000000000004</v>
      </c>
      <c r="AG102" s="406">
        <f t="shared" si="68"/>
        <v>0.64420593704657869</v>
      </c>
      <c r="AH102" s="406">
        <f t="shared" si="69"/>
        <v>0</v>
      </c>
      <c r="AI102">
        <f t="shared" si="70"/>
        <v>0</v>
      </c>
      <c r="AJ102" s="407">
        <f t="shared" si="71"/>
        <v>2.3818649999999999</v>
      </c>
      <c r="AK102">
        <f t="shared" si="85"/>
        <v>9.6000000000000002E-2</v>
      </c>
      <c r="AL102" s="407">
        <f t="shared" si="72"/>
        <v>0.1215</v>
      </c>
      <c r="AM102" s="407">
        <f t="shared" si="86"/>
        <v>0.70770810810810814</v>
      </c>
      <c r="AN102" s="407">
        <f t="shared" si="90"/>
        <v>0.2175</v>
      </c>
      <c r="AO102" s="407">
        <f t="shared" si="73"/>
        <v>7.3818538551813964</v>
      </c>
      <c r="AP102">
        <f t="shared" si="74"/>
        <v>167.4</v>
      </c>
      <c r="AQ102" s="10">
        <f t="shared" si="91"/>
        <v>0.95776533036834732</v>
      </c>
      <c r="AR102" s="63">
        <f t="shared" si="75"/>
        <v>197.28370868353565</v>
      </c>
      <c r="AS102" s="63">
        <f t="shared" si="92"/>
        <v>25.768237481863146</v>
      </c>
      <c r="AT102" s="10"/>
      <c r="AU102">
        <f t="shared" si="93"/>
        <v>95.776533036834735</v>
      </c>
      <c r="BE102" s="28"/>
      <c r="BF102" s="29"/>
    </row>
    <row r="103" spans="7:58" x14ac:dyDescent="0.2">
      <c r="G103">
        <v>94</v>
      </c>
      <c r="H103">
        <f t="shared" si="55"/>
        <v>7.05</v>
      </c>
      <c r="I103" s="406">
        <f t="shared" si="76"/>
        <v>0.50546810638123918</v>
      </c>
      <c r="J103" s="407">
        <f t="shared" si="56"/>
        <v>2.1662918844910251</v>
      </c>
      <c r="K103" s="407">
        <f t="shared" si="77"/>
        <v>8.1331459422455126</v>
      </c>
      <c r="L103" s="407">
        <f t="shared" si="78"/>
        <v>5.9668540577544871</v>
      </c>
      <c r="M103" s="63">
        <f t="shared" si="57"/>
        <v>0</v>
      </c>
      <c r="N103" s="406">
        <f t="shared" si="58"/>
        <v>7.0776810028003503</v>
      </c>
      <c r="O103" s="406">
        <f t="shared" si="79"/>
        <v>0.30796643637897936</v>
      </c>
      <c r="P103">
        <f t="shared" si="59"/>
        <v>0.2</v>
      </c>
      <c r="Q103" s="406">
        <f t="shared" si="80"/>
        <v>0.50796643637897931</v>
      </c>
      <c r="R103" s="9">
        <f t="shared" si="87"/>
        <v>0.62535460132709753</v>
      </c>
      <c r="S103" s="9">
        <f t="shared" si="81"/>
        <v>3.9106837740097311E-4</v>
      </c>
      <c r="T103" s="9">
        <f t="shared" si="88"/>
        <v>3.9106837740097311E-4</v>
      </c>
      <c r="U103" s="406">
        <f t="shared" si="60"/>
        <v>5.0319679201684107</v>
      </c>
      <c r="V103" s="408">
        <f t="shared" si="82"/>
        <v>5.0641402299208008E-2</v>
      </c>
      <c r="W103" s="406">
        <f t="shared" si="89"/>
        <v>5.0641402299208008E-2</v>
      </c>
      <c r="X103" s="406">
        <f t="shared" si="61"/>
        <v>5.0319679201684107</v>
      </c>
      <c r="Y103" s="406">
        <f t="shared" si="83"/>
        <v>1.3166764597794081</v>
      </c>
      <c r="Z103" s="406">
        <f t="shared" si="62"/>
        <v>0.92013411973573511</v>
      </c>
      <c r="AA103" s="406">
        <f t="shared" si="63"/>
        <v>0.37132800000000021</v>
      </c>
      <c r="AB103" s="406">
        <f t="shared" si="64"/>
        <v>0</v>
      </c>
      <c r="AC103" s="406">
        <f t="shared" si="65"/>
        <v>3.6717219477019438</v>
      </c>
      <c r="AD103" s="406">
        <f t="shared" si="66"/>
        <v>4.9772348977918437</v>
      </c>
      <c r="AE103" s="406">
        <f t="shared" si="84"/>
        <v>0.24772867227796988</v>
      </c>
      <c r="AF103" s="406">
        <f t="shared" si="67"/>
        <v>0.38069999999999998</v>
      </c>
      <c r="AG103" s="406">
        <f t="shared" si="68"/>
        <v>0.6543654872109782</v>
      </c>
      <c r="AH103" s="406">
        <f t="shared" si="69"/>
        <v>0</v>
      </c>
      <c r="AI103">
        <f t="shared" si="70"/>
        <v>0</v>
      </c>
      <c r="AJ103" s="407">
        <f t="shared" si="71"/>
        <v>2.3816699999999997</v>
      </c>
      <c r="AK103">
        <f t="shared" si="85"/>
        <v>9.6000000000000002E-2</v>
      </c>
      <c r="AL103" s="407">
        <f t="shared" si="72"/>
        <v>0.1215</v>
      </c>
      <c r="AM103" s="407">
        <f t="shared" si="86"/>
        <v>0.70770810810810814</v>
      </c>
      <c r="AN103" s="407">
        <f t="shared" si="90"/>
        <v>0.2175</v>
      </c>
      <c r="AO103" s="407">
        <f t="shared" si="73"/>
        <v>7.4842563419685106</v>
      </c>
      <c r="AP103">
        <f t="shared" si="74"/>
        <v>169.2</v>
      </c>
      <c r="AQ103" s="10">
        <f t="shared" si="91"/>
        <v>0.95764050234627074</v>
      </c>
      <c r="AR103" s="63">
        <f t="shared" si="75"/>
        <v>201.94470712360692</v>
      </c>
      <c r="AS103" s="63">
        <f t="shared" si="92"/>
        <v>26.174619488439127</v>
      </c>
      <c r="AT103" s="10"/>
      <c r="AU103">
        <f t="shared" si="93"/>
        <v>95.764050234627078</v>
      </c>
      <c r="BE103" s="28"/>
      <c r="BF103" s="29"/>
    </row>
    <row r="104" spans="7:58" x14ac:dyDescent="0.2">
      <c r="G104">
        <v>95</v>
      </c>
      <c r="H104">
        <f t="shared" si="55"/>
        <v>7.125</v>
      </c>
      <c r="I104" s="406">
        <f t="shared" si="76"/>
        <v>0.50552664266285119</v>
      </c>
      <c r="J104" s="407">
        <f t="shared" si="56"/>
        <v>2.1665427542693627</v>
      </c>
      <c r="K104" s="407">
        <f t="shared" si="77"/>
        <v>8.2082713771346807</v>
      </c>
      <c r="L104" s="407">
        <f t="shared" si="78"/>
        <v>6.0417286228653184</v>
      </c>
      <c r="M104" s="63">
        <f t="shared" si="57"/>
        <v>0</v>
      </c>
      <c r="N104" s="406">
        <f t="shared" si="58"/>
        <v>7.1523970778222141</v>
      </c>
      <c r="O104" s="406">
        <f t="shared" si="79"/>
        <v>0.31466744347695746</v>
      </c>
      <c r="P104">
        <f t="shared" si="59"/>
        <v>0.2</v>
      </c>
      <c r="Q104" s="406">
        <f t="shared" si="80"/>
        <v>0.51466744347695748</v>
      </c>
      <c r="R104" s="9">
        <f t="shared" si="87"/>
        <v>0.62542702119412497</v>
      </c>
      <c r="S104" s="9">
        <f t="shared" si="81"/>
        <v>3.9115895883975647E-4</v>
      </c>
      <c r="T104" s="9">
        <f t="shared" si="88"/>
        <v>3.9115895883975647E-4</v>
      </c>
      <c r="U104" s="406">
        <f t="shared" si="60"/>
        <v>5.0853827038032309</v>
      </c>
      <c r="V104" s="408">
        <f t="shared" si="82"/>
        <v>5.1722234488282122E-2</v>
      </c>
      <c r="W104" s="406">
        <f t="shared" si="89"/>
        <v>5.1722234488282122E-2</v>
      </c>
      <c r="X104" s="406">
        <f t="shared" si="61"/>
        <v>5.0853827038032309</v>
      </c>
      <c r="Y104" s="406">
        <f t="shared" si="83"/>
        <v>1.3447780966953351</v>
      </c>
      <c r="Z104" s="406">
        <f t="shared" si="62"/>
        <v>0.9305944202618972</v>
      </c>
      <c r="AA104" s="406">
        <f t="shared" si="63"/>
        <v>0.37132800000000021</v>
      </c>
      <c r="AB104" s="406">
        <f t="shared" si="64"/>
        <v>0</v>
      </c>
      <c r="AC104" s="406">
        <f t="shared" si="65"/>
        <v>3.7587232223750493</v>
      </c>
      <c r="AD104" s="406">
        <f t="shared" si="66"/>
        <v>5.0294797658106436</v>
      </c>
      <c r="AE104" s="406">
        <f t="shared" si="84"/>
        <v>0.25295666714698689</v>
      </c>
      <c r="AF104" s="406">
        <f t="shared" si="67"/>
        <v>0.38474999999999998</v>
      </c>
      <c r="AG104" s="406">
        <f t="shared" si="68"/>
        <v>0.66460528104480787</v>
      </c>
      <c r="AH104" s="406">
        <f t="shared" si="69"/>
        <v>0</v>
      </c>
      <c r="AI104">
        <f t="shared" si="70"/>
        <v>0</v>
      </c>
      <c r="AJ104" s="407">
        <f t="shared" si="71"/>
        <v>2.381475</v>
      </c>
      <c r="AK104">
        <f t="shared" si="85"/>
        <v>9.6000000000000002E-2</v>
      </c>
      <c r="AL104" s="407">
        <f t="shared" si="72"/>
        <v>0.1215</v>
      </c>
      <c r="AM104" s="407">
        <f t="shared" si="86"/>
        <v>0.70770810810810814</v>
      </c>
      <c r="AN104" s="407">
        <f t="shared" si="90"/>
        <v>0.2175</v>
      </c>
      <c r="AO104" s="407">
        <f t="shared" si="73"/>
        <v>7.5890843403439368</v>
      </c>
      <c r="AP104">
        <f t="shared" si="74"/>
        <v>171</v>
      </c>
      <c r="AQ104" s="10">
        <f t="shared" si="91"/>
        <v>0.95750532924016163</v>
      </c>
      <c r="AR104" s="63">
        <f t="shared" si="75"/>
        <v>206.72977723062772</v>
      </c>
      <c r="AS104" s="63">
        <f t="shared" si="92"/>
        <v>26.584211241792314</v>
      </c>
      <c r="AT104" s="10"/>
      <c r="AU104">
        <f t="shared" si="93"/>
        <v>95.75053292401617</v>
      </c>
      <c r="BE104" s="28"/>
      <c r="BF104" s="29"/>
    </row>
    <row r="105" spans="7:58" x14ac:dyDescent="0.2">
      <c r="G105">
        <v>96</v>
      </c>
      <c r="H105">
        <f t="shared" si="55"/>
        <v>7.1999999999999993</v>
      </c>
      <c r="I105" s="406">
        <f t="shared" si="76"/>
        <v>0.50558518667605912</v>
      </c>
      <c r="J105" s="407">
        <f t="shared" si="56"/>
        <v>2.1667936571831108</v>
      </c>
      <c r="K105" s="407">
        <f t="shared" si="77"/>
        <v>8.2833968285915542</v>
      </c>
      <c r="L105" s="407">
        <f t="shared" si="78"/>
        <v>6.1166031714084443</v>
      </c>
      <c r="M105" s="63">
        <f t="shared" si="57"/>
        <v>0</v>
      </c>
      <c r="N105" s="406">
        <f t="shared" si="58"/>
        <v>7.2271190361536233</v>
      </c>
      <c r="O105" s="406">
        <f t="shared" si="79"/>
        <v>0.32144648206068016</v>
      </c>
      <c r="P105">
        <f t="shared" si="59"/>
        <v>0.2</v>
      </c>
      <c r="Q105" s="406">
        <f t="shared" si="80"/>
        <v>0.52144648206068012</v>
      </c>
      <c r="R105" s="9">
        <f t="shared" si="87"/>
        <v>0.62549945062652135</v>
      </c>
      <c r="S105" s="9">
        <f t="shared" si="81"/>
        <v>3.9124956273408002E-4</v>
      </c>
      <c r="T105" s="9">
        <f t="shared" si="88"/>
        <v>3.9124956273408002E-4</v>
      </c>
      <c r="U105" s="406">
        <f t="shared" si="60"/>
        <v>5.1388078442863314</v>
      </c>
      <c r="V105" s="408">
        <f t="shared" si="82"/>
        <v>5.2814692120997465E-2</v>
      </c>
      <c r="W105" s="406">
        <f t="shared" si="89"/>
        <v>5.2814692120997465E-2</v>
      </c>
      <c r="X105" s="406">
        <f t="shared" si="61"/>
        <v>5.1388078442863314</v>
      </c>
      <c r="Y105" s="406">
        <f t="shared" si="83"/>
        <v>1.3731819951459341</v>
      </c>
      <c r="Z105" s="406">
        <f t="shared" si="62"/>
        <v>0.94105471981173705</v>
      </c>
      <c r="AA105" s="406">
        <f t="shared" si="63"/>
        <v>0.37132800000000021</v>
      </c>
      <c r="AB105" s="406">
        <f t="shared" si="64"/>
        <v>0</v>
      </c>
      <c r="AC105" s="406">
        <f t="shared" ref="AC105:AC109" si="94">(AB105+AA105+Z105+Y105*(1+RdsonTopTc*Ta-RdsonTopTc*25))/(1-Y105*RdsonTopTc*ThetaJaTop)</f>
        <v>3.8480654316821332</v>
      </c>
      <c r="AD105" s="406">
        <f t="shared" si="66"/>
        <v>5.0817224936270708</v>
      </c>
      <c r="AE105" s="406">
        <f t="shared" si="84"/>
        <v>0.25823903502235335</v>
      </c>
      <c r="AF105" s="406">
        <f t="shared" si="67"/>
        <v>0.38879999999999998</v>
      </c>
      <c r="AG105" s="406">
        <f t="shared" ref="AG105:AG109" si="95">(AF105+AE105*(1+RdsonBotTc*Ta-RdsonBotTc*25))/(1-AE105*RdsonBotTc*ThetaJaBot)</f>
        <v>0.67492578434406814</v>
      </c>
      <c r="AH105" s="406">
        <f t="shared" si="69"/>
        <v>0</v>
      </c>
      <c r="AI105">
        <f t="shared" si="70"/>
        <v>0</v>
      </c>
      <c r="AJ105" s="407">
        <f t="shared" si="71"/>
        <v>2.3812799999999998</v>
      </c>
      <c r="AK105">
        <f t="shared" si="85"/>
        <v>9.6000000000000002E-2</v>
      </c>
      <c r="AL105" s="407">
        <f t="shared" si="72"/>
        <v>0.1215</v>
      </c>
      <c r="AM105" s="407">
        <f t="shared" si="86"/>
        <v>0.70770810810810814</v>
      </c>
      <c r="AN105" s="407">
        <f t="shared" si="90"/>
        <v>0.2175</v>
      </c>
      <c r="AO105" s="407">
        <f t="shared" ref="AO105:AO109" si="96">SUM(Q105,T105,W105,AC105,AJ105,AI105,AG105,AN105, AH105)</f>
        <v>7.6964236397706127</v>
      </c>
      <c r="AP105">
        <f t="shared" si="74"/>
        <v>172.79999999999998</v>
      </c>
      <c r="AQ105" s="10">
        <f t="shared" si="91"/>
        <v>0.95735968899233759</v>
      </c>
      <c r="AR105" s="63">
        <f t="shared" si="75"/>
        <v>211.64359874251733</v>
      </c>
      <c r="AS105" s="63">
        <f t="shared" si="92"/>
        <v>26.997031373762724</v>
      </c>
      <c r="AT105" s="10"/>
      <c r="AU105">
        <f t="shared" si="93"/>
        <v>95.735968899233754</v>
      </c>
      <c r="BE105" s="28"/>
      <c r="BF105" s="29"/>
    </row>
    <row r="106" spans="7:58" x14ac:dyDescent="0.2">
      <c r="G106">
        <v>97</v>
      </c>
      <c r="H106">
        <f t="shared" si="55"/>
        <v>7.2749999999999995</v>
      </c>
      <c r="I106" s="406">
        <f t="shared" si="76"/>
        <v>0.50564373842239507</v>
      </c>
      <c r="J106" s="407">
        <f t="shared" si="56"/>
        <v>2.167044593238836</v>
      </c>
      <c r="K106" s="407">
        <f t="shared" si="77"/>
        <v>8.3585222966194177</v>
      </c>
      <c r="L106" s="407">
        <f t="shared" si="78"/>
        <v>6.1914777033805812</v>
      </c>
      <c r="M106" s="63">
        <f t="shared" si="57"/>
        <v>0</v>
      </c>
      <c r="N106" s="406">
        <f t="shared" si="58"/>
        <v>7.3018466971780818</v>
      </c>
      <c r="O106" s="406">
        <f t="shared" si="79"/>
        <v>0.32830378873884786</v>
      </c>
      <c r="P106">
        <f t="shared" si="59"/>
        <v>0.2</v>
      </c>
      <c r="Q106" s="406">
        <f t="shared" si="80"/>
        <v>0.52830378873884787</v>
      </c>
      <c r="R106" s="9">
        <f t="shared" si="87"/>
        <v>0.6255718896261826</v>
      </c>
      <c r="S106" s="9">
        <f t="shared" si="81"/>
        <v>3.9134018909047283E-4</v>
      </c>
      <c r="T106" s="9">
        <f t="shared" si="88"/>
        <v>3.9134018909047283E-4</v>
      </c>
      <c r="U106" s="406">
        <f t="shared" si="60"/>
        <v>5.1922432145989079</v>
      </c>
      <c r="V106" s="408">
        <f t="shared" si="82"/>
        <v>5.3918779199096802E-2</v>
      </c>
      <c r="W106" s="406">
        <f t="shared" si="89"/>
        <v>5.3918779199096802E-2</v>
      </c>
      <c r="X106" s="406">
        <f t="shared" si="61"/>
        <v>5.1922432145989079</v>
      </c>
      <c r="Y106" s="406">
        <f t="shared" si="83"/>
        <v>1.4018882591765169</v>
      </c>
      <c r="Z106" s="406">
        <f t="shared" si="62"/>
        <v>0.95151501838506114</v>
      </c>
      <c r="AA106" s="406">
        <f t="shared" si="63"/>
        <v>0.37132800000000021</v>
      </c>
      <c r="AB106" s="406">
        <f t="shared" si="64"/>
        <v>0</v>
      </c>
      <c r="AC106" s="406">
        <f t="shared" si="94"/>
        <v>3.9398380828795609</v>
      </c>
      <c r="AD106" s="406">
        <f t="shared" si="66"/>
        <v>5.1339629517110907</v>
      </c>
      <c r="AE106" s="406">
        <f t="shared" si="84"/>
        <v>0.26357575589542054</v>
      </c>
      <c r="AF106" s="406">
        <f t="shared" si="67"/>
        <v>0.39284999999999998</v>
      </c>
      <c r="AG106" s="406">
        <f t="shared" si="95"/>
        <v>0.68532746879519468</v>
      </c>
      <c r="AH106" s="406">
        <f t="shared" si="69"/>
        <v>0</v>
      </c>
      <c r="AI106">
        <f t="shared" si="70"/>
        <v>0</v>
      </c>
      <c r="AJ106" s="407">
        <f t="shared" si="71"/>
        <v>2.3810849999999997</v>
      </c>
      <c r="AK106">
        <f t="shared" si="85"/>
        <v>9.6000000000000002E-2</v>
      </c>
      <c r="AL106" s="407">
        <f t="shared" si="72"/>
        <v>0.1215</v>
      </c>
      <c r="AM106" s="407">
        <f t="shared" si="86"/>
        <v>0.70770810810810814</v>
      </c>
      <c r="AN106" s="407">
        <f t="shared" si="90"/>
        <v>0.2175</v>
      </c>
      <c r="AO106" s="407">
        <f t="shared" si="96"/>
        <v>7.8063644598017907</v>
      </c>
      <c r="AP106">
        <f t="shared" si="74"/>
        <v>174.6</v>
      </c>
      <c r="AQ106" s="10">
        <f t="shared" si="91"/>
        <v>0.95720344252833278</v>
      </c>
      <c r="AR106" s="63">
        <f t="shared" si="75"/>
        <v>216.69109455837585</v>
      </c>
      <c r="AS106" s="63">
        <f t="shared" si="92"/>
        <v>27.413098751807787</v>
      </c>
      <c r="AT106" s="10"/>
      <c r="AU106">
        <f t="shared" si="93"/>
        <v>95.720344252833272</v>
      </c>
      <c r="BE106" s="28"/>
      <c r="BF106" s="29"/>
    </row>
    <row r="107" spans="7:58" x14ac:dyDescent="0.2">
      <c r="G107">
        <v>98</v>
      </c>
      <c r="H107">
        <f t="shared" si="55"/>
        <v>7.35</v>
      </c>
      <c r="I107" s="406">
        <f t="shared" si="76"/>
        <v>0.50570229790339116</v>
      </c>
      <c r="J107" s="407">
        <f t="shared" si="56"/>
        <v>2.1672955624431052</v>
      </c>
      <c r="K107" s="407">
        <f t="shared" si="77"/>
        <v>8.433647781221552</v>
      </c>
      <c r="L107" s="407">
        <f t="shared" si="78"/>
        <v>6.2663522187784473</v>
      </c>
      <c r="M107" s="63">
        <f t="shared" si="57"/>
        <v>0</v>
      </c>
      <c r="N107" s="406">
        <f t="shared" si="58"/>
        <v>7.3765798875844526</v>
      </c>
      <c r="O107" s="406">
        <f t="shared" si="79"/>
        <v>0.33523960322789575</v>
      </c>
      <c r="P107">
        <f t="shared" si="59"/>
        <v>0.2</v>
      </c>
      <c r="Q107" s="406">
        <f t="shared" si="80"/>
        <v>0.53523960322789577</v>
      </c>
      <c r="R107" s="9">
        <f t="shared" si="87"/>
        <v>0.62564433819500409</v>
      </c>
      <c r="S107" s="9">
        <f t="shared" si="81"/>
        <v>3.9143083791546467E-4</v>
      </c>
      <c r="T107" s="9">
        <f t="shared" si="88"/>
        <v>3.9143083791546467E-4</v>
      </c>
      <c r="U107" s="406">
        <f t="shared" si="60"/>
        <v>5.2456886928877164</v>
      </c>
      <c r="V107" s="408">
        <f t="shared" si="82"/>
        <v>5.5034499725380083E-2</v>
      </c>
      <c r="W107" s="406">
        <f t="shared" si="89"/>
        <v>5.5034499725380083E-2</v>
      </c>
      <c r="X107" s="406">
        <f t="shared" si="61"/>
        <v>5.2456886928877164</v>
      </c>
      <c r="Y107" s="406">
        <f t="shared" si="83"/>
        <v>1.430896992859882</v>
      </c>
      <c r="Z107" s="406">
        <f t="shared" si="62"/>
        <v>0.96197531598167618</v>
      </c>
      <c r="AA107" s="406">
        <f t="shared" si="63"/>
        <v>0.37132800000000021</v>
      </c>
      <c r="AB107" s="406">
        <f t="shared" si="64"/>
        <v>0</v>
      </c>
      <c r="AC107" s="406">
        <f t="shared" si="94"/>
        <v>4.0341353936142532</v>
      </c>
      <c r="AD107" s="406">
        <f t="shared" si="66"/>
        <v>5.1862010156978497</v>
      </c>
      <c r="AE107" s="406">
        <f t="shared" si="84"/>
        <v>0.26896680975225407</v>
      </c>
      <c r="AF107" s="406">
        <f t="shared" si="67"/>
        <v>0.39689999999999998</v>
      </c>
      <c r="AG107" s="406">
        <f t="shared" si="95"/>
        <v>0.695810812041189</v>
      </c>
      <c r="AH107" s="406">
        <f t="shared" si="69"/>
        <v>0</v>
      </c>
      <c r="AI107">
        <f t="shared" si="70"/>
        <v>0</v>
      </c>
      <c r="AJ107" s="407">
        <f t="shared" si="71"/>
        <v>2.38089</v>
      </c>
      <c r="AK107">
        <f t="shared" si="85"/>
        <v>9.6000000000000002E-2</v>
      </c>
      <c r="AL107" s="407">
        <f t="shared" si="72"/>
        <v>0.1215</v>
      </c>
      <c r="AM107" s="407">
        <f t="shared" si="86"/>
        <v>0.70770810810810814</v>
      </c>
      <c r="AN107" s="407">
        <f t="shared" si="90"/>
        <v>0.2175</v>
      </c>
      <c r="AO107" s="407">
        <f t="shared" si="96"/>
        <v>7.9190017394466334</v>
      </c>
      <c r="AP107">
        <f t="shared" si="74"/>
        <v>176.39999999999998</v>
      </c>
      <c r="AQ107" s="10">
        <f t="shared" si="91"/>
        <v>0.95703643322330423</v>
      </c>
      <c r="AR107" s="63">
        <f t="shared" si="75"/>
        <v>221.87744664878392</v>
      </c>
      <c r="AS107" s="63">
        <f t="shared" si="92"/>
        <v>27.832432481647558</v>
      </c>
      <c r="AT107" s="10"/>
      <c r="AU107">
        <f t="shared" si="93"/>
        <v>95.703643322330421</v>
      </c>
      <c r="BE107" s="28"/>
      <c r="BF107" s="29"/>
    </row>
    <row r="108" spans="7:58" x14ac:dyDescent="0.2">
      <c r="G108">
        <v>99</v>
      </c>
      <c r="H108">
        <f t="shared" si="55"/>
        <v>7.4249999999999998</v>
      </c>
      <c r="I108" s="406">
        <f t="shared" si="76"/>
        <v>0.50576086512058027</v>
      </c>
      <c r="J108" s="407">
        <f t="shared" si="56"/>
        <v>2.1675465648024872</v>
      </c>
      <c r="K108" s="407">
        <f t="shared" si="77"/>
        <v>8.5087732824012434</v>
      </c>
      <c r="L108" s="407">
        <f t="shared" si="78"/>
        <v>6.3412267175987562</v>
      </c>
      <c r="M108" s="63">
        <f t="shared" si="57"/>
        <v>0</v>
      </c>
      <c r="N108" s="406">
        <f t="shared" si="58"/>
        <v>7.4513184410019395</v>
      </c>
      <c r="O108" s="406">
        <f t="shared" si="79"/>
        <v>0.34225416837361156</v>
      </c>
      <c r="P108">
        <f t="shared" si="59"/>
        <v>0.2</v>
      </c>
      <c r="Q108" s="406">
        <f t="shared" si="80"/>
        <v>0.54225416837361151</v>
      </c>
      <c r="R108" s="9">
        <f t="shared" si="87"/>
        <v>0.62571679633488231</v>
      </c>
      <c r="S108" s="9">
        <f t="shared" si="81"/>
        <v>3.9152150921558862E-4</v>
      </c>
      <c r="T108" s="9">
        <f t="shared" si="88"/>
        <v>3.9152150921558862E-4</v>
      </c>
      <c r="U108" s="406">
        <f t="shared" si="60"/>
        <v>5.2991441622069955</v>
      </c>
      <c r="V108" s="408">
        <f t="shared" si="82"/>
        <v>5.6161857703704965E-2</v>
      </c>
      <c r="W108" s="406">
        <f t="shared" si="89"/>
        <v>5.6161857703704965E-2</v>
      </c>
      <c r="X108" s="406">
        <f t="shared" si="61"/>
        <v>5.2991441622069955</v>
      </c>
      <c r="Y108" s="406">
        <f t="shared" si="83"/>
        <v>1.4602083002963289</v>
      </c>
      <c r="Z108" s="406">
        <f t="shared" si="62"/>
        <v>0.97243561260138878</v>
      </c>
      <c r="AA108" s="406">
        <f t="shared" si="63"/>
        <v>0.37132800000000021</v>
      </c>
      <c r="AB108" s="406">
        <f t="shared" si="64"/>
        <v>0</v>
      </c>
      <c r="AC108" s="406">
        <f t="shared" si="94"/>
        <v>4.131056604253061</v>
      </c>
      <c r="AD108" s="406">
        <f t="shared" si="66"/>
        <v>5.2384365661295451</v>
      </c>
      <c r="AE108" s="406">
        <f t="shared" si="84"/>
        <v>0.27441217657363104</v>
      </c>
      <c r="AF108" s="406">
        <f t="shared" si="67"/>
        <v>0.40094999999999997</v>
      </c>
      <c r="AG108" s="406">
        <f t="shared" si="95"/>
        <v>0.70637629774887789</v>
      </c>
      <c r="AH108" s="406">
        <f t="shared" si="69"/>
        <v>0</v>
      </c>
      <c r="AI108">
        <f t="shared" si="70"/>
        <v>0</v>
      </c>
      <c r="AJ108" s="407">
        <f t="shared" si="71"/>
        <v>2.3806949999999998</v>
      </c>
      <c r="AK108">
        <f t="shared" si="85"/>
        <v>9.6000000000000002E-2</v>
      </c>
      <c r="AL108" s="407">
        <f t="shared" si="72"/>
        <v>0.1215</v>
      </c>
      <c r="AM108" s="407">
        <f t="shared" si="86"/>
        <v>0.70770810810810814</v>
      </c>
      <c r="AN108" s="407">
        <f t="shared" si="90"/>
        <v>0.2175</v>
      </c>
      <c r="AO108" s="407">
        <f t="shared" si="96"/>
        <v>8.0344354495884716</v>
      </c>
      <c r="AP108">
        <f t="shared" si="74"/>
        <v>178.2</v>
      </c>
      <c r="AQ108" s="10">
        <f t="shared" si="91"/>
        <v>0.95685848629340464</v>
      </c>
      <c r="AR108" s="63">
        <f t="shared" si="75"/>
        <v>227.20811323391837</v>
      </c>
      <c r="AS108" s="63">
        <f t="shared" si="92"/>
        <v>28.255051909955114</v>
      </c>
      <c r="AT108" s="10"/>
      <c r="AU108">
        <f t="shared" si="93"/>
        <v>95.68584862934047</v>
      </c>
      <c r="BE108" s="28"/>
      <c r="BF108" s="29"/>
    </row>
    <row r="109" spans="7:58" x14ac:dyDescent="0.2">
      <c r="G109">
        <v>100</v>
      </c>
      <c r="H109">
        <f t="shared" si="55"/>
        <v>7.5</v>
      </c>
      <c r="I109" s="406">
        <f t="shared" si="76"/>
        <v>0.5058194400754954</v>
      </c>
      <c r="J109" s="407">
        <f t="shared" si="56"/>
        <v>2.167797600323552</v>
      </c>
      <c r="K109" s="407">
        <f t="shared" si="77"/>
        <v>8.5838988001617764</v>
      </c>
      <c r="L109" s="407">
        <f t="shared" si="78"/>
        <v>6.4161011998382236</v>
      </c>
      <c r="M109" s="63">
        <f t="shared" si="57"/>
        <v>0</v>
      </c>
      <c r="N109" s="406">
        <f t="shared" si="58"/>
        <v>7.5260621976567119</v>
      </c>
      <c r="O109" s="406">
        <f t="shared" si="79"/>
        <v>0.34934773017308568</v>
      </c>
      <c r="P109">
        <f t="shared" si="59"/>
        <v>0.2</v>
      </c>
      <c r="Q109" s="406">
        <f t="shared" si="80"/>
        <v>0.54934773017308569</v>
      </c>
      <c r="R109" s="9">
        <f t="shared" si="87"/>
        <v>0.62578926404771373</v>
      </c>
      <c r="S109" s="9">
        <f t="shared" si="81"/>
        <v>3.9161220299737922E-4</v>
      </c>
      <c r="T109" s="9">
        <f t="shared" si="88"/>
        <v>3.9161220299737922E-4</v>
      </c>
      <c r="U109" s="406">
        <f t="shared" si="60"/>
        <v>5.3526095102756637</v>
      </c>
      <c r="V109" s="408">
        <f t="shared" si="82"/>
        <v>5.7300857138986964E-2</v>
      </c>
      <c r="W109" s="406">
        <f t="shared" si="89"/>
        <v>5.7300857138986964E-2</v>
      </c>
      <c r="X109" s="406">
        <f t="shared" si="61"/>
        <v>5.3526095102756637</v>
      </c>
      <c r="Y109" s="406">
        <f t="shared" si="83"/>
        <v>1.4898222856136609</v>
      </c>
      <c r="Z109" s="406">
        <f t="shared" si="62"/>
        <v>0.98289590824400508</v>
      </c>
      <c r="AA109" s="406">
        <f t="shared" si="63"/>
        <v>0.37132800000000021</v>
      </c>
      <c r="AB109" s="406">
        <f t="shared" si="64"/>
        <v>0</v>
      </c>
      <c r="AC109" s="406">
        <f t="shared" si="94"/>
        <v>4.2307063154341096</v>
      </c>
      <c r="AD109" s="406">
        <f t="shared" si="66"/>
        <v>5.2906694882126111</v>
      </c>
      <c r="AE109" s="406">
        <f t="shared" si="84"/>
        <v>0.27991183633503891</v>
      </c>
      <c r="AF109" s="406">
        <f t="shared" si="67"/>
        <v>0.40499999999999997</v>
      </c>
      <c r="AG109" s="406">
        <f t="shared" si="95"/>
        <v>0.71702441567732667</v>
      </c>
      <c r="AH109" s="406">
        <f t="shared" si="69"/>
        <v>0</v>
      </c>
      <c r="AI109">
        <f t="shared" si="70"/>
        <v>0</v>
      </c>
      <c r="AJ109" s="407">
        <f t="shared" si="71"/>
        <v>2.3804999999999996</v>
      </c>
      <c r="AK109">
        <f t="shared" si="85"/>
        <v>9.6000000000000002E-2</v>
      </c>
      <c r="AL109" s="407">
        <f t="shared" si="72"/>
        <v>0.1215</v>
      </c>
      <c r="AM109" s="407">
        <f t="shared" si="86"/>
        <v>0.70770810810810814</v>
      </c>
      <c r="AN109" s="407">
        <f t="shared" si="90"/>
        <v>0.2175</v>
      </c>
      <c r="AO109" s="407">
        <f t="shared" si="96"/>
        <v>8.1527709306265059</v>
      </c>
      <c r="AP109">
        <f t="shared" si="74"/>
        <v>180</v>
      </c>
      <c r="AQ109" s="10">
        <f t="shared" si="91"/>
        <v>0.95666940810756118</v>
      </c>
      <c r="AR109" s="63">
        <f t="shared" si="75"/>
        <v>232.68884734887604</v>
      </c>
      <c r="AS109" s="63">
        <f t="shared" si="92"/>
        <v>28.680976627093067</v>
      </c>
      <c r="AT109" s="10"/>
      <c r="AU109">
        <f t="shared" si="93"/>
        <v>95.666940810756117</v>
      </c>
      <c r="BE109" s="28"/>
      <c r="BF109" s="29"/>
    </row>
    <row r="110" spans="7:58" x14ac:dyDescent="0.2">
      <c r="G110">
        <v>101</v>
      </c>
      <c r="H110">
        <f t="shared" si="55"/>
        <v>7.5750000000000002</v>
      </c>
      <c r="I110" s="406">
        <f t="shared" ref="I110:I173" si="97">(Vout+Rdcr*H110+RdsonBot*H110)/(Vin-RdsonTop*H110+RdsonBot*H110)</f>
        <v>0.5058780227696702</v>
      </c>
      <c r="J110" s="407">
        <f t="shared" si="56"/>
        <v>2.1680486690128724</v>
      </c>
      <c r="K110" s="407">
        <f t="shared" si="77"/>
        <v>8.6590243345064373</v>
      </c>
      <c r="L110" s="407">
        <f t="shared" ref="L110:L173" si="98">H110-J110/2</f>
        <v>6.490975665493564</v>
      </c>
      <c r="M110" s="63">
        <f t="shared" si="57"/>
        <v>0</v>
      </c>
      <c r="N110" s="406">
        <f t="shared" ref="N110:N173" si="99">SQRT(H110^2+(J110^2)/12)</f>
        <v>7.6008110040486718</v>
      </c>
      <c r="O110" s="406">
        <f t="shared" ref="O110:O173" si="100">(N110^2*Rdcr*(1+Ltc*Ta-Ltc*25))/(1-N110^2*Rdcr*Ltc*ThetaCa)</f>
        <v>0.35652053779699378</v>
      </c>
      <c r="P110">
        <f t="shared" si="59"/>
        <v>0.2</v>
      </c>
      <c r="Q110" s="406">
        <f t="shared" si="80"/>
        <v>0.55652053779699373</v>
      </c>
      <c r="R110" s="9">
        <f t="shared" ref="R110:R173" si="101">J110/(2*SQRT(3))</f>
        <v>0.62586174133539585</v>
      </c>
      <c r="S110" s="9">
        <f t="shared" ref="S110:S173" si="102">RCoutEsr*R110^2</f>
        <v>3.9170291926737393E-4</v>
      </c>
      <c r="T110" s="9">
        <f t="shared" ref="T110:T173" si="103">S110</f>
        <v>3.9170291926737393E-4</v>
      </c>
      <c r="U110" s="406">
        <f t="shared" ref="U110:U173" si="104">SQRT(I110)*SQRT(H110^2+(J110^2)/12)</f>
        <v>5.4060846292487872</v>
      </c>
      <c r="V110" s="408">
        <f t="shared" ref="V110:V173" si="105">RCinEsr*U110^2</f>
        <v>5.8451502037199995E-2</v>
      </c>
      <c r="W110" s="406">
        <f t="shared" ref="W110:W173" si="106">V110</f>
        <v>5.8451502037199995E-2</v>
      </c>
      <c r="X110" s="406">
        <f t="shared" ref="X110:X173" si="107">SQRT(I110)*SQRT(H110^2+(J110^2)/12)</f>
        <v>5.4060846292487872</v>
      </c>
      <c r="Y110" s="406">
        <f t="shared" ref="Y110:Y173" si="108">RdsonTop*X110^2</f>
        <v>1.5197390529671997</v>
      </c>
      <c r="Z110" s="406">
        <f t="shared" si="62"/>
        <v>0.99335620290933158</v>
      </c>
      <c r="AA110" s="406">
        <f t="shared" si="63"/>
        <v>0.37132800000000021</v>
      </c>
      <c r="AB110" s="406">
        <f t="shared" si="64"/>
        <v>0</v>
      </c>
      <c r="AC110" s="406">
        <f t="shared" ref="AC110:AC173" si="109">(AB110+AA110+Z110+Y110*(1+RdsonTopTc*Ta-RdsonTopTc*25))/(1-Y110*RdsonTopTc*ThetaJaTop)</f>
        <v>4.3331948532479583</v>
      </c>
      <c r="AD110" s="406">
        <f t="shared" ref="AD110:AD173" si="110">SQRT(1-I110)*SQRT(H110^2+(J110^2)/12)</f>
        <v>5.3428996715891444</v>
      </c>
      <c r="AE110" s="406">
        <f t="shared" ref="AE110:AE173" si="111">RdsonBot*AD110^2</f>
        <v>0.28546576900667386</v>
      </c>
      <c r="AF110" s="406">
        <f t="shared" si="67"/>
        <v>0.40905000000000008</v>
      </c>
      <c r="AG110" s="406">
        <f t="shared" ref="AG110:AG173" si="112">(AF110+AE110*(1+RdsonBotTc*Ta-RdsonBotTc*25))/(1-AE110*RdsonBotTc*ThetaJaBot)</f>
        <v>0.72775566174742412</v>
      </c>
      <c r="AH110" s="406">
        <f t="shared" ref="AH110:AH173" si="113">IF(RDSON_sense=1, 0, AD110^2*Rshunt)</f>
        <v>0</v>
      </c>
      <c r="AI110">
        <f t="shared" si="70"/>
        <v>0</v>
      </c>
      <c r="AJ110" s="407">
        <f t="shared" si="71"/>
        <v>2.3803049999999999</v>
      </c>
      <c r="AK110">
        <f t="shared" si="85"/>
        <v>9.6000000000000002E-2</v>
      </c>
      <c r="AL110" s="407">
        <f t="shared" si="72"/>
        <v>0.1215</v>
      </c>
      <c r="AM110" s="407">
        <f t="shared" si="86"/>
        <v>0.70770810810810814</v>
      </c>
      <c r="AN110" s="407">
        <f t="shared" ref="AN110:AN173" si="114">SUM(AK110:AL110)</f>
        <v>0.2175</v>
      </c>
      <c r="AO110" s="407">
        <f t="shared" ref="AO110:AO173" si="115">SUM(Q110,T110,W110,AC110,AJ110,AI110,AG110,AN110, AH110)</f>
        <v>8.2741192577488416</v>
      </c>
      <c r="AP110">
        <f t="shared" si="74"/>
        <v>181.8</v>
      </c>
      <c r="AQ110" s="10">
        <f t="shared" ref="AQ110:AQ173" si="116">AP110/(AP110+AO110)</f>
        <v>0.95646898541442782</v>
      </c>
      <c r="AR110" s="63">
        <f t="shared" ref="AR110:AR173" si="117">ThetaJaTop*AC110</f>
        <v>238.32571692863772</v>
      </c>
      <c r="AS110" s="63">
        <f t="shared" ref="AS110:AS173" si="118">AG110*ThetaJaBot</f>
        <v>29.110226469896965</v>
      </c>
      <c r="AT110" s="10"/>
      <c r="AU110">
        <f t="shared" ref="AU110:AU173" si="119">AQ110*100</f>
        <v>95.646898541442781</v>
      </c>
    </row>
    <row r="111" spans="7:58" x14ac:dyDescent="0.2">
      <c r="G111">
        <v>102</v>
      </c>
      <c r="H111">
        <f t="shared" si="55"/>
        <v>7.65</v>
      </c>
      <c r="I111" s="406">
        <f t="shared" si="97"/>
        <v>0.50593661320463845</v>
      </c>
      <c r="J111" s="407">
        <f t="shared" si="56"/>
        <v>2.1682997708770224</v>
      </c>
      <c r="K111" s="407">
        <f t="shared" si="77"/>
        <v>8.7341498854385122</v>
      </c>
      <c r="L111" s="407">
        <f t="shared" si="98"/>
        <v>6.5658501145614894</v>
      </c>
      <c r="M111" s="63">
        <f t="shared" si="57"/>
        <v>0</v>
      </c>
      <c r="N111" s="406">
        <f t="shared" si="99"/>
        <v>7.6755647126470192</v>
      </c>
      <c r="O111" s="406">
        <f t="shared" si="100"/>
        <v>0.36377284361221884</v>
      </c>
      <c r="P111">
        <f t="shared" si="59"/>
        <v>0.2</v>
      </c>
      <c r="Q111" s="406">
        <f t="shared" si="80"/>
        <v>0.56377284361221891</v>
      </c>
      <c r="R111" s="9">
        <f t="shared" si="101"/>
        <v>0.62593422819982647</v>
      </c>
      <c r="S111" s="9">
        <f t="shared" si="102"/>
        <v>3.917936580321124E-4</v>
      </c>
      <c r="T111" s="9">
        <f t="shared" si="103"/>
        <v>3.917936580321124E-4</v>
      </c>
      <c r="U111" s="406">
        <f t="shared" si="104"/>
        <v>5.4595694155023136</v>
      </c>
      <c r="V111" s="408">
        <f t="shared" si="105"/>
        <v>5.9613796405376548E-2</v>
      </c>
      <c r="W111" s="406">
        <f t="shared" si="106"/>
        <v>5.9613796405376548E-2</v>
      </c>
      <c r="X111" s="406">
        <f t="shared" si="107"/>
        <v>5.4595694155023136</v>
      </c>
      <c r="Y111" s="406">
        <f t="shared" si="108"/>
        <v>1.5499587065397902</v>
      </c>
      <c r="Z111" s="406">
        <f t="shared" si="62"/>
        <v>1.0038164965971745</v>
      </c>
      <c r="AA111" s="406">
        <f t="shared" si="63"/>
        <v>0.37132800000000021</v>
      </c>
      <c r="AB111" s="406">
        <f t="shared" si="64"/>
        <v>0</v>
      </c>
      <c r="AC111" s="406">
        <f t="shared" si="109"/>
        <v>4.438638664722558</v>
      </c>
      <c r="AD111" s="406">
        <f t="shared" si="110"/>
        <v>5.3951270101216187</v>
      </c>
      <c r="AE111" s="406">
        <f t="shared" si="111"/>
        <v>0.29107395455343837</v>
      </c>
      <c r="AF111" s="406">
        <f t="shared" si="67"/>
        <v>0.41310000000000002</v>
      </c>
      <c r="AG111" s="406">
        <f t="shared" si="112"/>
        <v>0.73857053811265638</v>
      </c>
      <c r="AH111" s="406">
        <f t="shared" si="113"/>
        <v>0</v>
      </c>
      <c r="AI111">
        <f t="shared" si="70"/>
        <v>0</v>
      </c>
      <c r="AJ111" s="407">
        <f t="shared" si="71"/>
        <v>2.3801100000000002</v>
      </c>
      <c r="AK111">
        <f t="shared" si="85"/>
        <v>9.6000000000000002E-2</v>
      </c>
      <c r="AL111" s="407">
        <f t="shared" si="72"/>
        <v>0.1215</v>
      </c>
      <c r="AM111" s="407">
        <f t="shared" si="86"/>
        <v>0.70770810810810814</v>
      </c>
      <c r="AN111" s="407">
        <f t="shared" si="114"/>
        <v>0.2175</v>
      </c>
      <c r="AO111" s="407">
        <f t="shared" si="115"/>
        <v>8.398597636510841</v>
      </c>
      <c r="AP111">
        <f t="shared" si="74"/>
        <v>183.60000000000002</v>
      </c>
      <c r="AQ111" s="10">
        <f t="shared" si="116"/>
        <v>0.95625698447854846</v>
      </c>
      <c r="AR111" s="63">
        <f t="shared" si="117"/>
        <v>244.12512655974069</v>
      </c>
      <c r="AS111" s="63">
        <f t="shared" si="118"/>
        <v>29.542821524506255</v>
      </c>
      <c r="AT111" s="10"/>
      <c r="AU111">
        <f t="shared" si="119"/>
        <v>95.625698447854845</v>
      </c>
    </row>
    <row r="112" spans="7:58" x14ac:dyDescent="0.2">
      <c r="G112">
        <v>103</v>
      </c>
      <c r="H112">
        <f t="shared" si="55"/>
        <v>7.7250000000000005</v>
      </c>
      <c r="I112" s="406">
        <f t="shared" si="97"/>
        <v>0.50599521138193471</v>
      </c>
      <c r="J112" s="407">
        <f t="shared" si="56"/>
        <v>2.1685509059225776</v>
      </c>
      <c r="K112" s="407">
        <f t="shared" si="77"/>
        <v>8.8092754529612893</v>
      </c>
      <c r="L112" s="407">
        <f t="shared" si="98"/>
        <v>6.6407245470387117</v>
      </c>
      <c r="M112" s="63">
        <f t="shared" si="57"/>
        <v>0</v>
      </c>
      <c r="N112" s="406">
        <f t="shared" si="99"/>
        <v>7.750323181603342</v>
      </c>
      <c r="O112" s="406">
        <f t="shared" si="100"/>
        <v>0.37110490320481432</v>
      </c>
      <c r="P112">
        <f t="shared" si="59"/>
        <v>0.2</v>
      </c>
      <c r="Q112" s="406">
        <f t="shared" si="80"/>
        <v>0.57110490320481433</v>
      </c>
      <c r="R112" s="9">
        <f t="shared" si="101"/>
        <v>0.62600672464290352</v>
      </c>
      <c r="S112" s="9">
        <f t="shared" si="102"/>
        <v>3.9188441929813604E-4</v>
      </c>
      <c r="T112" s="9">
        <f t="shared" si="103"/>
        <v>3.9188441929813604E-4</v>
      </c>
      <c r="U112" s="406">
        <f t="shared" si="104"/>
        <v>5.513063769430218</v>
      </c>
      <c r="V112" s="408">
        <f t="shared" si="105"/>
        <v>6.0787744251608246E-2</v>
      </c>
      <c r="W112" s="406">
        <f t="shared" si="106"/>
        <v>6.0787744251608246E-2</v>
      </c>
      <c r="X112" s="406">
        <f t="shared" si="107"/>
        <v>5.513063769430218</v>
      </c>
      <c r="Y112" s="406">
        <f t="shared" si="108"/>
        <v>1.5804813505418143</v>
      </c>
      <c r="Z112" s="406">
        <f t="shared" si="62"/>
        <v>1.0142767893073397</v>
      </c>
      <c r="AA112" s="406">
        <f t="shared" si="63"/>
        <v>0.37132800000000021</v>
      </c>
      <c r="AB112" s="406">
        <f t="shared" si="64"/>
        <v>0</v>
      </c>
      <c r="AC112" s="406">
        <f t="shared" si="109"/>
        <v>4.5471607465860711</v>
      </c>
      <c r="AD112" s="406">
        <f t="shared" si="110"/>
        <v>5.4473514016900015</v>
      </c>
      <c r="AE112" s="406">
        <f t="shared" si="111"/>
        <v>0.29673637293494026</v>
      </c>
      <c r="AF112" s="406">
        <f t="shared" si="67"/>
        <v>0.41715000000000002</v>
      </c>
      <c r="AG112" s="406">
        <f t="shared" si="112"/>
        <v>0.74946955323109465</v>
      </c>
      <c r="AH112" s="406">
        <f t="shared" si="113"/>
        <v>0</v>
      </c>
      <c r="AI112">
        <f t="shared" si="70"/>
        <v>0</v>
      </c>
      <c r="AJ112" s="407">
        <f t="shared" si="71"/>
        <v>2.379915</v>
      </c>
      <c r="AK112">
        <f t="shared" si="85"/>
        <v>9.6000000000000002E-2</v>
      </c>
      <c r="AL112" s="407">
        <f t="shared" si="72"/>
        <v>0.1215</v>
      </c>
      <c r="AM112" s="407">
        <f t="shared" si="86"/>
        <v>0.70770810810810814</v>
      </c>
      <c r="AN112" s="407">
        <f t="shared" si="114"/>
        <v>0.2175</v>
      </c>
      <c r="AO112" s="407">
        <f t="shared" si="115"/>
        <v>8.5263298316928857</v>
      </c>
      <c r="AP112">
        <f t="shared" si="74"/>
        <v>185.4</v>
      </c>
      <c r="AQ112" s="10">
        <f t="shared" si="116"/>
        <v>0.95603315011895074</v>
      </c>
      <c r="AR112" s="63">
        <f t="shared" si="117"/>
        <v>250.09384106223391</v>
      </c>
      <c r="AS112" s="63">
        <f t="shared" si="118"/>
        <v>29.978782129243786</v>
      </c>
      <c r="AT112" s="10"/>
      <c r="AU112">
        <f t="shared" si="119"/>
        <v>95.603315011895077</v>
      </c>
    </row>
    <row r="113" spans="7:47" x14ac:dyDescent="0.2">
      <c r="G113">
        <v>104</v>
      </c>
      <c r="H113">
        <f t="shared" si="55"/>
        <v>7.8000000000000007</v>
      </c>
      <c r="I113" s="406">
        <f t="shared" si="97"/>
        <v>0.50605381730309362</v>
      </c>
      <c r="J113" s="407">
        <f t="shared" si="56"/>
        <v>2.1688020741561154</v>
      </c>
      <c r="K113" s="407">
        <f t="shared" si="77"/>
        <v>8.8844010370780584</v>
      </c>
      <c r="L113" s="407">
        <f t="shared" si="98"/>
        <v>6.715598962921943</v>
      </c>
      <c r="M113" s="63">
        <f t="shared" si="57"/>
        <v>0</v>
      </c>
      <c r="N113" s="406">
        <f t="shared" si="99"/>
        <v>7.8250862744810679</v>
      </c>
      <c r="O113" s="406">
        <f t="shared" si="100"/>
        <v>0.37851697540331403</v>
      </c>
      <c r="P113">
        <f t="shared" si="59"/>
        <v>0.2</v>
      </c>
      <c r="Q113" s="406">
        <f t="shared" si="80"/>
        <v>0.57851697540331404</v>
      </c>
      <c r="R113" s="9">
        <f t="shared" si="101"/>
        <v>0.62607923066652604</v>
      </c>
      <c r="S113" s="9">
        <f t="shared" si="102"/>
        <v>3.9197520307198916E-4</v>
      </c>
      <c r="T113" s="9">
        <f t="shared" si="103"/>
        <v>3.9197520307198916E-4</v>
      </c>
      <c r="U113" s="406">
        <f t="shared" si="104"/>
        <v>5.5665675952531961</v>
      </c>
      <c r="V113" s="408">
        <f t="shared" si="105"/>
        <v>6.1973349585045905E-2</v>
      </c>
      <c r="W113" s="406">
        <f t="shared" si="106"/>
        <v>6.1973349585045905E-2</v>
      </c>
      <c r="X113" s="406">
        <f t="shared" si="107"/>
        <v>5.5665675952531961</v>
      </c>
      <c r="Y113" s="406">
        <f t="shared" si="108"/>
        <v>1.6113070892111934</v>
      </c>
      <c r="Z113" s="406">
        <f t="shared" si="62"/>
        <v>1.0247370810396339</v>
      </c>
      <c r="AA113" s="406">
        <f t="shared" si="63"/>
        <v>0.37132800000000021</v>
      </c>
      <c r="AB113" s="406">
        <f t="shared" si="64"/>
        <v>0</v>
      </c>
      <c r="AC113" s="406">
        <f t="shared" si="109"/>
        <v>4.6588911106198934</v>
      </c>
      <c r="AD113" s="406">
        <f t="shared" si="110"/>
        <v>5.4995727480004337</v>
      </c>
      <c r="AE113" s="406">
        <f t="shared" si="111"/>
        <v>0.30245300410549042</v>
      </c>
      <c r="AF113" s="406">
        <f t="shared" si="67"/>
        <v>0.42120000000000002</v>
      </c>
      <c r="AG113" s="406">
        <f t="shared" si="112"/>
        <v>0.76045322193861586</v>
      </c>
      <c r="AH113" s="406">
        <f t="shared" si="113"/>
        <v>0</v>
      </c>
      <c r="AI113">
        <f t="shared" si="70"/>
        <v>0</v>
      </c>
      <c r="AJ113" s="407">
        <f t="shared" si="71"/>
        <v>2.3797199999999998</v>
      </c>
      <c r="AK113">
        <f t="shared" si="85"/>
        <v>9.6000000000000002E-2</v>
      </c>
      <c r="AL113" s="407">
        <f t="shared" si="72"/>
        <v>0.1215</v>
      </c>
      <c r="AM113" s="407">
        <f t="shared" si="86"/>
        <v>0.70770810810810814</v>
      </c>
      <c r="AN113" s="407">
        <f t="shared" si="114"/>
        <v>0.2175</v>
      </c>
      <c r="AO113" s="407">
        <f t="shared" si="115"/>
        <v>8.6574466327499398</v>
      </c>
      <c r="AP113">
        <f t="shared" si="74"/>
        <v>187.20000000000002</v>
      </c>
      <c r="AQ113" s="10">
        <f t="shared" si="116"/>
        <v>0.95579720464249984</v>
      </c>
      <c r="AR113" s="63">
        <f t="shared" si="117"/>
        <v>256.23901108409416</v>
      </c>
      <c r="AS113" s="63">
        <f t="shared" si="118"/>
        <v>30.418128877544635</v>
      </c>
      <c r="AT113" s="10"/>
      <c r="AU113">
        <f t="shared" si="119"/>
        <v>95.579720464249988</v>
      </c>
    </row>
    <row r="114" spans="7:47" x14ac:dyDescent="0.2">
      <c r="G114">
        <v>105</v>
      </c>
      <c r="H114">
        <f t="shared" si="55"/>
        <v>7.875</v>
      </c>
      <c r="I114" s="406">
        <f t="shared" si="97"/>
        <v>0.5061124309696502</v>
      </c>
      <c r="J114" s="407">
        <f t="shared" si="56"/>
        <v>2.1690532755842153</v>
      </c>
      <c r="K114" s="407">
        <f t="shared" si="77"/>
        <v>8.9595266377921075</v>
      </c>
      <c r="L114" s="407">
        <f t="shared" si="98"/>
        <v>6.7904733622078925</v>
      </c>
      <c r="M114" s="63">
        <f t="shared" si="57"/>
        <v>0</v>
      </c>
      <c r="N114" s="406">
        <f t="shared" si="99"/>
        <v>7.8998538600002099</v>
      </c>
      <c r="O114" s="406">
        <f t="shared" si="100"/>
        <v>0.38600932230239177</v>
      </c>
      <c r="P114">
        <f t="shared" si="59"/>
        <v>0.2</v>
      </c>
      <c r="Q114" s="406">
        <f t="shared" si="80"/>
        <v>0.58600932230239178</v>
      </c>
      <c r="R114" s="9">
        <f t="shared" si="101"/>
        <v>0.62615174627259318</v>
      </c>
      <c r="S114" s="9">
        <f t="shared" si="102"/>
        <v>3.9206600936021789E-4</v>
      </c>
      <c r="T114" s="9">
        <f t="shared" si="103"/>
        <v>3.9206600936021789E-4</v>
      </c>
      <c r="U114" s="406">
        <f t="shared" si="104"/>
        <v>5.6200808008381946</v>
      </c>
      <c r="V114" s="408">
        <f t="shared" si="105"/>
        <v>6.317061641590016E-2</v>
      </c>
      <c r="W114" s="406">
        <f t="shared" si="106"/>
        <v>6.317061641590016E-2</v>
      </c>
      <c r="X114" s="406">
        <f t="shared" si="107"/>
        <v>5.6200808008381946</v>
      </c>
      <c r="Y114" s="406">
        <f t="shared" si="108"/>
        <v>1.6424360268134042</v>
      </c>
      <c r="Z114" s="406">
        <f t="shared" si="62"/>
        <v>1.0351973717938634</v>
      </c>
      <c r="AA114" s="406">
        <f t="shared" si="63"/>
        <v>0.37132800000000021</v>
      </c>
      <c r="AB114" s="406">
        <f t="shared" si="64"/>
        <v>0</v>
      </c>
      <c r="AC114" s="406">
        <f t="shared" si="109"/>
        <v>4.7739672892965217</v>
      </c>
      <c r="AD114" s="406">
        <f t="shared" si="110"/>
        <v>5.5517909544047255</v>
      </c>
      <c r="AE114" s="406">
        <f t="shared" si="111"/>
        <v>0.30822382801410131</v>
      </c>
      <c r="AF114" s="406">
        <f t="shared" si="67"/>
        <v>0.42525000000000002</v>
      </c>
      <c r="AG114" s="406">
        <f t="shared" si="112"/>
        <v>0.7715220655233751</v>
      </c>
      <c r="AH114" s="406">
        <f t="shared" si="113"/>
        <v>0</v>
      </c>
      <c r="AI114">
        <f t="shared" si="70"/>
        <v>0</v>
      </c>
      <c r="AJ114" s="407">
        <f t="shared" si="71"/>
        <v>2.3795249999999997</v>
      </c>
      <c r="AK114">
        <f t="shared" si="85"/>
        <v>9.6000000000000002E-2</v>
      </c>
      <c r="AL114" s="407">
        <f t="shared" si="72"/>
        <v>0.1215</v>
      </c>
      <c r="AM114" s="407">
        <f t="shared" si="86"/>
        <v>0.70770810810810814</v>
      </c>
      <c r="AN114" s="407">
        <f t="shared" si="114"/>
        <v>0.2175</v>
      </c>
      <c r="AO114" s="407">
        <f t="shared" si="115"/>
        <v>8.7920863595475467</v>
      </c>
      <c r="AP114">
        <f t="shared" si="74"/>
        <v>189</v>
      </c>
      <c r="AQ114" s="10">
        <f t="shared" si="116"/>
        <v>0.95554884666333295</v>
      </c>
      <c r="AR114" s="63">
        <f t="shared" si="117"/>
        <v>262.56820091130868</v>
      </c>
      <c r="AS114" s="63">
        <f t="shared" si="118"/>
        <v>30.860882620935005</v>
      </c>
      <c r="AT114" s="10"/>
      <c r="AU114">
        <f t="shared" si="119"/>
        <v>95.554884666333294</v>
      </c>
    </row>
    <row r="115" spans="7:47" x14ac:dyDescent="0.2">
      <c r="G115">
        <v>106</v>
      </c>
      <c r="H115">
        <f t="shared" si="55"/>
        <v>7.95</v>
      </c>
      <c r="I115" s="406">
        <f t="shared" si="97"/>
        <v>0.5061710523831402</v>
      </c>
      <c r="J115" s="407">
        <f t="shared" si="56"/>
        <v>2.169304510213458</v>
      </c>
      <c r="K115" s="407">
        <f t="shared" si="77"/>
        <v>9.0346522551067299</v>
      </c>
      <c r="L115" s="407">
        <f t="shared" si="98"/>
        <v>6.8653477448932714</v>
      </c>
      <c r="M115" s="63">
        <f t="shared" si="57"/>
        <v>0</v>
      </c>
      <c r="N115" s="406">
        <f t="shared" si="99"/>
        <v>7.9746258117963986</v>
      </c>
      <c r="O115" s="406">
        <f t="shared" si="100"/>
        <v>0.39358220928687582</v>
      </c>
      <c r="P115">
        <f t="shared" si="59"/>
        <v>0.2</v>
      </c>
      <c r="Q115" s="406">
        <f t="shared" si="80"/>
        <v>0.59358220928687588</v>
      </c>
      <c r="R115" s="9">
        <f t="shared" si="101"/>
        <v>0.62622427146300463</v>
      </c>
      <c r="S115" s="9">
        <f t="shared" si="102"/>
        <v>3.9215683816937094E-4</v>
      </c>
      <c r="T115" s="9">
        <f t="shared" si="103"/>
        <v>3.9215683816937094E-4</v>
      </c>
      <c r="U115" s="406">
        <f t="shared" si="104"/>
        <v>5.6736032975280226</v>
      </c>
      <c r="V115" s="408">
        <f t="shared" si="105"/>
        <v>6.4379548755441704E-2</v>
      </c>
      <c r="W115" s="406">
        <f t="shared" si="106"/>
        <v>6.4379548755441704E-2</v>
      </c>
      <c r="X115" s="406">
        <f t="shared" si="107"/>
        <v>5.6736032975280226</v>
      </c>
      <c r="Y115" s="406">
        <f t="shared" si="108"/>
        <v>1.6738682676414842</v>
      </c>
      <c r="Z115" s="406">
        <f t="shared" si="62"/>
        <v>1.0456576615698339</v>
      </c>
      <c r="AA115" s="406">
        <f t="shared" si="63"/>
        <v>0.37132800000000021</v>
      </c>
      <c r="AB115" s="406">
        <f t="shared" si="64"/>
        <v>0</v>
      </c>
      <c r="AC115" s="406">
        <f t="shared" si="109"/>
        <v>4.8925348858294804</v>
      </c>
      <c r="AD115" s="406">
        <f t="shared" si="110"/>
        <v>5.6040059297299569</v>
      </c>
      <c r="AE115" s="406">
        <f t="shared" si="111"/>
        <v>0.31404882460448519</v>
      </c>
      <c r="AF115" s="406">
        <f t="shared" si="67"/>
        <v>0.42930000000000007</v>
      </c>
      <c r="AG115" s="406">
        <f t="shared" si="112"/>
        <v>0.78267661180155734</v>
      </c>
      <c r="AH115" s="406">
        <f t="shared" si="113"/>
        <v>0</v>
      </c>
      <c r="AI115">
        <f t="shared" si="70"/>
        <v>0</v>
      </c>
      <c r="AJ115" s="407">
        <f t="shared" si="71"/>
        <v>2.3793299999999995</v>
      </c>
      <c r="AK115">
        <f t="shared" si="85"/>
        <v>9.6000000000000002E-2</v>
      </c>
      <c r="AL115" s="407">
        <f t="shared" si="72"/>
        <v>0.1215</v>
      </c>
      <c r="AM115" s="407">
        <f t="shared" si="86"/>
        <v>0.70770810810810814</v>
      </c>
      <c r="AN115" s="407">
        <f t="shared" si="114"/>
        <v>0.2175</v>
      </c>
      <c r="AO115" s="407">
        <f t="shared" si="115"/>
        <v>8.9303954125115244</v>
      </c>
      <c r="AP115">
        <f t="shared" si="74"/>
        <v>190.8</v>
      </c>
      <c r="AQ115" s="10">
        <f t="shared" si="116"/>
        <v>0.95528774979858622</v>
      </c>
      <c r="AR115" s="63">
        <f t="shared" si="117"/>
        <v>269.08941872062144</v>
      </c>
      <c r="AS115" s="63">
        <f t="shared" si="118"/>
        <v>31.307064472062294</v>
      </c>
      <c r="AT115" s="10"/>
      <c r="AU115">
        <f t="shared" si="119"/>
        <v>95.528774979858625</v>
      </c>
    </row>
    <row r="116" spans="7:47" x14ac:dyDescent="0.2">
      <c r="G116">
        <v>107</v>
      </c>
      <c r="H116">
        <f t="shared" si="55"/>
        <v>8.0250000000000004</v>
      </c>
      <c r="I116" s="406">
        <f t="shared" si="97"/>
        <v>0.50622968154509951</v>
      </c>
      <c r="J116" s="407">
        <f t="shared" si="56"/>
        <v>2.1695557780504267</v>
      </c>
      <c r="K116" s="407">
        <f t="shared" si="77"/>
        <v>9.1097778890252137</v>
      </c>
      <c r="L116" s="407">
        <f t="shared" si="98"/>
        <v>6.940222110974787</v>
      </c>
      <c r="M116" s="63">
        <f t="shared" si="57"/>
        <v>0</v>
      </c>
      <c r="N116" s="406">
        <f t="shared" si="99"/>
        <v>8.0494020081932796</v>
      </c>
      <c r="O116" s="406">
        <f t="shared" si="100"/>
        <v>0.40123590505612078</v>
      </c>
      <c r="P116">
        <f t="shared" si="59"/>
        <v>0.2</v>
      </c>
      <c r="Q116" s="406">
        <f t="shared" si="80"/>
        <v>0.60123590505612079</v>
      </c>
      <c r="R116" s="9">
        <f t="shared" si="101"/>
        <v>0.62629680623966089</v>
      </c>
      <c r="S116" s="9">
        <f t="shared" si="102"/>
        <v>3.9224768950599931E-4</v>
      </c>
      <c r="T116" s="9">
        <f t="shared" si="103"/>
        <v>3.9224768950599931E-4</v>
      </c>
      <c r="U116" s="406">
        <f t="shared" si="104"/>
        <v>5.7271349999804269</v>
      </c>
      <c r="V116" s="408">
        <f t="shared" si="105"/>
        <v>6.5600150616001621E-2</v>
      </c>
      <c r="W116" s="406">
        <f t="shared" si="106"/>
        <v>6.5600150616001621E-2</v>
      </c>
      <c r="X116" s="406">
        <f t="shared" si="107"/>
        <v>5.7271349999804269</v>
      </c>
      <c r="Y116" s="406">
        <f t="shared" si="108"/>
        <v>1.7056039160160419</v>
      </c>
      <c r="Z116" s="406">
        <f t="shared" si="62"/>
        <v>1.0561179503673512</v>
      </c>
      <c r="AA116" s="406">
        <f t="shared" si="63"/>
        <v>0.37132800000000021</v>
      </c>
      <c r="AB116" s="406">
        <f t="shared" si="64"/>
        <v>0</v>
      </c>
      <c r="AC116" s="406">
        <f t="shared" si="109"/>
        <v>5.014748173253011</v>
      </c>
      <c r="AD116" s="406">
        <f t="shared" si="110"/>
        <v>5.6562175861175286</v>
      </c>
      <c r="AE116" s="406">
        <f t="shared" si="111"/>
        <v>0.319927973815052</v>
      </c>
      <c r="AF116" s="406">
        <f t="shared" si="67"/>
        <v>0.43335000000000001</v>
      </c>
      <c r="AG116" s="406">
        <f t="shared" si="112"/>
        <v>0.79391739519442417</v>
      </c>
      <c r="AH116" s="406">
        <f t="shared" si="113"/>
        <v>0</v>
      </c>
      <c r="AI116">
        <f t="shared" si="70"/>
        <v>0</v>
      </c>
      <c r="AJ116" s="407">
        <f t="shared" si="71"/>
        <v>2.3791349999999998</v>
      </c>
      <c r="AK116">
        <f t="shared" si="85"/>
        <v>9.6000000000000002E-2</v>
      </c>
      <c r="AL116" s="407">
        <f t="shared" si="72"/>
        <v>0.1215</v>
      </c>
      <c r="AM116" s="407">
        <f t="shared" si="86"/>
        <v>0.70770810810810814</v>
      </c>
      <c r="AN116" s="407">
        <f t="shared" si="114"/>
        <v>0.2175</v>
      </c>
      <c r="AO116" s="407">
        <f t="shared" si="115"/>
        <v>9.0725288718090624</v>
      </c>
      <c r="AP116">
        <f t="shared" si="74"/>
        <v>192.60000000000002</v>
      </c>
      <c r="AQ116" s="10">
        <f t="shared" si="116"/>
        <v>0.95501356122937342</v>
      </c>
      <c r="AR116" s="63">
        <f t="shared" si="117"/>
        <v>275.81114952891562</v>
      </c>
      <c r="AS116" s="63">
        <f t="shared" si="118"/>
        <v>31.756695807776968</v>
      </c>
      <c r="AT116" s="10"/>
      <c r="AU116">
        <f t="shared" si="119"/>
        <v>95.501356122937338</v>
      </c>
    </row>
    <row r="117" spans="7:47" x14ac:dyDescent="0.2">
      <c r="G117">
        <v>108</v>
      </c>
      <c r="H117">
        <f t="shared" si="55"/>
        <v>8.1000000000000014</v>
      </c>
      <c r="I117" s="406">
        <f t="shared" si="97"/>
        <v>0.50628831845706435</v>
      </c>
      <c r="J117" s="407">
        <f t="shared" si="56"/>
        <v>2.1698070791017043</v>
      </c>
      <c r="K117" s="407">
        <f t="shared" si="77"/>
        <v>9.184903539550854</v>
      </c>
      <c r="L117" s="407">
        <f t="shared" si="98"/>
        <v>7.0150964604491488</v>
      </c>
      <c r="M117" s="63">
        <f t="shared" si="57"/>
        <v>0</v>
      </c>
      <c r="N117" s="406">
        <f t="shared" si="99"/>
        <v>8.1241823319874271</v>
      </c>
      <c r="O117" s="406">
        <f t="shared" si="100"/>
        <v>0.40897068164874417</v>
      </c>
      <c r="P117">
        <f t="shared" si="59"/>
        <v>0.2</v>
      </c>
      <c r="Q117" s="406">
        <f t="shared" si="80"/>
        <v>0.60897068164874413</v>
      </c>
      <c r="R117" s="9">
        <f t="shared" si="101"/>
        <v>0.6263693506044623</v>
      </c>
      <c r="S117" s="9">
        <f t="shared" si="102"/>
        <v>3.9233856337665587E-4</v>
      </c>
      <c r="T117" s="9">
        <f t="shared" si="103"/>
        <v>3.9233856337665587E-4</v>
      </c>
      <c r="U117" s="406">
        <f t="shared" si="104"/>
        <v>5.7806758260160054</v>
      </c>
      <c r="V117" s="408">
        <f t="shared" si="105"/>
        <v>6.6832426010971654E-2</v>
      </c>
      <c r="W117" s="406">
        <f t="shared" si="106"/>
        <v>6.6832426010971654E-2</v>
      </c>
      <c r="X117" s="406">
        <f t="shared" si="107"/>
        <v>5.7806758260160054</v>
      </c>
      <c r="Y117" s="406">
        <f t="shared" si="108"/>
        <v>1.737643076285263</v>
      </c>
      <c r="Z117" s="406">
        <f t="shared" si="62"/>
        <v>1.0665782381862221</v>
      </c>
      <c r="AA117" s="406">
        <f t="shared" si="63"/>
        <v>0.37132800000000021</v>
      </c>
      <c r="AB117" s="406">
        <f t="shared" si="64"/>
        <v>0</v>
      </c>
      <c r="AC117" s="406">
        <f t="shared" si="109"/>
        <v>5.1407707477062221</v>
      </c>
      <c r="AD117" s="406">
        <f t="shared" si="110"/>
        <v>5.7084258388710669</v>
      </c>
      <c r="AE117" s="406">
        <f t="shared" si="111"/>
        <v>0.32586125557890844</v>
      </c>
      <c r="AF117" s="406">
        <f t="shared" si="67"/>
        <v>0.43740000000000007</v>
      </c>
      <c r="AG117" s="406">
        <f t="shared" si="112"/>
        <v>0.80524495680668617</v>
      </c>
      <c r="AH117" s="406">
        <f t="shared" si="113"/>
        <v>0</v>
      </c>
      <c r="AI117">
        <f t="shared" si="70"/>
        <v>0</v>
      </c>
      <c r="AJ117" s="407">
        <f t="shared" si="71"/>
        <v>2.3789400000000001</v>
      </c>
      <c r="AK117">
        <f t="shared" si="85"/>
        <v>9.6000000000000002E-2</v>
      </c>
      <c r="AL117" s="407">
        <f t="shared" si="72"/>
        <v>0.1215</v>
      </c>
      <c r="AM117" s="407">
        <f t="shared" si="86"/>
        <v>0.70770810810810814</v>
      </c>
      <c r="AN117" s="407">
        <f t="shared" si="114"/>
        <v>0.2175</v>
      </c>
      <c r="AO117" s="407">
        <f t="shared" si="115"/>
        <v>9.2186511507359992</v>
      </c>
      <c r="AP117">
        <f t="shared" si="74"/>
        <v>194.40000000000003</v>
      </c>
      <c r="AQ117" s="10">
        <f t="shared" si="116"/>
        <v>0.95472590011456482</v>
      </c>
      <c r="AR117" s="63">
        <f t="shared" si="117"/>
        <v>282.7423911238422</v>
      </c>
      <c r="AS117" s="63">
        <f t="shared" si="118"/>
        <v>32.209798272267449</v>
      </c>
      <c r="AT117" s="10"/>
      <c r="AU117">
        <f t="shared" si="119"/>
        <v>95.472590011456475</v>
      </c>
    </row>
    <row r="118" spans="7:47" x14ac:dyDescent="0.2">
      <c r="G118">
        <v>109</v>
      </c>
      <c r="H118">
        <f t="shared" si="55"/>
        <v>8.1750000000000007</v>
      </c>
      <c r="I118" s="406">
        <f t="shared" si="97"/>
        <v>0.50634696312057181</v>
      </c>
      <c r="J118" s="407">
        <f t="shared" si="56"/>
        <v>2.1700584133738792</v>
      </c>
      <c r="K118" s="407">
        <f t="shared" si="77"/>
        <v>9.2600292066869407</v>
      </c>
      <c r="L118" s="407">
        <f t="shared" si="98"/>
        <v>7.0899707933130607</v>
      </c>
      <c r="M118" s="63">
        <f t="shared" si="57"/>
        <v>0</v>
      </c>
      <c r="N118" s="406">
        <f t="shared" si="99"/>
        <v>8.1989666702449711</v>
      </c>
      <c r="O118" s="406">
        <f t="shared" si="100"/>
        <v>0.41678681446772853</v>
      </c>
      <c r="P118">
        <f t="shared" si="59"/>
        <v>0.2</v>
      </c>
      <c r="Q118" s="406">
        <f t="shared" si="80"/>
        <v>0.61678681446772854</v>
      </c>
      <c r="R118" s="9">
        <f t="shared" si="101"/>
        <v>0.6264419045593107</v>
      </c>
      <c r="S118" s="9">
        <f t="shared" si="102"/>
        <v>3.9242945978789658E-4</v>
      </c>
      <c r="T118" s="9">
        <f t="shared" si="103"/>
        <v>3.9242945978789658E-4</v>
      </c>
      <c r="U118" s="406">
        <f t="shared" si="104"/>
        <v>5.8342256964744186</v>
      </c>
      <c r="V118" s="408">
        <f t="shared" si="105"/>
        <v>6.8076378954804825E-2</v>
      </c>
      <c r="W118" s="406">
        <f t="shared" si="106"/>
        <v>6.8076378954804825E-2</v>
      </c>
      <c r="X118" s="406">
        <f t="shared" si="107"/>
        <v>5.8342256964744186</v>
      </c>
      <c r="Y118" s="406">
        <f t="shared" si="108"/>
        <v>1.7699858528249253</v>
      </c>
      <c r="Z118" s="406">
        <f t="shared" si="62"/>
        <v>1.0770385250262515</v>
      </c>
      <c r="AA118" s="406">
        <f t="shared" si="63"/>
        <v>0.37132800000000021</v>
      </c>
      <c r="AB118" s="406">
        <f t="shared" si="64"/>
        <v>0</v>
      </c>
      <c r="AC118" s="406">
        <f t="shared" si="109"/>
        <v>5.2707762417301627</v>
      </c>
      <c r="AD118" s="406">
        <f t="shared" si="110"/>
        <v>5.7606306063126018</v>
      </c>
      <c r="AE118" s="406">
        <f t="shared" si="111"/>
        <v>0.33184864982385492</v>
      </c>
      <c r="AF118" s="406">
        <f t="shared" si="67"/>
        <v>0.44145000000000001</v>
      </c>
      <c r="AG118" s="406">
        <f t="shared" si="112"/>
        <v>0.81665984450621443</v>
      </c>
      <c r="AH118" s="406">
        <f t="shared" si="113"/>
        <v>0</v>
      </c>
      <c r="AI118">
        <f t="shared" si="70"/>
        <v>0</v>
      </c>
      <c r="AJ118" s="407">
        <f t="shared" si="71"/>
        <v>2.3787449999999999</v>
      </c>
      <c r="AK118">
        <f t="shared" si="85"/>
        <v>9.6000000000000002E-2</v>
      </c>
      <c r="AL118" s="407">
        <f t="shared" si="72"/>
        <v>0.1215</v>
      </c>
      <c r="AM118" s="407">
        <f t="shared" si="86"/>
        <v>0.70770810810810814</v>
      </c>
      <c r="AN118" s="407">
        <f t="shared" si="114"/>
        <v>0.2175</v>
      </c>
      <c r="AO118" s="407">
        <f t="shared" si="115"/>
        <v>9.3689367091186977</v>
      </c>
      <c r="AP118">
        <f t="shared" si="74"/>
        <v>196.20000000000002</v>
      </c>
      <c r="AQ118" s="10">
        <f t="shared" si="116"/>
        <v>0.95442435584333551</v>
      </c>
      <c r="AR118" s="63">
        <f t="shared" si="117"/>
        <v>289.89269329515895</v>
      </c>
      <c r="AS118" s="63">
        <f t="shared" si="118"/>
        <v>32.666393780248576</v>
      </c>
      <c r="AT118" s="10"/>
      <c r="AU118">
        <f t="shared" si="119"/>
        <v>95.442435584333552</v>
      </c>
    </row>
    <row r="119" spans="7:47" x14ac:dyDescent="0.2">
      <c r="G119">
        <v>110</v>
      </c>
      <c r="H119">
        <f t="shared" si="55"/>
        <v>8.25</v>
      </c>
      <c r="I119" s="406">
        <f t="shared" si="97"/>
        <v>0.50640561553715879</v>
      </c>
      <c r="J119" s="407">
        <f t="shared" si="56"/>
        <v>2.1703097808735379</v>
      </c>
      <c r="K119" s="407">
        <f t="shared" si="77"/>
        <v>9.3351548904367689</v>
      </c>
      <c r="L119" s="407">
        <f t="shared" si="98"/>
        <v>7.1648451095632311</v>
      </c>
      <c r="M119" s="63">
        <f t="shared" si="57"/>
        <v>0</v>
      </c>
      <c r="N119" s="406">
        <f t="shared" si="99"/>
        <v>8.2737549141092082</v>
      </c>
      <c r="O119" s="406">
        <f t="shared" si="100"/>
        <v>0.42468458230589656</v>
      </c>
      <c r="P119">
        <f t="shared" si="59"/>
        <v>0.2</v>
      </c>
      <c r="Q119" s="406">
        <f t="shared" si="80"/>
        <v>0.62468458230589663</v>
      </c>
      <c r="R119" s="9">
        <f t="shared" si="101"/>
        <v>0.62651446810610745</v>
      </c>
      <c r="S119" s="9">
        <f t="shared" si="102"/>
        <v>3.9252037874627874E-4</v>
      </c>
      <c r="T119" s="9">
        <f t="shared" si="103"/>
        <v>3.9252037874627874E-4</v>
      </c>
      <c r="U119" s="406">
        <f t="shared" si="104"/>
        <v>5.8877845350783478</v>
      </c>
      <c r="V119" s="408">
        <f t="shared" si="105"/>
        <v>6.9332013463015513E-2</v>
      </c>
      <c r="W119" s="406">
        <f t="shared" si="106"/>
        <v>6.9332013463015513E-2</v>
      </c>
      <c r="X119" s="406">
        <f t="shared" si="107"/>
        <v>5.8877845350783478</v>
      </c>
      <c r="Y119" s="406">
        <f t="shared" si="108"/>
        <v>1.8026323500384034</v>
      </c>
      <c r="Z119" s="406">
        <f t="shared" si="62"/>
        <v>1.0874988108872461</v>
      </c>
      <c r="AA119" s="406">
        <f t="shared" si="63"/>
        <v>0.37132800000000021</v>
      </c>
      <c r="AB119" s="406">
        <f t="shared" si="64"/>
        <v>0</v>
      </c>
      <c r="AC119" s="406">
        <f t="shared" si="109"/>
        <v>5.4049491041086739</v>
      </c>
      <c r="AD119" s="406">
        <f t="shared" si="110"/>
        <v>5.8128318096465268</v>
      </c>
      <c r="AE119" s="406">
        <f t="shared" si="111"/>
        <v>0.33789013647238514</v>
      </c>
      <c r="AF119" s="406">
        <f t="shared" si="67"/>
        <v>0.44550000000000001</v>
      </c>
      <c r="AG119" s="406">
        <f t="shared" si="112"/>
        <v>0.82816261300512584</v>
      </c>
      <c r="AH119" s="406">
        <f t="shared" si="113"/>
        <v>0</v>
      </c>
      <c r="AI119">
        <f t="shared" si="70"/>
        <v>0</v>
      </c>
      <c r="AJ119" s="407">
        <f t="shared" si="71"/>
        <v>2.3785499999999997</v>
      </c>
      <c r="AK119">
        <f t="shared" si="85"/>
        <v>9.6000000000000002E-2</v>
      </c>
      <c r="AL119" s="407">
        <f t="shared" si="72"/>
        <v>0.1215</v>
      </c>
      <c r="AM119" s="407">
        <f t="shared" si="86"/>
        <v>0.70770810810810814</v>
      </c>
      <c r="AN119" s="407">
        <f t="shared" si="114"/>
        <v>0.2175</v>
      </c>
      <c r="AO119" s="407">
        <f t="shared" si="115"/>
        <v>9.5235708332614575</v>
      </c>
      <c r="AP119">
        <f t="shared" si="74"/>
        <v>198</v>
      </c>
      <c r="AQ119" s="10">
        <f t="shared" si="116"/>
        <v>0.95410848611065324</v>
      </c>
      <c r="AR119" s="63">
        <f t="shared" si="117"/>
        <v>297.27220072597709</v>
      </c>
      <c r="AS119" s="63">
        <f t="shared" si="118"/>
        <v>33.126504520205032</v>
      </c>
      <c r="AT119" s="10"/>
      <c r="AU119">
        <f t="shared" si="119"/>
        <v>95.410848611065319</v>
      </c>
    </row>
    <row r="120" spans="7:47" x14ac:dyDescent="0.2">
      <c r="G120">
        <v>111</v>
      </c>
      <c r="H120">
        <f t="shared" si="55"/>
        <v>8.3250000000000011</v>
      </c>
      <c r="I120" s="406">
        <f t="shared" si="97"/>
        <v>0.50646427570836317</v>
      </c>
      <c r="J120" s="407">
        <f t="shared" si="56"/>
        <v>2.1705611816072712</v>
      </c>
      <c r="K120" s="407">
        <f t="shared" si="77"/>
        <v>9.4102805908036373</v>
      </c>
      <c r="L120" s="407">
        <f t="shared" si="98"/>
        <v>7.2397194091963657</v>
      </c>
      <c r="M120" s="63">
        <f t="shared" si="57"/>
        <v>0</v>
      </c>
      <c r="N120" s="406">
        <f t="shared" si="99"/>
        <v>8.3485469586185115</v>
      </c>
      <c r="O120" s="406">
        <f t="shared" si="100"/>
        <v>0.43266426737176256</v>
      </c>
      <c r="P120">
        <f t="shared" si="59"/>
        <v>0.2</v>
      </c>
      <c r="Q120" s="406">
        <f t="shared" si="80"/>
        <v>0.63266426737176262</v>
      </c>
      <c r="R120" s="9">
        <f t="shared" si="101"/>
        <v>0.62658704124675513</v>
      </c>
      <c r="S120" s="9">
        <f t="shared" si="102"/>
        <v>3.9261132025836281E-4</v>
      </c>
      <c r="T120" s="9">
        <f t="shared" si="103"/>
        <v>3.9261132025836281E-4</v>
      </c>
      <c r="U120" s="406">
        <f t="shared" si="104"/>
        <v>5.9413522683047502</v>
      </c>
      <c r="V120" s="408">
        <f t="shared" si="105"/>
        <v>7.0599333552179996E-2</v>
      </c>
      <c r="W120" s="406">
        <f t="shared" si="106"/>
        <v>7.0599333552179996E-2</v>
      </c>
      <c r="X120" s="406">
        <f t="shared" si="107"/>
        <v>5.9413522683047502</v>
      </c>
      <c r="Y120" s="406">
        <f t="shared" si="108"/>
        <v>1.8355826723566799</v>
      </c>
      <c r="Z120" s="406">
        <f t="shared" si="62"/>
        <v>1.0979590957690117</v>
      </c>
      <c r="AA120" s="406">
        <f t="shared" si="63"/>
        <v>0.37132800000000021</v>
      </c>
      <c r="AB120" s="406">
        <f t="shared" si="64"/>
        <v>0</v>
      </c>
      <c r="AC120" s="406">
        <f t="shared" si="109"/>
        <v>5.5434854536090157</v>
      </c>
      <c r="AD120" s="406">
        <f t="shared" si="110"/>
        <v>5.8650293728308291</v>
      </c>
      <c r="AE120" s="406">
        <f t="shared" si="111"/>
        <v>0.34398569544168389</v>
      </c>
      <c r="AF120" s="406">
        <f t="shared" si="67"/>
        <v>0.44955000000000006</v>
      </c>
      <c r="AG120" s="406">
        <f t="shared" si="112"/>
        <v>0.8397538239422585</v>
      </c>
      <c r="AH120" s="406">
        <f t="shared" si="113"/>
        <v>0</v>
      </c>
      <c r="AI120">
        <f t="shared" si="70"/>
        <v>0</v>
      </c>
      <c r="AJ120" s="407">
        <f t="shared" si="71"/>
        <v>2.3783549999999996</v>
      </c>
      <c r="AK120">
        <f t="shared" si="85"/>
        <v>9.6000000000000002E-2</v>
      </c>
      <c r="AL120" s="407">
        <f t="shared" si="72"/>
        <v>0.1215</v>
      </c>
      <c r="AM120" s="407">
        <f t="shared" si="86"/>
        <v>0.70770810810810814</v>
      </c>
      <c r="AN120" s="407">
        <f t="shared" si="114"/>
        <v>0.2175</v>
      </c>
      <c r="AO120" s="407">
        <f t="shared" si="115"/>
        <v>9.6827504897954739</v>
      </c>
      <c r="AP120">
        <f t="shared" si="74"/>
        <v>199.8</v>
      </c>
      <c r="AQ120" s="10">
        <f t="shared" si="116"/>
        <v>0.95377781479784829</v>
      </c>
      <c r="AR120" s="63">
        <f t="shared" si="117"/>
        <v>304.89169994849584</v>
      </c>
      <c r="AS120" s="63">
        <f t="shared" si="118"/>
        <v>33.590152957690343</v>
      </c>
      <c r="AT120" s="10"/>
      <c r="AU120">
        <f t="shared" si="119"/>
        <v>95.377781479784829</v>
      </c>
    </row>
    <row r="121" spans="7:47" x14ac:dyDescent="0.2">
      <c r="G121">
        <v>112</v>
      </c>
      <c r="H121">
        <f t="shared" si="55"/>
        <v>8.4</v>
      </c>
      <c r="I121" s="406">
        <f t="shared" si="97"/>
        <v>0.50652294363572248</v>
      </c>
      <c r="J121" s="407">
        <f t="shared" si="56"/>
        <v>2.170812615581668</v>
      </c>
      <c r="K121" s="407">
        <f t="shared" si="77"/>
        <v>9.4854063077908339</v>
      </c>
      <c r="L121" s="407">
        <f t="shared" si="98"/>
        <v>7.3145936922091668</v>
      </c>
      <c r="M121" s="63">
        <f t="shared" si="57"/>
        <v>0</v>
      </c>
      <c r="N121" s="406">
        <f t="shared" si="99"/>
        <v>8.4233427025338763</v>
      </c>
      <c r="O121" s="406">
        <f t="shared" si="100"/>
        <v>0.44072615531576204</v>
      </c>
      <c r="P121">
        <f t="shared" si="59"/>
        <v>0.2</v>
      </c>
      <c r="Q121" s="406">
        <f t="shared" si="80"/>
        <v>0.64072615531576205</v>
      </c>
      <c r="R121" s="9">
        <f t="shared" si="101"/>
        <v>0.62665962398315589</v>
      </c>
      <c r="S121" s="9">
        <f t="shared" si="102"/>
        <v>3.9270228433071032E-4</v>
      </c>
      <c r="T121" s="9">
        <f t="shared" si="103"/>
        <v>3.9270228433071032E-4</v>
      </c>
      <c r="U121" s="406">
        <f t="shared" si="104"/>
        <v>5.9949288252629191</v>
      </c>
      <c r="V121" s="408">
        <f t="shared" si="105"/>
        <v>7.1878343239936485E-2</v>
      </c>
      <c r="W121" s="406">
        <f t="shared" si="106"/>
        <v>7.1878343239936485E-2</v>
      </c>
      <c r="X121" s="406">
        <f t="shared" si="107"/>
        <v>5.9949288252629191</v>
      </c>
      <c r="Y121" s="406">
        <f t="shared" si="108"/>
        <v>1.8688369242383485</v>
      </c>
      <c r="Z121" s="406">
        <f t="shared" si="62"/>
        <v>1.1084193796713537</v>
      </c>
      <c r="AA121" s="406">
        <f t="shared" si="63"/>
        <v>0.37132800000000021</v>
      </c>
      <c r="AB121" s="406">
        <f t="shared" si="64"/>
        <v>0</v>
      </c>
      <c r="AC121" s="406">
        <f t="shared" si="109"/>
        <v>5.6865940149224912</v>
      </c>
      <c r="AD121" s="406">
        <f t="shared" si="110"/>
        <v>5.9172232224551466</v>
      </c>
      <c r="AE121" s="406">
        <f t="shared" si="111"/>
        <v>0.35013530664362469</v>
      </c>
      <c r="AF121" s="406">
        <f t="shared" si="67"/>
        <v>0.4536</v>
      </c>
      <c r="AG121" s="406">
        <f t="shared" si="112"/>
        <v>0.85143404596706473</v>
      </c>
      <c r="AH121" s="406">
        <f t="shared" si="113"/>
        <v>0</v>
      </c>
      <c r="AI121">
        <f t="shared" si="70"/>
        <v>0</v>
      </c>
      <c r="AJ121" s="407">
        <f t="shared" si="71"/>
        <v>2.3781599999999998</v>
      </c>
      <c r="AK121">
        <f t="shared" si="85"/>
        <v>9.6000000000000002E-2</v>
      </c>
      <c r="AL121" s="407">
        <f t="shared" si="72"/>
        <v>0.1215</v>
      </c>
      <c r="AM121" s="407">
        <f t="shared" si="86"/>
        <v>0.70770810810810814</v>
      </c>
      <c r="AN121" s="407">
        <f t="shared" si="114"/>
        <v>0.2175</v>
      </c>
      <c r="AO121" s="407">
        <f t="shared" si="115"/>
        <v>9.8466852617295846</v>
      </c>
      <c r="AP121">
        <f t="shared" si="74"/>
        <v>201.60000000000002</v>
      </c>
      <c r="AQ121" s="10">
        <f t="shared" si="116"/>
        <v>0.95343182963808903</v>
      </c>
      <c r="AR121" s="63">
        <f t="shared" si="117"/>
        <v>312.76267082073701</v>
      </c>
      <c r="AS121" s="63">
        <f t="shared" si="118"/>
        <v>34.057361838682588</v>
      </c>
      <c r="AT121" s="10"/>
      <c r="AU121">
        <f t="shared" si="119"/>
        <v>95.3431829638089</v>
      </c>
    </row>
    <row r="122" spans="7:47" x14ac:dyDescent="0.2">
      <c r="G122">
        <v>113</v>
      </c>
      <c r="H122">
        <f t="shared" si="55"/>
        <v>8.4749999999999996</v>
      </c>
      <c r="I122" s="406">
        <f t="shared" si="97"/>
        <v>0.50658161932077561</v>
      </c>
      <c r="J122" s="407">
        <f t="shared" si="56"/>
        <v>2.1710640828033241</v>
      </c>
      <c r="K122" s="407">
        <f t="shared" si="77"/>
        <v>9.560532041401661</v>
      </c>
      <c r="L122" s="407">
        <f t="shared" si="98"/>
        <v>7.3894679585983374</v>
      </c>
      <c r="M122" s="63">
        <f t="shared" si="57"/>
        <v>0</v>
      </c>
      <c r="N122" s="406">
        <f t="shared" si="99"/>
        <v>8.4981420481755823</v>
      </c>
      <c r="O122" s="406">
        <f t="shared" si="100"/>
        <v>0.44887053525687293</v>
      </c>
      <c r="P122">
        <f t="shared" si="59"/>
        <v>0.2</v>
      </c>
      <c r="Q122" s="406">
        <f t="shared" si="80"/>
        <v>0.64887053525687288</v>
      </c>
      <c r="R122" s="9">
        <f t="shared" si="101"/>
        <v>0.62673221631721354</v>
      </c>
      <c r="S122" s="9">
        <f t="shared" si="102"/>
        <v>3.9279327096988656E-4</v>
      </c>
      <c r="T122" s="9">
        <f t="shared" si="103"/>
        <v>3.9279327096988656E-4</v>
      </c>
      <c r="U122" s="406">
        <f t="shared" si="104"/>
        <v>6.0485141375789979</v>
      </c>
      <c r="V122" s="408">
        <f t="shared" si="105"/>
        <v>7.3169046544986016E-2</v>
      </c>
      <c r="W122" s="406">
        <f t="shared" si="106"/>
        <v>7.3169046544986016E-2</v>
      </c>
      <c r="X122" s="406">
        <f t="shared" si="107"/>
        <v>6.0485141375789979</v>
      </c>
      <c r="Y122" s="406">
        <f t="shared" si="108"/>
        <v>1.9023952101696364</v>
      </c>
      <c r="Z122" s="406">
        <f t="shared" si="62"/>
        <v>1.118879662594078</v>
      </c>
      <c r="AA122" s="406">
        <f t="shared" si="63"/>
        <v>0.37132800000000021</v>
      </c>
      <c r="AB122" s="406">
        <f t="shared" si="64"/>
        <v>0</v>
      </c>
      <c r="AC122" s="406">
        <f t="shared" si="109"/>
        <v>5.8344971461882356</v>
      </c>
      <c r="AD122" s="406">
        <f t="shared" si="110"/>
        <v>5.9694132876252475</v>
      </c>
      <c r="AE122" s="406">
        <f t="shared" si="111"/>
        <v>0.35633894998476867</v>
      </c>
      <c r="AF122" s="406">
        <f t="shared" si="67"/>
        <v>0.45765</v>
      </c>
      <c r="AG122" s="406">
        <f t="shared" si="112"/>
        <v>0.86320385482494899</v>
      </c>
      <c r="AH122" s="406">
        <f t="shared" si="113"/>
        <v>0</v>
      </c>
      <c r="AI122">
        <f t="shared" si="70"/>
        <v>0</v>
      </c>
      <c r="AJ122" s="407">
        <f t="shared" si="71"/>
        <v>2.3779649999999997</v>
      </c>
      <c r="AK122">
        <f t="shared" si="85"/>
        <v>9.6000000000000002E-2</v>
      </c>
      <c r="AL122" s="407">
        <f t="shared" si="72"/>
        <v>0.1215</v>
      </c>
      <c r="AM122" s="407">
        <f t="shared" si="86"/>
        <v>0.70770810810810814</v>
      </c>
      <c r="AN122" s="407">
        <f t="shared" si="114"/>
        <v>0.2175</v>
      </c>
      <c r="AO122" s="407">
        <f t="shared" si="115"/>
        <v>10.015598376086013</v>
      </c>
      <c r="AP122">
        <f t="shared" si="74"/>
        <v>203.39999999999998</v>
      </c>
      <c r="AQ122" s="10">
        <f t="shared" si="116"/>
        <v>0.95306997964396067</v>
      </c>
      <c r="AR122" s="63">
        <f t="shared" si="117"/>
        <v>320.89734304035295</v>
      </c>
      <c r="AS122" s="63">
        <f t="shared" si="118"/>
        <v>34.52815419299796</v>
      </c>
      <c r="AT122" s="10"/>
      <c r="AU122">
        <f t="shared" si="119"/>
        <v>95.306997964396061</v>
      </c>
    </row>
    <row r="123" spans="7:47" x14ac:dyDescent="0.2">
      <c r="G123">
        <v>114</v>
      </c>
      <c r="H123">
        <f t="shared" si="55"/>
        <v>8.5499999999999989</v>
      </c>
      <c r="I123" s="406">
        <f t="shared" si="97"/>
        <v>0.50664030276506111</v>
      </c>
      <c r="J123" s="407">
        <f t="shared" si="56"/>
        <v>2.1713155832788336</v>
      </c>
      <c r="K123" s="407">
        <f t="shared" si="77"/>
        <v>9.6356577916394155</v>
      </c>
      <c r="L123" s="407">
        <f t="shared" si="98"/>
        <v>7.4643422083605824</v>
      </c>
      <c r="M123" s="63">
        <f t="shared" si="57"/>
        <v>0</v>
      </c>
      <c r="N123" s="406">
        <f t="shared" si="99"/>
        <v>8.5729449012683165</v>
      </c>
      <c r="O123" s="406">
        <f t="shared" si="100"/>
        <v>0.45709769980962039</v>
      </c>
      <c r="P123">
        <f t="shared" si="59"/>
        <v>0.2</v>
      </c>
      <c r="Q123" s="406">
        <f t="shared" si="80"/>
        <v>0.65709769980962041</v>
      </c>
      <c r="R123" s="9">
        <f t="shared" si="101"/>
        <v>0.62680481825083201</v>
      </c>
      <c r="S123" s="9">
        <f t="shared" si="102"/>
        <v>3.9288428018245853E-4</v>
      </c>
      <c r="T123" s="9">
        <f t="shared" si="103"/>
        <v>3.9288428018245853E-4</v>
      </c>
      <c r="U123" s="406">
        <f t="shared" si="104"/>
        <v>6.1021081392864662</v>
      </c>
      <c r="V123" s="408">
        <f t="shared" si="105"/>
        <v>7.4471447487092279E-2</v>
      </c>
      <c r="W123" s="406">
        <f t="shared" si="106"/>
        <v>7.4471447487092279E-2</v>
      </c>
      <c r="X123" s="406">
        <f t="shared" si="107"/>
        <v>6.1021081392864662</v>
      </c>
      <c r="Y123" s="406">
        <f t="shared" si="108"/>
        <v>1.9362576346643992</v>
      </c>
      <c r="Z123" s="406">
        <f t="shared" si="62"/>
        <v>1.12933994453699</v>
      </c>
      <c r="AA123" s="406">
        <f t="shared" si="63"/>
        <v>0.37132800000000021</v>
      </c>
      <c r="AB123" s="406">
        <f t="shared" si="64"/>
        <v>0</v>
      </c>
      <c r="AC123" s="406">
        <f t="shared" si="109"/>
        <v>5.9874319687274982</v>
      </c>
      <c r="AD123" s="406">
        <f t="shared" si="110"/>
        <v>6.0215994998535312</v>
      </c>
      <c r="AE123" s="406">
        <f t="shared" si="111"/>
        <v>0.36259660536636296</v>
      </c>
      <c r="AF123" s="406">
        <f t="shared" si="67"/>
        <v>0.46169999999999994</v>
      </c>
      <c r="AG123" s="406">
        <f t="shared" si="112"/>
        <v>0.87506383344407468</v>
      </c>
      <c r="AH123" s="406">
        <f t="shared" si="113"/>
        <v>0</v>
      </c>
      <c r="AI123">
        <f t="shared" si="70"/>
        <v>0</v>
      </c>
      <c r="AJ123" s="407">
        <f t="shared" si="71"/>
        <v>2.3777699999999999</v>
      </c>
      <c r="AK123">
        <f t="shared" si="85"/>
        <v>9.6000000000000002E-2</v>
      </c>
      <c r="AL123" s="407">
        <f t="shared" si="72"/>
        <v>0.1215</v>
      </c>
      <c r="AM123" s="407">
        <f t="shared" si="86"/>
        <v>0.70770810810810814</v>
      </c>
      <c r="AN123" s="407">
        <f t="shared" si="114"/>
        <v>0.2175</v>
      </c>
      <c r="AO123" s="407">
        <f t="shared" si="115"/>
        <v>10.189727833748467</v>
      </c>
      <c r="AP123">
        <f t="shared" si="74"/>
        <v>205.2</v>
      </c>
      <c r="AQ123" s="10">
        <f t="shared" si="116"/>
        <v>0.95269167227132789</v>
      </c>
      <c r="AR123" s="63">
        <f t="shared" si="117"/>
        <v>329.3087582800124</v>
      </c>
      <c r="AS123" s="63">
        <f t="shared" si="118"/>
        <v>35.00255333776299</v>
      </c>
      <c r="AT123" s="10"/>
      <c r="AU123">
        <f t="shared" si="119"/>
        <v>95.269167227132783</v>
      </c>
    </row>
    <row r="124" spans="7:47" x14ac:dyDescent="0.2">
      <c r="G124">
        <v>115</v>
      </c>
      <c r="H124">
        <f t="shared" si="55"/>
        <v>8.625</v>
      </c>
      <c r="I124" s="406">
        <f t="shared" si="97"/>
        <v>0.50669899397011819</v>
      </c>
      <c r="J124" s="407">
        <f t="shared" si="56"/>
        <v>2.1715671170147921</v>
      </c>
      <c r="K124" s="407">
        <f t="shared" si="77"/>
        <v>9.7107835585073961</v>
      </c>
      <c r="L124" s="407">
        <f t="shared" si="98"/>
        <v>7.5392164414926039</v>
      </c>
      <c r="M124" s="63">
        <f t="shared" si="57"/>
        <v>0</v>
      </c>
      <c r="N124" s="406">
        <f t="shared" si="99"/>
        <v>8.6477511707943471</v>
      </c>
      <c r="O124" s="406">
        <f t="shared" si="100"/>
        <v>0.4654079451114827</v>
      </c>
      <c r="P124">
        <f t="shared" si="59"/>
        <v>0.2</v>
      </c>
      <c r="Q124" s="406">
        <f t="shared" si="80"/>
        <v>0.66540794511148271</v>
      </c>
      <c r="R124" s="9">
        <f t="shared" si="101"/>
        <v>0.62687742978591487</v>
      </c>
      <c r="S124" s="9">
        <f t="shared" si="102"/>
        <v>3.9297531197499466E-4</v>
      </c>
      <c r="T124" s="9">
        <f t="shared" si="103"/>
        <v>3.9297531197499466E-4</v>
      </c>
      <c r="U124" s="406">
        <f t="shared" si="104"/>
        <v>6.1557107667223239</v>
      </c>
      <c r="V124" s="408">
        <f t="shared" si="105"/>
        <v>7.5785550087082293E-2</v>
      </c>
      <c r="W124" s="406">
        <f t="shared" si="106"/>
        <v>7.5785550087082293E-2</v>
      </c>
      <c r="X124" s="406">
        <f t="shared" si="107"/>
        <v>6.1557107667223239</v>
      </c>
      <c r="Y124" s="406">
        <f t="shared" si="108"/>
        <v>1.9704243022641392</v>
      </c>
      <c r="Z124" s="406">
        <f t="shared" si="62"/>
        <v>1.1398002254998962</v>
      </c>
      <c r="AA124" s="406">
        <f t="shared" si="63"/>
        <v>0.37132800000000021</v>
      </c>
      <c r="AB124" s="406">
        <f t="shared" si="64"/>
        <v>0</v>
      </c>
      <c r="AC124" s="406">
        <f t="shared" si="109"/>
        <v>6.1456516110493027</v>
      </c>
      <c r="AD124" s="406">
        <f t="shared" si="110"/>
        <v>6.0737817929551801</v>
      </c>
      <c r="AE124" s="406">
        <f t="shared" si="111"/>
        <v>0.36890825268433847</v>
      </c>
      <c r="AF124" s="406">
        <f t="shared" si="67"/>
        <v>0.46575</v>
      </c>
      <c r="AG124" s="406">
        <f t="shared" si="112"/>
        <v>0.88701457202366596</v>
      </c>
      <c r="AH124" s="406">
        <f t="shared" si="113"/>
        <v>0</v>
      </c>
      <c r="AI124">
        <f t="shared" si="70"/>
        <v>0</v>
      </c>
      <c r="AJ124" s="407">
        <f t="shared" si="71"/>
        <v>2.3775749999999998</v>
      </c>
      <c r="AK124">
        <f t="shared" si="85"/>
        <v>9.6000000000000002E-2</v>
      </c>
      <c r="AL124" s="407">
        <f t="shared" si="72"/>
        <v>0.1215</v>
      </c>
      <c r="AM124" s="407">
        <f t="shared" si="86"/>
        <v>0.70770810810810814</v>
      </c>
      <c r="AN124" s="407">
        <f t="shared" si="114"/>
        <v>0.2175</v>
      </c>
      <c r="AO124" s="407">
        <f t="shared" si="115"/>
        <v>10.369327653583507</v>
      </c>
      <c r="AP124">
        <f t="shared" si="74"/>
        <v>207</v>
      </c>
      <c r="AQ124" s="10">
        <f t="shared" si="116"/>
        <v>0.95229627029021846</v>
      </c>
      <c r="AR124" s="63">
        <f t="shared" si="117"/>
        <v>338.01083860771166</v>
      </c>
      <c r="AS124" s="63">
        <f t="shared" si="118"/>
        <v>35.480582880946642</v>
      </c>
      <c r="AT124" s="10"/>
      <c r="AU124">
        <f t="shared" si="119"/>
        <v>95.229627029021842</v>
      </c>
    </row>
    <row r="125" spans="7:47" x14ac:dyDescent="0.2">
      <c r="G125">
        <v>116</v>
      </c>
      <c r="H125">
        <f t="shared" si="55"/>
        <v>8.6999999999999993</v>
      </c>
      <c r="I125" s="406">
        <f t="shared" si="97"/>
        <v>0.50675769293748651</v>
      </c>
      <c r="J125" s="407">
        <f t="shared" si="56"/>
        <v>2.1718186840177998</v>
      </c>
      <c r="K125" s="407">
        <f t="shared" si="77"/>
        <v>9.7859093420088996</v>
      </c>
      <c r="L125" s="407">
        <f t="shared" si="98"/>
        <v>7.614090657991099</v>
      </c>
      <c r="M125" s="63">
        <f t="shared" si="57"/>
        <v>0</v>
      </c>
      <c r="N125" s="406">
        <f t="shared" si="99"/>
        <v>8.7225607688541817</v>
      </c>
      <c r="O125" s="406">
        <f t="shared" si="100"/>
        <v>0.47380157085069208</v>
      </c>
      <c r="P125">
        <f t="shared" si="59"/>
        <v>0.2</v>
      </c>
      <c r="Q125" s="406">
        <f t="shared" si="80"/>
        <v>0.67380157085069214</v>
      </c>
      <c r="R125" s="9">
        <f t="shared" si="101"/>
        <v>0.62695005092436773</v>
      </c>
      <c r="S125" s="9">
        <f t="shared" si="102"/>
        <v>3.9306636635406728E-4</v>
      </c>
      <c r="T125" s="9">
        <f t="shared" si="103"/>
        <v>3.9306636635406728E-4</v>
      </c>
      <c r="U125" s="406">
        <f t="shared" si="104"/>
        <v>6.209321958428573</v>
      </c>
      <c r="V125" s="408">
        <f t="shared" si="105"/>
        <v>7.7111358366846502E-2</v>
      </c>
      <c r="W125" s="406">
        <f t="shared" si="106"/>
        <v>7.7111358366846502E-2</v>
      </c>
      <c r="X125" s="406">
        <f t="shared" si="107"/>
        <v>6.209321958428573</v>
      </c>
      <c r="Y125" s="406">
        <f t="shared" si="108"/>
        <v>2.0048953175380091</v>
      </c>
      <c r="Z125" s="406">
        <f t="shared" si="62"/>
        <v>1.1502605054826014</v>
      </c>
      <c r="AA125" s="406">
        <f t="shared" si="63"/>
        <v>0.37132800000000021</v>
      </c>
      <c r="AB125" s="406">
        <f t="shared" si="64"/>
        <v>0</v>
      </c>
      <c r="AC125" s="406">
        <f t="shared" si="109"/>
        <v>6.3094265808423673</v>
      </c>
      <c r="AD125" s="406">
        <f t="shared" si="110"/>
        <v>6.1259601029496427</v>
      </c>
      <c r="AE125" s="406">
        <f t="shared" si="111"/>
        <v>0.37527387182930794</v>
      </c>
      <c r="AF125" s="406">
        <f t="shared" si="67"/>
        <v>0.46979999999999994</v>
      </c>
      <c r="AG125" s="406">
        <f t="shared" si="112"/>
        <v>0.89905666812383389</v>
      </c>
      <c r="AH125" s="406">
        <f t="shared" si="113"/>
        <v>0</v>
      </c>
      <c r="AI125">
        <f t="shared" si="70"/>
        <v>0</v>
      </c>
      <c r="AJ125" s="407">
        <f t="shared" si="71"/>
        <v>2.37738</v>
      </c>
      <c r="AK125">
        <f t="shared" si="85"/>
        <v>9.6000000000000002E-2</v>
      </c>
      <c r="AL125" s="407">
        <f t="shared" si="72"/>
        <v>0.1215</v>
      </c>
      <c r="AM125" s="407">
        <f t="shared" si="86"/>
        <v>0.70770810810810814</v>
      </c>
      <c r="AN125" s="407">
        <f t="shared" si="114"/>
        <v>0.2175</v>
      </c>
      <c r="AO125" s="407">
        <f t="shared" si="115"/>
        <v>10.554669244550093</v>
      </c>
      <c r="AP125">
        <f t="shared" si="74"/>
        <v>208.79999999999998</v>
      </c>
      <c r="AQ125" s="10">
        <f t="shared" si="116"/>
        <v>0.95188308832950752</v>
      </c>
      <c r="AR125" s="63">
        <f t="shared" si="117"/>
        <v>347.01846194633021</v>
      </c>
      <c r="AS125" s="63">
        <f t="shared" si="118"/>
        <v>35.962266724953352</v>
      </c>
      <c r="AT125" s="10"/>
      <c r="AU125">
        <f t="shared" si="119"/>
        <v>95.188308832950753</v>
      </c>
    </row>
    <row r="126" spans="7:47" x14ac:dyDescent="0.2">
      <c r="G126">
        <v>117</v>
      </c>
      <c r="H126">
        <f t="shared" si="55"/>
        <v>8.7749999999999986</v>
      </c>
      <c r="I126" s="406">
        <f t="shared" si="97"/>
        <v>0.50681639966870629</v>
      </c>
      <c r="J126" s="407">
        <f t="shared" si="56"/>
        <v>2.1720702842944557</v>
      </c>
      <c r="K126" s="407">
        <f t="shared" si="77"/>
        <v>9.8610351421472267</v>
      </c>
      <c r="L126" s="407">
        <f t="shared" si="98"/>
        <v>7.6889648578527705</v>
      </c>
      <c r="M126" s="63">
        <f t="shared" si="57"/>
        <v>0</v>
      </c>
      <c r="N126" s="406">
        <f t="shared" si="99"/>
        <v>8.7973736105343523</v>
      </c>
      <c r="O126" s="406">
        <f t="shared" si="100"/>
        <v>0.48227888029444671</v>
      </c>
      <c r="P126">
        <f t="shared" si="59"/>
        <v>0.2</v>
      </c>
      <c r="Q126" s="406">
        <f t="shared" si="80"/>
        <v>0.68227888029444672</v>
      </c>
      <c r="R126" s="9">
        <f t="shared" si="101"/>
        <v>0.62702268166809549</v>
      </c>
      <c r="S126" s="9">
        <f t="shared" si="102"/>
        <v>3.9315744332624983E-4</v>
      </c>
      <c r="T126" s="9">
        <f t="shared" si="103"/>
        <v>3.9315744332624983E-4</v>
      </c>
      <c r="U126" s="406">
        <f t="shared" si="104"/>
        <v>6.2629416550587251</v>
      </c>
      <c r="V126" s="408">
        <f t="shared" si="105"/>
        <v>7.8448876349339447E-2</v>
      </c>
      <c r="W126" s="406">
        <f t="shared" si="106"/>
        <v>7.8448876349339447E-2</v>
      </c>
      <c r="X126" s="406">
        <f t="shared" si="107"/>
        <v>6.2629416550587251</v>
      </c>
      <c r="Y126" s="406">
        <f t="shared" si="108"/>
        <v>2.0396707850828255</v>
      </c>
      <c r="Z126" s="406">
        <f t="shared" si="62"/>
        <v>1.1607207844849114</v>
      </c>
      <c r="AA126" s="406">
        <f t="shared" si="63"/>
        <v>0.37132800000000021</v>
      </c>
      <c r="AB126" s="406">
        <f t="shared" si="64"/>
        <v>0</v>
      </c>
      <c r="AC126" s="406">
        <f t="shared" si="109"/>
        <v>6.4790462805825806</v>
      </c>
      <c r="AD126" s="406">
        <f t="shared" si="110"/>
        <v>6.1781343679671208</v>
      </c>
      <c r="AE126" s="406">
        <f t="shared" si="111"/>
        <v>0.38169344268656497</v>
      </c>
      <c r="AF126" s="406">
        <f t="shared" si="67"/>
        <v>0.47384999999999994</v>
      </c>
      <c r="AG126" s="406">
        <f t="shared" si="112"/>
        <v>0.91119072675695445</v>
      </c>
      <c r="AH126" s="406">
        <f t="shared" si="113"/>
        <v>0</v>
      </c>
      <c r="AI126">
        <f t="shared" si="70"/>
        <v>0</v>
      </c>
      <c r="AJ126" s="407">
        <f t="shared" si="71"/>
        <v>2.3771849999999999</v>
      </c>
      <c r="AK126">
        <f t="shared" si="85"/>
        <v>9.6000000000000002E-2</v>
      </c>
      <c r="AL126" s="407">
        <f t="shared" si="72"/>
        <v>0.1215</v>
      </c>
      <c r="AM126" s="407">
        <f t="shared" si="86"/>
        <v>0.70770810810810814</v>
      </c>
      <c r="AN126" s="407">
        <f t="shared" si="114"/>
        <v>0.2175</v>
      </c>
      <c r="AO126" s="407">
        <f t="shared" si="115"/>
        <v>10.746042921426646</v>
      </c>
      <c r="AP126">
        <f t="shared" si="74"/>
        <v>210.59999999999997</v>
      </c>
      <c r="AQ126" s="10">
        <f t="shared" si="116"/>
        <v>0.95145138905762472</v>
      </c>
      <c r="AR126" s="63">
        <f t="shared" si="117"/>
        <v>356.34754543204195</v>
      </c>
      <c r="AS126" s="63">
        <f t="shared" si="118"/>
        <v>36.447629070278175</v>
      </c>
      <c r="AT126" s="10"/>
      <c r="AU126">
        <f t="shared" si="119"/>
        <v>95.145138905762465</v>
      </c>
    </row>
    <row r="127" spans="7:47" x14ac:dyDescent="0.2">
      <c r="G127">
        <v>118</v>
      </c>
      <c r="H127">
        <f t="shared" si="55"/>
        <v>8.85</v>
      </c>
      <c r="I127" s="406">
        <f t="shared" si="97"/>
        <v>0.50687511416531761</v>
      </c>
      <c r="J127" s="407">
        <f t="shared" si="56"/>
        <v>2.1723219178513613</v>
      </c>
      <c r="K127" s="407">
        <f t="shared" si="77"/>
        <v>9.9361609589256794</v>
      </c>
      <c r="L127" s="407">
        <f t="shared" si="98"/>
        <v>7.763839041074319</v>
      </c>
      <c r="M127" s="63">
        <f t="shared" si="57"/>
        <v>0</v>
      </c>
      <c r="N127" s="406">
        <f t="shared" si="99"/>
        <v>8.8721896137818259</v>
      </c>
      <c r="O127" s="406">
        <f t="shared" si="100"/>
        <v>0.49084018031752885</v>
      </c>
      <c r="P127">
        <f t="shared" si="59"/>
        <v>0.2</v>
      </c>
      <c r="Q127" s="406">
        <f t="shared" si="80"/>
        <v>0.69084018031752881</v>
      </c>
      <c r="R127" s="9">
        <f t="shared" si="101"/>
        <v>0.62709532201900386</v>
      </c>
      <c r="S127" s="9">
        <f t="shared" si="102"/>
        <v>3.9324854289811818E-4</v>
      </c>
      <c r="T127" s="9">
        <f t="shared" si="103"/>
        <v>3.9324854289811818E-4</v>
      </c>
      <c r="U127" s="406">
        <f t="shared" si="104"/>
        <v>6.3165697992890024</v>
      </c>
      <c r="V127" s="408">
        <f t="shared" si="105"/>
        <v>7.9798108058579814E-2</v>
      </c>
      <c r="W127" s="406">
        <f t="shared" si="106"/>
        <v>7.9798108058579814E-2</v>
      </c>
      <c r="X127" s="406">
        <f t="shared" si="107"/>
        <v>6.3165697992890024</v>
      </c>
      <c r="Y127" s="406">
        <f t="shared" si="108"/>
        <v>2.0747508095230751</v>
      </c>
      <c r="Z127" s="406">
        <f t="shared" si="62"/>
        <v>1.1711810625066319</v>
      </c>
      <c r="AA127" s="406">
        <f t="shared" si="63"/>
        <v>0.37132800000000021</v>
      </c>
      <c r="AB127" s="406">
        <f t="shared" si="64"/>
        <v>0</v>
      </c>
      <c r="AC127" s="406">
        <f t="shared" si="109"/>
        <v>6.654820684605065</v>
      </c>
      <c r="AD127" s="406">
        <f t="shared" si="110"/>
        <v>6.2303045281597749</v>
      </c>
      <c r="AE127" s="406">
        <f t="shared" si="111"/>
        <v>0.38816694513608196</v>
      </c>
      <c r="AF127" s="406">
        <f t="shared" si="67"/>
        <v>0.47789999999999999</v>
      </c>
      <c r="AG127" s="406">
        <f t="shared" si="112"/>
        <v>0.92341736048062406</v>
      </c>
      <c r="AH127" s="406">
        <f t="shared" si="113"/>
        <v>0</v>
      </c>
      <c r="AI127">
        <f t="shared" si="70"/>
        <v>0</v>
      </c>
      <c r="AJ127" s="407">
        <f t="shared" si="71"/>
        <v>2.3769899999999997</v>
      </c>
      <c r="AK127">
        <f t="shared" si="85"/>
        <v>9.6000000000000002E-2</v>
      </c>
      <c r="AL127" s="407">
        <f t="shared" si="72"/>
        <v>0.1215</v>
      </c>
      <c r="AM127" s="407">
        <f t="shared" si="86"/>
        <v>0.70770810810810814</v>
      </c>
      <c r="AN127" s="407">
        <f t="shared" si="114"/>
        <v>0.2175</v>
      </c>
      <c r="AO127" s="407">
        <f t="shared" si="115"/>
        <v>10.943759582004695</v>
      </c>
      <c r="AP127">
        <f t="shared" si="74"/>
        <v>212.39999999999998</v>
      </c>
      <c r="AQ127" s="10">
        <f t="shared" si="116"/>
        <v>0.95100037895624967</v>
      </c>
      <c r="AR127" s="63">
        <f t="shared" si="117"/>
        <v>366.0151376532786</v>
      </c>
      <c r="AS127" s="63">
        <f t="shared" si="118"/>
        <v>36.936694419224963</v>
      </c>
      <c r="AT127" s="10"/>
      <c r="AU127">
        <f t="shared" si="119"/>
        <v>95.100037895624965</v>
      </c>
    </row>
    <row r="128" spans="7:47" x14ac:dyDescent="0.2">
      <c r="G128">
        <v>119</v>
      </c>
      <c r="H128">
        <f t="shared" si="55"/>
        <v>8.9249999999999989</v>
      </c>
      <c r="I128" s="406">
        <f t="shared" si="97"/>
        <v>0.50693383642886169</v>
      </c>
      <c r="J128" s="407">
        <f t="shared" si="56"/>
        <v>2.1725735846951215</v>
      </c>
      <c r="K128" s="407">
        <f t="shared" si="77"/>
        <v>10.01128679234756</v>
      </c>
      <c r="L128" s="407">
        <f t="shared" si="98"/>
        <v>7.8387132076524377</v>
      </c>
      <c r="M128" s="63">
        <f t="shared" si="57"/>
        <v>0</v>
      </c>
      <c r="N128" s="406">
        <f t="shared" si="99"/>
        <v>8.9470086992847087</v>
      </c>
      <c r="O128" s="406">
        <f t="shared" si="100"/>
        <v>0.49948578143134009</v>
      </c>
      <c r="P128">
        <f t="shared" si="59"/>
        <v>0.2</v>
      </c>
      <c r="Q128" s="406">
        <f t="shared" si="80"/>
        <v>0.6994857814313401</v>
      </c>
      <c r="R128" s="9">
        <f t="shared" si="101"/>
        <v>0.62716797197899932</v>
      </c>
      <c r="S128" s="9">
        <f t="shared" si="102"/>
        <v>3.9333966507625089E-4</v>
      </c>
      <c r="T128" s="9">
        <f t="shared" si="103"/>
        <v>3.9333966507625089E-4</v>
      </c>
      <c r="U128" s="406">
        <f t="shared" si="104"/>
        <v>6.3702063357339922</v>
      </c>
      <c r="V128" s="408">
        <f t="shared" si="105"/>
        <v>8.1159057519650982E-2</v>
      </c>
      <c r="W128" s="406">
        <f t="shared" si="106"/>
        <v>8.1159057519650982E-2</v>
      </c>
      <c r="X128" s="406">
        <f t="shared" si="107"/>
        <v>6.3702063357339922</v>
      </c>
      <c r="Y128" s="406">
        <f t="shared" si="108"/>
        <v>2.1101354955109257</v>
      </c>
      <c r="Z128" s="406">
        <f t="shared" si="62"/>
        <v>1.1816413395475676</v>
      </c>
      <c r="AA128" s="406">
        <f t="shared" si="63"/>
        <v>0.37132800000000021</v>
      </c>
      <c r="AB128" s="406">
        <f t="shared" si="64"/>
        <v>0</v>
      </c>
      <c r="AC128" s="406">
        <f t="shared" si="109"/>
        <v>6.837082198071184</v>
      </c>
      <c r="AD128" s="406">
        <f t="shared" si="110"/>
        <v>6.2824705256173505</v>
      </c>
      <c r="AE128" s="406">
        <f t="shared" si="111"/>
        <v>0.39469435905250749</v>
      </c>
      <c r="AF128" s="406">
        <f t="shared" si="67"/>
        <v>0.48194999999999993</v>
      </c>
      <c r="AG128" s="406">
        <f t="shared" si="112"/>
        <v>0.93573718949222395</v>
      </c>
      <c r="AH128" s="406">
        <f t="shared" si="113"/>
        <v>0</v>
      </c>
      <c r="AI128">
        <f t="shared" si="70"/>
        <v>0</v>
      </c>
      <c r="AJ128" s="407">
        <f t="shared" si="71"/>
        <v>2.3767949999999995</v>
      </c>
      <c r="AK128">
        <f t="shared" si="85"/>
        <v>9.6000000000000002E-2</v>
      </c>
      <c r="AL128" s="407">
        <f t="shared" si="72"/>
        <v>0.1215</v>
      </c>
      <c r="AM128" s="407">
        <f t="shared" si="86"/>
        <v>0.70770810810810814</v>
      </c>
      <c r="AN128" s="407">
        <f t="shared" si="114"/>
        <v>0.2175</v>
      </c>
      <c r="AO128" s="407">
        <f t="shared" si="115"/>
        <v>11.148152566179474</v>
      </c>
      <c r="AP128">
        <f t="shared" si="74"/>
        <v>214.2</v>
      </c>
      <c r="AQ128" s="10">
        <f t="shared" si="116"/>
        <v>0.95052920363788862</v>
      </c>
      <c r="AR128" s="63">
        <f t="shared" si="117"/>
        <v>376.0395208939151</v>
      </c>
      <c r="AS128" s="63">
        <f t="shared" si="118"/>
        <v>37.42948757968896</v>
      </c>
      <c r="AT128" s="10"/>
      <c r="AU128">
        <f t="shared" si="119"/>
        <v>95.052920363788857</v>
      </c>
    </row>
    <row r="129" spans="7:47" x14ac:dyDescent="0.2">
      <c r="G129">
        <v>120</v>
      </c>
      <c r="H129">
        <f t="shared" si="55"/>
        <v>9</v>
      </c>
      <c r="I129" s="406">
        <f t="shared" si="97"/>
        <v>0.50699256646087942</v>
      </c>
      <c r="J129" s="407">
        <f t="shared" si="56"/>
        <v>2.1728252848323404</v>
      </c>
      <c r="K129" s="407">
        <f t="shared" si="77"/>
        <v>10.086412642416171</v>
      </c>
      <c r="L129" s="407">
        <f t="shared" si="98"/>
        <v>7.9135873575838298</v>
      </c>
      <c r="M129" s="63">
        <f t="shared" si="57"/>
        <v>0</v>
      </c>
      <c r="N129" s="406">
        <f t="shared" si="99"/>
        <v>9.0218307903588624</v>
      </c>
      <c r="O129" s="406">
        <f t="shared" si="100"/>
        <v>0.50821599781335813</v>
      </c>
      <c r="P129">
        <f t="shared" si="59"/>
        <v>0.2</v>
      </c>
      <c r="Q129" s="406">
        <f t="shared" si="80"/>
        <v>0.7082159978133582</v>
      </c>
      <c r="R129" s="9">
        <f t="shared" si="101"/>
        <v>0.62724063154998855</v>
      </c>
      <c r="S129" s="9">
        <f t="shared" si="102"/>
        <v>3.9343080986722852E-4</v>
      </c>
      <c r="T129" s="9">
        <f t="shared" si="103"/>
        <v>3.9343080986722852E-4</v>
      </c>
      <c r="U129" s="406">
        <f t="shared" si="104"/>
        <v>6.4238512108664683</v>
      </c>
      <c r="V129" s="408">
        <f t="shared" si="105"/>
        <v>8.2531728758701184E-2</v>
      </c>
      <c r="W129" s="406">
        <f t="shared" si="106"/>
        <v>8.2531728758701184E-2</v>
      </c>
      <c r="X129" s="406">
        <f t="shared" si="107"/>
        <v>6.4238512108664683</v>
      </c>
      <c r="Y129" s="406">
        <f t="shared" si="108"/>
        <v>2.1458249477262306</v>
      </c>
      <c r="Z129" s="406">
        <f t="shared" si="62"/>
        <v>1.1921016156075246</v>
      </c>
      <c r="AA129" s="406">
        <f t="shared" si="63"/>
        <v>0.37132800000000021</v>
      </c>
      <c r="AB129" s="406">
        <f t="shared" si="64"/>
        <v>0</v>
      </c>
      <c r="AC129" s="406">
        <f t="shared" si="109"/>
        <v>7.0261877212694488</v>
      </c>
      <c r="AD129" s="406">
        <f t="shared" si="110"/>
        <v>6.3346323042870161</v>
      </c>
      <c r="AE129" s="406">
        <f t="shared" si="111"/>
        <v>0.40127566430516631</v>
      </c>
      <c r="AF129" s="406">
        <f t="shared" si="67"/>
        <v>0.48599999999999999</v>
      </c>
      <c r="AG129" s="406">
        <f t="shared" si="112"/>
        <v>0.94815084172512665</v>
      </c>
      <c r="AH129" s="406">
        <f t="shared" si="113"/>
        <v>0</v>
      </c>
      <c r="AI129">
        <f t="shared" si="70"/>
        <v>0</v>
      </c>
      <c r="AJ129" s="407">
        <f t="shared" si="71"/>
        <v>2.3765999999999998</v>
      </c>
      <c r="AK129">
        <f t="shared" si="85"/>
        <v>9.6000000000000002E-2</v>
      </c>
      <c r="AL129" s="407">
        <f t="shared" si="72"/>
        <v>0.1215</v>
      </c>
      <c r="AM129" s="407">
        <f t="shared" si="86"/>
        <v>0.70770810810810814</v>
      </c>
      <c r="AN129" s="407">
        <f t="shared" si="114"/>
        <v>0.2175</v>
      </c>
      <c r="AO129" s="407">
        <f t="shared" si="115"/>
        <v>11.359579720376502</v>
      </c>
      <c r="AP129">
        <f t="shared" si="74"/>
        <v>216</v>
      </c>
      <c r="AQ129" s="10">
        <f t="shared" si="116"/>
        <v>0.95003694265116367</v>
      </c>
      <c r="AR129" s="63">
        <f t="shared" si="117"/>
        <v>386.44032466981969</v>
      </c>
      <c r="AS129" s="63">
        <f t="shared" si="118"/>
        <v>37.926033669005065</v>
      </c>
      <c r="AT129" s="10"/>
      <c r="AU129">
        <f t="shared" si="119"/>
        <v>95.003694265116366</v>
      </c>
    </row>
    <row r="130" spans="7:47" x14ac:dyDescent="0.2">
      <c r="G130">
        <v>121</v>
      </c>
      <c r="H130">
        <f t="shared" si="55"/>
        <v>9.0749999999999993</v>
      </c>
      <c r="I130" s="406">
        <f t="shared" si="97"/>
        <v>0.50705130426291267</v>
      </c>
      <c r="J130" s="407">
        <f t="shared" si="56"/>
        <v>2.1730770182696255</v>
      </c>
      <c r="K130" s="407">
        <f t="shared" si="77"/>
        <v>10.161538509134813</v>
      </c>
      <c r="L130" s="407">
        <f t="shared" si="98"/>
        <v>7.9884614908651868</v>
      </c>
      <c r="M130" s="63">
        <f t="shared" si="57"/>
        <v>0</v>
      </c>
      <c r="N130" s="406">
        <f t="shared" si="99"/>
        <v>9.0966558128401029</v>
      </c>
      <c r="O130" s="406">
        <f t="shared" si="100"/>
        <v>0.51703114733702016</v>
      </c>
      <c r="P130">
        <f t="shared" si="59"/>
        <v>0.2</v>
      </c>
      <c r="Q130" s="406">
        <f t="shared" si="80"/>
        <v>0.71703114733702011</v>
      </c>
      <c r="R130" s="9">
        <f t="shared" si="101"/>
        <v>0.62731330073387881</v>
      </c>
      <c r="S130" s="9">
        <f t="shared" si="102"/>
        <v>3.935219772776339E-4</v>
      </c>
      <c r="T130" s="9">
        <f t="shared" si="103"/>
        <v>3.935219772776339E-4</v>
      </c>
      <c r="U130" s="406">
        <f t="shared" si="104"/>
        <v>6.4775043729411772</v>
      </c>
      <c r="V130" s="408">
        <f t="shared" si="105"/>
        <v>8.391612580294415E-2</v>
      </c>
      <c r="W130" s="406">
        <f t="shared" si="106"/>
        <v>8.391612580294415E-2</v>
      </c>
      <c r="X130" s="406">
        <f t="shared" si="107"/>
        <v>6.4775043729411772</v>
      </c>
      <c r="Y130" s="406">
        <f t="shared" si="108"/>
        <v>2.1818192708765478</v>
      </c>
      <c r="Z130" s="406">
        <f t="shared" si="62"/>
        <v>1.2025618906863078</v>
      </c>
      <c r="AA130" s="406">
        <f t="shared" si="63"/>
        <v>0.37132800000000021</v>
      </c>
      <c r="AB130" s="406">
        <f t="shared" si="64"/>
        <v>0</v>
      </c>
      <c r="AC130" s="406">
        <f t="shared" si="109"/>
        <v>7.2225209462060871</v>
      </c>
      <c r="AD130" s="406">
        <f t="shared" si="110"/>
        <v>6.3867898098971088</v>
      </c>
      <c r="AE130" s="406">
        <f t="shared" si="111"/>
        <v>0.4079108407580555</v>
      </c>
      <c r="AF130" s="406">
        <f t="shared" si="67"/>
        <v>0.49004999999999993</v>
      </c>
      <c r="AG130" s="406">
        <f t="shared" si="112"/>
        <v>0.96065895294656545</v>
      </c>
      <c r="AH130" s="406">
        <f t="shared" si="113"/>
        <v>0</v>
      </c>
      <c r="AI130">
        <f t="shared" si="70"/>
        <v>0</v>
      </c>
      <c r="AJ130" s="407">
        <f t="shared" si="71"/>
        <v>2.3764050000000001</v>
      </c>
      <c r="AK130">
        <f t="shared" si="85"/>
        <v>9.6000000000000002E-2</v>
      </c>
      <c r="AL130" s="407">
        <f t="shared" si="72"/>
        <v>0.1215</v>
      </c>
      <c r="AM130" s="407">
        <f t="shared" si="86"/>
        <v>0.70770810810810814</v>
      </c>
      <c r="AN130" s="407">
        <f t="shared" si="114"/>
        <v>0.2175</v>
      </c>
      <c r="AO130" s="407">
        <f t="shared" si="115"/>
        <v>11.578425694269892</v>
      </c>
      <c r="AP130">
        <f t="shared" si="74"/>
        <v>217.79999999999998</v>
      </c>
      <c r="AQ130" s="10">
        <f t="shared" si="116"/>
        <v>0.94952260370945973</v>
      </c>
      <c r="AR130" s="63">
        <f t="shared" si="117"/>
        <v>397.23865204133477</v>
      </c>
      <c r="AS130" s="63">
        <f t="shared" si="118"/>
        <v>38.42635811786262</v>
      </c>
      <c r="AT130" s="10"/>
      <c r="AU130">
        <f t="shared" si="119"/>
        <v>94.952260370945979</v>
      </c>
    </row>
    <row r="131" spans="7:47" x14ac:dyDescent="0.2">
      <c r="G131">
        <v>122</v>
      </c>
      <c r="H131">
        <f t="shared" si="55"/>
        <v>9.15</v>
      </c>
      <c r="I131" s="406">
        <f t="shared" si="97"/>
        <v>0.50711004983650343</v>
      </c>
      <c r="J131" s="407">
        <f t="shared" si="56"/>
        <v>2.1733287850135863</v>
      </c>
      <c r="K131" s="407">
        <f t="shared" si="77"/>
        <v>10.236664392506793</v>
      </c>
      <c r="L131" s="407">
        <f t="shared" si="98"/>
        <v>8.0633356074932081</v>
      </c>
      <c r="M131" s="63">
        <f t="shared" si="57"/>
        <v>0</v>
      </c>
      <c r="N131" s="406">
        <f t="shared" si="99"/>
        <v>9.1714836949816387</v>
      </c>
      <c r="O131" s="406">
        <f t="shared" si="100"/>
        <v>0.52593155160203697</v>
      </c>
      <c r="P131">
        <f t="shared" si="59"/>
        <v>0.2</v>
      </c>
      <c r="Q131" s="406">
        <f t="shared" si="80"/>
        <v>0.72593155160203704</v>
      </c>
      <c r="R131" s="9">
        <f t="shared" si="101"/>
        <v>0.62738597953257824</v>
      </c>
      <c r="S131" s="9">
        <f t="shared" si="102"/>
        <v>3.9361316731405265E-4</v>
      </c>
      <c r="T131" s="9">
        <f t="shared" si="103"/>
        <v>3.9361316731405265E-4</v>
      </c>
      <c r="U131" s="406">
        <f t="shared" si="104"/>
        <v>6.5311657719223133</v>
      </c>
      <c r="V131" s="408">
        <f t="shared" si="105"/>
        <v>8.5312252680659173E-2</v>
      </c>
      <c r="W131" s="406">
        <f t="shared" si="106"/>
        <v>8.5312252680659173E-2</v>
      </c>
      <c r="X131" s="406">
        <f t="shared" si="107"/>
        <v>6.5311657719223133</v>
      </c>
      <c r="Y131" s="406">
        <f t="shared" si="108"/>
        <v>2.2181185696971384</v>
      </c>
      <c r="Z131" s="406">
        <f t="shared" si="62"/>
        <v>1.2130221647837227</v>
      </c>
      <c r="AA131" s="406">
        <f t="shared" si="63"/>
        <v>0.37132800000000021</v>
      </c>
      <c r="AB131" s="406">
        <f t="shared" si="64"/>
        <v>0</v>
      </c>
      <c r="AC131" s="406">
        <f t="shared" si="109"/>
        <v>7.4264949165622474</v>
      </c>
      <c r="AD131" s="406">
        <f t="shared" si="110"/>
        <v>6.4389429898846329</v>
      </c>
      <c r="AE131" s="406">
        <f t="shared" si="111"/>
        <v>0.41459986826984457</v>
      </c>
      <c r="AF131" s="406">
        <f t="shared" si="67"/>
        <v>0.49410000000000004</v>
      </c>
      <c r="AG131" s="406">
        <f t="shared" si="112"/>
        <v>0.97326216685720812</v>
      </c>
      <c r="AH131" s="406">
        <f t="shared" si="113"/>
        <v>0</v>
      </c>
      <c r="AI131">
        <f t="shared" si="70"/>
        <v>0</v>
      </c>
      <c r="AJ131" s="407">
        <f t="shared" si="71"/>
        <v>2.3762099999999999</v>
      </c>
      <c r="AK131">
        <f t="shared" si="85"/>
        <v>9.6000000000000002E-2</v>
      </c>
      <c r="AL131" s="407">
        <f t="shared" si="72"/>
        <v>0.1215</v>
      </c>
      <c r="AM131" s="407">
        <f t="shared" si="86"/>
        <v>0.70770810810810814</v>
      </c>
      <c r="AN131" s="407">
        <f t="shared" si="114"/>
        <v>0.2175</v>
      </c>
      <c r="AO131" s="407">
        <f t="shared" si="115"/>
        <v>11.805104500869467</v>
      </c>
      <c r="AP131">
        <f t="shared" si="74"/>
        <v>219.60000000000002</v>
      </c>
      <c r="AQ131" s="10">
        <f t="shared" si="116"/>
        <v>0.94898511626900983</v>
      </c>
      <c r="AR131" s="63">
        <f t="shared" si="117"/>
        <v>408.45722041092358</v>
      </c>
      <c r="AS131" s="63">
        <f t="shared" si="118"/>
        <v>38.930486674288325</v>
      </c>
      <c r="AT131" s="10"/>
      <c r="AU131">
        <f t="shared" si="119"/>
        <v>94.898511626900984</v>
      </c>
    </row>
    <row r="132" spans="7:47" x14ac:dyDescent="0.2">
      <c r="G132">
        <v>123</v>
      </c>
      <c r="H132">
        <f t="shared" si="55"/>
        <v>9.2249999999999996</v>
      </c>
      <c r="I132" s="406">
        <f t="shared" si="97"/>
        <v>0.50716880318319435</v>
      </c>
      <c r="J132" s="407">
        <f t="shared" si="56"/>
        <v>2.1735805850708334</v>
      </c>
      <c r="K132" s="407">
        <f t="shared" si="77"/>
        <v>10.311790292535417</v>
      </c>
      <c r="L132" s="407">
        <f t="shared" si="98"/>
        <v>8.1382097074645827</v>
      </c>
      <c r="M132" s="63">
        <f t="shared" si="57"/>
        <v>0</v>
      </c>
      <c r="N132" s="406">
        <f t="shared" si="99"/>
        <v>9.2463143673564918</v>
      </c>
      <c r="O132" s="406">
        <f t="shared" si="100"/>
        <v>0.53491753596514646</v>
      </c>
      <c r="P132">
        <f t="shared" si="59"/>
        <v>0.2</v>
      </c>
      <c r="Q132" s="406">
        <f t="shared" si="80"/>
        <v>0.73491753596514653</v>
      </c>
      <c r="R132" s="9">
        <f t="shared" si="101"/>
        <v>0.62745866794799499</v>
      </c>
      <c r="S132" s="9">
        <f t="shared" si="102"/>
        <v>3.9370437998307223E-4</v>
      </c>
      <c r="T132" s="9">
        <f t="shared" si="103"/>
        <v>3.9370437998307223E-4</v>
      </c>
      <c r="U132" s="406">
        <f t="shared" si="104"/>
        <v>6.5848353594145266</v>
      </c>
      <c r="V132" s="408">
        <f t="shared" si="105"/>
        <v>8.6720113421191666E-2</v>
      </c>
      <c r="W132" s="406">
        <f t="shared" si="106"/>
        <v>8.6720113421191666E-2</v>
      </c>
      <c r="X132" s="406">
        <f t="shared" si="107"/>
        <v>6.5848353594145266</v>
      </c>
      <c r="Y132" s="406">
        <f t="shared" si="108"/>
        <v>2.2547229489509832</v>
      </c>
      <c r="Z132" s="406">
        <f t="shared" si="62"/>
        <v>1.2234824378995743</v>
      </c>
      <c r="AA132" s="406">
        <f t="shared" si="63"/>
        <v>0.37132800000000021</v>
      </c>
      <c r="AB132" s="406">
        <f t="shared" si="64"/>
        <v>0</v>
      </c>
      <c r="AC132" s="406">
        <f t="shared" si="109"/>
        <v>7.6385548869394535</v>
      </c>
      <c r="AD132" s="406">
        <f t="shared" si="110"/>
        <v>6.4910917933262393</v>
      </c>
      <c r="AE132" s="406">
        <f t="shared" si="111"/>
        <v>0.42134272669387252</v>
      </c>
      <c r="AF132" s="406">
        <f t="shared" si="67"/>
        <v>0.49814999999999998</v>
      </c>
      <c r="AG132" s="406">
        <f t="shared" si="112"/>
        <v>0.98596113519246087</v>
      </c>
      <c r="AH132" s="406">
        <f t="shared" si="113"/>
        <v>0</v>
      </c>
      <c r="AI132">
        <f t="shared" si="70"/>
        <v>0</v>
      </c>
      <c r="AJ132" s="407">
        <f t="shared" si="71"/>
        <v>2.3760149999999998</v>
      </c>
      <c r="AK132">
        <f t="shared" si="85"/>
        <v>9.6000000000000002E-2</v>
      </c>
      <c r="AL132" s="407">
        <f t="shared" si="72"/>
        <v>0.1215</v>
      </c>
      <c r="AM132" s="407">
        <f t="shared" si="86"/>
        <v>0.70770810810810814</v>
      </c>
      <c r="AN132" s="407">
        <f t="shared" si="114"/>
        <v>0.2175</v>
      </c>
      <c r="AO132" s="407">
        <f t="shared" si="115"/>
        <v>12.040062375898236</v>
      </c>
      <c r="AP132">
        <f t="shared" si="74"/>
        <v>221.39999999999998</v>
      </c>
      <c r="AQ132" s="10">
        <f t="shared" si="116"/>
        <v>0.94842332437132981</v>
      </c>
      <c r="AR132" s="63">
        <f t="shared" si="117"/>
        <v>420.12051878166994</v>
      </c>
      <c r="AS132" s="63">
        <f t="shared" si="118"/>
        <v>39.438445407698438</v>
      </c>
      <c r="AT132" s="10"/>
      <c r="AU132">
        <f t="shared" si="119"/>
        <v>94.842332437132981</v>
      </c>
    </row>
    <row r="133" spans="7:47" x14ac:dyDescent="0.2">
      <c r="G133">
        <v>124</v>
      </c>
      <c r="H133">
        <f t="shared" si="55"/>
        <v>9.3000000000000007</v>
      </c>
      <c r="I133" s="406">
        <f t="shared" si="97"/>
        <v>0.50722756430452809</v>
      </c>
      <c r="J133" s="407">
        <f t="shared" si="56"/>
        <v>2.1738324184479776</v>
      </c>
      <c r="K133" s="407">
        <f t="shared" si="77"/>
        <v>10.38691620922399</v>
      </c>
      <c r="L133" s="407">
        <f t="shared" si="98"/>
        <v>8.213083790776011</v>
      </c>
      <c r="M133" s="63">
        <f t="shared" si="57"/>
        <v>0</v>
      </c>
      <c r="N133" s="406">
        <f t="shared" si="99"/>
        <v>9.3211477627645891</v>
      </c>
      <c r="O133" s="406">
        <f t="shared" si="100"/>
        <v>0.54398942957130902</v>
      </c>
      <c r="P133">
        <f t="shared" si="59"/>
        <v>0.2</v>
      </c>
      <c r="Q133" s="406">
        <f t="shared" si="80"/>
        <v>0.74398942957130898</v>
      </c>
      <c r="R133" s="9">
        <f t="shared" si="101"/>
        <v>0.62753136598203751</v>
      </c>
      <c r="S133" s="9">
        <f t="shared" si="102"/>
        <v>3.9379561529128196E-4</v>
      </c>
      <c r="T133" s="9">
        <f t="shared" si="103"/>
        <v>3.9379561529128196E-4</v>
      </c>
      <c r="U133" s="406">
        <f t="shared" si="104"/>
        <v>6.6385130885972234</v>
      </c>
      <c r="V133" s="408">
        <f t="shared" si="105"/>
        <v>8.8139712054953301E-2</v>
      </c>
      <c r="W133" s="406">
        <f t="shared" si="106"/>
        <v>8.8139712054953301E-2</v>
      </c>
      <c r="X133" s="406">
        <f t="shared" si="107"/>
        <v>6.6385130885972234</v>
      </c>
      <c r="Y133" s="406">
        <f t="shared" si="108"/>
        <v>2.2916325134287856</v>
      </c>
      <c r="Z133" s="406">
        <f t="shared" si="62"/>
        <v>1.2339427100336682</v>
      </c>
      <c r="AA133" s="406">
        <f t="shared" si="63"/>
        <v>0.37132800000000021</v>
      </c>
      <c r="AB133" s="406">
        <f t="shared" si="64"/>
        <v>0</v>
      </c>
      <c r="AC133" s="406">
        <f t="shared" si="109"/>
        <v>7.8591815230251649</v>
      </c>
      <c r="AD133" s="406">
        <f t="shared" si="110"/>
        <v>6.5432361708725342</v>
      </c>
      <c r="AE133" s="406">
        <f t="shared" si="111"/>
        <v>0.42813939587814664</v>
      </c>
      <c r="AF133" s="406">
        <f t="shared" si="67"/>
        <v>0.50219999999999998</v>
      </c>
      <c r="AG133" s="406">
        <f t="shared" si="112"/>
        <v>0.99875651782553643</v>
      </c>
      <c r="AH133" s="406">
        <f t="shared" si="113"/>
        <v>0</v>
      </c>
      <c r="AI133">
        <f t="shared" si="70"/>
        <v>0</v>
      </c>
      <c r="AJ133" s="407">
        <f t="shared" si="71"/>
        <v>2.3758199999999996</v>
      </c>
      <c r="AK133">
        <f t="shared" si="85"/>
        <v>9.6000000000000002E-2</v>
      </c>
      <c r="AL133" s="407">
        <f t="shared" si="72"/>
        <v>0.1215</v>
      </c>
      <c r="AM133" s="407">
        <f t="shared" si="86"/>
        <v>0.70770810810810814</v>
      </c>
      <c r="AN133" s="407">
        <f t="shared" si="114"/>
        <v>0.2175</v>
      </c>
      <c r="AO133" s="407">
        <f t="shared" si="115"/>
        <v>12.283780978092254</v>
      </c>
      <c r="AP133">
        <f t="shared" si="74"/>
        <v>223.20000000000002</v>
      </c>
      <c r="AQ133" s="10">
        <f t="shared" si="116"/>
        <v>0.94783597865181612</v>
      </c>
      <c r="AR133" s="63">
        <f t="shared" si="117"/>
        <v>432.25498376638404</v>
      </c>
      <c r="AS133" s="63">
        <f t="shared" si="118"/>
        <v>39.950260713021457</v>
      </c>
      <c r="AT133" s="10"/>
      <c r="AU133">
        <f t="shared" si="119"/>
        <v>94.783597865181619</v>
      </c>
    </row>
    <row r="134" spans="7:47" x14ac:dyDescent="0.2">
      <c r="G134">
        <v>125</v>
      </c>
      <c r="H134">
        <f t="shared" si="55"/>
        <v>9.375</v>
      </c>
      <c r="I134" s="406">
        <f t="shared" si="97"/>
        <v>0.50728633320204797</v>
      </c>
      <c r="J134" s="407">
        <f t="shared" si="56"/>
        <v>2.1740842851516344</v>
      </c>
      <c r="K134" s="407">
        <f t="shared" si="77"/>
        <v>10.462042142575818</v>
      </c>
      <c r="L134" s="407">
        <f t="shared" si="98"/>
        <v>8.2879578574241819</v>
      </c>
      <c r="M134" s="63">
        <f t="shared" si="57"/>
        <v>0</v>
      </c>
      <c r="N134" s="406">
        <f t="shared" si="99"/>
        <v>9.3959838161442821</v>
      </c>
      <c r="O134" s="406">
        <f t="shared" si="100"/>
        <v>0.55314756538535315</v>
      </c>
      <c r="P134">
        <f t="shared" si="59"/>
        <v>0.2</v>
      </c>
      <c r="Q134" s="406">
        <f t="shared" si="80"/>
        <v>0.75314756538535321</v>
      </c>
      <c r="R134" s="9">
        <f t="shared" si="101"/>
        <v>0.62760407363661563</v>
      </c>
      <c r="S134" s="9">
        <f t="shared" si="102"/>
        <v>3.9388687324527446E-4</v>
      </c>
      <c r="T134" s="9">
        <f t="shared" si="103"/>
        <v>3.9388687324527446E-4</v>
      </c>
      <c r="U134" s="406">
        <f t="shared" si="104"/>
        <v>6.6921989141620157</v>
      </c>
      <c r="V134" s="408">
        <f t="shared" si="105"/>
        <v>8.9571052613422519E-2</v>
      </c>
      <c r="W134" s="406">
        <f t="shared" si="106"/>
        <v>8.9571052613422519E-2</v>
      </c>
      <c r="X134" s="406">
        <f t="shared" si="107"/>
        <v>6.6921989141620157</v>
      </c>
      <c r="Y134" s="406">
        <f t="shared" si="108"/>
        <v>2.3288473679489856</v>
      </c>
      <c r="Z134" s="406">
        <f t="shared" si="62"/>
        <v>1.2444029811858091</v>
      </c>
      <c r="AA134" s="406">
        <f t="shared" si="63"/>
        <v>0.37132800000000021</v>
      </c>
      <c r="AB134" s="406">
        <f t="shared" si="64"/>
        <v>0</v>
      </c>
      <c r="AC134" s="406">
        <f t="shared" si="109"/>
        <v>8.088894491063412</v>
      </c>
      <c r="AD134" s="406">
        <f t="shared" si="110"/>
        <v>6.5953760746855075</v>
      </c>
      <c r="AE134" s="406">
        <f t="shared" si="111"/>
        <v>0.4349898556653401</v>
      </c>
      <c r="AF134" s="406">
        <f t="shared" si="67"/>
        <v>0.50624999999999998</v>
      </c>
      <c r="AG134" s="406">
        <f t="shared" si="112"/>
        <v>1.011648982872319</v>
      </c>
      <c r="AH134" s="406">
        <f t="shared" si="113"/>
        <v>0</v>
      </c>
      <c r="AI134">
        <f t="shared" si="70"/>
        <v>0</v>
      </c>
      <c r="AJ134" s="407">
        <f t="shared" si="71"/>
        <v>2.3756249999999999</v>
      </c>
      <c r="AK134">
        <f t="shared" si="85"/>
        <v>9.6000000000000002E-2</v>
      </c>
      <c r="AL134" s="407">
        <f t="shared" si="72"/>
        <v>0.1215</v>
      </c>
      <c r="AM134" s="407">
        <f t="shared" si="86"/>
        <v>0.70770810810810814</v>
      </c>
      <c r="AN134" s="407">
        <f t="shared" si="114"/>
        <v>0.2175</v>
      </c>
      <c r="AO134" s="407">
        <f t="shared" si="115"/>
        <v>12.536780978807752</v>
      </c>
      <c r="AP134">
        <f t="shared" si="74"/>
        <v>225</v>
      </c>
      <c r="AQ134" s="10">
        <f t="shared" si="116"/>
        <v>0.94722172740091892</v>
      </c>
      <c r="AR134" s="63">
        <f t="shared" si="117"/>
        <v>444.88919700848766</v>
      </c>
      <c r="AS134" s="63">
        <f t="shared" si="118"/>
        <v>40.465959314892757</v>
      </c>
      <c r="AT134" s="10"/>
      <c r="AU134">
        <f t="shared" si="119"/>
        <v>94.722172740091892</v>
      </c>
    </row>
    <row r="135" spans="7:47" x14ac:dyDescent="0.2">
      <c r="G135">
        <v>126</v>
      </c>
      <c r="H135">
        <f t="shared" si="55"/>
        <v>9.4499999999999993</v>
      </c>
      <c r="I135" s="406">
        <f t="shared" si="97"/>
        <v>0.50734510987729786</v>
      </c>
      <c r="J135" s="407">
        <f t="shared" si="56"/>
        <v>2.1743361851884195</v>
      </c>
      <c r="K135" s="407">
        <f t="shared" si="77"/>
        <v>10.537168092594209</v>
      </c>
      <c r="L135" s="407">
        <f t="shared" si="98"/>
        <v>8.3628319074057895</v>
      </c>
      <c r="M135" s="63">
        <f t="shared" si="57"/>
        <v>0</v>
      </c>
      <c r="N135" s="406">
        <f t="shared" si="99"/>
        <v>9.470822464488057</v>
      </c>
      <c r="O135" s="406">
        <f t="shared" si="100"/>
        <v>0.56239228022407628</v>
      </c>
      <c r="P135">
        <f t="shared" si="59"/>
        <v>0.2</v>
      </c>
      <c r="Q135" s="406">
        <f t="shared" si="80"/>
        <v>0.76239228022407635</v>
      </c>
      <c r="R135" s="9">
        <f t="shared" si="101"/>
        <v>0.62767679091363904</v>
      </c>
      <c r="S135" s="9">
        <f t="shared" si="102"/>
        <v>3.9397815385164417E-4</v>
      </c>
      <c r="T135" s="9">
        <f t="shared" si="103"/>
        <v>3.9397815385164417E-4</v>
      </c>
      <c r="U135" s="406">
        <f t="shared" si="104"/>
        <v>6.7458927922531133</v>
      </c>
      <c r="V135" s="408">
        <f t="shared" si="105"/>
        <v>9.1014139129145008E-2</v>
      </c>
      <c r="W135" s="406">
        <f t="shared" si="106"/>
        <v>9.1014139129145008E-2</v>
      </c>
      <c r="X135" s="406">
        <f t="shared" si="107"/>
        <v>6.7458927922531133</v>
      </c>
      <c r="Y135" s="406">
        <f t="shared" si="108"/>
        <v>2.3663676173577701</v>
      </c>
      <c r="Z135" s="406">
        <f t="shared" si="62"/>
        <v>1.254863251355802</v>
      </c>
      <c r="AA135" s="406">
        <f t="shared" si="63"/>
        <v>0.37132800000000021</v>
      </c>
      <c r="AB135" s="406">
        <f t="shared" si="64"/>
        <v>0</v>
      </c>
      <c r="AC135" s="406">
        <f t="shared" si="109"/>
        <v>8.3282564930255045</v>
      </c>
      <c r="AD135" s="406">
        <f t="shared" si="110"/>
        <v>6.6475114583789265</v>
      </c>
      <c r="AE135" s="406">
        <f t="shared" si="111"/>
        <v>0.44189408589279128</v>
      </c>
      <c r="AF135" s="406">
        <f t="shared" si="67"/>
        <v>0.51029999999999998</v>
      </c>
      <c r="AG135" s="406">
        <f t="shared" si="112"/>
        <v>1.0246392067980623</v>
      </c>
      <c r="AH135" s="406">
        <f t="shared" si="113"/>
        <v>0</v>
      </c>
      <c r="AI135">
        <f t="shared" si="70"/>
        <v>0</v>
      </c>
      <c r="AJ135" s="407">
        <f t="shared" si="71"/>
        <v>2.3754299999999997</v>
      </c>
      <c r="AK135">
        <f t="shared" si="85"/>
        <v>9.6000000000000002E-2</v>
      </c>
      <c r="AL135" s="407">
        <f t="shared" si="72"/>
        <v>0.1215</v>
      </c>
      <c r="AM135" s="407">
        <f t="shared" si="86"/>
        <v>0.70770810810810814</v>
      </c>
      <c r="AN135" s="407">
        <f t="shared" si="114"/>
        <v>0.2175</v>
      </c>
      <c r="AO135" s="407">
        <f t="shared" si="115"/>
        <v>12.799626097330638</v>
      </c>
      <c r="AP135">
        <f t="shared" si="74"/>
        <v>226.79999999999998</v>
      </c>
      <c r="AQ135" s="10">
        <f t="shared" si="116"/>
        <v>0.94657910654613808</v>
      </c>
      <c r="AR135" s="63">
        <f t="shared" si="117"/>
        <v>458.05410711640275</v>
      </c>
      <c r="AS135" s="63">
        <f t="shared" si="118"/>
        <v>40.985568271922489</v>
      </c>
      <c r="AT135" s="10"/>
      <c r="AU135">
        <f t="shared" si="119"/>
        <v>94.657910654613815</v>
      </c>
    </row>
    <row r="136" spans="7:47" x14ac:dyDescent="0.2">
      <c r="G136">
        <v>127</v>
      </c>
      <c r="H136">
        <f t="shared" si="55"/>
        <v>9.5250000000000004</v>
      </c>
      <c r="I136" s="406">
        <f t="shared" si="97"/>
        <v>0.50740389433182176</v>
      </c>
      <c r="J136" s="407">
        <f t="shared" si="56"/>
        <v>2.1745881185649507</v>
      </c>
      <c r="K136" s="407">
        <f t="shared" si="77"/>
        <v>10.612294059282476</v>
      </c>
      <c r="L136" s="407">
        <f t="shared" si="98"/>
        <v>8.4377059407175246</v>
      </c>
      <c r="M136" s="63">
        <f t="shared" si="57"/>
        <v>0</v>
      </c>
      <c r="N136" s="406">
        <f t="shared" si="99"/>
        <v>9.5456636467621774</v>
      </c>
      <c r="O136" s="406">
        <f t="shared" si="100"/>
        <v>0.57172391478880569</v>
      </c>
      <c r="P136">
        <f t="shared" si="59"/>
        <v>0.2</v>
      </c>
      <c r="Q136" s="406">
        <f t="shared" si="80"/>
        <v>0.77172391478880575</v>
      </c>
      <c r="R136" s="9">
        <f t="shared" si="101"/>
        <v>0.62774951781501809</v>
      </c>
      <c r="S136" s="9">
        <f t="shared" si="102"/>
        <v>3.9406945711698769E-4</v>
      </c>
      <c r="T136" s="9">
        <f t="shared" si="103"/>
        <v>3.9406945711698769E-4</v>
      </c>
      <c r="U136" s="406">
        <f t="shared" si="104"/>
        <v>6.7995946804105074</v>
      </c>
      <c r="V136" s="408">
        <f t="shared" si="105"/>
        <v>9.2468975635733738E-2</v>
      </c>
      <c r="W136" s="406">
        <f t="shared" si="106"/>
        <v>9.2468975635733738E-2</v>
      </c>
      <c r="X136" s="406">
        <f t="shared" si="107"/>
        <v>6.7995946804105074</v>
      </c>
      <c r="Y136" s="406">
        <f t="shared" si="108"/>
        <v>2.4041933665290771</v>
      </c>
      <c r="Z136" s="406">
        <f t="shared" si="62"/>
        <v>1.2653235205434525</v>
      </c>
      <c r="AA136" s="406">
        <f t="shared" si="63"/>
        <v>0.37132800000000021</v>
      </c>
      <c r="AB136" s="406">
        <f t="shared" si="64"/>
        <v>0</v>
      </c>
      <c r="AC136" s="406">
        <f t="shared" si="109"/>
        <v>8.5778778134098488</v>
      </c>
      <c r="AD136" s="406">
        <f t="shared" si="110"/>
        <v>6.6996422769615185</v>
      </c>
      <c r="AE136" s="406">
        <f t="shared" si="111"/>
        <v>0.44885206639250125</v>
      </c>
      <c r="AF136" s="406">
        <f t="shared" si="67"/>
        <v>0.51434999999999997</v>
      </c>
      <c r="AG136" s="406">
        <f t="shared" si="112"/>
        <v>1.0377278745259528</v>
      </c>
      <c r="AH136" s="406">
        <f t="shared" si="113"/>
        <v>0</v>
      </c>
      <c r="AI136">
        <f t="shared" si="70"/>
        <v>0</v>
      </c>
      <c r="AJ136" s="407">
        <f t="shared" si="71"/>
        <v>2.375235</v>
      </c>
      <c r="AK136">
        <f t="shared" si="85"/>
        <v>9.6000000000000002E-2</v>
      </c>
      <c r="AL136" s="407">
        <f t="shared" si="72"/>
        <v>0.1215</v>
      </c>
      <c r="AM136" s="407">
        <f t="shared" si="86"/>
        <v>0.70770810810810814</v>
      </c>
      <c r="AN136" s="407">
        <f t="shared" si="114"/>
        <v>0.2175</v>
      </c>
      <c r="AO136" s="407">
        <f t="shared" si="115"/>
        <v>13.072927647817457</v>
      </c>
      <c r="AP136">
        <f t="shared" si="74"/>
        <v>228.60000000000002</v>
      </c>
      <c r="AQ136" s="10">
        <f t="shared" si="116"/>
        <v>0.94590652840160794</v>
      </c>
      <c r="AR136" s="63">
        <f t="shared" si="117"/>
        <v>471.7832797375417</v>
      </c>
      <c r="AS136" s="63">
        <f t="shared" si="118"/>
        <v>41.50911498103811</v>
      </c>
      <c r="AT136" s="10"/>
      <c r="AU136">
        <f t="shared" si="119"/>
        <v>94.5906528401608</v>
      </c>
    </row>
    <row r="137" spans="7:47" x14ac:dyDescent="0.2">
      <c r="G137">
        <v>128</v>
      </c>
      <c r="H137">
        <f t="shared" ref="H137:H200" si="120">Iout*(G137/200)</f>
        <v>9.6</v>
      </c>
      <c r="I137" s="406">
        <f t="shared" si="97"/>
        <v>0.5074626865671642</v>
      </c>
      <c r="J137" s="407">
        <f t="shared" ref="J137:J200" si="121">(Vin-Vout)*I137/(Fsw*Lout2)</f>
        <v>2.1748400852878467</v>
      </c>
      <c r="K137" s="407">
        <f t="shared" si="77"/>
        <v>10.687420042643923</v>
      </c>
      <c r="L137" s="407">
        <f t="shared" si="98"/>
        <v>8.5125799573560759</v>
      </c>
      <c r="M137" s="63">
        <f t="shared" ref="M137:M200" si="122">IF(MIN(Vin, -L137/(CossTop+CossBot)*0.00000002)&lt;0, 0, MIN(Vin, -L137/(CossTop+CossBot)*0.00000002))</f>
        <v>0</v>
      </c>
      <c r="N137" s="406">
        <f t="shared" si="99"/>
        <v>9.6205073038300792</v>
      </c>
      <c r="O137" s="406">
        <f t="shared" si="100"/>
        <v>0.5811428136984268</v>
      </c>
      <c r="P137">
        <f t="shared" ref="P137:P200" si="123">Core_Loss</f>
        <v>0.2</v>
      </c>
      <c r="Q137" s="406">
        <f t="shared" si="80"/>
        <v>0.78114281369842686</v>
      </c>
      <c r="R137" s="9">
        <f t="shared" si="101"/>
        <v>0.62782225434266348</v>
      </c>
      <c r="S137" s="9">
        <f t="shared" si="102"/>
        <v>3.9416078304790403E-4</v>
      </c>
      <c r="T137" s="9">
        <f t="shared" si="103"/>
        <v>3.9416078304790403E-4</v>
      </c>
      <c r="U137" s="406">
        <f t="shared" si="104"/>
        <v>6.8533045375158084</v>
      </c>
      <c r="V137" s="408">
        <f t="shared" si="105"/>
        <v>9.3935566167869536E-2</v>
      </c>
      <c r="W137" s="406">
        <f t="shared" si="106"/>
        <v>9.3935566167869536E-2</v>
      </c>
      <c r="X137" s="406">
        <f t="shared" si="107"/>
        <v>6.8533045375158084</v>
      </c>
      <c r="Y137" s="406">
        <f t="shared" si="108"/>
        <v>2.4423247203646077</v>
      </c>
      <c r="Z137" s="406">
        <f t="shared" ref="Z137:Z200" si="124">IF(L137&lt;0, (Vin*K137*Tf/2)*Fsw, (Vin*L137*Tr/2+Vin*K137*Tf/2)*Fsw)</f>
        <v>1.275783788748565</v>
      </c>
      <c r="AA137" s="406">
        <f t="shared" ref="AA137:AA200" si="125">(0.5*CossTop*(Vin-M137)^2-0.5*CossBot*(Vin-M137)^2+(QossBot*(Vin-M137)/Vin)*Vin)*Fsw</f>
        <v>0.37132800000000021</v>
      </c>
      <c r="AB137" s="406">
        <f t="shared" ref="AB137:AB200" si="126">IF(L137&gt;0,0,-L137*VsdTop*Deadtime*Fsw)</f>
        <v>0</v>
      </c>
      <c r="AC137" s="406">
        <f t="shared" si="109"/>
        <v>8.8384214549861806</v>
      </c>
      <c r="AD137" s="406">
        <f t="shared" si="110"/>
        <v>6.7517684867827876</v>
      </c>
      <c r="AE137" s="406">
        <f t="shared" si="111"/>
        <v>0.45586377699113134</v>
      </c>
      <c r="AF137" s="406">
        <f t="shared" ref="AF137:AF200" si="127">IF(L137&lt;0, Deadtime*Fsw*IF(VfdSky&gt;0,0,VsdBot)*K137, Deadtime*Fsw*IF(VfdSky&gt;0,0,VsdBot)*(K137+L137))</f>
        <v>0.51839999999999997</v>
      </c>
      <c r="AG137" s="406">
        <f t="shared" si="112"/>
        <v>1.0509156795475725</v>
      </c>
      <c r="AH137" s="406">
        <f t="shared" si="113"/>
        <v>0</v>
      </c>
      <c r="AI137">
        <f t="shared" ref="AI137:AI200" si="128">2*Deadtime*Fsw*IF(VfdSky&gt;0,VfdSky,0)*H137</f>
        <v>0</v>
      </c>
      <c r="AJ137" s="407">
        <f t="shared" ref="AJ137:AJ200" si="129">IF(QrrSky&gt;0,QrrSky,QrrBot)*Fsw*(Vin-H137*RdsonTop)</f>
        <v>2.3750399999999998</v>
      </c>
      <c r="AK137">
        <f t="shared" si="85"/>
        <v>9.6000000000000002E-2</v>
      </c>
      <c r="AL137" s="407">
        <f t="shared" ref="AL137:AL200" si="130">IF(Ext_VCC=1, Vdd*(QgTop+QgBot)*Fsw, Vin*(QgTop+QgBot)*Fsw)</f>
        <v>0.1215</v>
      </c>
      <c r="AM137" s="407">
        <f t="shared" si="86"/>
        <v>0.70770810810810814</v>
      </c>
      <c r="AN137" s="407">
        <f t="shared" si="114"/>
        <v>0.2175</v>
      </c>
      <c r="AO137" s="407">
        <f t="shared" si="115"/>
        <v>13.357349675183096</v>
      </c>
      <c r="AP137">
        <f t="shared" ref="AP137:AP200" si="131">Vout*H137</f>
        <v>230.39999999999998</v>
      </c>
      <c r="AQ137" s="10">
        <f t="shared" si="116"/>
        <v>0.94520226900652504</v>
      </c>
      <c r="AR137" s="63">
        <f t="shared" si="117"/>
        <v>486.11318002423991</v>
      </c>
      <c r="AS137" s="63">
        <f t="shared" si="118"/>
        <v>42.036627181902901</v>
      </c>
      <c r="AT137" s="10"/>
      <c r="AU137">
        <f t="shared" si="119"/>
        <v>94.520226900652503</v>
      </c>
    </row>
    <row r="138" spans="7:47" x14ac:dyDescent="0.2">
      <c r="G138">
        <v>129</v>
      </c>
      <c r="H138">
        <f t="shared" si="120"/>
        <v>9.6750000000000007</v>
      </c>
      <c r="I138" s="406">
        <f t="shared" si="97"/>
        <v>0.50752148658487006</v>
      </c>
      <c r="J138" s="407">
        <f t="shared" si="121"/>
        <v>2.1750920853637288</v>
      </c>
      <c r="K138" s="407">
        <f t="shared" ref="K138:K201" si="132">H138+J138/2</f>
        <v>10.762546042681866</v>
      </c>
      <c r="L138" s="407">
        <f t="shared" si="98"/>
        <v>8.5874539573181359</v>
      </c>
      <c r="M138" s="63">
        <f t="shared" si="122"/>
        <v>0</v>
      </c>
      <c r="N138" s="406">
        <f t="shared" si="99"/>
        <v>9.6953533783793056</v>
      </c>
      <c r="O138" s="406">
        <f t="shared" si="100"/>
        <v>0.59064932552288718</v>
      </c>
      <c r="P138">
        <f t="shared" si="123"/>
        <v>0.2</v>
      </c>
      <c r="Q138" s="406">
        <f t="shared" ref="Q138:Q201" si="133">O138+P138</f>
        <v>0.79064932552288725</v>
      </c>
      <c r="R138" s="9">
        <f t="shared" si="101"/>
        <v>0.62789500049848668</v>
      </c>
      <c r="S138" s="9">
        <f t="shared" si="102"/>
        <v>3.9425213165099462E-4</v>
      </c>
      <c r="T138" s="9">
        <f t="shared" si="103"/>
        <v>3.9425213165099462E-4</v>
      </c>
      <c r="U138" s="406">
        <f t="shared" si="104"/>
        <v>6.9070223237405752</v>
      </c>
      <c r="V138" s="408">
        <f t="shared" si="105"/>
        <v>9.5413914761301316E-2</v>
      </c>
      <c r="W138" s="406">
        <f t="shared" si="106"/>
        <v>9.5413914761301316E-2</v>
      </c>
      <c r="X138" s="406">
        <f t="shared" si="107"/>
        <v>6.9070223237405752</v>
      </c>
      <c r="Y138" s="406">
        <f t="shared" si="108"/>
        <v>2.4807617837938341</v>
      </c>
      <c r="Z138" s="406">
        <f t="shared" si="124"/>
        <v>1.2862440559709445</v>
      </c>
      <c r="AA138" s="406">
        <f t="shared" si="125"/>
        <v>0.37132800000000021</v>
      </c>
      <c r="AB138" s="406">
        <f t="shared" si="126"/>
        <v>0</v>
      </c>
      <c r="AC138" s="406">
        <f t="shared" si="109"/>
        <v>9.1106089544466116</v>
      </c>
      <c r="AD138" s="406">
        <f t="shared" si="110"/>
        <v>6.8038900454813609</v>
      </c>
      <c r="AE138" s="406">
        <f t="shared" si="111"/>
        <v>0.46292919751000355</v>
      </c>
      <c r="AF138" s="406">
        <f t="shared" si="127"/>
        <v>0.52245000000000008</v>
      </c>
      <c r="AG138" s="406">
        <f t="shared" si="112"/>
        <v>1.0642033240353066</v>
      </c>
      <c r="AH138" s="406">
        <f t="shared" si="113"/>
        <v>0</v>
      </c>
      <c r="AI138">
        <f t="shared" si="128"/>
        <v>0</v>
      </c>
      <c r="AJ138" s="407">
        <f t="shared" si="129"/>
        <v>2.3748449999999997</v>
      </c>
      <c r="AK138">
        <f t="shared" ref="AK138:AK201" si="134">Iq*Vin</f>
        <v>9.6000000000000002E-2</v>
      </c>
      <c r="AL138" s="407">
        <f t="shared" si="130"/>
        <v>0.1215</v>
      </c>
      <c r="AM138" s="407">
        <f t="shared" ref="AM138:AM201" si="135">(Vin-Vdd)*Fsw*(QgTop+QgBot)+(RdsonDRT+RdsonDRT2)*Fsw*QgTop*Vdd/(RdsonDRT+2*RGateTop+RdsonDRT2)+(RdsonDRB+RdsonDRB2)*Fsw*QgBot*Vdd/(RdsonDRB+2*RGateBot+RdsonDRB2)</f>
        <v>0.70770810810810814</v>
      </c>
      <c r="AN138" s="407">
        <f t="shared" si="114"/>
        <v>0.2175</v>
      </c>
      <c r="AO138" s="407">
        <f t="shared" si="115"/>
        <v>13.653614770897757</v>
      </c>
      <c r="AP138">
        <f t="shared" si="131"/>
        <v>232.20000000000002</v>
      </c>
      <c r="AQ138" s="10">
        <f t="shared" si="116"/>
        <v>0.94446445384331212</v>
      </c>
      <c r="AR138" s="63">
        <f t="shared" si="117"/>
        <v>501.08349249456364</v>
      </c>
      <c r="AS138" s="63">
        <f t="shared" si="118"/>
        <v>42.56813296141226</v>
      </c>
      <c r="AT138" s="10"/>
      <c r="AU138">
        <f t="shared" si="119"/>
        <v>94.446445384331213</v>
      </c>
    </row>
    <row r="139" spans="7:47" x14ac:dyDescent="0.2">
      <c r="G139">
        <v>130</v>
      </c>
      <c r="H139">
        <f t="shared" si="120"/>
        <v>9.75</v>
      </c>
      <c r="I139" s="406">
        <f t="shared" si="97"/>
        <v>0.50758029438648467</v>
      </c>
      <c r="J139" s="407">
        <f t="shared" si="121"/>
        <v>2.1753441187992202</v>
      </c>
      <c r="K139" s="407">
        <f t="shared" si="132"/>
        <v>10.83767205939961</v>
      </c>
      <c r="L139" s="407">
        <f t="shared" si="98"/>
        <v>8.6623279406003899</v>
      </c>
      <c r="M139" s="63">
        <f t="shared" si="122"/>
        <v>0</v>
      </c>
      <c r="N139" s="406">
        <f t="shared" si="99"/>
        <v>9.770201814851772</v>
      </c>
      <c r="O139" s="406">
        <f t="shared" si="100"/>
        <v>0.60024380281717693</v>
      </c>
      <c r="P139">
        <f t="shared" si="123"/>
        <v>0.2</v>
      </c>
      <c r="Q139" s="406">
        <f t="shared" si="133"/>
        <v>0.800243802817177</v>
      </c>
      <c r="R139" s="9">
        <f t="shared" si="101"/>
        <v>0.62796775628439949</v>
      </c>
      <c r="S139" s="9">
        <f t="shared" si="102"/>
        <v>3.9434350293286296E-4</v>
      </c>
      <c r="T139" s="9">
        <f t="shared" si="103"/>
        <v>3.9434350293286296E-4</v>
      </c>
      <c r="U139" s="406">
        <f t="shared" si="104"/>
        <v>6.960748000497019</v>
      </c>
      <c r="V139" s="408">
        <f t="shared" si="105"/>
        <v>9.6904025452846501E-2</v>
      </c>
      <c r="W139" s="406">
        <f t="shared" si="106"/>
        <v>9.6904025452846501E-2</v>
      </c>
      <c r="X139" s="406">
        <f t="shared" si="107"/>
        <v>6.960748000497019</v>
      </c>
      <c r="Y139" s="406">
        <f t="shared" si="108"/>
        <v>2.5195046617740089</v>
      </c>
      <c r="Z139" s="406">
        <f t="shared" si="124"/>
        <v>1.2967043222103958</v>
      </c>
      <c r="AA139" s="406">
        <f t="shared" si="125"/>
        <v>0.37132800000000021</v>
      </c>
      <c r="AB139" s="406">
        <f t="shared" si="126"/>
        <v>0</v>
      </c>
      <c r="AC139" s="406">
        <f t="shared" si="109"/>
        <v>9.3952269853445021</v>
      </c>
      <c r="AD139" s="406">
        <f t="shared" si="110"/>
        <v>6.8560069119356637</v>
      </c>
      <c r="AE139" s="406">
        <f t="shared" si="111"/>
        <v>0.47004830776509593</v>
      </c>
      <c r="AF139" s="406">
        <f t="shared" si="127"/>
        <v>0.52649999999999997</v>
      </c>
      <c r="AG139" s="406">
        <f t="shared" si="112"/>
        <v>1.0775915189567156</v>
      </c>
      <c r="AH139" s="406">
        <f t="shared" si="113"/>
        <v>0</v>
      </c>
      <c r="AI139">
        <f t="shared" si="128"/>
        <v>0</v>
      </c>
      <c r="AJ139" s="407">
        <f t="shared" si="129"/>
        <v>2.3746499999999999</v>
      </c>
      <c r="AK139">
        <f t="shared" si="134"/>
        <v>9.6000000000000002E-2</v>
      </c>
      <c r="AL139" s="407">
        <f t="shared" si="130"/>
        <v>0.1215</v>
      </c>
      <c r="AM139" s="407">
        <f t="shared" si="135"/>
        <v>0.70770810810810814</v>
      </c>
      <c r="AN139" s="407">
        <f t="shared" si="114"/>
        <v>0.2175</v>
      </c>
      <c r="AO139" s="407">
        <f t="shared" si="115"/>
        <v>13.962510676074173</v>
      </c>
      <c r="AP139">
        <f t="shared" si="131"/>
        <v>234</v>
      </c>
      <c r="AQ139" s="10">
        <f t="shared" si="116"/>
        <v>0.9436910416901122</v>
      </c>
      <c r="AR139" s="63">
        <f t="shared" si="117"/>
        <v>516.73748419394758</v>
      </c>
      <c r="AS139" s="63">
        <f t="shared" si="118"/>
        <v>43.103660758268624</v>
      </c>
      <c r="AT139" s="10"/>
      <c r="AU139">
        <f t="shared" si="119"/>
        <v>94.369104169011223</v>
      </c>
    </row>
    <row r="140" spans="7:47" x14ac:dyDescent="0.2">
      <c r="G140">
        <v>131</v>
      </c>
      <c r="H140">
        <f t="shared" si="120"/>
        <v>9.8250000000000011</v>
      </c>
      <c r="I140" s="406">
        <f t="shared" si="97"/>
        <v>0.50763910997355388</v>
      </c>
      <c r="J140" s="407">
        <f t="shared" si="121"/>
        <v>2.1755961856009454</v>
      </c>
      <c r="K140" s="407">
        <f t="shared" si="132"/>
        <v>10.912798092800474</v>
      </c>
      <c r="L140" s="407">
        <f t="shared" si="98"/>
        <v>8.7372019071995286</v>
      </c>
      <c r="M140" s="63">
        <f t="shared" si="122"/>
        <v>0</v>
      </c>
      <c r="N140" s="406">
        <f t="shared" si="99"/>
        <v>9.845052559377228</v>
      </c>
      <c r="O140" s="406">
        <f t="shared" si="100"/>
        <v>0.60992660215579919</v>
      </c>
      <c r="P140">
        <f t="shared" si="123"/>
        <v>0.2</v>
      </c>
      <c r="Q140" s="406">
        <f t="shared" si="133"/>
        <v>0.80992660215579915</v>
      </c>
      <c r="R140" s="9">
        <f t="shared" si="101"/>
        <v>0.6280405217023145</v>
      </c>
      <c r="S140" s="9">
        <f t="shared" si="102"/>
        <v>3.9443489690011536E-4</v>
      </c>
      <c r="T140" s="9">
        <f t="shared" si="103"/>
        <v>3.9443489690011536E-4</v>
      </c>
      <c r="U140" s="406">
        <f t="shared" si="104"/>
        <v>7.0144815303909507</v>
      </c>
      <c r="V140" s="408">
        <f t="shared" si="105"/>
        <v>9.8405902280391547E-2</v>
      </c>
      <c r="W140" s="406">
        <f t="shared" si="106"/>
        <v>9.8405902280391547E-2</v>
      </c>
      <c r="X140" s="406">
        <f t="shared" si="107"/>
        <v>7.0144815303909507</v>
      </c>
      <c r="Y140" s="406">
        <f t="shared" si="108"/>
        <v>2.55855345929018</v>
      </c>
      <c r="Z140" s="406">
        <f t="shared" si="124"/>
        <v>1.3071645874667244</v>
      </c>
      <c r="AA140" s="406">
        <f t="shared" si="125"/>
        <v>0.37132800000000021</v>
      </c>
      <c r="AB140" s="406">
        <f t="shared" si="126"/>
        <v>0</v>
      </c>
      <c r="AC140" s="406">
        <f t="shared" si="109"/>
        <v>9.6931348755315785</v>
      </c>
      <c r="AD140" s="406">
        <f t="shared" si="110"/>
        <v>6.908119046216874</v>
      </c>
      <c r="AE140" s="406">
        <f t="shared" si="111"/>
        <v>0.47722108756704329</v>
      </c>
      <c r="AF140" s="406">
        <f t="shared" si="127"/>
        <v>0.53055000000000008</v>
      </c>
      <c r="AG140" s="406">
        <f t="shared" si="112"/>
        <v>1.0910809841909341</v>
      </c>
      <c r="AH140" s="406">
        <f t="shared" si="113"/>
        <v>0</v>
      </c>
      <c r="AI140">
        <f t="shared" si="128"/>
        <v>0</v>
      </c>
      <c r="AJ140" s="407">
        <f t="shared" si="129"/>
        <v>2.3744549999999998</v>
      </c>
      <c r="AK140">
        <f t="shared" si="134"/>
        <v>9.6000000000000002E-2</v>
      </c>
      <c r="AL140" s="407">
        <f t="shared" si="130"/>
        <v>0.1215</v>
      </c>
      <c r="AM140" s="407">
        <f t="shared" si="135"/>
        <v>0.70770810810810814</v>
      </c>
      <c r="AN140" s="407">
        <f t="shared" si="114"/>
        <v>0.2175</v>
      </c>
      <c r="AO140" s="407">
        <f t="shared" si="115"/>
        <v>14.284897799055603</v>
      </c>
      <c r="AP140">
        <f t="shared" si="131"/>
        <v>235.8</v>
      </c>
      <c r="AQ140" s="10">
        <f t="shared" si="116"/>
        <v>0.94287980631867829</v>
      </c>
      <c r="AR140" s="63">
        <f t="shared" si="117"/>
        <v>533.12241815423681</v>
      </c>
      <c r="AS140" s="63">
        <f t="shared" si="118"/>
        <v>43.643239367637364</v>
      </c>
      <c r="AT140" s="10"/>
      <c r="AU140">
        <f t="shared" si="119"/>
        <v>94.287980631867825</v>
      </c>
    </row>
    <row r="141" spans="7:47" x14ac:dyDescent="0.2">
      <c r="G141">
        <v>132</v>
      </c>
      <c r="H141">
        <f t="shared" si="120"/>
        <v>9.9</v>
      </c>
      <c r="I141" s="406">
        <f t="shared" si="97"/>
        <v>0.50769793334762381</v>
      </c>
      <c r="J141" s="407">
        <f t="shared" si="121"/>
        <v>2.1758482857755306</v>
      </c>
      <c r="K141" s="407">
        <f t="shared" si="132"/>
        <v>10.987924142887765</v>
      </c>
      <c r="L141" s="407">
        <f t="shared" si="98"/>
        <v>8.8120758571122355</v>
      </c>
      <c r="M141" s="63">
        <f t="shared" si="122"/>
        <v>0</v>
      </c>
      <c r="N141" s="406">
        <f t="shared" si="99"/>
        <v>9.9199055597096972</v>
      </c>
      <c r="O141" s="406">
        <f t="shared" si="100"/>
        <v>0.61969808416773009</v>
      </c>
      <c r="P141">
        <f t="shared" si="123"/>
        <v>0.2</v>
      </c>
      <c r="Q141" s="406">
        <f t="shared" si="133"/>
        <v>0.81969808416773016</v>
      </c>
      <c r="R141" s="9">
        <f t="shared" si="101"/>
        <v>0.62811329675414418</v>
      </c>
      <c r="S141" s="9">
        <f t="shared" si="102"/>
        <v>3.945263135593596E-4</v>
      </c>
      <c r="T141" s="9">
        <f t="shared" si="103"/>
        <v>3.945263135593596E-4</v>
      </c>
      <c r="U141" s="406">
        <f t="shared" si="104"/>
        <v>7.068222877176833</v>
      </c>
      <c r="V141" s="408">
        <f t="shared" si="105"/>
        <v>9.9919549282891901E-2</v>
      </c>
      <c r="W141" s="406">
        <f t="shared" si="106"/>
        <v>9.9919549282891901E-2</v>
      </c>
      <c r="X141" s="406">
        <f t="shared" si="107"/>
        <v>7.068222877176833</v>
      </c>
      <c r="Y141" s="406">
        <f t="shared" si="108"/>
        <v>2.5979082813551893</v>
      </c>
      <c r="Z141" s="406">
        <f t="shared" si="124"/>
        <v>1.3176248517397342</v>
      </c>
      <c r="AA141" s="406">
        <f t="shared" si="125"/>
        <v>0.37132800000000021</v>
      </c>
      <c r="AB141" s="406">
        <f t="shared" si="126"/>
        <v>0</v>
      </c>
      <c r="AC141" s="406">
        <f t="shared" si="109"/>
        <v>10.005273190349566</v>
      </c>
      <c r="AD141" s="406">
        <f t="shared" si="110"/>
        <v>6.9602264095439743</v>
      </c>
      <c r="AE141" s="406">
        <f t="shared" si="111"/>
        <v>0.48444751672113406</v>
      </c>
      <c r="AF141" s="406">
        <f t="shared" si="127"/>
        <v>0.53459999999999996</v>
      </c>
      <c r="AG141" s="406">
        <f t="shared" si="112"/>
        <v>1.1046724486471093</v>
      </c>
      <c r="AH141" s="406">
        <f t="shared" si="113"/>
        <v>0</v>
      </c>
      <c r="AI141">
        <f t="shared" si="128"/>
        <v>0</v>
      </c>
      <c r="AJ141" s="407">
        <f t="shared" si="129"/>
        <v>2.3742599999999996</v>
      </c>
      <c r="AK141">
        <f t="shared" si="134"/>
        <v>9.6000000000000002E-2</v>
      </c>
      <c r="AL141" s="407">
        <f t="shared" si="130"/>
        <v>0.1215</v>
      </c>
      <c r="AM141" s="407">
        <f t="shared" si="135"/>
        <v>0.70770810810810814</v>
      </c>
      <c r="AN141" s="407">
        <f t="shared" si="114"/>
        <v>0.2175</v>
      </c>
      <c r="AO141" s="407">
        <f t="shared" si="115"/>
        <v>14.621717798760857</v>
      </c>
      <c r="AP141">
        <f t="shared" si="131"/>
        <v>237.60000000000002</v>
      </c>
      <c r="AQ141" s="10">
        <f t="shared" si="116"/>
        <v>0.94202831569632306</v>
      </c>
      <c r="AR141" s="63">
        <f t="shared" si="117"/>
        <v>550.29002546922618</v>
      </c>
      <c r="AS141" s="63">
        <f t="shared" si="118"/>
        <v>44.186897945884375</v>
      </c>
      <c r="AT141" s="10"/>
      <c r="AU141">
        <f t="shared" si="119"/>
        <v>94.202831569632309</v>
      </c>
    </row>
    <row r="142" spans="7:47" x14ac:dyDescent="0.2">
      <c r="G142">
        <v>133</v>
      </c>
      <c r="H142">
        <f t="shared" si="120"/>
        <v>9.9750000000000014</v>
      </c>
      <c r="I142" s="406">
        <f t="shared" si="97"/>
        <v>0.50775676451024099</v>
      </c>
      <c r="J142" s="407">
        <f t="shared" si="121"/>
        <v>2.1761004193296043</v>
      </c>
      <c r="K142" s="407">
        <f t="shared" si="132"/>
        <v>11.063050209664803</v>
      </c>
      <c r="L142" s="407">
        <f t="shared" si="98"/>
        <v>8.8869497903351995</v>
      </c>
      <c r="M142" s="63">
        <f t="shared" si="122"/>
        <v>0</v>
      </c>
      <c r="N142" s="406">
        <f t="shared" si="99"/>
        <v>9.9947607651667809</v>
      </c>
      <c r="O142" s="406">
        <f t="shared" si="100"/>
        <v>0.62955861357188103</v>
      </c>
      <c r="P142">
        <f t="shared" si="123"/>
        <v>0.2</v>
      </c>
      <c r="Q142" s="406">
        <f t="shared" si="133"/>
        <v>0.8295586135718811</v>
      </c>
      <c r="R142" s="9">
        <f t="shared" si="101"/>
        <v>0.62818608144180232</v>
      </c>
      <c r="S142" s="9">
        <f t="shared" si="102"/>
        <v>3.9461775291720671E-4</v>
      </c>
      <c r="T142" s="9">
        <f t="shared" si="103"/>
        <v>3.9461775291720671E-4</v>
      </c>
      <c r="U142" s="406">
        <f t="shared" si="104"/>
        <v>7.1219720057148752</v>
      </c>
      <c r="V142" s="408">
        <f t="shared" si="105"/>
        <v>0.10144497050037272</v>
      </c>
      <c r="W142" s="406">
        <f t="shared" si="106"/>
        <v>0.10144497050037272</v>
      </c>
      <c r="X142" s="406">
        <f t="shared" si="107"/>
        <v>7.1219720057148752</v>
      </c>
      <c r="Y142" s="406">
        <f t="shared" si="108"/>
        <v>2.6375692330096907</v>
      </c>
      <c r="Z142" s="406">
        <f t="shared" si="124"/>
        <v>1.3280851150292301</v>
      </c>
      <c r="AA142" s="406">
        <f t="shared" si="125"/>
        <v>0.37132800000000021</v>
      </c>
      <c r="AB142" s="406">
        <f t="shared" si="126"/>
        <v>0</v>
      </c>
      <c r="AC142" s="406">
        <f t="shared" si="109"/>
        <v>10.332673562116662</v>
      </c>
      <c r="AD142" s="406">
        <f t="shared" si="110"/>
        <v>7.0123289642408313</v>
      </c>
      <c r="AE142" s="406">
        <f t="shared" si="111"/>
        <v>0.49172757502730891</v>
      </c>
      <c r="AF142" s="406">
        <f t="shared" si="127"/>
        <v>0.53865000000000007</v>
      </c>
      <c r="AG142" s="406">
        <f t="shared" si="112"/>
        <v>1.1183666503849412</v>
      </c>
      <c r="AH142" s="406">
        <f t="shared" si="113"/>
        <v>0</v>
      </c>
      <c r="AI142">
        <f t="shared" si="128"/>
        <v>0</v>
      </c>
      <c r="AJ142" s="407">
        <f t="shared" si="129"/>
        <v>2.3740649999999999</v>
      </c>
      <c r="AK142">
        <f t="shared" si="134"/>
        <v>9.6000000000000002E-2</v>
      </c>
      <c r="AL142" s="407">
        <f t="shared" si="130"/>
        <v>0.1215</v>
      </c>
      <c r="AM142" s="407">
        <f t="shared" si="135"/>
        <v>0.70770810810810814</v>
      </c>
      <c r="AN142" s="407">
        <f t="shared" si="114"/>
        <v>0.2175</v>
      </c>
      <c r="AO142" s="407">
        <f t="shared" si="115"/>
        <v>14.974003414326774</v>
      </c>
      <c r="AP142">
        <f t="shared" si="131"/>
        <v>239.40000000000003</v>
      </c>
      <c r="AQ142" s="10">
        <f t="shared" si="116"/>
        <v>0.94113390828725141</v>
      </c>
      <c r="AR142" s="63">
        <f t="shared" si="117"/>
        <v>568.29704591641644</v>
      </c>
      <c r="AS142" s="63">
        <f t="shared" si="118"/>
        <v>44.73466601539765</v>
      </c>
      <c r="AT142" s="10"/>
      <c r="AU142">
        <f t="shared" si="119"/>
        <v>94.113390828725144</v>
      </c>
    </row>
    <row r="143" spans="7:47" x14ac:dyDescent="0.2">
      <c r="G143">
        <v>134</v>
      </c>
      <c r="H143">
        <f t="shared" si="120"/>
        <v>10.050000000000001</v>
      </c>
      <c r="I143" s="406">
        <f t="shared" si="97"/>
        <v>0.5078156034629524</v>
      </c>
      <c r="J143" s="407">
        <f t="shared" si="121"/>
        <v>2.1763525862697963</v>
      </c>
      <c r="K143" s="407">
        <f t="shared" si="132"/>
        <v>11.138176293134899</v>
      </c>
      <c r="L143" s="407">
        <f t="shared" si="98"/>
        <v>8.9618237068651023</v>
      </c>
      <c r="M143" s="63">
        <f t="shared" si="122"/>
        <v>0</v>
      </c>
      <c r="N143" s="406">
        <f t="shared" si="99"/>
        <v>10.069618126571646</v>
      </c>
      <c r="O143" s="406">
        <f t="shared" si="100"/>
        <v>0.63950855921306449</v>
      </c>
      <c r="P143">
        <f t="shared" si="123"/>
        <v>0.2</v>
      </c>
      <c r="Q143" s="406">
        <f t="shared" si="133"/>
        <v>0.83950855921306444</v>
      </c>
      <c r="R143" s="9">
        <f t="shared" si="101"/>
        <v>0.62825887576720263</v>
      </c>
      <c r="S143" s="9">
        <f t="shared" si="102"/>
        <v>3.9470921498026935E-4</v>
      </c>
      <c r="T143" s="9">
        <f t="shared" si="103"/>
        <v>3.9470921498026935E-4</v>
      </c>
      <c r="U143" s="406">
        <f t="shared" si="104"/>
        <v>7.1757288819300058</v>
      </c>
      <c r="V143" s="408">
        <f t="shared" si="105"/>
        <v>0.10298216997392891</v>
      </c>
      <c r="W143" s="406">
        <f t="shared" si="106"/>
        <v>0.10298216997392891</v>
      </c>
      <c r="X143" s="406">
        <f t="shared" si="107"/>
        <v>7.1757288819300058</v>
      </c>
      <c r="Y143" s="406">
        <f t="shared" si="108"/>
        <v>2.6775364193221516</v>
      </c>
      <c r="Z143" s="406">
        <f t="shared" si="124"/>
        <v>1.3385453773350169</v>
      </c>
      <c r="AA143" s="406">
        <f t="shared" si="125"/>
        <v>0.37132800000000021</v>
      </c>
      <c r="AB143" s="406">
        <f t="shared" si="126"/>
        <v>0</v>
      </c>
      <c r="AC143" s="406">
        <f t="shared" si="109"/>
        <v>10.676469982268177</v>
      </c>
      <c r="AD143" s="406">
        <f t="shared" si="110"/>
        <v>7.0644266736951709</v>
      </c>
      <c r="AE143" s="406">
        <f t="shared" si="111"/>
        <v>0.49906124228015813</v>
      </c>
      <c r="AF143" s="406">
        <f t="shared" si="127"/>
        <v>0.54270000000000007</v>
      </c>
      <c r="AG143" s="406">
        <f t="shared" si="112"/>
        <v>1.1321643367373475</v>
      </c>
      <c r="AH143" s="406">
        <f t="shared" si="113"/>
        <v>0</v>
      </c>
      <c r="AI143">
        <f t="shared" si="128"/>
        <v>0</v>
      </c>
      <c r="AJ143" s="407">
        <f t="shared" si="129"/>
        <v>2.3738700000000001</v>
      </c>
      <c r="AK143">
        <f t="shared" si="134"/>
        <v>9.6000000000000002E-2</v>
      </c>
      <c r="AL143" s="407">
        <f t="shared" si="130"/>
        <v>0.1215</v>
      </c>
      <c r="AM143" s="407">
        <f t="shared" si="135"/>
        <v>0.70770810810810814</v>
      </c>
      <c r="AN143" s="407">
        <f t="shared" si="114"/>
        <v>0.2175</v>
      </c>
      <c r="AO143" s="407">
        <f t="shared" si="115"/>
        <v>15.342889757407496</v>
      </c>
      <c r="AP143">
        <f t="shared" si="131"/>
        <v>241.20000000000002</v>
      </c>
      <c r="AQ143" s="10">
        <f t="shared" si="116"/>
        <v>0.94019366597173648</v>
      </c>
      <c r="AR143" s="63">
        <f t="shared" si="117"/>
        <v>587.20584902474968</v>
      </c>
      <c r="AS143" s="63">
        <f t="shared" si="118"/>
        <v>45.286573469493902</v>
      </c>
      <c r="AT143" s="10"/>
      <c r="AU143">
        <f t="shared" si="119"/>
        <v>94.019366597173644</v>
      </c>
    </row>
    <row r="144" spans="7:47" x14ac:dyDescent="0.2">
      <c r="G144">
        <v>135</v>
      </c>
      <c r="H144">
        <f t="shared" si="120"/>
        <v>10.125</v>
      </c>
      <c r="I144" s="406">
        <f t="shared" si="97"/>
        <v>0.50787445020730526</v>
      </c>
      <c r="J144" s="407">
        <f t="shared" si="121"/>
        <v>2.1766047866027369</v>
      </c>
      <c r="K144" s="407">
        <f t="shared" si="132"/>
        <v>11.213302393301369</v>
      </c>
      <c r="L144" s="407">
        <f t="shared" si="98"/>
        <v>9.0366976066986311</v>
      </c>
      <c r="M144" s="63">
        <f t="shared" si="122"/>
        <v>0</v>
      </c>
      <c r="N144" s="406">
        <f t="shared" si="99"/>
        <v>10.144477596197607</v>
      </c>
      <c r="O144" s="406">
        <f t="shared" si="100"/>
        <v>0.6495482940984787</v>
      </c>
      <c r="P144">
        <f t="shared" si="123"/>
        <v>0.2</v>
      </c>
      <c r="Q144" s="406">
        <f t="shared" si="133"/>
        <v>0.84954829409847865</v>
      </c>
      <c r="R144" s="9">
        <f t="shared" si="101"/>
        <v>0.62833167973225912</v>
      </c>
      <c r="S144" s="9">
        <f t="shared" si="102"/>
        <v>3.9480069975516224E-4</v>
      </c>
      <c r="T144" s="9">
        <f t="shared" si="103"/>
        <v>3.9480069975516224E-4</v>
      </c>
      <c r="U144" s="406">
        <f t="shared" si="104"/>
        <v>7.2294934727726874</v>
      </c>
      <c r="V144" s="408">
        <f t="shared" si="105"/>
        <v>0.10453115174572578</v>
      </c>
      <c r="W144" s="406">
        <f t="shared" si="106"/>
        <v>0.10453115174572578</v>
      </c>
      <c r="X144" s="406">
        <f t="shared" si="107"/>
        <v>7.2294934727726874</v>
      </c>
      <c r="Y144" s="406">
        <f t="shared" si="108"/>
        <v>2.7178099453888702</v>
      </c>
      <c r="Z144" s="406">
        <f t="shared" si="124"/>
        <v>1.3490056386568992</v>
      </c>
      <c r="AA144" s="406">
        <f t="shared" si="125"/>
        <v>0.37132800000000021</v>
      </c>
      <c r="AB144" s="406">
        <f t="shared" si="126"/>
        <v>0</v>
      </c>
      <c r="AC144" s="406">
        <f t="shared" si="109"/>
        <v>11.037911816529242</v>
      </c>
      <c r="AD144" s="406">
        <f t="shared" si="110"/>
        <v>7.1165195023193935</v>
      </c>
      <c r="AE144" s="406">
        <f t="shared" si="111"/>
        <v>0.50644849826892269</v>
      </c>
      <c r="AF144" s="406">
        <f t="shared" si="127"/>
        <v>0.54674999999999996</v>
      </c>
      <c r="AG144" s="406">
        <f t="shared" si="112"/>
        <v>1.1460662644353128</v>
      </c>
      <c r="AH144" s="406">
        <f t="shared" si="113"/>
        <v>0</v>
      </c>
      <c r="AI144">
        <f t="shared" si="128"/>
        <v>0</v>
      </c>
      <c r="AJ144" s="407">
        <f t="shared" si="129"/>
        <v>2.373675</v>
      </c>
      <c r="AK144">
        <f t="shared" si="134"/>
        <v>9.6000000000000002E-2</v>
      </c>
      <c r="AL144" s="407">
        <f t="shared" si="130"/>
        <v>0.1215</v>
      </c>
      <c r="AM144" s="407">
        <f t="shared" si="135"/>
        <v>0.70770810810810814</v>
      </c>
      <c r="AN144" s="407">
        <f t="shared" si="114"/>
        <v>0.2175</v>
      </c>
      <c r="AO144" s="407">
        <f t="shared" si="115"/>
        <v>15.729627327508513</v>
      </c>
      <c r="AP144">
        <f t="shared" si="131"/>
        <v>243</v>
      </c>
      <c r="AQ144" s="10">
        <f t="shared" si="116"/>
        <v>0.93920438300791331</v>
      </c>
      <c r="AR144" s="63">
        <f t="shared" si="117"/>
        <v>607.08514990910828</v>
      </c>
      <c r="AS144" s="63">
        <f t="shared" si="118"/>
        <v>45.842650577412513</v>
      </c>
      <c r="AT144" s="10"/>
      <c r="AU144">
        <f t="shared" si="119"/>
        <v>93.920438300791332</v>
      </c>
    </row>
    <row r="145" spans="7:47" x14ac:dyDescent="0.2">
      <c r="G145">
        <v>136</v>
      </c>
      <c r="H145">
        <f t="shared" si="120"/>
        <v>10.200000000000001</v>
      </c>
      <c r="I145" s="406">
        <f t="shared" si="97"/>
        <v>0.50793330474484777</v>
      </c>
      <c r="J145" s="407">
        <f t="shared" si="121"/>
        <v>2.1768570203350621</v>
      </c>
      <c r="K145" s="407">
        <f t="shared" si="132"/>
        <v>11.288428510167533</v>
      </c>
      <c r="L145" s="407">
        <f t="shared" si="98"/>
        <v>9.1115714898324693</v>
      </c>
      <c r="M145" s="63">
        <f t="shared" si="122"/>
        <v>0</v>
      </c>
      <c r="N145" s="406">
        <f t="shared" si="99"/>
        <v>10.219339127715086</v>
      </c>
      <c r="O145" s="406">
        <f t="shared" si="100"/>
        <v>0.65967819543470518</v>
      </c>
      <c r="P145">
        <f t="shared" si="123"/>
        <v>0.2</v>
      </c>
      <c r="Q145" s="406">
        <f t="shared" si="133"/>
        <v>0.85967819543470525</v>
      </c>
      <c r="R145" s="9">
        <f t="shared" si="101"/>
        <v>0.62840449333888737</v>
      </c>
      <c r="S145" s="9">
        <f t="shared" si="102"/>
        <v>3.9489220724850377E-4</v>
      </c>
      <c r="T145" s="9">
        <f t="shared" si="103"/>
        <v>3.9489220724850377E-4</v>
      </c>
      <c r="U145" s="406">
        <f t="shared" si="104"/>
        <v>7.283265746181427</v>
      </c>
      <c r="V145" s="408">
        <f t="shared" si="105"/>
        <v>0.10609191985899939</v>
      </c>
      <c r="W145" s="406">
        <f t="shared" si="106"/>
        <v>0.10609191985899939</v>
      </c>
      <c r="X145" s="406">
        <f t="shared" si="107"/>
        <v>7.283265746181427</v>
      </c>
      <c r="Y145" s="406">
        <f t="shared" si="108"/>
        <v>2.758389916333984</v>
      </c>
      <c r="Z145" s="406">
        <f t="shared" si="124"/>
        <v>1.3594658989946815</v>
      </c>
      <c r="AA145" s="406">
        <f t="shared" si="125"/>
        <v>0.37132800000000021</v>
      </c>
      <c r="AB145" s="406">
        <f t="shared" si="126"/>
        <v>0</v>
      </c>
      <c r="AC145" s="406">
        <f t="shared" si="109"/>
        <v>11.418378857852737</v>
      </c>
      <c r="AD145" s="406">
        <f t="shared" si="110"/>
        <v>7.168607415513061</v>
      </c>
      <c r="AE145" s="406">
        <f t="shared" si="111"/>
        <v>0.51388932277748856</v>
      </c>
      <c r="AF145" s="406">
        <f t="shared" si="127"/>
        <v>0.55080000000000007</v>
      </c>
      <c r="AG145" s="406">
        <f t="shared" si="112"/>
        <v>1.1600731997349456</v>
      </c>
      <c r="AH145" s="406">
        <f t="shared" si="113"/>
        <v>0</v>
      </c>
      <c r="AI145">
        <f t="shared" si="128"/>
        <v>0</v>
      </c>
      <c r="AJ145" s="407">
        <f t="shared" si="129"/>
        <v>2.3734799999999998</v>
      </c>
      <c r="AK145">
        <f t="shared" si="134"/>
        <v>9.6000000000000002E-2</v>
      </c>
      <c r="AL145" s="407">
        <f t="shared" si="130"/>
        <v>0.1215</v>
      </c>
      <c r="AM145" s="407">
        <f t="shared" si="135"/>
        <v>0.70770810810810814</v>
      </c>
      <c r="AN145" s="407">
        <f t="shared" si="114"/>
        <v>0.2175</v>
      </c>
      <c r="AO145" s="407">
        <f t="shared" si="115"/>
        <v>16.135597065088636</v>
      </c>
      <c r="AP145">
        <f t="shared" si="131"/>
        <v>244.8</v>
      </c>
      <c r="AQ145" s="10">
        <f t="shared" si="116"/>
        <v>0.9381625303462765</v>
      </c>
      <c r="AR145" s="63">
        <f t="shared" si="117"/>
        <v>628.01083718190057</v>
      </c>
      <c r="AS145" s="63">
        <f t="shared" si="118"/>
        <v>46.402927989397824</v>
      </c>
      <c r="AT145" s="10"/>
      <c r="AU145">
        <f t="shared" si="119"/>
        <v>93.81625303462765</v>
      </c>
    </row>
    <row r="146" spans="7:47" x14ac:dyDescent="0.2">
      <c r="G146">
        <v>137</v>
      </c>
      <c r="H146">
        <f t="shared" si="120"/>
        <v>10.275</v>
      </c>
      <c r="I146" s="406">
        <f t="shared" si="97"/>
        <v>0.5079921670771278</v>
      </c>
      <c r="J146" s="407">
        <f t="shared" si="121"/>
        <v>2.1771092874734048</v>
      </c>
      <c r="K146" s="407">
        <f t="shared" si="132"/>
        <v>11.363554643736702</v>
      </c>
      <c r="L146" s="407">
        <f t="shared" si="98"/>
        <v>9.1864453562632988</v>
      </c>
      <c r="M146" s="63">
        <f t="shared" si="122"/>
        <v>0</v>
      </c>
      <c r="N146" s="406">
        <f t="shared" si="99"/>
        <v>10.294202676140921</v>
      </c>
      <c r="O146" s="406">
        <f t="shared" si="100"/>
        <v>0.66989864466523952</v>
      </c>
      <c r="P146">
        <f t="shared" si="123"/>
        <v>0.2</v>
      </c>
      <c r="Q146" s="406">
        <f t="shared" si="133"/>
        <v>0.86989864466523947</v>
      </c>
      <c r="R146" s="9">
        <f t="shared" si="101"/>
        <v>0.6284773165890023</v>
      </c>
      <c r="S146" s="9">
        <f t="shared" si="102"/>
        <v>3.9498373746691301E-4</v>
      </c>
      <c r="T146" s="9">
        <f t="shared" si="103"/>
        <v>3.9498373746691301E-4</v>
      </c>
      <c r="U146" s="406">
        <f t="shared" si="104"/>
        <v>7.3370456710469112</v>
      </c>
      <c r="V146" s="408">
        <f t="shared" si="105"/>
        <v>0.10766447835805644</v>
      </c>
      <c r="W146" s="406">
        <f t="shared" si="106"/>
        <v>0.10766447835805644</v>
      </c>
      <c r="X146" s="406">
        <f t="shared" si="107"/>
        <v>7.3370456710469112</v>
      </c>
      <c r="Y146" s="406">
        <f t="shared" si="108"/>
        <v>2.7992764373094672</v>
      </c>
      <c r="Z146" s="406">
        <f t="shared" si="124"/>
        <v>1.3699261583481683</v>
      </c>
      <c r="AA146" s="406">
        <f t="shared" si="125"/>
        <v>0.37132800000000021</v>
      </c>
      <c r="AB146" s="406">
        <f t="shared" si="126"/>
        <v>0</v>
      </c>
      <c r="AC146" s="406">
        <f t="shared" si="109"/>
        <v>11.819398799319213</v>
      </c>
      <c r="AD146" s="406">
        <f t="shared" si="110"/>
        <v>7.2206903796270536</v>
      </c>
      <c r="AE146" s="406">
        <f t="shared" si="111"/>
        <v>0.5213836955843868</v>
      </c>
      <c r="AF146" s="406">
        <f t="shared" si="127"/>
        <v>0.55485000000000007</v>
      </c>
      <c r="AG146" s="406">
        <f t="shared" si="112"/>
        <v>1.1741859185467993</v>
      </c>
      <c r="AH146" s="406">
        <f t="shared" si="113"/>
        <v>0</v>
      </c>
      <c r="AI146">
        <f t="shared" si="128"/>
        <v>0</v>
      </c>
      <c r="AJ146" s="407">
        <f t="shared" si="129"/>
        <v>2.3732849999999996</v>
      </c>
      <c r="AK146">
        <f t="shared" si="134"/>
        <v>9.6000000000000002E-2</v>
      </c>
      <c r="AL146" s="407">
        <f t="shared" si="130"/>
        <v>0.1215</v>
      </c>
      <c r="AM146" s="407">
        <f t="shared" si="135"/>
        <v>0.70770810810810814</v>
      </c>
      <c r="AN146" s="407">
        <f t="shared" si="114"/>
        <v>0.2175</v>
      </c>
      <c r="AO146" s="407">
        <f t="shared" si="115"/>
        <v>16.562327824626777</v>
      </c>
      <c r="AP146">
        <f t="shared" si="131"/>
        <v>246.60000000000002</v>
      </c>
      <c r="AQ146" s="10">
        <f t="shared" si="116"/>
        <v>0.93706421446589416</v>
      </c>
      <c r="AR146" s="63">
        <f t="shared" si="117"/>
        <v>650.06693396255673</v>
      </c>
      <c r="AS146" s="63">
        <f t="shared" si="118"/>
        <v>46.967436741871971</v>
      </c>
      <c r="AT146" s="10"/>
      <c r="AU146">
        <f t="shared" si="119"/>
        <v>93.706421446589417</v>
      </c>
    </row>
    <row r="147" spans="7:47" x14ac:dyDescent="0.2">
      <c r="G147">
        <v>138</v>
      </c>
      <c r="H147">
        <f t="shared" si="120"/>
        <v>10.35</v>
      </c>
      <c r="I147" s="406">
        <f t="shared" si="97"/>
        <v>0.50805103720569411</v>
      </c>
      <c r="J147" s="407">
        <f t="shared" si="121"/>
        <v>2.1773615880244033</v>
      </c>
      <c r="K147" s="407">
        <f t="shared" si="132"/>
        <v>11.438680794012202</v>
      </c>
      <c r="L147" s="407">
        <f t="shared" si="98"/>
        <v>9.2613192059877978</v>
      </c>
      <c r="M147" s="63">
        <f t="shared" si="122"/>
        <v>0</v>
      </c>
      <c r="N147" s="406">
        <f t="shared" si="99"/>
        <v>10.369068197789858</v>
      </c>
      <c r="O147" s="406">
        <f t="shared" si="100"/>
        <v>0.68021002750855708</v>
      </c>
      <c r="P147">
        <f t="shared" si="123"/>
        <v>0.2</v>
      </c>
      <c r="Q147" s="406">
        <f t="shared" si="133"/>
        <v>0.88021002750855715</v>
      </c>
      <c r="R147" s="9">
        <f t="shared" si="101"/>
        <v>0.62855014948452015</v>
      </c>
      <c r="S147" s="9">
        <f t="shared" si="102"/>
        <v>3.9507529041701264E-4</v>
      </c>
      <c r="T147" s="9">
        <f t="shared" si="103"/>
        <v>3.9507529041701264E-4</v>
      </c>
      <c r="U147" s="406">
        <f t="shared" si="104"/>
        <v>7.3908332171777271</v>
      </c>
      <c r="V147" s="408">
        <f t="shared" si="105"/>
        <v>0.10924883128827534</v>
      </c>
      <c r="W147" s="406">
        <f t="shared" si="106"/>
        <v>0.10924883128827534</v>
      </c>
      <c r="X147" s="406">
        <f t="shared" si="107"/>
        <v>7.3908332171777271</v>
      </c>
      <c r="Y147" s="406">
        <f t="shared" si="108"/>
        <v>2.8404696134951588</v>
      </c>
      <c r="Z147" s="406">
        <f t="shared" si="124"/>
        <v>1.380386416717164</v>
      </c>
      <c r="AA147" s="406">
        <f t="shared" si="125"/>
        <v>0.37132800000000021</v>
      </c>
      <c r="AB147" s="406">
        <f t="shared" si="126"/>
        <v>0</v>
      </c>
      <c r="AC147" s="406">
        <f t="shared" si="109"/>
        <v>12.242667593375302</v>
      </c>
      <c r="AD147" s="406">
        <f t="shared" si="110"/>
        <v>7.2727683619292689</v>
      </c>
      <c r="AE147" s="406">
        <f t="shared" si="111"/>
        <v>0.52893159646279342</v>
      </c>
      <c r="AF147" s="406">
        <f t="shared" si="127"/>
        <v>0.55889999999999995</v>
      </c>
      <c r="AG147" s="406">
        <f t="shared" si="112"/>
        <v>1.1884052065675048</v>
      </c>
      <c r="AH147" s="406">
        <f t="shared" si="113"/>
        <v>0</v>
      </c>
      <c r="AI147">
        <f t="shared" si="128"/>
        <v>0</v>
      </c>
      <c r="AJ147" s="407">
        <f t="shared" si="129"/>
        <v>2.3730899999999995</v>
      </c>
      <c r="AK147">
        <f t="shared" si="134"/>
        <v>9.6000000000000002E-2</v>
      </c>
      <c r="AL147" s="407">
        <f t="shared" si="130"/>
        <v>0.1215</v>
      </c>
      <c r="AM147" s="407">
        <f t="shared" si="135"/>
        <v>0.70770810810810814</v>
      </c>
      <c r="AN147" s="407">
        <f t="shared" si="114"/>
        <v>0.2175</v>
      </c>
      <c r="AO147" s="407">
        <f t="shared" si="115"/>
        <v>17.011516734030057</v>
      </c>
      <c r="AP147">
        <f t="shared" si="131"/>
        <v>248.39999999999998</v>
      </c>
      <c r="AQ147" s="10">
        <f t="shared" si="116"/>
        <v>0.93590512972699158</v>
      </c>
      <c r="AR147" s="63">
        <f t="shared" si="117"/>
        <v>673.34671763564165</v>
      </c>
      <c r="AS147" s="63">
        <f t="shared" si="118"/>
        <v>47.536208262700193</v>
      </c>
      <c r="AT147" s="10"/>
      <c r="AU147">
        <f t="shared" si="119"/>
        <v>93.590512972699159</v>
      </c>
    </row>
    <row r="148" spans="7:47" x14ac:dyDescent="0.2">
      <c r="G148">
        <v>139</v>
      </c>
      <c r="H148">
        <f t="shared" si="120"/>
        <v>10.424999999999999</v>
      </c>
      <c r="I148" s="406">
        <f t="shared" si="97"/>
        <v>0.50810991513209558</v>
      </c>
      <c r="J148" s="407">
        <f t="shared" si="121"/>
        <v>2.1776139219946953</v>
      </c>
      <c r="K148" s="407">
        <f t="shared" si="132"/>
        <v>11.513806960997346</v>
      </c>
      <c r="L148" s="407">
        <f t="shared" si="98"/>
        <v>9.3361930390026515</v>
      </c>
      <c r="M148" s="63">
        <f t="shared" si="122"/>
        <v>0</v>
      </c>
      <c r="N148" s="406">
        <f t="shared" si="99"/>
        <v>10.443935650228099</v>
      </c>
      <c r="O148" s="406">
        <f t="shared" si="100"/>
        <v>0.6906127339967163</v>
      </c>
      <c r="P148">
        <f t="shared" si="123"/>
        <v>0.2</v>
      </c>
      <c r="Q148" s="406">
        <f t="shared" si="133"/>
        <v>0.89061273399671625</v>
      </c>
      <c r="R148" s="9">
        <f t="shared" si="101"/>
        <v>0.62862299202735705</v>
      </c>
      <c r="S148" s="9">
        <f t="shared" si="102"/>
        <v>3.951668661054266E-4</v>
      </c>
      <c r="T148" s="9">
        <f t="shared" si="103"/>
        <v>3.951668661054266E-4</v>
      </c>
      <c r="U148" s="406">
        <f t="shared" si="104"/>
        <v>7.4446283552675041</v>
      </c>
      <c r="V148" s="408">
        <f t="shared" si="105"/>
        <v>0.11084498269610589</v>
      </c>
      <c r="W148" s="406">
        <f t="shared" si="106"/>
        <v>0.11084498269610589</v>
      </c>
      <c r="X148" s="406">
        <f t="shared" si="107"/>
        <v>7.4446283552675041</v>
      </c>
      <c r="Y148" s="406">
        <f t="shared" si="108"/>
        <v>2.881969550098753</v>
      </c>
      <c r="Z148" s="406">
        <f t="shared" si="124"/>
        <v>1.3908466741014733</v>
      </c>
      <c r="AA148" s="406">
        <f t="shared" si="125"/>
        <v>0.37132800000000021</v>
      </c>
      <c r="AB148" s="406">
        <f t="shared" si="126"/>
        <v>0</v>
      </c>
      <c r="AC148" s="406">
        <f t="shared" si="109"/>
        <v>12.690073269414949</v>
      </c>
      <c r="AD148" s="406">
        <f t="shared" si="110"/>
        <v>7.3248413305717737</v>
      </c>
      <c r="AE148" s="406">
        <f t="shared" si="111"/>
        <v>0.53653300518052471</v>
      </c>
      <c r="AF148" s="406">
        <f t="shared" si="127"/>
        <v>0.56294999999999995</v>
      </c>
      <c r="AG148" s="406">
        <f t="shared" si="112"/>
        <v>1.2027318594137433</v>
      </c>
      <c r="AH148" s="406">
        <f t="shared" si="113"/>
        <v>0</v>
      </c>
      <c r="AI148">
        <f t="shared" si="128"/>
        <v>0</v>
      </c>
      <c r="AJ148" s="407">
        <f t="shared" si="129"/>
        <v>2.3728949999999998</v>
      </c>
      <c r="AK148">
        <f t="shared" si="134"/>
        <v>9.6000000000000002E-2</v>
      </c>
      <c r="AL148" s="407">
        <f t="shared" si="130"/>
        <v>0.1215</v>
      </c>
      <c r="AM148" s="407">
        <f t="shared" si="135"/>
        <v>0.70770810810810814</v>
      </c>
      <c r="AN148" s="407">
        <f t="shared" si="114"/>
        <v>0.2175</v>
      </c>
      <c r="AO148" s="407">
        <f t="shared" si="115"/>
        <v>17.48505301238762</v>
      </c>
      <c r="AP148">
        <f t="shared" si="131"/>
        <v>250.2</v>
      </c>
      <c r="AQ148" s="10">
        <f t="shared" si="116"/>
        <v>0.93468050301793115</v>
      </c>
      <c r="AR148" s="63">
        <f t="shared" si="117"/>
        <v>697.95402981782217</v>
      </c>
      <c r="AS148" s="63">
        <f t="shared" si="118"/>
        <v>48.109274376549735</v>
      </c>
      <c r="AT148" s="10"/>
      <c r="AU148">
        <f t="shared" si="119"/>
        <v>93.468050301793113</v>
      </c>
    </row>
    <row r="149" spans="7:47" x14ac:dyDescent="0.2">
      <c r="G149">
        <v>140</v>
      </c>
      <c r="H149">
        <f t="shared" si="120"/>
        <v>10.5</v>
      </c>
      <c r="I149" s="406">
        <f t="shared" si="97"/>
        <v>0.50816880085788185</v>
      </c>
      <c r="J149" s="407">
        <f t="shared" si="121"/>
        <v>2.1778662893909226</v>
      </c>
      <c r="K149" s="407">
        <f t="shared" si="132"/>
        <v>11.588933144695462</v>
      </c>
      <c r="L149" s="407">
        <f t="shared" si="98"/>
        <v>9.4110668553045382</v>
      </c>
      <c r="M149" s="63">
        <f t="shared" si="122"/>
        <v>0</v>
      </c>
      <c r="N149" s="406">
        <f t="shared" si="99"/>
        <v>10.51880499222886</v>
      </c>
      <c r="O149" s="406">
        <f t="shared" si="100"/>
        <v>0.70110715851451788</v>
      </c>
      <c r="P149">
        <f t="shared" si="123"/>
        <v>0.2</v>
      </c>
      <c r="Q149" s="406">
        <f t="shared" si="133"/>
        <v>0.90110715851451784</v>
      </c>
      <c r="R149" s="9">
        <f t="shared" si="101"/>
        <v>0.62869584421943037</v>
      </c>
      <c r="S149" s="9">
        <f t="shared" si="102"/>
        <v>3.9525846453878228E-4</v>
      </c>
      <c r="T149" s="9">
        <f t="shared" si="103"/>
        <v>3.9525846453878228E-4</v>
      </c>
      <c r="U149" s="406">
        <f t="shared" si="104"/>
        <v>7.4984310568635006</v>
      </c>
      <c r="V149" s="408">
        <f t="shared" si="105"/>
        <v>0.11245293662907016</v>
      </c>
      <c r="W149" s="406">
        <f t="shared" si="106"/>
        <v>0.11245293662907016</v>
      </c>
      <c r="X149" s="406">
        <f t="shared" si="107"/>
        <v>7.4984310568635006</v>
      </c>
      <c r="Y149" s="406">
        <f t="shared" si="108"/>
        <v>2.9237763523558238</v>
      </c>
      <c r="Z149" s="406">
        <f t="shared" si="124"/>
        <v>1.4013069305009</v>
      </c>
      <c r="AA149" s="406">
        <f t="shared" si="125"/>
        <v>0.37132800000000021</v>
      </c>
      <c r="AB149" s="406">
        <f t="shared" si="126"/>
        <v>0</v>
      </c>
      <c r="AC149" s="406">
        <f t="shared" si="109"/>
        <v>13.163723915035442</v>
      </c>
      <c r="AD149" s="406">
        <f t="shared" si="110"/>
        <v>7.3769092545593731</v>
      </c>
      <c r="AE149" s="406">
        <f t="shared" si="111"/>
        <v>0.54418790150003726</v>
      </c>
      <c r="AF149" s="406">
        <f t="shared" si="127"/>
        <v>0.56699999999999995</v>
      </c>
      <c r="AG149" s="406">
        <f t="shared" si="112"/>
        <v>1.2171666827586256</v>
      </c>
      <c r="AH149" s="406">
        <f t="shared" si="113"/>
        <v>0</v>
      </c>
      <c r="AI149">
        <f t="shared" si="128"/>
        <v>0</v>
      </c>
      <c r="AJ149" s="407">
        <f t="shared" si="129"/>
        <v>2.3727</v>
      </c>
      <c r="AK149">
        <f t="shared" si="134"/>
        <v>9.6000000000000002E-2</v>
      </c>
      <c r="AL149" s="407">
        <f t="shared" si="130"/>
        <v>0.1215</v>
      </c>
      <c r="AM149" s="407">
        <f t="shared" si="135"/>
        <v>0.70770810810810814</v>
      </c>
      <c r="AN149" s="407">
        <f t="shared" si="114"/>
        <v>0.2175</v>
      </c>
      <c r="AO149" s="407">
        <f t="shared" si="115"/>
        <v>17.985045951402196</v>
      </c>
      <c r="AP149">
        <f t="shared" si="131"/>
        <v>252</v>
      </c>
      <c r="AQ149" s="10">
        <f t="shared" si="116"/>
        <v>0.93338502920402666</v>
      </c>
      <c r="AR149" s="63">
        <f t="shared" si="117"/>
        <v>724.00481532694937</v>
      </c>
      <c r="AS149" s="63">
        <f t="shared" si="118"/>
        <v>48.686667310345022</v>
      </c>
      <c r="AT149" s="10"/>
      <c r="AU149">
        <f t="shared" si="119"/>
        <v>93.338502920402661</v>
      </c>
    </row>
    <row r="150" spans="7:47" x14ac:dyDescent="0.2">
      <c r="G150">
        <v>141</v>
      </c>
      <c r="H150">
        <f t="shared" si="120"/>
        <v>10.574999999999999</v>
      </c>
      <c r="I150" s="406">
        <f t="shared" si="97"/>
        <v>0.50822769438460258</v>
      </c>
      <c r="J150" s="407">
        <f t="shared" si="121"/>
        <v>2.1781186902197258</v>
      </c>
      <c r="K150" s="407">
        <f t="shared" si="132"/>
        <v>11.664059345109862</v>
      </c>
      <c r="L150" s="407">
        <f t="shared" si="98"/>
        <v>9.4859406548901362</v>
      </c>
      <c r="M150" s="63">
        <f t="shared" si="122"/>
        <v>0</v>
      </c>
      <c r="N150" s="406">
        <f t="shared" si="99"/>
        <v>10.593676183729785</v>
      </c>
      <c r="O150" s="406">
        <f t="shared" si="100"/>
        <v>0.71169369983921693</v>
      </c>
      <c r="P150">
        <f t="shared" si="123"/>
        <v>0.2</v>
      </c>
      <c r="Q150" s="406">
        <f t="shared" si="133"/>
        <v>0.91169369983921689</v>
      </c>
      <c r="R150" s="9">
        <f t="shared" si="101"/>
        <v>0.62876870606265689</v>
      </c>
      <c r="S150" s="9">
        <f t="shared" si="102"/>
        <v>3.9535008572370785E-4</v>
      </c>
      <c r="T150" s="9">
        <f t="shared" si="103"/>
        <v>3.9535008572370785E-4</v>
      </c>
      <c r="U150" s="406">
        <f t="shared" si="104"/>
        <v>7.5522412943364827</v>
      </c>
      <c r="V150" s="408">
        <f t="shared" si="105"/>
        <v>0.11407269713576239</v>
      </c>
      <c r="W150" s="406">
        <f t="shared" si="106"/>
        <v>0.11407269713576239</v>
      </c>
      <c r="X150" s="406">
        <f t="shared" si="107"/>
        <v>7.5522412943364827</v>
      </c>
      <c r="Y150" s="406">
        <f t="shared" si="108"/>
        <v>2.965890125529822</v>
      </c>
      <c r="Z150" s="406">
        <f t="shared" si="124"/>
        <v>1.4117671859152487</v>
      </c>
      <c r="AA150" s="406">
        <f t="shared" si="125"/>
        <v>0.37132800000000021</v>
      </c>
      <c r="AB150" s="406">
        <f t="shared" si="126"/>
        <v>0</v>
      </c>
      <c r="AC150" s="406">
        <f t="shared" si="109"/>
        <v>13.665980695636074</v>
      </c>
      <c r="AD150" s="406">
        <f t="shared" si="110"/>
        <v>7.428972103719496</v>
      </c>
      <c r="AE150" s="406">
        <f t="shared" si="111"/>
        <v>0.55189626517842483</v>
      </c>
      <c r="AF150" s="406">
        <f t="shared" si="127"/>
        <v>0.57104999999999995</v>
      </c>
      <c r="AG150" s="406">
        <f t="shared" si="112"/>
        <v>1.2317104924705136</v>
      </c>
      <c r="AH150" s="406">
        <f t="shared" si="113"/>
        <v>0</v>
      </c>
      <c r="AI150">
        <f t="shared" si="128"/>
        <v>0</v>
      </c>
      <c r="AJ150" s="407">
        <f t="shared" si="129"/>
        <v>2.3725049999999999</v>
      </c>
      <c r="AK150">
        <f t="shared" si="134"/>
        <v>9.6000000000000002E-2</v>
      </c>
      <c r="AL150" s="407">
        <f t="shared" si="130"/>
        <v>0.1215</v>
      </c>
      <c r="AM150" s="407">
        <f t="shared" si="135"/>
        <v>0.70770810810810814</v>
      </c>
      <c r="AN150" s="407">
        <f t="shared" si="114"/>
        <v>0.2175</v>
      </c>
      <c r="AO150" s="407">
        <f t="shared" si="115"/>
        <v>18.513857935167291</v>
      </c>
      <c r="AP150">
        <f t="shared" si="131"/>
        <v>253.79999999999998</v>
      </c>
      <c r="AQ150" s="10">
        <f t="shared" si="116"/>
        <v>0.93201279554573724</v>
      </c>
      <c r="AR150" s="63">
        <f t="shared" si="117"/>
        <v>751.62893825998412</v>
      </c>
      <c r="AS150" s="63">
        <f t="shared" si="118"/>
        <v>49.268419698820544</v>
      </c>
      <c r="AT150" s="10"/>
      <c r="AU150">
        <f t="shared" si="119"/>
        <v>93.20127955457373</v>
      </c>
    </row>
    <row r="151" spans="7:47" x14ac:dyDescent="0.2">
      <c r="G151">
        <v>142</v>
      </c>
      <c r="H151">
        <f t="shared" si="120"/>
        <v>10.649999999999999</v>
      </c>
      <c r="I151" s="406">
        <f t="shared" si="97"/>
        <v>0.50828659571380808</v>
      </c>
      <c r="J151" s="407">
        <f t="shared" si="121"/>
        <v>2.1783711244877488</v>
      </c>
      <c r="K151" s="407">
        <f t="shared" si="132"/>
        <v>11.739185562243874</v>
      </c>
      <c r="L151" s="407">
        <f t="shared" si="98"/>
        <v>9.5608144377561235</v>
      </c>
      <c r="M151" s="63">
        <f t="shared" si="122"/>
        <v>0</v>
      </c>
      <c r="N151" s="406">
        <f t="shared" si="99"/>
        <v>10.668549185792171</v>
      </c>
      <c r="O151" s="406">
        <f t="shared" si="100"/>
        <v>0.72237276118080496</v>
      </c>
      <c r="P151">
        <f t="shared" si="123"/>
        <v>0.2</v>
      </c>
      <c r="Q151" s="406">
        <f t="shared" si="133"/>
        <v>0.92237276118080502</v>
      </c>
      <c r="R151" s="9">
        <f t="shared" si="101"/>
        <v>0.62884157755895487</v>
      </c>
      <c r="S151" s="9">
        <f t="shared" si="102"/>
        <v>3.9544172966683505E-4</v>
      </c>
      <c r="T151" s="9">
        <f t="shared" si="103"/>
        <v>3.9544172966683505E-4</v>
      </c>
      <c r="U151" s="406">
        <f t="shared" si="104"/>
        <v>7.6060590408518998</v>
      </c>
      <c r="V151" s="408">
        <f t="shared" si="105"/>
        <v>0.11570426826584986</v>
      </c>
      <c r="W151" s="406">
        <f t="shared" si="106"/>
        <v>0.11570426826584986</v>
      </c>
      <c r="X151" s="406">
        <f t="shared" si="107"/>
        <v>7.6060590408518998</v>
      </c>
      <c r="Y151" s="406">
        <f t="shared" si="108"/>
        <v>3.0083109749120958</v>
      </c>
      <c r="Z151" s="406">
        <f t="shared" si="124"/>
        <v>1.4222274403443238</v>
      </c>
      <c r="AA151" s="406">
        <f t="shared" si="125"/>
        <v>0.37132800000000021</v>
      </c>
      <c r="AB151" s="406">
        <f t="shared" si="126"/>
        <v>0</v>
      </c>
      <c r="AC151" s="406">
        <f t="shared" si="109"/>
        <v>14.199497003516919</v>
      </c>
      <c r="AD151" s="406">
        <f t="shared" si="110"/>
        <v>7.4810298486733693</v>
      </c>
      <c r="AE151" s="406">
        <f t="shared" si="111"/>
        <v>0.55965807596741901</v>
      </c>
      <c r="AF151" s="406">
        <f t="shared" si="127"/>
        <v>0.57509999999999994</v>
      </c>
      <c r="AG151" s="406">
        <f t="shared" si="112"/>
        <v>1.2463641147543387</v>
      </c>
      <c r="AH151" s="406">
        <f t="shared" si="113"/>
        <v>0</v>
      </c>
      <c r="AI151">
        <f t="shared" si="128"/>
        <v>0</v>
      </c>
      <c r="AJ151" s="407">
        <f t="shared" si="129"/>
        <v>2.3723099999999997</v>
      </c>
      <c r="AK151">
        <f t="shared" si="134"/>
        <v>9.6000000000000002E-2</v>
      </c>
      <c r="AL151" s="407">
        <f t="shared" si="130"/>
        <v>0.1215</v>
      </c>
      <c r="AM151" s="407">
        <f t="shared" si="135"/>
        <v>0.70770810810810814</v>
      </c>
      <c r="AN151" s="407">
        <f t="shared" si="114"/>
        <v>0.2175</v>
      </c>
      <c r="AO151" s="407">
        <f t="shared" si="115"/>
        <v>19.07414358944758</v>
      </c>
      <c r="AP151">
        <f t="shared" si="131"/>
        <v>255.59999999999997</v>
      </c>
      <c r="AQ151" s="10">
        <f t="shared" si="116"/>
        <v>0.93055719282424521</v>
      </c>
      <c r="AR151" s="63">
        <f t="shared" si="117"/>
        <v>780.97233519343058</v>
      </c>
      <c r="AS151" s="63">
        <f t="shared" si="118"/>
        <v>49.854564590173553</v>
      </c>
      <c r="AT151" s="10"/>
      <c r="AU151">
        <f t="shared" si="119"/>
        <v>93.055719282424519</v>
      </c>
    </row>
    <row r="152" spans="7:47" x14ac:dyDescent="0.2">
      <c r="G152">
        <v>143</v>
      </c>
      <c r="H152">
        <f t="shared" si="120"/>
        <v>10.725</v>
      </c>
      <c r="I152" s="406">
        <f t="shared" si="97"/>
        <v>0.50834550484704899</v>
      </c>
      <c r="J152" s="407">
        <f t="shared" si="121"/>
        <v>2.1786235922016388</v>
      </c>
      <c r="K152" s="407">
        <f t="shared" si="132"/>
        <v>11.814311796100819</v>
      </c>
      <c r="L152" s="407">
        <f t="shared" si="98"/>
        <v>9.6356882038991802</v>
      </c>
      <c r="M152" s="63">
        <f t="shared" si="122"/>
        <v>0</v>
      </c>
      <c r="N152" s="406">
        <f t="shared" si="99"/>
        <v>10.743423960561865</v>
      </c>
      <c r="O152" s="406">
        <f t="shared" si="100"/>
        <v>0.73314475022286163</v>
      </c>
      <c r="P152">
        <f t="shared" si="123"/>
        <v>0.2</v>
      </c>
      <c r="Q152" s="406">
        <f t="shared" si="133"/>
        <v>0.93314475022286159</v>
      </c>
      <c r="R152" s="9">
        <f t="shared" si="101"/>
        <v>0.62891445871024287</v>
      </c>
      <c r="S152" s="9">
        <f t="shared" si="102"/>
        <v>3.9553339637479778E-4</v>
      </c>
      <c r="T152" s="9">
        <f t="shared" si="103"/>
        <v>3.9553339637479778E-4</v>
      </c>
      <c r="U152" s="406">
        <f t="shared" si="104"/>
        <v>7.6598842703422312</v>
      </c>
      <c r="V152" s="408">
        <f t="shared" si="105"/>
        <v>0.11734765407007267</v>
      </c>
      <c r="W152" s="406">
        <f t="shared" si="106"/>
        <v>0.11734765407007267</v>
      </c>
      <c r="X152" s="406">
        <f t="shared" si="107"/>
        <v>7.6598842703422312</v>
      </c>
      <c r="Y152" s="406">
        <f t="shared" si="108"/>
        <v>3.051039005821889</v>
      </c>
      <c r="Z152" s="406">
        <f t="shared" si="124"/>
        <v>1.4326876937879298</v>
      </c>
      <c r="AA152" s="406">
        <f t="shared" si="125"/>
        <v>0.37132800000000021</v>
      </c>
      <c r="AB152" s="406">
        <f t="shared" si="126"/>
        <v>0</v>
      </c>
      <c r="AC152" s="406">
        <f t="shared" si="109"/>
        <v>14.767265106328169</v>
      </c>
      <c r="AD152" s="406">
        <f t="shared" si="110"/>
        <v>7.5330824608083535</v>
      </c>
      <c r="AE152" s="406">
        <f t="shared" si="111"/>
        <v>0.56747331361338438</v>
      </c>
      <c r="AF152" s="406">
        <f t="shared" si="127"/>
        <v>0.57914999999999994</v>
      </c>
      <c r="AG152" s="406">
        <f t="shared" si="112"/>
        <v>1.2611283862954621</v>
      </c>
      <c r="AH152" s="406">
        <f t="shared" si="113"/>
        <v>0</v>
      </c>
      <c r="AI152">
        <f t="shared" si="128"/>
        <v>0</v>
      </c>
      <c r="AJ152" s="407">
        <f t="shared" si="129"/>
        <v>2.372115</v>
      </c>
      <c r="AK152">
        <f t="shared" si="134"/>
        <v>9.6000000000000002E-2</v>
      </c>
      <c r="AL152" s="407">
        <f t="shared" si="130"/>
        <v>0.1215</v>
      </c>
      <c r="AM152" s="407">
        <f t="shared" si="135"/>
        <v>0.70770810810810814</v>
      </c>
      <c r="AN152" s="407">
        <f t="shared" si="114"/>
        <v>0.2175</v>
      </c>
      <c r="AO152" s="407">
        <f t="shared" si="115"/>
        <v>19.668896430312941</v>
      </c>
      <c r="AP152">
        <f t="shared" si="131"/>
        <v>257.39999999999998</v>
      </c>
      <c r="AQ152" s="10">
        <f t="shared" si="116"/>
        <v>0.92901081036622246</v>
      </c>
      <c r="AR152" s="63">
        <f t="shared" si="117"/>
        <v>812.19958084804932</v>
      </c>
      <c r="AS152" s="63">
        <f t="shared" si="118"/>
        <v>50.445135451818487</v>
      </c>
      <c r="AT152" s="10"/>
      <c r="AU152">
        <f t="shared" si="119"/>
        <v>92.901081036622244</v>
      </c>
    </row>
    <row r="153" spans="7:47" x14ac:dyDescent="0.2">
      <c r="G153">
        <v>144</v>
      </c>
      <c r="H153">
        <f t="shared" si="120"/>
        <v>10.799999999999999</v>
      </c>
      <c r="I153" s="406">
        <f t="shared" si="97"/>
        <v>0.50840442178587664</v>
      </c>
      <c r="J153" s="407">
        <f t="shared" si="121"/>
        <v>2.1788760933680429</v>
      </c>
      <c r="K153" s="407">
        <f t="shared" si="132"/>
        <v>11.88943804668402</v>
      </c>
      <c r="L153" s="407">
        <f t="shared" si="98"/>
        <v>9.7105619533159775</v>
      </c>
      <c r="M153" s="63">
        <f t="shared" si="122"/>
        <v>0</v>
      </c>
      <c r="N153" s="406">
        <f t="shared" si="99"/>
        <v>10.818300471231801</v>
      </c>
      <c r="O153" s="406">
        <f t="shared" si="100"/>
        <v>0.7440100791639892</v>
      </c>
      <c r="P153">
        <f t="shared" si="123"/>
        <v>0.2</v>
      </c>
      <c r="Q153" s="406">
        <f t="shared" si="133"/>
        <v>0.94401007916398916</v>
      </c>
      <c r="R153" s="9">
        <f t="shared" si="101"/>
        <v>0.62898734951843993</v>
      </c>
      <c r="S153" s="9">
        <f t="shared" si="102"/>
        <v>3.9562508585423212E-4</v>
      </c>
      <c r="T153" s="9">
        <f t="shared" si="103"/>
        <v>3.9562508585423212E-4</v>
      </c>
      <c r="U153" s="406">
        <f t="shared" si="104"/>
        <v>7.713716957480508</v>
      </c>
      <c r="V153" s="408">
        <f t="shared" si="105"/>
        <v>0.11900285860024469</v>
      </c>
      <c r="W153" s="406">
        <f t="shared" si="106"/>
        <v>0.11900285860024469</v>
      </c>
      <c r="X153" s="406">
        <f t="shared" si="107"/>
        <v>7.713716957480508</v>
      </c>
      <c r="Y153" s="406">
        <f t="shared" si="108"/>
        <v>3.0940743236063617</v>
      </c>
      <c r="Z153" s="406">
        <f t="shared" si="124"/>
        <v>1.4431479462458696</v>
      </c>
      <c r="AA153" s="406">
        <f t="shared" si="125"/>
        <v>0.37132800000000021</v>
      </c>
      <c r="AB153" s="406">
        <f t="shared" si="126"/>
        <v>0</v>
      </c>
      <c r="AC153" s="406">
        <f t="shared" si="109"/>
        <v>15.372672026135533</v>
      </c>
      <c r="AD153" s="406">
        <f t="shared" si="110"/>
        <v>7.5851299122514613</v>
      </c>
      <c r="AE153" s="406">
        <f t="shared" si="111"/>
        <v>0.57534195785731856</v>
      </c>
      <c r="AF153" s="406">
        <f t="shared" si="127"/>
        <v>0.58319999999999994</v>
      </c>
      <c r="AG153" s="406">
        <f t="shared" si="112"/>
        <v>1.276004154406134</v>
      </c>
      <c r="AH153" s="406">
        <f t="shared" si="113"/>
        <v>0</v>
      </c>
      <c r="AI153">
        <f t="shared" si="128"/>
        <v>0</v>
      </c>
      <c r="AJ153" s="407">
        <f t="shared" si="129"/>
        <v>2.3719199999999998</v>
      </c>
      <c r="AK153">
        <f t="shared" si="134"/>
        <v>9.6000000000000002E-2</v>
      </c>
      <c r="AL153" s="407">
        <f t="shared" si="130"/>
        <v>0.1215</v>
      </c>
      <c r="AM153" s="407">
        <f t="shared" si="135"/>
        <v>0.70770810810810814</v>
      </c>
      <c r="AN153" s="407">
        <f t="shared" si="114"/>
        <v>0.2175</v>
      </c>
      <c r="AO153" s="407">
        <f t="shared" si="115"/>
        <v>20.301504743391757</v>
      </c>
      <c r="AP153">
        <f t="shared" si="131"/>
        <v>259.2</v>
      </c>
      <c r="AQ153" s="10">
        <f t="shared" si="116"/>
        <v>0.92736531146037859</v>
      </c>
      <c r="AR153" s="63">
        <f t="shared" si="117"/>
        <v>845.49696143745427</v>
      </c>
      <c r="AS153" s="63">
        <f t="shared" si="118"/>
        <v>51.040166176245364</v>
      </c>
      <c r="AT153" s="10"/>
      <c r="AU153">
        <f t="shared" si="119"/>
        <v>92.736531146037862</v>
      </c>
    </row>
    <row r="154" spans="7:47" x14ac:dyDescent="0.2">
      <c r="G154">
        <v>145</v>
      </c>
      <c r="H154">
        <f t="shared" si="120"/>
        <v>10.875</v>
      </c>
      <c r="I154" s="406">
        <f t="shared" si="97"/>
        <v>0.508463346531842</v>
      </c>
      <c r="J154" s="407">
        <f t="shared" si="121"/>
        <v>2.1791286279936086</v>
      </c>
      <c r="K154" s="407">
        <f t="shared" si="132"/>
        <v>11.964564313996805</v>
      </c>
      <c r="L154" s="407">
        <f t="shared" si="98"/>
        <v>9.7854356860031952</v>
      </c>
      <c r="M154" s="63">
        <f t="shared" si="122"/>
        <v>0</v>
      </c>
      <c r="N154" s="406">
        <f t="shared" si="99"/>
        <v>10.893178682006083</v>
      </c>
      <c r="O154" s="406">
        <f t="shared" si="100"/>
        <v>0.75496916475983977</v>
      </c>
      <c r="P154">
        <f t="shared" si="123"/>
        <v>0.2</v>
      </c>
      <c r="Q154" s="406">
        <f t="shared" si="133"/>
        <v>0.95496916475983973</v>
      </c>
      <c r="R154" s="9">
        <f t="shared" si="101"/>
        <v>0.62906024998546495</v>
      </c>
      <c r="S154" s="9">
        <f t="shared" si="102"/>
        <v>3.9571679811177562E-4</v>
      </c>
      <c r="T154" s="9">
        <f t="shared" si="103"/>
        <v>3.9571679811177562E-4</v>
      </c>
      <c r="U154" s="406">
        <f t="shared" si="104"/>
        <v>7.767557077654895</v>
      </c>
      <c r="V154" s="408">
        <f t="shared" si="105"/>
        <v>0.12066988590925332</v>
      </c>
      <c r="W154" s="406">
        <f t="shared" si="106"/>
        <v>0.12066988590925332</v>
      </c>
      <c r="X154" s="406">
        <f t="shared" si="107"/>
        <v>7.767557077654895</v>
      </c>
      <c r="Y154" s="406">
        <f t="shared" si="108"/>
        <v>3.137417033640586</v>
      </c>
      <c r="Z154" s="406">
        <f t="shared" si="124"/>
        <v>1.4536081977179482</v>
      </c>
      <c r="AA154" s="406">
        <f t="shared" si="125"/>
        <v>0.37132800000000021</v>
      </c>
      <c r="AB154" s="406">
        <f t="shared" si="126"/>
        <v>0</v>
      </c>
      <c r="AC154" s="406">
        <f t="shared" si="109"/>
        <v>16.019566852711801</v>
      </c>
      <c r="AD154" s="406">
        <f t="shared" si="110"/>
        <v>7.6371721758439568</v>
      </c>
      <c r="AE154" s="406">
        <f t="shared" si="111"/>
        <v>0.58326398843485117</v>
      </c>
      <c r="AF154" s="406">
        <f t="shared" si="127"/>
        <v>0.58724999999999994</v>
      </c>
      <c r="AG154" s="406">
        <f t="shared" si="112"/>
        <v>1.290992277174603</v>
      </c>
      <c r="AH154" s="406">
        <f t="shared" si="113"/>
        <v>0</v>
      </c>
      <c r="AI154">
        <f t="shared" si="128"/>
        <v>0</v>
      </c>
      <c r="AJ154" s="407">
        <f t="shared" si="129"/>
        <v>2.3717249999999996</v>
      </c>
      <c r="AK154">
        <f t="shared" si="134"/>
        <v>9.6000000000000002E-2</v>
      </c>
      <c r="AL154" s="407">
        <f t="shared" si="130"/>
        <v>0.1215</v>
      </c>
      <c r="AM154" s="407">
        <f t="shared" si="135"/>
        <v>0.70770810810810814</v>
      </c>
      <c r="AN154" s="407">
        <f t="shared" si="114"/>
        <v>0.2175</v>
      </c>
      <c r="AO154" s="407">
        <f t="shared" si="115"/>
        <v>20.975818897353612</v>
      </c>
      <c r="AP154">
        <f t="shared" si="131"/>
        <v>261</v>
      </c>
      <c r="AQ154" s="10">
        <f t="shared" si="116"/>
        <v>0.92561128475704735</v>
      </c>
      <c r="AR154" s="63">
        <f t="shared" si="117"/>
        <v>881.076176899149</v>
      </c>
      <c r="AS154" s="63">
        <f t="shared" si="118"/>
        <v>51.639691086984115</v>
      </c>
      <c r="AT154" s="10"/>
      <c r="AU154">
        <f t="shared" si="119"/>
        <v>92.561128475704734</v>
      </c>
    </row>
    <row r="155" spans="7:47" x14ac:dyDescent="0.2">
      <c r="G155">
        <v>146</v>
      </c>
      <c r="H155">
        <f t="shared" si="120"/>
        <v>10.95</v>
      </c>
      <c r="I155" s="406">
        <f t="shared" si="97"/>
        <v>0.50852227908649761</v>
      </c>
      <c r="J155" s="407">
        <f t="shared" si="121"/>
        <v>2.1793811960849898</v>
      </c>
      <c r="K155" s="407">
        <f t="shared" si="132"/>
        <v>12.039690598042494</v>
      </c>
      <c r="L155" s="407">
        <f t="shared" si="98"/>
        <v>9.8603094019575046</v>
      </c>
      <c r="M155" s="63">
        <f t="shared" si="122"/>
        <v>0</v>
      </c>
      <c r="N155" s="406">
        <f t="shared" si="99"/>
        <v>10.968058558065509</v>
      </c>
      <c r="O155" s="406">
        <f t="shared" si="100"/>
        <v>0.76602242836573575</v>
      </c>
      <c r="P155">
        <f t="shared" si="123"/>
        <v>0.2</v>
      </c>
      <c r="Q155" s="406">
        <f t="shared" si="133"/>
        <v>0.96602242836573571</v>
      </c>
      <c r="R155" s="9">
        <f t="shared" si="101"/>
        <v>0.62913316011323872</v>
      </c>
      <c r="S155" s="9">
        <f t="shared" si="102"/>
        <v>3.9580853315407004E-4</v>
      </c>
      <c r="T155" s="9">
        <f t="shared" si="103"/>
        <v>3.9580853315407004E-4</v>
      </c>
      <c r="U155" s="406">
        <f t="shared" si="104"/>
        <v>7.8214046069443413</v>
      </c>
      <c r="V155" s="408">
        <f t="shared" si="105"/>
        <v>0.12234874005106033</v>
      </c>
      <c r="W155" s="406">
        <f t="shared" si="106"/>
        <v>0.12234874005106033</v>
      </c>
      <c r="X155" s="406">
        <f t="shared" si="107"/>
        <v>7.8214046069443413</v>
      </c>
      <c r="Y155" s="406">
        <f t="shared" si="108"/>
        <v>3.1810672413275687</v>
      </c>
      <c r="Z155" s="406">
        <f t="shared" si="124"/>
        <v>1.4640684482039696</v>
      </c>
      <c r="AA155" s="406">
        <f t="shared" si="125"/>
        <v>0.37132800000000021</v>
      </c>
      <c r="AB155" s="406">
        <f t="shared" si="126"/>
        <v>0</v>
      </c>
      <c r="AC155" s="406">
        <f t="shared" si="109"/>
        <v>16.712342317109929</v>
      </c>
      <c r="AD155" s="406">
        <f t="shared" si="110"/>
        <v>7.6892092251169686</v>
      </c>
      <c r="AE155" s="406">
        <f t="shared" si="111"/>
        <v>0.59123938507623897</v>
      </c>
      <c r="AF155" s="406">
        <f t="shared" si="127"/>
        <v>0.59129999999999994</v>
      </c>
      <c r="AG155" s="406">
        <f t="shared" si="112"/>
        <v>1.3060936236169214</v>
      </c>
      <c r="AH155" s="406">
        <f t="shared" si="113"/>
        <v>0</v>
      </c>
      <c r="AI155">
        <f t="shared" si="128"/>
        <v>0</v>
      </c>
      <c r="AJ155" s="407">
        <f t="shared" si="129"/>
        <v>2.3715299999999999</v>
      </c>
      <c r="AK155">
        <f t="shared" si="134"/>
        <v>9.6000000000000002E-2</v>
      </c>
      <c r="AL155" s="407">
        <f t="shared" si="130"/>
        <v>0.1215</v>
      </c>
      <c r="AM155" s="407">
        <f t="shared" si="135"/>
        <v>0.70770810810810814</v>
      </c>
      <c r="AN155" s="407">
        <f t="shared" si="114"/>
        <v>0.2175</v>
      </c>
      <c r="AO155" s="407">
        <f t="shared" si="115"/>
        <v>21.696232917676799</v>
      </c>
      <c r="AP155">
        <f t="shared" si="131"/>
        <v>262.79999999999995</v>
      </c>
      <c r="AQ155" s="10">
        <f t="shared" si="116"/>
        <v>0.92373806607149367</v>
      </c>
      <c r="AR155" s="63">
        <f t="shared" si="117"/>
        <v>919.17882744104611</v>
      </c>
      <c r="AS155" s="63">
        <f t="shared" si="118"/>
        <v>52.243744944676855</v>
      </c>
      <c r="AT155" s="10"/>
      <c r="AU155">
        <f t="shared" si="119"/>
        <v>92.373806607149362</v>
      </c>
    </row>
    <row r="156" spans="7:47" x14ac:dyDescent="0.2">
      <c r="G156">
        <v>147</v>
      </c>
      <c r="H156">
        <f t="shared" si="120"/>
        <v>11.025</v>
      </c>
      <c r="I156" s="406">
        <f t="shared" si="97"/>
        <v>0.50858121945139523</v>
      </c>
      <c r="J156" s="407">
        <f t="shared" si="121"/>
        <v>2.1796337976488367</v>
      </c>
      <c r="K156" s="407">
        <f t="shared" si="132"/>
        <v>12.114816898824419</v>
      </c>
      <c r="L156" s="407">
        <f t="shared" si="98"/>
        <v>9.935183101175582</v>
      </c>
      <c r="M156" s="63">
        <f t="shared" si="122"/>
        <v>0</v>
      </c>
      <c r="N156" s="406">
        <f t="shared" si="99"/>
        <v>11.04294006553453</v>
      </c>
      <c r="O156" s="406">
        <f t="shared" si="100"/>
        <v>0.77717029597990328</v>
      </c>
      <c r="P156">
        <f t="shared" si="123"/>
        <v>0.2</v>
      </c>
      <c r="Q156" s="406">
        <f t="shared" si="133"/>
        <v>0.97717029597990335</v>
      </c>
      <c r="R156" s="9">
        <f t="shared" si="101"/>
        <v>0.62920607990368116</v>
      </c>
      <c r="S156" s="9">
        <f t="shared" si="102"/>
        <v>3.9590029098775757E-4</v>
      </c>
      <c r="T156" s="9">
        <f t="shared" si="103"/>
        <v>3.9590029098775757E-4</v>
      </c>
      <c r="U156" s="406">
        <f t="shared" si="104"/>
        <v>7.8752595220951909</v>
      </c>
      <c r="V156" s="408">
        <f t="shared" si="105"/>
        <v>0.12403942508070195</v>
      </c>
      <c r="W156" s="406">
        <f t="shared" si="106"/>
        <v>0.12403942508070195</v>
      </c>
      <c r="X156" s="406">
        <f t="shared" si="107"/>
        <v>7.8752595220951909</v>
      </c>
      <c r="Y156" s="406">
        <f t="shared" si="108"/>
        <v>3.2250250520982506</v>
      </c>
      <c r="Z156" s="406">
        <f t="shared" si="124"/>
        <v>1.4745286977037377</v>
      </c>
      <c r="AA156" s="406">
        <f t="shared" si="125"/>
        <v>0.37132800000000021</v>
      </c>
      <c r="AB156" s="406">
        <f t="shared" si="126"/>
        <v>0</v>
      </c>
      <c r="AC156" s="406">
        <f t="shared" si="109"/>
        <v>17.456034279052915</v>
      </c>
      <c r="AD156" s="406">
        <f t="shared" si="110"/>
        <v>7.7412410342681364</v>
      </c>
      <c r="AE156" s="406">
        <f t="shared" si="111"/>
        <v>0.59926812750636804</v>
      </c>
      <c r="AF156" s="406">
        <f t="shared" si="127"/>
        <v>0.59535000000000005</v>
      </c>
      <c r="AG156" s="406">
        <f t="shared" si="112"/>
        <v>1.3213090738315181</v>
      </c>
      <c r="AH156" s="406">
        <f t="shared" si="113"/>
        <v>0</v>
      </c>
      <c r="AI156">
        <f t="shared" si="128"/>
        <v>0</v>
      </c>
      <c r="AJ156" s="407">
        <f t="shared" si="129"/>
        <v>2.3713349999999997</v>
      </c>
      <c r="AK156">
        <f t="shared" si="134"/>
        <v>9.6000000000000002E-2</v>
      </c>
      <c r="AL156" s="407">
        <f t="shared" si="130"/>
        <v>0.1215</v>
      </c>
      <c r="AM156" s="407">
        <f t="shared" si="135"/>
        <v>0.70770810810810814</v>
      </c>
      <c r="AN156" s="407">
        <f t="shared" si="114"/>
        <v>0.2175</v>
      </c>
      <c r="AO156" s="407">
        <f t="shared" si="115"/>
        <v>22.467783974236024</v>
      </c>
      <c r="AP156">
        <f t="shared" si="131"/>
        <v>264.60000000000002</v>
      </c>
      <c r="AQ156" s="10">
        <f t="shared" si="116"/>
        <v>0.92173352347941473</v>
      </c>
      <c r="AR156" s="63">
        <f t="shared" si="117"/>
        <v>960.08188534791032</v>
      </c>
      <c r="AS156" s="63">
        <f t="shared" si="118"/>
        <v>52.852362953260723</v>
      </c>
      <c r="AT156" s="10"/>
      <c r="AU156">
        <f t="shared" si="119"/>
        <v>92.173352347941474</v>
      </c>
    </row>
    <row r="157" spans="7:47" x14ac:dyDescent="0.2">
      <c r="G157">
        <v>148</v>
      </c>
      <c r="H157">
        <f t="shared" si="120"/>
        <v>11.1</v>
      </c>
      <c r="I157" s="406">
        <f t="shared" si="97"/>
        <v>0.50864016762808784</v>
      </c>
      <c r="J157" s="407">
        <f t="shared" si="121"/>
        <v>2.1798864326918053</v>
      </c>
      <c r="K157" s="407">
        <f t="shared" si="132"/>
        <v>12.189943216345902</v>
      </c>
      <c r="L157" s="407">
        <f t="shared" si="98"/>
        <v>10.010056783654097</v>
      </c>
      <c r="M157" s="63">
        <f t="shared" si="122"/>
        <v>0</v>
      </c>
      <c r="N157" s="406">
        <f t="shared" si="99"/>
        <v>11.117823171449503</v>
      </c>
      <c r="O157" s="406">
        <f t="shared" si="100"/>
        <v>0.78841319828731471</v>
      </c>
      <c r="P157">
        <f t="shared" si="123"/>
        <v>0.2</v>
      </c>
      <c r="Q157" s="406">
        <f t="shared" si="133"/>
        <v>0.98841319828731478</v>
      </c>
      <c r="R157" s="9">
        <f t="shared" si="101"/>
        <v>0.62927900935871339</v>
      </c>
      <c r="S157" s="9">
        <f t="shared" si="102"/>
        <v>3.9599207161948369E-4</v>
      </c>
      <c r="T157" s="9">
        <f t="shared" si="103"/>
        <v>3.9599207161948369E-4</v>
      </c>
      <c r="U157" s="406">
        <f t="shared" si="104"/>
        <v>7.9291218004987565</v>
      </c>
      <c r="V157" s="408">
        <f t="shared" si="105"/>
        <v>0.12574194505428929</v>
      </c>
      <c r="W157" s="406">
        <f t="shared" si="106"/>
        <v>0.12574194505428929</v>
      </c>
      <c r="X157" s="406">
        <f t="shared" si="107"/>
        <v>7.9291218004987565</v>
      </c>
      <c r="Y157" s="406">
        <f t="shared" si="108"/>
        <v>3.2692905714115215</v>
      </c>
      <c r="Z157" s="406">
        <f t="shared" si="124"/>
        <v>1.4849889462170562</v>
      </c>
      <c r="AA157" s="406">
        <f t="shared" si="125"/>
        <v>0.37132800000000021</v>
      </c>
      <c r="AB157" s="406">
        <f t="shared" si="126"/>
        <v>0</v>
      </c>
      <c r="AC157" s="406">
        <f t="shared" si="109"/>
        <v>18.256443892088232</v>
      </c>
      <c r="AD157" s="406">
        <f t="shared" si="110"/>
        <v>7.7932675781391509</v>
      </c>
      <c r="AE157" s="406">
        <f t="shared" si="111"/>
        <v>0.60735019544474866</v>
      </c>
      <c r="AF157" s="406">
        <f t="shared" si="127"/>
        <v>0.59939999999999993</v>
      </c>
      <c r="AG157" s="406">
        <f t="shared" si="112"/>
        <v>1.3366395191565761</v>
      </c>
      <c r="AH157" s="406">
        <f t="shared" si="113"/>
        <v>0</v>
      </c>
      <c r="AI157">
        <f t="shared" si="128"/>
        <v>0</v>
      </c>
      <c r="AJ157" s="407">
        <f t="shared" si="129"/>
        <v>2.37114</v>
      </c>
      <c r="AK157">
        <f t="shared" si="134"/>
        <v>9.6000000000000002E-2</v>
      </c>
      <c r="AL157" s="407">
        <f t="shared" si="130"/>
        <v>0.1215</v>
      </c>
      <c r="AM157" s="407">
        <f t="shared" si="135"/>
        <v>0.70770810810810814</v>
      </c>
      <c r="AN157" s="407">
        <f t="shared" si="114"/>
        <v>0.2175</v>
      </c>
      <c r="AO157" s="407">
        <f t="shared" si="115"/>
        <v>23.296274546658033</v>
      </c>
      <c r="AP157">
        <f t="shared" si="131"/>
        <v>266.39999999999998</v>
      </c>
      <c r="AQ157" s="10">
        <f t="shared" si="116"/>
        <v>0.91958379657068745</v>
      </c>
      <c r="AR157" s="63">
        <f t="shared" si="117"/>
        <v>1004.1044140648528</v>
      </c>
      <c r="AS157" s="63">
        <f t="shared" si="118"/>
        <v>53.465580766263045</v>
      </c>
      <c r="AT157" s="10"/>
      <c r="AU157">
        <f t="shared" si="119"/>
        <v>91.958379657068747</v>
      </c>
    </row>
    <row r="158" spans="7:47" x14ac:dyDescent="0.2">
      <c r="G158">
        <v>149</v>
      </c>
      <c r="H158">
        <f t="shared" si="120"/>
        <v>11.175000000000001</v>
      </c>
      <c r="I158" s="406">
        <f t="shared" si="97"/>
        <v>0.50869912361812852</v>
      </c>
      <c r="J158" s="407">
        <f t="shared" si="121"/>
        <v>2.1801391012205507</v>
      </c>
      <c r="K158" s="407">
        <f t="shared" si="132"/>
        <v>12.265069550610276</v>
      </c>
      <c r="L158" s="407">
        <f t="shared" si="98"/>
        <v>10.084930449389725</v>
      </c>
      <c r="M158" s="63">
        <f t="shared" si="122"/>
        <v>0</v>
      </c>
      <c r="N158" s="406">
        <f t="shared" si="99"/>
        <v>11.19270784372825</v>
      </c>
      <c r="O158" s="406">
        <f t="shared" si="100"/>
        <v>0.79975157070416303</v>
      </c>
      <c r="P158">
        <f t="shared" si="123"/>
        <v>0.2</v>
      </c>
      <c r="Q158" s="406">
        <f t="shared" si="133"/>
        <v>0.9997515707041631</v>
      </c>
      <c r="R158" s="9">
        <f t="shared" si="101"/>
        <v>0.62935194848025688</v>
      </c>
      <c r="S158" s="9">
        <f t="shared" si="102"/>
        <v>3.9608387505589594E-4</v>
      </c>
      <c r="T158" s="9">
        <f t="shared" si="103"/>
        <v>3.9608387505589594E-4</v>
      </c>
      <c r="U158" s="406">
        <f t="shared" si="104"/>
        <v>7.9829914201697818</v>
      </c>
      <c r="V158" s="408">
        <f t="shared" si="105"/>
        <v>0.1274563040290087</v>
      </c>
      <c r="W158" s="406">
        <f t="shared" si="106"/>
        <v>0.1274563040290087</v>
      </c>
      <c r="X158" s="406">
        <f t="shared" si="107"/>
        <v>7.9829914201697818</v>
      </c>
      <c r="Y158" s="406">
        <f t="shared" si="108"/>
        <v>3.3138639047542262</v>
      </c>
      <c r="Z158" s="406">
        <f t="shared" si="124"/>
        <v>1.4954491937437293</v>
      </c>
      <c r="AA158" s="406">
        <f t="shared" si="125"/>
        <v>0.37132800000000021</v>
      </c>
      <c r="AB158" s="406">
        <f t="shared" si="126"/>
        <v>0</v>
      </c>
      <c r="AC158" s="406">
        <f t="shared" si="109"/>
        <v>19.12028871553121</v>
      </c>
      <c r="AD158" s="406">
        <f t="shared" si="110"/>
        <v>7.8452888321942327</v>
      </c>
      <c r="AE158" s="406">
        <f t="shared" si="111"/>
        <v>0.61548556860551551</v>
      </c>
      <c r="AF158" s="406">
        <f t="shared" si="127"/>
        <v>0.60345000000000004</v>
      </c>
      <c r="AG158" s="406">
        <f t="shared" si="112"/>
        <v>1.3520858623302896</v>
      </c>
      <c r="AH158" s="406">
        <f t="shared" si="113"/>
        <v>0</v>
      </c>
      <c r="AI158">
        <f t="shared" si="128"/>
        <v>0</v>
      </c>
      <c r="AJ158" s="407">
        <f t="shared" si="129"/>
        <v>2.3709449999999999</v>
      </c>
      <c r="AK158">
        <f t="shared" si="134"/>
        <v>9.6000000000000002E-2</v>
      </c>
      <c r="AL158" s="407">
        <f t="shared" si="130"/>
        <v>0.1215</v>
      </c>
      <c r="AM158" s="407">
        <f t="shared" si="135"/>
        <v>0.70770810810810814</v>
      </c>
      <c r="AN158" s="407">
        <f t="shared" si="114"/>
        <v>0.2175</v>
      </c>
      <c r="AO158" s="407">
        <f t="shared" si="115"/>
        <v>24.188423536469728</v>
      </c>
      <c r="AP158">
        <f t="shared" si="131"/>
        <v>268.20000000000005</v>
      </c>
      <c r="AQ158" s="10">
        <f t="shared" si="116"/>
        <v>0.91727297803412289</v>
      </c>
      <c r="AR158" s="63">
        <f t="shared" si="117"/>
        <v>1051.6158793542165</v>
      </c>
      <c r="AS158" s="63">
        <f t="shared" si="118"/>
        <v>54.083434493211584</v>
      </c>
      <c r="AT158" s="10"/>
      <c r="AU158">
        <f t="shared" si="119"/>
        <v>91.727297803412284</v>
      </c>
    </row>
    <row r="159" spans="7:47" x14ac:dyDescent="0.2">
      <c r="G159">
        <v>150</v>
      </c>
      <c r="H159">
        <f t="shared" si="120"/>
        <v>11.25</v>
      </c>
      <c r="I159" s="406">
        <f t="shared" si="97"/>
        <v>0.50875808742307094</v>
      </c>
      <c r="J159" s="407">
        <f t="shared" si="121"/>
        <v>2.1803918032417329</v>
      </c>
      <c r="K159" s="407">
        <f t="shared" si="132"/>
        <v>12.340195901620866</v>
      </c>
      <c r="L159" s="407">
        <f t="shared" si="98"/>
        <v>10.159804098379134</v>
      </c>
      <c r="M159" s="63">
        <f t="shared" si="122"/>
        <v>0</v>
      </c>
      <c r="N159" s="406">
        <f t="shared" si="99"/>
        <v>11.267594051140804</v>
      </c>
      <c r="O159" s="406">
        <f t="shared" si="100"/>
        <v>0.81118585342296323</v>
      </c>
      <c r="P159">
        <f t="shared" si="123"/>
        <v>0.2</v>
      </c>
      <c r="Q159" s="406">
        <f t="shared" si="133"/>
        <v>1.0111858534229632</v>
      </c>
      <c r="R159" s="9">
        <f t="shared" si="101"/>
        <v>0.6294248972702341</v>
      </c>
      <c r="S159" s="9">
        <f t="shared" si="102"/>
        <v>3.9617570130364479E-4</v>
      </c>
      <c r="T159" s="9">
        <f t="shared" si="103"/>
        <v>3.9617570130364479E-4</v>
      </c>
      <c r="U159" s="406">
        <f t="shared" si="104"/>
        <v>8.0368683597257675</v>
      </c>
      <c r="V159" s="408">
        <f t="shared" si="105"/>
        <v>0.12918250606312232</v>
      </c>
      <c r="W159" s="406">
        <f t="shared" si="106"/>
        <v>0.12918250606312232</v>
      </c>
      <c r="X159" s="406">
        <f t="shared" si="107"/>
        <v>8.0368683597257675</v>
      </c>
      <c r="Y159" s="406">
        <f t="shared" si="108"/>
        <v>3.3587451576411795</v>
      </c>
      <c r="Z159" s="406">
        <f t="shared" si="124"/>
        <v>1.5059094402835607</v>
      </c>
      <c r="AA159" s="406">
        <f t="shared" si="125"/>
        <v>0.37132800000000021</v>
      </c>
      <c r="AB159" s="406">
        <f t="shared" si="126"/>
        <v>0</v>
      </c>
      <c r="AC159" s="406">
        <f t="shared" si="109"/>
        <v>20.055391104229578</v>
      </c>
      <c r="AD159" s="406">
        <f t="shared" si="110"/>
        <v>7.8973047724994441</v>
      </c>
      <c r="AE159" s="406">
        <f t="shared" si="111"/>
        <v>0.623674226697425</v>
      </c>
      <c r="AF159" s="406">
        <f t="shared" si="127"/>
        <v>0.60750000000000004</v>
      </c>
      <c r="AG159" s="406">
        <f t="shared" si="112"/>
        <v>1.3676490176540459</v>
      </c>
      <c r="AH159" s="406">
        <f t="shared" si="113"/>
        <v>0</v>
      </c>
      <c r="AI159">
        <f t="shared" si="128"/>
        <v>0</v>
      </c>
      <c r="AJ159" s="407">
        <f t="shared" si="129"/>
        <v>2.3707499999999997</v>
      </c>
      <c r="AK159">
        <f t="shared" si="134"/>
        <v>9.6000000000000002E-2</v>
      </c>
      <c r="AL159" s="407">
        <f t="shared" si="130"/>
        <v>0.1215</v>
      </c>
      <c r="AM159" s="407">
        <f t="shared" si="135"/>
        <v>0.70770810810810814</v>
      </c>
      <c r="AN159" s="407">
        <f t="shared" si="114"/>
        <v>0.2175</v>
      </c>
      <c r="AO159" s="407">
        <f t="shared" si="115"/>
        <v>25.152054657071016</v>
      </c>
      <c r="AP159">
        <f t="shared" si="131"/>
        <v>270</v>
      </c>
      <c r="AQ159" s="10">
        <f t="shared" si="116"/>
        <v>0.91478272212506029</v>
      </c>
      <c r="AR159" s="63">
        <f t="shared" si="117"/>
        <v>1103.0465107326268</v>
      </c>
      <c r="AS159" s="63">
        <f t="shared" si="118"/>
        <v>54.705960706161832</v>
      </c>
      <c r="AT159" s="10"/>
      <c r="AU159">
        <f t="shared" si="119"/>
        <v>91.478272212506027</v>
      </c>
    </row>
    <row r="160" spans="7:47" x14ac:dyDescent="0.2">
      <c r="G160">
        <v>151</v>
      </c>
      <c r="H160">
        <f t="shared" si="120"/>
        <v>11.324999999999999</v>
      </c>
      <c r="I160" s="406">
        <f t="shared" si="97"/>
        <v>0.50881705904446883</v>
      </c>
      <c r="J160" s="407">
        <f t="shared" si="121"/>
        <v>2.1806445387620093</v>
      </c>
      <c r="K160" s="407">
        <f t="shared" si="132"/>
        <v>12.415322269381004</v>
      </c>
      <c r="L160" s="407">
        <f t="shared" si="98"/>
        <v>10.234677730618994</v>
      </c>
      <c r="M160" s="63">
        <f t="shared" si="122"/>
        <v>0</v>
      </c>
      <c r="N160" s="406">
        <f t="shared" si="99"/>
        <v>11.342481763281322</v>
      </c>
      <c r="O160" s="406">
        <f t="shared" si="100"/>
        <v>0.82271649145830095</v>
      </c>
      <c r="P160">
        <f t="shared" si="123"/>
        <v>0.2</v>
      </c>
      <c r="Q160" s="406">
        <f t="shared" si="133"/>
        <v>1.0227164914583009</v>
      </c>
      <c r="R160" s="9">
        <f t="shared" si="101"/>
        <v>0.62949785573056671</v>
      </c>
      <c r="S160" s="9">
        <f t="shared" si="102"/>
        <v>3.9626755036938137E-4</v>
      </c>
      <c r="T160" s="9">
        <f t="shared" si="103"/>
        <v>3.9626755036938137E-4</v>
      </c>
      <c r="U160" s="406">
        <f t="shared" si="104"/>
        <v>8.0907525983670983</v>
      </c>
      <c r="V160" s="408">
        <f t="shared" si="105"/>
        <v>0.1309205552159679</v>
      </c>
      <c r="W160" s="406">
        <f t="shared" si="106"/>
        <v>0.1309205552159679</v>
      </c>
      <c r="X160" s="406">
        <f t="shared" si="107"/>
        <v>8.0907525983670983</v>
      </c>
      <c r="Y160" s="406">
        <f t="shared" si="108"/>
        <v>3.4039344356151653</v>
      </c>
      <c r="Z160" s="406">
        <f t="shared" si="124"/>
        <v>1.5163696858363536</v>
      </c>
      <c r="AA160" s="406">
        <f t="shared" si="125"/>
        <v>0.37132800000000021</v>
      </c>
      <c r="AB160" s="406">
        <f t="shared" si="126"/>
        <v>0</v>
      </c>
      <c r="AC160" s="406">
        <f t="shared" si="109"/>
        <v>21.070915064921195</v>
      </c>
      <c r="AD160" s="406">
        <f t="shared" si="110"/>
        <v>7.9493153757028301</v>
      </c>
      <c r="AE160" s="406">
        <f t="shared" si="111"/>
        <v>0.63191614942385432</v>
      </c>
      <c r="AF160" s="406">
        <f t="shared" si="127"/>
        <v>0.61154999999999993</v>
      </c>
      <c r="AG160" s="406">
        <f t="shared" si="112"/>
        <v>1.3833299111586044</v>
      </c>
      <c r="AH160" s="406">
        <f t="shared" si="113"/>
        <v>0</v>
      </c>
      <c r="AI160">
        <f t="shared" si="128"/>
        <v>0</v>
      </c>
      <c r="AJ160" s="407">
        <f t="shared" si="129"/>
        <v>2.3705549999999995</v>
      </c>
      <c r="AK160">
        <f t="shared" si="134"/>
        <v>9.6000000000000002E-2</v>
      </c>
      <c r="AL160" s="407">
        <f t="shared" si="130"/>
        <v>0.1215</v>
      </c>
      <c r="AM160" s="407">
        <f t="shared" si="135"/>
        <v>0.70770810810810814</v>
      </c>
      <c r="AN160" s="407">
        <f t="shared" si="114"/>
        <v>0.2175</v>
      </c>
      <c r="AO160" s="407">
        <f t="shared" si="115"/>
        <v>26.196333290304437</v>
      </c>
      <c r="AP160">
        <f t="shared" si="131"/>
        <v>271.79999999999995</v>
      </c>
      <c r="AQ160" s="10">
        <f t="shared" si="116"/>
        <v>0.91209175964999445</v>
      </c>
      <c r="AR160" s="63">
        <f t="shared" si="117"/>
        <v>1158.9003285706658</v>
      </c>
      <c r="AS160" s="63">
        <f t="shared" si="118"/>
        <v>55.333196446344175</v>
      </c>
      <c r="AT160" s="10"/>
      <c r="AU160">
        <f t="shared" si="119"/>
        <v>91.209175964999446</v>
      </c>
    </row>
    <row r="161" spans="7:47" x14ac:dyDescent="0.2">
      <c r="G161">
        <v>152</v>
      </c>
      <c r="H161">
        <f t="shared" si="120"/>
        <v>11.4</v>
      </c>
      <c r="I161" s="406">
        <f t="shared" si="97"/>
        <v>0.50887603848387675</v>
      </c>
      <c r="J161" s="407">
        <f t="shared" si="121"/>
        <v>2.1808973077880434</v>
      </c>
      <c r="K161" s="407">
        <f t="shared" si="132"/>
        <v>12.490448653894022</v>
      </c>
      <c r="L161" s="407">
        <f t="shared" si="98"/>
        <v>10.309551346105978</v>
      </c>
      <c r="M161" s="63">
        <f t="shared" si="122"/>
        <v>0</v>
      </c>
      <c r="N161" s="406">
        <f t="shared" si="99"/>
        <v>11.4173709505411</v>
      </c>
      <c r="O161" s="406">
        <f t="shared" si="100"/>
        <v>0.83434393469323231</v>
      </c>
      <c r="P161">
        <f t="shared" si="123"/>
        <v>0.2</v>
      </c>
      <c r="Q161" s="406">
        <f t="shared" si="133"/>
        <v>1.0343439346932324</v>
      </c>
      <c r="R161" s="9">
        <f t="shared" si="101"/>
        <v>0.62957082386317853</v>
      </c>
      <c r="S161" s="9">
        <f t="shared" si="102"/>
        <v>3.9635942225976133E-4</v>
      </c>
      <c r="T161" s="9">
        <f t="shared" si="103"/>
        <v>3.9635942225976133E-4</v>
      </c>
      <c r="U161" s="406">
        <f t="shared" si="104"/>
        <v>8.1446441158579752</v>
      </c>
      <c r="V161" s="408">
        <f t="shared" si="105"/>
        <v>0.13267045554795986</v>
      </c>
      <c r="W161" s="406">
        <f t="shared" si="106"/>
        <v>0.13267045554795986</v>
      </c>
      <c r="X161" s="406">
        <f t="shared" si="107"/>
        <v>8.1446441158579752</v>
      </c>
      <c r="Y161" s="406">
        <f t="shared" si="108"/>
        <v>3.4494318442469565</v>
      </c>
      <c r="Z161" s="406">
        <f t="shared" si="124"/>
        <v>1.5268299304019133</v>
      </c>
      <c r="AA161" s="406">
        <f t="shared" si="125"/>
        <v>0.37132800000000021</v>
      </c>
      <c r="AB161" s="406">
        <f t="shared" si="126"/>
        <v>0</v>
      </c>
      <c r="AC161" s="406">
        <f t="shared" si="109"/>
        <v>22.177666777907476</v>
      </c>
      <c r="AD161" s="406">
        <f t="shared" si="110"/>
        <v>8.0013206190153294</v>
      </c>
      <c r="AE161" s="406">
        <f t="shared" si="111"/>
        <v>0.6402113164827985</v>
      </c>
      <c r="AF161" s="406">
        <f t="shared" si="127"/>
        <v>0.61560000000000004</v>
      </c>
      <c r="AG161" s="406">
        <f t="shared" si="112"/>
        <v>1.3991294807733241</v>
      </c>
      <c r="AH161" s="406">
        <f t="shared" si="113"/>
        <v>0</v>
      </c>
      <c r="AI161">
        <f t="shared" si="128"/>
        <v>0</v>
      </c>
      <c r="AJ161" s="407">
        <f t="shared" si="129"/>
        <v>2.3703599999999998</v>
      </c>
      <c r="AK161">
        <f t="shared" si="134"/>
        <v>9.6000000000000002E-2</v>
      </c>
      <c r="AL161" s="407">
        <f t="shared" si="130"/>
        <v>0.1215</v>
      </c>
      <c r="AM161" s="407">
        <f t="shared" si="135"/>
        <v>0.70770810810810814</v>
      </c>
      <c r="AN161" s="407">
        <f t="shared" si="114"/>
        <v>0.2175</v>
      </c>
      <c r="AO161" s="407">
        <f t="shared" si="115"/>
        <v>27.332067008344254</v>
      </c>
      <c r="AP161">
        <f t="shared" si="131"/>
        <v>273.60000000000002</v>
      </c>
      <c r="AQ161" s="10">
        <f t="shared" si="116"/>
        <v>0.90917529235066064</v>
      </c>
      <c r="AR161" s="63">
        <f t="shared" si="117"/>
        <v>1219.7716727849111</v>
      </c>
      <c r="AS161" s="63">
        <f t="shared" si="118"/>
        <v>55.965179230932961</v>
      </c>
      <c r="AT161" s="10"/>
      <c r="AU161">
        <f t="shared" si="119"/>
        <v>90.91752923506607</v>
      </c>
    </row>
    <row r="162" spans="7:47" x14ac:dyDescent="0.2">
      <c r="G162">
        <v>153</v>
      </c>
      <c r="H162">
        <f t="shared" si="120"/>
        <v>11.475</v>
      </c>
      <c r="I162" s="406">
        <f t="shared" si="97"/>
        <v>0.50893502574284932</v>
      </c>
      <c r="J162" s="407">
        <f t="shared" si="121"/>
        <v>2.1811501103264974</v>
      </c>
      <c r="K162" s="407">
        <f t="shared" si="132"/>
        <v>12.565575055163249</v>
      </c>
      <c r="L162" s="407">
        <f t="shared" si="98"/>
        <v>10.38442494483675</v>
      </c>
      <c r="M162" s="63">
        <f t="shared" si="122"/>
        <v>0</v>
      </c>
      <c r="N162" s="406">
        <f t="shared" si="99"/>
        <v>11.492261584082632</v>
      </c>
      <c r="O162" s="406">
        <f t="shared" si="100"/>
        <v>0.84606863792634279</v>
      </c>
      <c r="P162">
        <f t="shared" si="123"/>
        <v>0.2</v>
      </c>
      <c r="Q162" s="406">
        <f t="shared" si="133"/>
        <v>1.0460686379263429</v>
      </c>
      <c r="R162" s="9">
        <f t="shared" si="101"/>
        <v>0.62964380166999268</v>
      </c>
      <c r="S162" s="9">
        <f t="shared" si="102"/>
        <v>3.9645131698144113E-4</v>
      </c>
      <c r="T162" s="9">
        <f t="shared" si="103"/>
        <v>3.9645131698144113E-4</v>
      </c>
      <c r="U162" s="406">
        <f t="shared" si="104"/>
        <v>8.1985428925080654</v>
      </c>
      <c r="V162" s="408">
        <f t="shared" si="105"/>
        <v>0.13443221112058903</v>
      </c>
      <c r="W162" s="406">
        <f t="shared" si="106"/>
        <v>0.13443221112058903</v>
      </c>
      <c r="X162" s="406">
        <f t="shared" si="107"/>
        <v>8.1985428925080654</v>
      </c>
      <c r="Y162" s="406">
        <f t="shared" si="108"/>
        <v>3.4952374891353148</v>
      </c>
      <c r="Z162" s="406">
        <f t="shared" si="124"/>
        <v>1.5372901739800411</v>
      </c>
      <c r="AA162" s="406">
        <f t="shared" si="125"/>
        <v>0.37132800000000021</v>
      </c>
      <c r="AB162" s="406">
        <f t="shared" si="126"/>
        <v>0</v>
      </c>
      <c r="AC162" s="406">
        <f t="shared" si="109"/>
        <v>23.388479685309605</v>
      </c>
      <c r="AD162" s="406">
        <f t="shared" si="110"/>
        <v>8.0533204801924363</v>
      </c>
      <c r="AE162" s="406">
        <f t="shared" si="111"/>
        <v>0.64855970756686931</v>
      </c>
      <c r="AF162" s="406">
        <f t="shared" si="127"/>
        <v>0.61964999999999992</v>
      </c>
      <c r="AG162" s="406">
        <f t="shared" si="112"/>
        <v>1.4150486764985106</v>
      </c>
      <c r="AH162" s="406">
        <f t="shared" si="113"/>
        <v>0</v>
      </c>
      <c r="AI162">
        <f t="shared" si="128"/>
        <v>0</v>
      </c>
      <c r="AJ162" s="407">
        <f t="shared" si="129"/>
        <v>2.3701650000000001</v>
      </c>
      <c r="AK162">
        <f t="shared" si="134"/>
        <v>9.6000000000000002E-2</v>
      </c>
      <c r="AL162" s="407">
        <f t="shared" si="130"/>
        <v>0.1215</v>
      </c>
      <c r="AM162" s="407">
        <f t="shared" si="135"/>
        <v>0.70770810810810814</v>
      </c>
      <c r="AN162" s="407">
        <f t="shared" si="114"/>
        <v>0.2175</v>
      </c>
      <c r="AO162" s="407">
        <f t="shared" si="115"/>
        <v>28.57209066217203</v>
      </c>
      <c r="AP162">
        <f t="shared" si="131"/>
        <v>275.39999999999998</v>
      </c>
      <c r="AQ162" s="10">
        <f t="shared" si="116"/>
        <v>0.90600423019123011</v>
      </c>
      <c r="AR162" s="63">
        <f t="shared" si="117"/>
        <v>1286.3663826920283</v>
      </c>
      <c r="AS162" s="63">
        <f t="shared" si="118"/>
        <v>56.601947059940429</v>
      </c>
      <c r="AT162" s="10"/>
      <c r="AU162">
        <f t="shared" si="119"/>
        <v>90.600423019123014</v>
      </c>
    </row>
    <row r="163" spans="7:47" x14ac:dyDescent="0.2">
      <c r="G163">
        <v>154</v>
      </c>
      <c r="H163">
        <f t="shared" si="120"/>
        <v>11.55</v>
      </c>
      <c r="I163" s="406">
        <f t="shared" si="97"/>
        <v>0.50899402082294187</v>
      </c>
      <c r="J163" s="407">
        <f t="shared" si="121"/>
        <v>2.1814029463840368</v>
      </c>
      <c r="K163" s="407">
        <f t="shared" si="132"/>
        <v>12.640701473192019</v>
      </c>
      <c r="L163" s="407">
        <f t="shared" si="98"/>
        <v>10.459298526807983</v>
      </c>
      <c r="M163" s="63">
        <f t="shared" si="122"/>
        <v>0</v>
      </c>
      <c r="N163" s="406">
        <f t="shared" si="99"/>
        <v>11.567153635814693</v>
      </c>
      <c r="O163" s="406">
        <f t="shared" si="100"/>
        <v>0.85789106091948275</v>
      </c>
      <c r="P163">
        <f t="shared" si="123"/>
        <v>0.2</v>
      </c>
      <c r="Q163" s="406">
        <f t="shared" si="133"/>
        <v>1.0578910609194827</v>
      </c>
      <c r="R163" s="9">
        <f t="shared" si="101"/>
        <v>0.62971678915293328</v>
      </c>
      <c r="S163" s="9">
        <f t="shared" si="102"/>
        <v>3.9654323454107982E-4</v>
      </c>
      <c r="T163" s="9">
        <f t="shared" si="103"/>
        <v>3.9654323454107982E-4</v>
      </c>
      <c r="U163" s="406">
        <f t="shared" si="104"/>
        <v>8.2524489091548876</v>
      </c>
      <c r="V163" s="408">
        <f t="shared" si="105"/>
        <v>0.13620582599642339</v>
      </c>
      <c r="W163" s="406">
        <f t="shared" si="106"/>
        <v>0.13620582599642339</v>
      </c>
      <c r="X163" s="406">
        <f t="shared" si="107"/>
        <v>8.2524489091548876</v>
      </c>
      <c r="Y163" s="406">
        <f t="shared" si="108"/>
        <v>3.5413514759070077</v>
      </c>
      <c r="Z163" s="406">
        <f t="shared" si="124"/>
        <v>1.5477504165705431</v>
      </c>
      <c r="AA163" s="406">
        <f t="shared" si="125"/>
        <v>0.37132800000000021</v>
      </c>
      <c r="AB163" s="406">
        <f t="shared" si="126"/>
        <v>0</v>
      </c>
      <c r="AC163" s="406">
        <f t="shared" si="109"/>
        <v>24.718713275204156</v>
      </c>
      <c r="AD163" s="406">
        <f t="shared" si="110"/>
        <v>8.1053149375165781</v>
      </c>
      <c r="AE163" s="406">
        <f t="shared" si="111"/>
        <v>0.65696130236329364</v>
      </c>
      <c r="AF163" s="406">
        <f t="shared" si="127"/>
        <v>0.62370000000000003</v>
      </c>
      <c r="AG163" s="406">
        <f t="shared" si="112"/>
        <v>1.4310884605809484</v>
      </c>
      <c r="AH163" s="406">
        <f t="shared" si="113"/>
        <v>0</v>
      </c>
      <c r="AI163">
        <f t="shared" si="128"/>
        <v>0</v>
      </c>
      <c r="AJ163" s="407">
        <f t="shared" si="129"/>
        <v>2.3699699999999999</v>
      </c>
      <c r="AK163">
        <f t="shared" si="134"/>
        <v>9.6000000000000002E-2</v>
      </c>
      <c r="AL163" s="407">
        <f t="shared" si="130"/>
        <v>0.1215</v>
      </c>
      <c r="AM163" s="407">
        <f t="shared" si="135"/>
        <v>0.70770810810810814</v>
      </c>
      <c r="AN163" s="407">
        <f t="shared" si="114"/>
        <v>0.2175</v>
      </c>
      <c r="AO163" s="407">
        <f t="shared" si="115"/>
        <v>29.931765165935552</v>
      </c>
      <c r="AP163">
        <f t="shared" si="131"/>
        <v>277.20000000000005</v>
      </c>
      <c r="AQ163" s="10">
        <f t="shared" si="116"/>
        <v>0.90254422185942196</v>
      </c>
      <c r="AR163" s="63">
        <f t="shared" si="117"/>
        <v>1359.5292301362285</v>
      </c>
      <c r="AS163" s="63">
        <f t="shared" si="118"/>
        <v>57.243538423237936</v>
      </c>
      <c r="AT163" s="10"/>
      <c r="AU163">
        <f t="shared" si="119"/>
        <v>90.25442218594219</v>
      </c>
    </row>
    <row r="164" spans="7:47" x14ac:dyDescent="0.2">
      <c r="G164">
        <v>155</v>
      </c>
      <c r="H164">
        <f t="shared" si="120"/>
        <v>11.625</v>
      </c>
      <c r="I164" s="406">
        <f t="shared" si="97"/>
        <v>0.50905302372570993</v>
      </c>
      <c r="J164" s="407">
        <f t="shared" si="121"/>
        <v>2.181655815967328</v>
      </c>
      <c r="K164" s="407">
        <f t="shared" si="132"/>
        <v>12.715827907983664</v>
      </c>
      <c r="L164" s="407">
        <f t="shared" si="98"/>
        <v>10.534172092016336</v>
      </c>
      <c r="M164" s="63">
        <f t="shared" si="122"/>
        <v>0</v>
      </c>
      <c r="N164" s="406">
        <f t="shared" si="99"/>
        <v>11.642047078368364</v>
      </c>
      <c r="O164" s="406">
        <f t="shared" si="100"/>
        <v>0.86981166844618119</v>
      </c>
      <c r="P164">
        <f t="shared" si="123"/>
        <v>0.2</v>
      </c>
      <c r="Q164" s="406">
        <f t="shared" si="133"/>
        <v>1.0698116684461811</v>
      </c>
      <c r="R164" s="9">
        <f t="shared" si="101"/>
        <v>0.62978978631392479</v>
      </c>
      <c r="S164" s="9">
        <f t="shared" si="102"/>
        <v>3.9663517494533909E-4</v>
      </c>
      <c r="T164" s="9">
        <f t="shared" si="103"/>
        <v>3.9663517494533909E-4</v>
      </c>
      <c r="U164" s="406">
        <f t="shared" si="104"/>
        <v>8.3063621471468583</v>
      </c>
      <c r="V164" s="408">
        <f t="shared" si="105"/>
        <v>0.13799130423910833</v>
      </c>
      <c r="W164" s="406">
        <f t="shared" si="106"/>
        <v>0.13799130423910833</v>
      </c>
      <c r="X164" s="406">
        <f t="shared" si="107"/>
        <v>8.3063621471468583</v>
      </c>
      <c r="Y164" s="406">
        <f t="shared" si="108"/>
        <v>3.5877739102168165</v>
      </c>
      <c r="Z164" s="406">
        <f t="shared" si="124"/>
        <v>1.5582106581732211</v>
      </c>
      <c r="AA164" s="406">
        <f t="shared" si="125"/>
        <v>0.37132800000000021</v>
      </c>
      <c r="AB164" s="406">
        <f t="shared" si="126"/>
        <v>0</v>
      </c>
      <c r="AC164" s="406">
        <f t="shared" si="109"/>
        <v>26.18690675149405</v>
      </c>
      <c r="AD164" s="406">
        <f t="shared" si="110"/>
        <v>8.1573039697801626</v>
      </c>
      <c r="AE164" s="406">
        <f t="shared" si="111"/>
        <v>0.66541608055391199</v>
      </c>
      <c r="AF164" s="406">
        <f t="shared" si="127"/>
        <v>0.62775000000000003</v>
      </c>
      <c r="AG164" s="406">
        <f t="shared" si="112"/>
        <v>1.4472498076926739</v>
      </c>
      <c r="AH164" s="406">
        <f t="shared" si="113"/>
        <v>0</v>
      </c>
      <c r="AI164">
        <f t="shared" si="128"/>
        <v>0</v>
      </c>
      <c r="AJ164" s="407">
        <f t="shared" si="129"/>
        <v>2.3697749999999997</v>
      </c>
      <c r="AK164">
        <f t="shared" si="134"/>
        <v>9.6000000000000002E-2</v>
      </c>
      <c r="AL164" s="407">
        <f t="shared" si="130"/>
        <v>0.1215</v>
      </c>
      <c r="AM164" s="407">
        <f t="shared" si="135"/>
        <v>0.70770810810810814</v>
      </c>
      <c r="AN164" s="407">
        <f t="shared" si="114"/>
        <v>0.2175</v>
      </c>
      <c r="AO164" s="407">
        <f t="shared" si="115"/>
        <v>31.42963116704696</v>
      </c>
      <c r="AP164">
        <f t="shared" si="131"/>
        <v>279</v>
      </c>
      <c r="AQ164" s="10">
        <f t="shared" si="116"/>
        <v>0.89875440998048861</v>
      </c>
      <c r="AR164" s="63">
        <f t="shared" si="117"/>
        <v>1440.2798713321727</v>
      </c>
      <c r="AS164" s="63">
        <f t="shared" si="118"/>
        <v>57.889992307706954</v>
      </c>
      <c r="AT164" s="10"/>
      <c r="AU164">
        <f t="shared" si="119"/>
        <v>89.875440998048859</v>
      </c>
    </row>
    <row r="165" spans="7:47" x14ac:dyDescent="0.2">
      <c r="G165">
        <v>156</v>
      </c>
      <c r="H165">
        <f t="shared" si="120"/>
        <v>11.700000000000001</v>
      </c>
      <c r="I165" s="406">
        <f t="shared" si="97"/>
        <v>0.50911203445270969</v>
      </c>
      <c r="J165" s="407">
        <f t="shared" si="121"/>
        <v>2.181908719083042</v>
      </c>
      <c r="K165" s="407">
        <f t="shared" si="132"/>
        <v>12.790954359541523</v>
      </c>
      <c r="L165" s="407">
        <f t="shared" si="98"/>
        <v>10.609045640458479</v>
      </c>
      <c r="M165" s="63">
        <f t="shared" si="122"/>
        <v>0</v>
      </c>
      <c r="N165" s="406">
        <f t="shared" si="99"/>
        <v>11.716941885073975</v>
      </c>
      <c r="O165" s="406">
        <f t="shared" si="100"/>
        <v>0.88183093034074922</v>
      </c>
      <c r="P165">
        <f t="shared" si="123"/>
        <v>0.2</v>
      </c>
      <c r="Q165" s="406">
        <f t="shared" si="133"/>
        <v>1.0818309303407492</v>
      </c>
      <c r="R165" s="9">
        <f t="shared" si="101"/>
        <v>0.62986279315489291</v>
      </c>
      <c r="S165" s="9">
        <f t="shared" si="102"/>
        <v>3.9672713820088339E-4</v>
      </c>
      <c r="T165" s="9">
        <f t="shared" si="103"/>
        <v>3.9672713820088339E-4</v>
      </c>
      <c r="U165" s="406">
        <f t="shared" si="104"/>
        <v>8.3602825883269922</v>
      </c>
      <c r="V165" s="408">
        <f t="shared" si="105"/>
        <v>0.13978864991336695</v>
      </c>
      <c r="W165" s="406">
        <f t="shared" si="106"/>
        <v>0.13978864991336695</v>
      </c>
      <c r="X165" s="406">
        <f t="shared" si="107"/>
        <v>8.3602825883269922</v>
      </c>
      <c r="Y165" s="406">
        <f t="shared" si="108"/>
        <v>3.6345048977475405</v>
      </c>
      <c r="Z165" s="406">
        <f t="shared" si="124"/>
        <v>1.5686708987878792</v>
      </c>
      <c r="AA165" s="406">
        <f t="shared" si="125"/>
        <v>0.37132800000000021</v>
      </c>
      <c r="AB165" s="406">
        <f t="shared" si="126"/>
        <v>0</v>
      </c>
      <c r="AC165" s="406">
        <f t="shared" si="109"/>
        <v>27.815646764227512</v>
      </c>
      <c r="AD165" s="406">
        <f t="shared" si="110"/>
        <v>8.2092875562692651</v>
      </c>
      <c r="AE165" s="406">
        <f t="shared" si="111"/>
        <v>0.67392402181517397</v>
      </c>
      <c r="AF165" s="406">
        <f t="shared" si="127"/>
        <v>0.63180000000000003</v>
      </c>
      <c r="AG165" s="406">
        <f t="shared" si="112"/>
        <v>1.4635337051130723</v>
      </c>
      <c r="AH165" s="406">
        <f t="shared" si="113"/>
        <v>0</v>
      </c>
      <c r="AI165">
        <f t="shared" si="128"/>
        <v>0</v>
      </c>
      <c r="AJ165" s="407">
        <f t="shared" si="129"/>
        <v>2.3695799999999996</v>
      </c>
      <c r="AK165">
        <f t="shared" si="134"/>
        <v>9.6000000000000002E-2</v>
      </c>
      <c r="AL165" s="407">
        <f t="shared" si="130"/>
        <v>0.1215</v>
      </c>
      <c r="AM165" s="407">
        <f t="shared" si="135"/>
        <v>0.70770810810810814</v>
      </c>
      <c r="AN165" s="407">
        <f t="shared" si="114"/>
        <v>0.2175</v>
      </c>
      <c r="AO165" s="407">
        <f t="shared" si="115"/>
        <v>33.088276776732904</v>
      </c>
      <c r="AP165">
        <f t="shared" si="131"/>
        <v>280.8</v>
      </c>
      <c r="AQ165" s="10">
        <f t="shared" si="116"/>
        <v>0.89458581532094483</v>
      </c>
      <c r="AR165" s="63">
        <f t="shared" si="117"/>
        <v>1529.8605720325131</v>
      </c>
      <c r="AS165" s="63">
        <f t="shared" si="118"/>
        <v>58.54134820452289</v>
      </c>
      <c r="AT165" s="10"/>
      <c r="AU165">
        <f t="shared" si="119"/>
        <v>89.458581532094485</v>
      </c>
    </row>
    <row r="166" spans="7:47" x14ac:dyDescent="0.2">
      <c r="G166">
        <v>157</v>
      </c>
      <c r="H166">
        <f t="shared" si="120"/>
        <v>11.775</v>
      </c>
      <c r="I166" s="406">
        <f t="shared" si="97"/>
        <v>0.50917105300549725</v>
      </c>
      <c r="J166" s="407">
        <f t="shared" si="121"/>
        <v>2.1821616557378456</v>
      </c>
      <c r="K166" s="407">
        <f t="shared" si="132"/>
        <v>12.866080827868924</v>
      </c>
      <c r="L166" s="407">
        <f t="shared" si="98"/>
        <v>10.683919172131077</v>
      </c>
      <c r="M166" s="63">
        <f t="shared" si="122"/>
        <v>0</v>
      </c>
      <c r="N166" s="406">
        <f t="shared" si="99"/>
        <v>11.791838029938946</v>
      </c>
      <c r="O166" s="406">
        <f t="shared" si="100"/>
        <v>0.89394932154809148</v>
      </c>
      <c r="P166">
        <f t="shared" si="123"/>
        <v>0.2</v>
      </c>
      <c r="Q166" s="406">
        <f t="shared" si="133"/>
        <v>1.0939493215480915</v>
      </c>
      <c r="R166" s="9">
        <f t="shared" si="101"/>
        <v>0.6299358096777623</v>
      </c>
      <c r="S166" s="9">
        <f t="shared" si="102"/>
        <v>3.9681912431437799E-4</v>
      </c>
      <c r="T166" s="9">
        <f t="shared" si="103"/>
        <v>3.9681912431437799E-4</v>
      </c>
      <c r="U166" s="406">
        <f t="shared" si="104"/>
        <v>8.4142102150172242</v>
      </c>
      <c r="V166" s="408">
        <f t="shared" si="105"/>
        <v>0.14159786708500041</v>
      </c>
      <c r="W166" s="406">
        <f t="shared" si="106"/>
        <v>0.14159786708500041</v>
      </c>
      <c r="X166" s="406">
        <f t="shared" si="107"/>
        <v>8.4142102150172242</v>
      </c>
      <c r="Y166" s="406">
        <f t="shared" si="108"/>
        <v>3.6815445442100105</v>
      </c>
      <c r="Z166" s="406">
        <f t="shared" si="124"/>
        <v>1.5791311384143212</v>
      </c>
      <c r="AA166" s="406">
        <f t="shared" si="125"/>
        <v>0.37132800000000021</v>
      </c>
      <c r="AB166" s="406">
        <f t="shared" si="126"/>
        <v>0</v>
      </c>
      <c r="AC166" s="406">
        <f t="shared" si="109"/>
        <v>29.632735704323984</v>
      </c>
      <c r="AD166" s="406">
        <f t="shared" si="110"/>
        <v>8.2612656767479766</v>
      </c>
      <c r="AE166" s="406">
        <f t="shared" si="111"/>
        <v>0.68248510581814203</v>
      </c>
      <c r="AF166" s="406">
        <f t="shared" si="127"/>
        <v>0.63585000000000003</v>
      </c>
      <c r="AG166" s="406">
        <f t="shared" si="112"/>
        <v>1.4799411529143631</v>
      </c>
      <c r="AH166" s="406">
        <f t="shared" si="113"/>
        <v>0</v>
      </c>
      <c r="AI166">
        <f t="shared" si="128"/>
        <v>0</v>
      </c>
      <c r="AJ166" s="407">
        <f t="shared" si="129"/>
        <v>2.3693849999999999</v>
      </c>
      <c r="AK166">
        <f t="shared" si="134"/>
        <v>9.6000000000000002E-2</v>
      </c>
      <c r="AL166" s="407">
        <f t="shared" si="130"/>
        <v>0.1215</v>
      </c>
      <c r="AM166" s="407">
        <f t="shared" si="135"/>
        <v>0.70770810810810814</v>
      </c>
      <c r="AN166" s="407">
        <f t="shared" si="114"/>
        <v>0.2175</v>
      </c>
      <c r="AO166" s="407">
        <f t="shared" si="115"/>
        <v>34.935505864995754</v>
      </c>
      <c r="AP166">
        <f t="shared" si="131"/>
        <v>282.60000000000002</v>
      </c>
      <c r="AQ166" s="10">
        <f t="shared" si="116"/>
        <v>0.88997921423045823</v>
      </c>
      <c r="AR166" s="63">
        <f t="shared" si="117"/>
        <v>1629.8004637378192</v>
      </c>
      <c r="AS166" s="63">
        <f t="shared" si="118"/>
        <v>59.197646116574525</v>
      </c>
      <c r="AT166" s="10"/>
      <c r="AU166">
        <f t="shared" si="119"/>
        <v>88.997921423045824</v>
      </c>
    </row>
    <row r="167" spans="7:47" x14ac:dyDescent="0.2">
      <c r="G167">
        <v>158</v>
      </c>
      <c r="H167">
        <f t="shared" si="120"/>
        <v>11.850000000000001</v>
      </c>
      <c r="I167" s="406">
        <f t="shared" si="97"/>
        <v>0.50923007938562981</v>
      </c>
      <c r="J167" s="407">
        <f t="shared" si="121"/>
        <v>2.1824146259384136</v>
      </c>
      <c r="K167" s="407">
        <f t="shared" si="132"/>
        <v>12.941207312969208</v>
      </c>
      <c r="L167" s="407">
        <f t="shared" si="98"/>
        <v>10.758792687030795</v>
      </c>
      <c r="M167" s="63">
        <f t="shared" si="122"/>
        <v>0</v>
      </c>
      <c r="N167" s="406">
        <f t="shared" si="99"/>
        <v>11.866735487626432</v>
      </c>
      <c r="O167" s="406">
        <f t="shared" si="100"/>
        <v>0.90616732217422236</v>
      </c>
      <c r="P167">
        <f t="shared" si="123"/>
        <v>0.2</v>
      </c>
      <c r="Q167" s="406">
        <f t="shared" si="133"/>
        <v>1.1061673221742223</v>
      </c>
      <c r="R167" s="9">
        <f t="shared" si="101"/>
        <v>0.63000883588445977</v>
      </c>
      <c r="S167" s="9">
        <f t="shared" si="102"/>
        <v>3.9691113329249218E-4</v>
      </c>
      <c r="T167" s="9">
        <f t="shared" si="103"/>
        <v>3.9691113329249218E-4</v>
      </c>
      <c r="U167" s="406">
        <f t="shared" si="104"/>
        <v>8.4681450100033242</v>
      </c>
      <c r="V167" s="408">
        <f t="shared" si="105"/>
        <v>0.1434189598208884</v>
      </c>
      <c r="W167" s="406">
        <f t="shared" si="106"/>
        <v>0.1434189598208884</v>
      </c>
      <c r="X167" s="406">
        <f t="shared" si="107"/>
        <v>8.4681450100033242</v>
      </c>
      <c r="Y167" s="406">
        <f t="shared" si="108"/>
        <v>3.7288929553430985</v>
      </c>
      <c r="Z167" s="406">
        <f t="shared" si="124"/>
        <v>1.5895913770523504</v>
      </c>
      <c r="AA167" s="406">
        <f t="shared" si="125"/>
        <v>0.37132800000000021</v>
      </c>
      <c r="AB167" s="406">
        <f t="shared" si="126"/>
        <v>0</v>
      </c>
      <c r="AC167" s="406">
        <f t="shared" si="109"/>
        <v>31.672789465324211</v>
      </c>
      <c r="AD167" s="406">
        <f t="shared" si="110"/>
        <v>8.3132383114432802</v>
      </c>
      <c r="AE167" s="406">
        <f t="shared" si="111"/>
        <v>0.6910993122284832</v>
      </c>
      <c r="AF167" s="406">
        <f t="shared" si="127"/>
        <v>0.63990000000000002</v>
      </c>
      <c r="AG167" s="406">
        <f t="shared" si="112"/>
        <v>1.496473164150534</v>
      </c>
      <c r="AH167" s="406">
        <f t="shared" si="113"/>
        <v>0</v>
      </c>
      <c r="AI167">
        <f t="shared" si="128"/>
        <v>0</v>
      </c>
      <c r="AJ167" s="407">
        <f t="shared" si="129"/>
        <v>2.3691899999999997</v>
      </c>
      <c r="AK167">
        <f t="shared" si="134"/>
        <v>9.6000000000000002E-2</v>
      </c>
      <c r="AL167" s="407">
        <f t="shared" si="130"/>
        <v>0.1215</v>
      </c>
      <c r="AM167" s="407">
        <f t="shared" si="135"/>
        <v>0.70770810810810814</v>
      </c>
      <c r="AN167" s="407">
        <f t="shared" si="114"/>
        <v>0.2175</v>
      </c>
      <c r="AO167" s="407">
        <f t="shared" si="115"/>
        <v>37.005935822603156</v>
      </c>
      <c r="AP167">
        <f t="shared" si="131"/>
        <v>284.40000000000003</v>
      </c>
      <c r="AQ167" s="10">
        <f t="shared" si="116"/>
        <v>0.88486231367230195</v>
      </c>
      <c r="AR167" s="63">
        <f t="shared" si="117"/>
        <v>1742.0034205928316</v>
      </c>
      <c r="AS167" s="63">
        <f t="shared" si="118"/>
        <v>59.85892656602136</v>
      </c>
      <c r="AT167" s="10"/>
      <c r="AU167">
        <f t="shared" si="119"/>
        <v>88.486231367230189</v>
      </c>
    </row>
    <row r="168" spans="7:47" x14ac:dyDescent="0.2">
      <c r="G168">
        <v>159</v>
      </c>
      <c r="H168">
        <f t="shared" si="120"/>
        <v>11.925000000000001</v>
      </c>
      <c r="I168" s="406">
        <f t="shared" si="97"/>
        <v>0.50928911359466433</v>
      </c>
      <c r="J168" s="407">
        <f t="shared" si="121"/>
        <v>2.1826676296914189</v>
      </c>
      <c r="K168" s="407">
        <f t="shared" si="132"/>
        <v>13.01633381484571</v>
      </c>
      <c r="L168" s="407">
        <f t="shared" si="98"/>
        <v>10.833666185154291</v>
      </c>
      <c r="M168" s="63">
        <f t="shared" si="122"/>
        <v>0</v>
      </c>
      <c r="N168" s="406">
        <f t="shared" si="99"/>
        <v>11.941634233434799</v>
      </c>
      <c r="O168" s="406">
        <f t="shared" si="100"/>
        <v>0.9184854175375109</v>
      </c>
      <c r="P168">
        <f t="shared" si="123"/>
        <v>0.2</v>
      </c>
      <c r="Q168" s="406">
        <f t="shared" si="133"/>
        <v>1.118485417537511</v>
      </c>
      <c r="R168" s="9">
        <f t="shared" si="101"/>
        <v>0.63008187177691155</v>
      </c>
      <c r="S168" s="9">
        <f t="shared" si="102"/>
        <v>3.9700316514189646E-4</v>
      </c>
      <c r="T168" s="9">
        <f t="shared" si="103"/>
        <v>3.9700316514189646E-4</v>
      </c>
      <c r="U168" s="406">
        <f t="shared" si="104"/>
        <v>8.5220869565203721</v>
      </c>
      <c r="V168" s="408">
        <f t="shared" si="105"/>
        <v>0.14525193218898932</v>
      </c>
      <c r="W168" s="406">
        <f t="shared" si="106"/>
        <v>0.14525193218898932</v>
      </c>
      <c r="X168" s="406">
        <f t="shared" si="107"/>
        <v>8.5220869565203721</v>
      </c>
      <c r="Y168" s="406">
        <f t="shared" si="108"/>
        <v>3.7765502369137218</v>
      </c>
      <c r="Z168" s="406">
        <f t="shared" si="124"/>
        <v>1.6000516147017692</v>
      </c>
      <c r="AA168" s="406">
        <f t="shared" si="125"/>
        <v>0.37132800000000021</v>
      </c>
      <c r="AB168" s="406">
        <f t="shared" si="126"/>
        <v>0</v>
      </c>
      <c r="AC168" s="406">
        <f t="shared" si="109"/>
        <v>33.979460877988224</v>
      </c>
      <c r="AD168" s="406">
        <f t="shared" si="110"/>
        <v>8.3652054410305592</v>
      </c>
      <c r="AE168" s="406">
        <f t="shared" si="111"/>
        <v>0.69976662070647278</v>
      </c>
      <c r="AF168" s="406">
        <f t="shared" si="127"/>
        <v>0.64395000000000002</v>
      </c>
      <c r="AG168" s="406">
        <f t="shared" si="112"/>
        <v>1.5131307650498185</v>
      </c>
      <c r="AH168" s="406">
        <f t="shared" si="113"/>
        <v>0</v>
      </c>
      <c r="AI168">
        <f t="shared" si="128"/>
        <v>0</v>
      </c>
      <c r="AJ168" s="407">
        <f t="shared" si="129"/>
        <v>2.368995</v>
      </c>
      <c r="AK168">
        <f t="shared" si="134"/>
        <v>9.6000000000000002E-2</v>
      </c>
      <c r="AL168" s="407">
        <f t="shared" si="130"/>
        <v>0.1215</v>
      </c>
      <c r="AM168" s="407">
        <f t="shared" si="135"/>
        <v>0.70770810810810814</v>
      </c>
      <c r="AN168" s="407">
        <f t="shared" si="114"/>
        <v>0.2175</v>
      </c>
      <c r="AO168" s="407">
        <f t="shared" si="115"/>
        <v>39.343220995929684</v>
      </c>
      <c r="AP168">
        <f t="shared" si="131"/>
        <v>286.20000000000005</v>
      </c>
      <c r="AQ168" s="10">
        <f t="shared" si="116"/>
        <v>0.8791459368265524</v>
      </c>
      <c r="AR168" s="63">
        <f t="shared" si="117"/>
        <v>1868.8703482893523</v>
      </c>
      <c r="AS168" s="63">
        <f t="shared" si="118"/>
        <v>60.525230601992739</v>
      </c>
      <c r="AT168" s="10"/>
      <c r="AU168">
        <f t="shared" si="119"/>
        <v>87.914593682655237</v>
      </c>
    </row>
    <row r="169" spans="7:47" x14ac:dyDescent="0.2">
      <c r="G169">
        <v>160</v>
      </c>
      <c r="H169">
        <f t="shared" si="120"/>
        <v>12</v>
      </c>
      <c r="I169" s="406">
        <f t="shared" si="97"/>
        <v>0.50934815563415869</v>
      </c>
      <c r="J169" s="407">
        <f t="shared" si="121"/>
        <v>2.1829206670035375</v>
      </c>
      <c r="K169" s="407">
        <f t="shared" si="132"/>
        <v>13.091460333501768</v>
      </c>
      <c r="L169" s="407">
        <f t="shared" si="98"/>
        <v>10.908539666498232</v>
      </c>
      <c r="M169" s="63">
        <f t="shared" si="122"/>
        <v>0</v>
      </c>
      <c r="N169" s="406">
        <f t="shared" si="99"/>
        <v>12.016534243277855</v>
      </c>
      <c r="O169" s="406">
        <f t="shared" si="100"/>
        <v>0.93090409822065645</v>
      </c>
      <c r="P169">
        <f t="shared" si="123"/>
        <v>0.2</v>
      </c>
      <c r="Q169" s="406">
        <f t="shared" si="133"/>
        <v>1.1309040982206564</v>
      </c>
      <c r="R169" s="9">
        <f t="shared" si="101"/>
        <v>0.63015491735704499</v>
      </c>
      <c r="S169" s="9">
        <f t="shared" si="102"/>
        <v>3.9709521986926421E-4</v>
      </c>
      <c r="T169" s="9">
        <f t="shared" si="103"/>
        <v>3.9709521986926421E-4</v>
      </c>
      <c r="U169" s="406">
        <f t="shared" si="104"/>
        <v>8.5760360382387866</v>
      </c>
      <c r="V169" s="408">
        <f t="shared" si="105"/>
        <v>0.14709678825834083</v>
      </c>
      <c r="W169" s="406">
        <f t="shared" si="106"/>
        <v>0.14709678825834083</v>
      </c>
      <c r="X169" s="406">
        <f t="shared" si="107"/>
        <v>8.5760360382387866</v>
      </c>
      <c r="Y169" s="406">
        <f t="shared" si="108"/>
        <v>3.8245164947168617</v>
      </c>
      <c r="Z169" s="406">
        <f t="shared" si="124"/>
        <v>1.610511851362382</v>
      </c>
      <c r="AA169" s="406">
        <f t="shared" si="125"/>
        <v>0.37132800000000021</v>
      </c>
      <c r="AB169" s="406">
        <f t="shared" si="126"/>
        <v>0</v>
      </c>
      <c r="AC169" s="406">
        <f t="shared" si="109"/>
        <v>36.608594620313319</v>
      </c>
      <c r="AD169" s="406">
        <f t="shared" si="110"/>
        <v>8.417167046619598</v>
      </c>
      <c r="AE169" s="406">
        <f t="shared" si="111"/>
        <v>0.70848701090698885</v>
      </c>
      <c r="AF169" s="406">
        <f t="shared" si="127"/>
        <v>0.64800000000000002</v>
      </c>
      <c r="AG169" s="406">
        <f t="shared" si="112"/>
        <v>1.5299149952107747</v>
      </c>
      <c r="AH169" s="406">
        <f t="shared" si="113"/>
        <v>0</v>
      </c>
      <c r="AI169">
        <f t="shared" si="128"/>
        <v>0</v>
      </c>
      <c r="AJ169" s="407">
        <f t="shared" si="129"/>
        <v>2.3687999999999998</v>
      </c>
      <c r="AK169">
        <f t="shared" si="134"/>
        <v>9.6000000000000002E-2</v>
      </c>
      <c r="AL169" s="407">
        <f t="shared" si="130"/>
        <v>0.1215</v>
      </c>
      <c r="AM169" s="407">
        <f t="shared" si="135"/>
        <v>0.70770810810810814</v>
      </c>
      <c r="AN169" s="407">
        <f t="shared" si="114"/>
        <v>0.2175</v>
      </c>
      <c r="AO169" s="407">
        <f t="shared" si="115"/>
        <v>42.003207597222961</v>
      </c>
      <c r="AP169">
        <f t="shared" si="131"/>
        <v>288</v>
      </c>
      <c r="AQ169" s="10">
        <f t="shared" si="116"/>
        <v>0.87271878990797902</v>
      </c>
      <c r="AR169" s="63">
        <f t="shared" si="117"/>
        <v>2013.4727041172325</v>
      </c>
      <c r="AS169" s="63">
        <f t="shared" si="118"/>
        <v>61.196599808430989</v>
      </c>
      <c r="AT169" s="10"/>
      <c r="AU169">
        <f t="shared" si="119"/>
        <v>87.271878990797902</v>
      </c>
    </row>
    <row r="170" spans="7:47" x14ac:dyDescent="0.2">
      <c r="G170">
        <v>161</v>
      </c>
      <c r="H170">
        <f t="shared" si="120"/>
        <v>12.075000000000001</v>
      </c>
      <c r="I170" s="406">
        <f t="shared" si="97"/>
        <v>0.50940720550567087</v>
      </c>
      <c r="J170" s="407">
        <f t="shared" si="121"/>
        <v>2.1831737378814466</v>
      </c>
      <c r="K170" s="407">
        <f t="shared" si="132"/>
        <v>13.166586868940724</v>
      </c>
      <c r="L170" s="407">
        <f t="shared" si="98"/>
        <v>10.983413131059278</v>
      </c>
      <c r="M170" s="63">
        <f t="shared" si="122"/>
        <v>0</v>
      </c>
      <c r="N170" s="406">
        <f t="shared" si="99"/>
        <v>12.091435493665807</v>
      </c>
      <c r="O170" s="406">
        <f t="shared" si="100"/>
        <v>0.94342386012341006</v>
      </c>
      <c r="P170">
        <f t="shared" si="123"/>
        <v>0.2</v>
      </c>
      <c r="Q170" s="406">
        <f t="shared" si="133"/>
        <v>1.1434238601234101</v>
      </c>
      <c r="R170" s="9">
        <f t="shared" si="101"/>
        <v>0.63022797262678742</v>
      </c>
      <c r="S170" s="9">
        <f t="shared" si="102"/>
        <v>3.9718729748127075E-4</v>
      </c>
      <c r="T170" s="9">
        <f t="shared" si="103"/>
        <v>3.9718729748127075E-4</v>
      </c>
      <c r="U170" s="406">
        <f t="shared" si="104"/>
        <v>8.6299922392508588</v>
      </c>
      <c r="V170" s="408">
        <f t="shared" si="105"/>
        <v>0.14895353209906012</v>
      </c>
      <c r="W170" s="406">
        <f t="shared" si="106"/>
        <v>0.14895353209906012</v>
      </c>
      <c r="X170" s="406">
        <f t="shared" si="107"/>
        <v>8.6299922392508588</v>
      </c>
      <c r="Y170" s="406">
        <f t="shared" si="108"/>
        <v>3.8727918345755628</v>
      </c>
      <c r="Z170" s="406">
        <f t="shared" si="124"/>
        <v>1.6209720870339916</v>
      </c>
      <c r="AA170" s="406">
        <f t="shared" si="125"/>
        <v>0.37132800000000021</v>
      </c>
      <c r="AB170" s="406">
        <f t="shared" si="126"/>
        <v>0</v>
      </c>
      <c r="AC170" s="406">
        <f t="shared" si="109"/>
        <v>39.632803042928217</v>
      </c>
      <c r="AD170" s="406">
        <f t="shared" si="110"/>
        <v>8.4691231097411279</v>
      </c>
      <c r="AE170" s="406">
        <f t="shared" si="111"/>
        <v>0.71726046247951236</v>
      </c>
      <c r="AF170" s="406">
        <f t="shared" si="127"/>
        <v>0.65205000000000002</v>
      </c>
      <c r="AG170" s="406">
        <f t="shared" si="112"/>
        <v>1.5468269078020487</v>
      </c>
      <c r="AH170" s="406">
        <f t="shared" si="113"/>
        <v>0</v>
      </c>
      <c r="AI170">
        <f t="shared" si="128"/>
        <v>0</v>
      </c>
      <c r="AJ170" s="407">
        <f t="shared" si="129"/>
        <v>2.3686050000000001</v>
      </c>
      <c r="AK170">
        <f t="shared" si="134"/>
        <v>9.6000000000000002E-2</v>
      </c>
      <c r="AL170" s="407">
        <f t="shared" si="130"/>
        <v>0.1215</v>
      </c>
      <c r="AM170" s="407">
        <f t="shared" si="135"/>
        <v>0.70770810810810814</v>
      </c>
      <c r="AN170" s="407">
        <f t="shared" si="114"/>
        <v>0.2175</v>
      </c>
      <c r="AO170" s="407">
        <f t="shared" si="115"/>
        <v>45.05850953025022</v>
      </c>
      <c r="AP170">
        <f t="shared" si="131"/>
        <v>289.8</v>
      </c>
      <c r="AQ170" s="10">
        <f t="shared" si="116"/>
        <v>0.86544015383255557</v>
      </c>
      <c r="AR170" s="63">
        <f t="shared" si="117"/>
        <v>2179.8041673610519</v>
      </c>
      <c r="AS170" s="63">
        <f t="shared" si="118"/>
        <v>61.873076312081949</v>
      </c>
      <c r="AT170" s="10"/>
      <c r="AU170">
        <f t="shared" si="119"/>
        <v>86.544015383255555</v>
      </c>
    </row>
    <row r="171" spans="7:47" x14ac:dyDescent="0.2">
      <c r="G171">
        <v>162</v>
      </c>
      <c r="H171">
        <f t="shared" si="120"/>
        <v>12.15</v>
      </c>
      <c r="I171" s="406">
        <f t="shared" si="97"/>
        <v>0.50946626321075938</v>
      </c>
      <c r="J171" s="407">
        <f t="shared" si="121"/>
        <v>2.1834268423318259</v>
      </c>
      <c r="K171" s="407">
        <f t="shared" si="132"/>
        <v>13.241713421165914</v>
      </c>
      <c r="L171" s="407">
        <f t="shared" si="98"/>
        <v>11.058286578834087</v>
      </c>
      <c r="M171" s="63">
        <f t="shared" si="122"/>
        <v>0</v>
      </c>
      <c r="N171" s="406">
        <f t="shared" si="99"/>
        <v>12.166337961686935</v>
      </c>
      <c r="O171" s="406">
        <f t="shared" si="100"/>
        <v>0.95604520451605168</v>
      </c>
      <c r="P171">
        <f t="shared" si="123"/>
        <v>0.2</v>
      </c>
      <c r="Q171" s="406">
        <f t="shared" si="133"/>
        <v>1.1560452045160516</v>
      </c>
      <c r="R171" s="9">
        <f t="shared" si="101"/>
        <v>0.63030103758806721</v>
      </c>
      <c r="S171" s="9">
        <f t="shared" si="102"/>
        <v>3.9727939798459412E-4</v>
      </c>
      <c r="T171" s="9">
        <f t="shared" si="103"/>
        <v>3.9727939798459412E-4</v>
      </c>
      <c r="U171" s="406">
        <f t="shared" si="104"/>
        <v>8.6839555440577989</v>
      </c>
      <c r="V171" s="408">
        <f t="shared" si="105"/>
        <v>0.15082216778234436</v>
      </c>
      <c r="W171" s="406">
        <f t="shared" si="106"/>
        <v>0.15082216778234436</v>
      </c>
      <c r="X171" s="406">
        <f t="shared" si="107"/>
        <v>8.6839555440577989</v>
      </c>
      <c r="Y171" s="406">
        <f t="shared" si="108"/>
        <v>3.9213763623409532</v>
      </c>
      <c r="Z171" s="406">
        <f t="shared" si="124"/>
        <v>1.6314323217164015</v>
      </c>
      <c r="AA171" s="406">
        <f t="shared" si="125"/>
        <v>0.37132800000000021</v>
      </c>
      <c r="AB171" s="406">
        <f t="shared" si="126"/>
        <v>0</v>
      </c>
      <c r="AC171" s="406">
        <f t="shared" si="109"/>
        <v>43.148270115927446</v>
      </c>
      <c r="AD171" s="406">
        <f t="shared" si="110"/>
        <v>8.5210736123338613</v>
      </c>
      <c r="AE171" s="406">
        <f t="shared" si="111"/>
        <v>0.72608695506812437</v>
      </c>
      <c r="AF171" s="406">
        <f t="shared" si="127"/>
        <v>0.65610000000000002</v>
      </c>
      <c r="AG171" s="406">
        <f t="shared" si="112"/>
        <v>1.5638675697659024</v>
      </c>
      <c r="AH171" s="406">
        <f t="shared" si="113"/>
        <v>0</v>
      </c>
      <c r="AI171">
        <f t="shared" si="128"/>
        <v>0</v>
      </c>
      <c r="AJ171" s="407">
        <f t="shared" si="129"/>
        <v>2.3684099999999999</v>
      </c>
      <c r="AK171">
        <f t="shared" si="134"/>
        <v>9.6000000000000002E-2</v>
      </c>
      <c r="AL171" s="407">
        <f t="shared" si="130"/>
        <v>0.1215</v>
      </c>
      <c r="AM171" s="407">
        <f t="shared" si="135"/>
        <v>0.70770810810810814</v>
      </c>
      <c r="AN171" s="407">
        <f t="shared" si="114"/>
        <v>0.2175</v>
      </c>
      <c r="AO171" s="407">
        <f t="shared" si="115"/>
        <v>48.605312337389726</v>
      </c>
      <c r="AP171">
        <f t="shared" si="131"/>
        <v>291.60000000000002</v>
      </c>
      <c r="AQ171" s="10">
        <f t="shared" si="116"/>
        <v>0.85712947277793639</v>
      </c>
      <c r="AR171" s="63">
        <f t="shared" si="117"/>
        <v>2373.1548563760093</v>
      </c>
      <c r="AS171" s="63">
        <f t="shared" si="118"/>
        <v>62.554702790636092</v>
      </c>
      <c r="AT171" s="10"/>
      <c r="AU171">
        <f t="shared" si="119"/>
        <v>85.712947277793631</v>
      </c>
    </row>
    <row r="172" spans="7:47" x14ac:dyDescent="0.2">
      <c r="G172">
        <v>163</v>
      </c>
      <c r="H172">
        <f t="shared" si="120"/>
        <v>12.225</v>
      </c>
      <c r="I172" s="406">
        <f t="shared" si="97"/>
        <v>0.50952532875098322</v>
      </c>
      <c r="J172" s="407">
        <f t="shared" si="121"/>
        <v>2.1836799803613567</v>
      </c>
      <c r="K172" s="407">
        <f t="shared" si="132"/>
        <v>13.316839990180679</v>
      </c>
      <c r="L172" s="407">
        <f t="shared" si="98"/>
        <v>11.133160009819321</v>
      </c>
      <c r="M172" s="63">
        <f t="shared" si="122"/>
        <v>0</v>
      </c>
      <c r="N172" s="406">
        <f t="shared" si="99"/>
        <v>12.241241624989922</v>
      </c>
      <c r="O172" s="406">
        <f t="shared" si="100"/>
        <v>0.96876863809363534</v>
      </c>
      <c r="P172">
        <f t="shared" si="123"/>
        <v>0.2</v>
      </c>
      <c r="Q172" s="406">
        <f t="shared" si="133"/>
        <v>1.1687686380936353</v>
      </c>
      <c r="R172" s="9">
        <f t="shared" si="101"/>
        <v>0.63037411224281303</v>
      </c>
      <c r="S172" s="9">
        <f t="shared" si="102"/>
        <v>3.9737152138591463E-4</v>
      </c>
      <c r="T172" s="9">
        <f t="shared" si="103"/>
        <v>3.9737152138591463E-4</v>
      </c>
      <c r="U172" s="406">
        <f t="shared" si="104"/>
        <v>8.7379259375572271</v>
      </c>
      <c r="V172" s="408">
        <f t="shared" si="105"/>
        <v>0.15270269938047071</v>
      </c>
      <c r="W172" s="406">
        <f t="shared" si="106"/>
        <v>0.15270269938047071</v>
      </c>
      <c r="X172" s="406">
        <f t="shared" si="107"/>
        <v>8.7379259375572271</v>
      </c>
      <c r="Y172" s="406">
        <f t="shared" si="108"/>
        <v>3.9702701838922381</v>
      </c>
      <c r="Z172" s="406">
        <f t="shared" si="124"/>
        <v>1.6418925554094144</v>
      </c>
      <c r="AA172" s="406">
        <f t="shared" si="125"/>
        <v>0.37132800000000021</v>
      </c>
      <c r="AB172" s="406">
        <f t="shared" si="126"/>
        <v>0</v>
      </c>
      <c r="AC172" s="406">
        <f t="shared" si="109"/>
        <v>47.285161065175529</v>
      </c>
      <c r="AD172" s="406">
        <f t="shared" si="110"/>
        <v>8.5730185367320058</v>
      </c>
      <c r="AE172" s="406">
        <f t="shared" si="111"/>
        <v>0.73496646831150592</v>
      </c>
      <c r="AF172" s="406">
        <f t="shared" si="127"/>
        <v>0.66015000000000001</v>
      </c>
      <c r="AG172" s="406">
        <f t="shared" si="112"/>
        <v>1.5810380620255879</v>
      </c>
      <c r="AH172" s="406">
        <f t="shared" si="113"/>
        <v>0</v>
      </c>
      <c r="AI172">
        <f t="shared" si="128"/>
        <v>0</v>
      </c>
      <c r="AJ172" s="407">
        <f t="shared" si="129"/>
        <v>2.3682149999999997</v>
      </c>
      <c r="AK172">
        <f t="shared" si="134"/>
        <v>9.6000000000000002E-2</v>
      </c>
      <c r="AL172" s="407">
        <f t="shared" si="130"/>
        <v>0.1215</v>
      </c>
      <c r="AM172" s="407">
        <f t="shared" si="135"/>
        <v>0.70770810810810814</v>
      </c>
      <c r="AN172" s="407">
        <f t="shared" si="114"/>
        <v>0.2175</v>
      </c>
      <c r="AO172" s="407">
        <f t="shared" si="115"/>
        <v>52.773782836196617</v>
      </c>
      <c r="AP172">
        <f t="shared" si="131"/>
        <v>293.39999999999998</v>
      </c>
      <c r="AQ172" s="10">
        <f t="shared" si="116"/>
        <v>0.84755118540802887</v>
      </c>
      <c r="AR172" s="63">
        <f t="shared" si="117"/>
        <v>2600.683858584654</v>
      </c>
      <c r="AS172" s="63">
        <f t="shared" si="118"/>
        <v>63.241522481023516</v>
      </c>
      <c r="AT172" s="10"/>
      <c r="AU172">
        <f t="shared" si="119"/>
        <v>84.755118540802883</v>
      </c>
    </row>
    <row r="173" spans="7:47" x14ac:dyDescent="0.2">
      <c r="G173">
        <v>164</v>
      </c>
      <c r="H173">
        <f t="shared" si="120"/>
        <v>12.299999999999999</v>
      </c>
      <c r="I173" s="406">
        <f t="shared" si="97"/>
        <v>0.50958440212790157</v>
      </c>
      <c r="J173" s="407">
        <f t="shared" si="121"/>
        <v>2.1839331519767211</v>
      </c>
      <c r="K173" s="407">
        <f t="shared" si="132"/>
        <v>13.391966575988359</v>
      </c>
      <c r="L173" s="407">
        <f t="shared" si="98"/>
        <v>11.208033424011639</v>
      </c>
      <c r="M173" s="63">
        <f t="shared" si="122"/>
        <v>0</v>
      </c>
      <c r="N173" s="406">
        <f t="shared" si="99"/>
        <v>12.316146461766841</v>
      </c>
      <c r="O173" s="406">
        <f t="shared" si="100"/>
        <v>0.98159467303101133</v>
      </c>
      <c r="P173">
        <f t="shared" si="123"/>
        <v>0.2</v>
      </c>
      <c r="Q173" s="406">
        <f t="shared" si="133"/>
        <v>1.1815946730310114</v>
      </c>
      <c r="R173" s="9">
        <f t="shared" si="101"/>
        <v>0.6304471965929539</v>
      </c>
      <c r="S173" s="9">
        <f t="shared" si="102"/>
        <v>3.9746366769191464E-4</v>
      </c>
      <c r="T173" s="9">
        <f t="shared" si="103"/>
        <v>3.9746366769191464E-4</v>
      </c>
      <c r="U173" s="406">
        <f t="shared" si="104"/>
        <v>8.7919034050311637</v>
      </c>
      <c r="V173" s="408">
        <f t="shared" si="105"/>
        <v>0.15459513096679714</v>
      </c>
      <c r="W173" s="406">
        <f t="shared" si="106"/>
        <v>0.15459513096679714</v>
      </c>
      <c r="X173" s="406">
        <f t="shared" si="107"/>
        <v>8.7919034050311637</v>
      </c>
      <c r="Y173" s="406">
        <f t="shared" si="108"/>
        <v>4.0194734051367256</v>
      </c>
      <c r="Z173" s="406">
        <f t="shared" si="124"/>
        <v>1.6523527881128335</v>
      </c>
      <c r="AA173" s="406">
        <f t="shared" si="125"/>
        <v>0.37132800000000021</v>
      </c>
      <c r="AB173" s="406">
        <f t="shared" si="126"/>
        <v>0</v>
      </c>
      <c r="AC173" s="406">
        <f t="shared" si="109"/>
        <v>52.22408293953476</v>
      </c>
      <c r="AD173" s="406">
        <f t="shared" si="110"/>
        <v>8.6249578656532186</v>
      </c>
      <c r="AE173" s="406">
        <f t="shared" si="111"/>
        <v>0.74389898184293335</v>
      </c>
      <c r="AF173" s="406">
        <f t="shared" si="127"/>
        <v>0.6641999999999999</v>
      </c>
      <c r="AG173" s="406">
        <f t="shared" si="112"/>
        <v>1.5983394796966448</v>
      </c>
      <c r="AH173" s="406">
        <f t="shared" si="113"/>
        <v>0</v>
      </c>
      <c r="AI173">
        <f t="shared" si="128"/>
        <v>0</v>
      </c>
      <c r="AJ173" s="407">
        <f t="shared" si="129"/>
        <v>2.3680199999999996</v>
      </c>
      <c r="AK173">
        <f t="shared" si="134"/>
        <v>9.6000000000000002E-2</v>
      </c>
      <c r="AL173" s="407">
        <f t="shared" si="130"/>
        <v>0.1215</v>
      </c>
      <c r="AM173" s="407">
        <f t="shared" si="135"/>
        <v>0.70770810810810814</v>
      </c>
      <c r="AN173" s="407">
        <f t="shared" si="114"/>
        <v>0.2175</v>
      </c>
      <c r="AO173" s="407">
        <f t="shared" si="115"/>
        <v>57.744529686896911</v>
      </c>
      <c r="AP173">
        <f t="shared" si="131"/>
        <v>295.2</v>
      </c>
      <c r="AQ173" s="10">
        <f t="shared" si="116"/>
        <v>0.83639205362348845</v>
      </c>
      <c r="AR173" s="63">
        <f t="shared" si="117"/>
        <v>2872.3245616744116</v>
      </c>
      <c r="AS173" s="63">
        <f t="shared" si="118"/>
        <v>63.933579187865789</v>
      </c>
      <c r="AT173" s="10"/>
      <c r="AU173">
        <f t="shared" si="119"/>
        <v>83.639205362348847</v>
      </c>
    </row>
    <row r="174" spans="7:47" x14ac:dyDescent="0.2">
      <c r="G174">
        <v>165</v>
      </c>
      <c r="H174">
        <f t="shared" si="120"/>
        <v>12.375</v>
      </c>
      <c r="I174" s="406">
        <f t="shared" ref="I174:I209" si="136">(Vout+Rdcr*H174+RdsonBot*H174)/(Vin-RdsonTop*H174+RdsonBot*H174)</f>
        <v>0.5096434833430743</v>
      </c>
      <c r="J174" s="407">
        <f t="shared" si="121"/>
        <v>2.1841863571846041</v>
      </c>
      <c r="K174" s="407">
        <f t="shared" si="132"/>
        <v>13.467093178592302</v>
      </c>
      <c r="L174" s="407">
        <f t="shared" ref="L174:L209" si="137">H174-J174/2</f>
        <v>11.282906821407698</v>
      </c>
      <c r="M174" s="63">
        <f t="shared" si="122"/>
        <v>0</v>
      </c>
      <c r="N174" s="406">
        <f t="shared" ref="N174:N209" si="138">SQRT(H174^2+(J174^2)/12)</f>
        <v>12.391052450736753</v>
      </c>
      <c r="O174" s="406">
        <f t="shared" ref="O174:O209" si="139">(N174^2*Rdcr*(1+Ltc*Ta-Ltc*25))/(1-N174^2*Rdcr*Ltc*ThetaCa)</f>
        <v>0.99452382703864362</v>
      </c>
      <c r="P174">
        <f t="shared" si="123"/>
        <v>0.2</v>
      </c>
      <c r="Q174" s="406">
        <f t="shared" si="133"/>
        <v>1.1945238270386436</v>
      </c>
      <c r="R174" s="9">
        <f t="shared" ref="R174:R209" si="140">J174/(2*SQRT(3))</f>
        <v>0.6305202906404197</v>
      </c>
      <c r="S174" s="9">
        <f t="shared" ref="S174:S209" si="141">RCoutEsr*R174^2</f>
        <v>3.975558369092793E-4</v>
      </c>
      <c r="T174" s="9">
        <f t="shared" ref="T174:T209" si="142">S174</f>
        <v>3.975558369092793E-4</v>
      </c>
      <c r="U174" s="406">
        <f t="shared" ref="U174:U209" si="143">SQRT(I174)*SQRT(H174^2+(J174^2)/12)</f>
        <v>8.845887932134417</v>
      </c>
      <c r="V174" s="408">
        <f t="shared" ref="V174:V209" si="144">RCinEsr*U174^2</f>
        <v>0.15649946661576264</v>
      </c>
      <c r="W174" s="406">
        <f t="shared" ref="W174:W209" si="145">V174</f>
        <v>0.15649946661576264</v>
      </c>
      <c r="X174" s="406">
        <f t="shared" ref="X174:X209" si="146">SQRT(I174)*SQRT(H174^2+(J174^2)/12)</f>
        <v>8.845887932134417</v>
      </c>
      <c r="Y174" s="406">
        <f t="shared" ref="Y174:Y209" si="147">RdsonTop*X174^2</f>
        <v>4.0689861320098277</v>
      </c>
      <c r="Z174" s="406">
        <f t="shared" si="124"/>
        <v>1.6628130198264621</v>
      </c>
      <c r="AA174" s="406">
        <f t="shared" si="125"/>
        <v>0.37132800000000021</v>
      </c>
      <c r="AB174" s="406">
        <f t="shared" si="126"/>
        <v>0</v>
      </c>
      <c r="AC174" s="406">
        <f t="shared" ref="AC174:AC209" si="148">(AB174+AA174+Z174+Y174*(1+RdsonTopTc*Ta-RdsonTopTc*25))/(1-Y174*RdsonTopTc*ThetaJaTop)</f>
        <v>58.223139815793921</v>
      </c>
      <c r="AD174" s="406">
        <f t="shared" ref="AD174:AD209" si="149">SQRT(1-I174)*SQRT(H174^2+(J174^2)/12)</f>
        <v>8.6768915821870216</v>
      </c>
      <c r="AE174" s="406">
        <f t="shared" ref="AE174:AE209" si="150">RdsonBot*AD174^2</f>
        <v>0.75288447529027991</v>
      </c>
      <c r="AF174" s="406">
        <f t="shared" si="127"/>
        <v>0.66825000000000001</v>
      </c>
      <c r="AG174" s="406">
        <f t="shared" ref="AG174:AG209" si="151">(AF174+AE174*(1+RdsonBotTc*Ta-RdsonBotTc*25))/(1-AE174*RdsonBotTc*ThetaJaBot)</f>
        <v>1.6157729323022143</v>
      </c>
      <c r="AH174" s="406">
        <f t="shared" ref="AH174:AH209" si="152">IF(RDSON_sense=1, 0, AD174^2*Rshunt)</f>
        <v>0</v>
      </c>
      <c r="AI174">
        <f t="shared" si="128"/>
        <v>0</v>
      </c>
      <c r="AJ174" s="407">
        <f t="shared" si="129"/>
        <v>2.3678249999999998</v>
      </c>
      <c r="AK174">
        <f t="shared" si="134"/>
        <v>9.6000000000000002E-2</v>
      </c>
      <c r="AL174" s="407">
        <f t="shared" si="130"/>
        <v>0.1215</v>
      </c>
      <c r="AM174" s="407">
        <f t="shared" si="135"/>
        <v>0.70770810810810814</v>
      </c>
      <c r="AN174" s="407">
        <f t="shared" ref="AN174:AN209" si="153">SUM(AK174:AL174)</f>
        <v>0.2175</v>
      </c>
      <c r="AO174" s="407">
        <f t="shared" ref="AO174:AO209" si="154">SUM(Q174,T174,W174,AC174,AJ174,AI174,AG174,AN174, AH174)</f>
        <v>63.775658597587444</v>
      </c>
      <c r="AP174">
        <f t="shared" si="131"/>
        <v>297</v>
      </c>
      <c r="AQ174" s="10">
        <f t="shared" ref="AQ174:AQ209" si="155">AP174/(AP174+AO174)</f>
        <v>0.82322627073706378</v>
      </c>
      <c r="AR174" s="63">
        <f t="shared" ref="AR174:AR209" si="156">ThetaJaTop*AC174</f>
        <v>3202.2726898686656</v>
      </c>
      <c r="AS174" s="63">
        <f t="shared" ref="AS174:AS209" si="157">AG174*ThetaJaBot</f>
        <v>64.630917292088569</v>
      </c>
      <c r="AT174" s="10"/>
      <c r="AU174">
        <f t="shared" ref="AU174:AU209" si="158">AQ174*100</f>
        <v>82.322627073706371</v>
      </c>
    </row>
    <row r="175" spans="7:47" x14ac:dyDescent="0.2">
      <c r="G175">
        <v>166</v>
      </c>
      <c r="H175">
        <f t="shared" si="120"/>
        <v>12.45</v>
      </c>
      <c r="I175" s="406">
        <f t="shared" si="136"/>
        <v>0.50970257239806138</v>
      </c>
      <c r="J175" s="407">
        <f t="shared" si="121"/>
        <v>2.1844395959916918</v>
      </c>
      <c r="K175" s="407">
        <f t="shared" si="132"/>
        <v>13.542219797995845</v>
      </c>
      <c r="L175" s="407">
        <f t="shared" si="137"/>
        <v>11.357780202004154</v>
      </c>
      <c r="M175" s="63">
        <f t="shared" si="122"/>
        <v>0</v>
      </c>
      <c r="N175" s="406">
        <f t="shared" si="138"/>
        <v>12.465959571129879</v>
      </c>
      <c r="O175" s="406">
        <f t="shared" si="139"/>
        <v>1.0075566234192239</v>
      </c>
      <c r="P175">
        <f t="shared" si="123"/>
        <v>0.2</v>
      </c>
      <c r="Q175" s="406">
        <f t="shared" si="133"/>
        <v>1.2075566234192239</v>
      </c>
      <c r="R175" s="9">
        <f t="shared" si="140"/>
        <v>0.63059339438714035</v>
      </c>
      <c r="S175" s="9">
        <f t="shared" si="141"/>
        <v>3.9764802904469553E-4</v>
      </c>
      <c r="T175" s="9">
        <f t="shared" si="142"/>
        <v>3.9764802904469553E-4</v>
      </c>
      <c r="U175" s="406">
        <f t="shared" si="143"/>
        <v>8.8998795048833994</v>
      </c>
      <c r="V175" s="408">
        <f t="shared" si="144"/>
        <v>0.15841571040288716</v>
      </c>
      <c r="W175" s="406">
        <f t="shared" si="145"/>
        <v>0.15841571040288716</v>
      </c>
      <c r="X175" s="406">
        <f t="shared" si="146"/>
        <v>8.8998795048833994</v>
      </c>
      <c r="Y175" s="406">
        <f t="shared" si="147"/>
        <v>4.1188084704750656</v>
      </c>
      <c r="Z175" s="406">
        <f t="shared" si="124"/>
        <v>1.6732732505501033</v>
      </c>
      <c r="AA175" s="406">
        <f t="shared" si="125"/>
        <v>0.37132800000000021</v>
      </c>
      <c r="AB175" s="406">
        <f t="shared" si="126"/>
        <v>0</v>
      </c>
      <c r="AC175" s="406">
        <f t="shared" si="148"/>
        <v>65.664494237477896</v>
      </c>
      <c r="AD175" s="406">
        <f t="shared" si="149"/>
        <v>8.7288196697835989</v>
      </c>
      <c r="AE175" s="406">
        <f t="shared" si="150"/>
        <v>0.76192292827601049</v>
      </c>
      <c r="AF175" s="406">
        <f t="shared" si="127"/>
        <v>0.67230000000000001</v>
      </c>
      <c r="AG175" s="406">
        <f t="shared" si="151"/>
        <v>1.633339543992447</v>
      </c>
      <c r="AH175" s="406">
        <f t="shared" si="152"/>
        <v>0</v>
      </c>
      <c r="AI175">
        <f t="shared" si="128"/>
        <v>0</v>
      </c>
      <c r="AJ175" s="407">
        <f t="shared" si="129"/>
        <v>2.3676300000000001</v>
      </c>
      <c r="AK175">
        <f t="shared" si="134"/>
        <v>9.6000000000000002E-2</v>
      </c>
      <c r="AL175" s="407">
        <f t="shared" si="130"/>
        <v>0.1215</v>
      </c>
      <c r="AM175" s="407">
        <f t="shared" si="135"/>
        <v>0.70770810810810814</v>
      </c>
      <c r="AN175" s="407">
        <f t="shared" si="153"/>
        <v>0.2175</v>
      </c>
      <c r="AO175" s="407">
        <f t="shared" si="154"/>
        <v>71.249333763321502</v>
      </c>
      <c r="AP175">
        <f t="shared" si="131"/>
        <v>298.79999999999995</v>
      </c>
      <c r="AQ175" s="10">
        <f t="shared" si="155"/>
        <v>0.80745990530848621</v>
      </c>
      <c r="AR175" s="63">
        <f t="shared" si="156"/>
        <v>3611.5471830612842</v>
      </c>
      <c r="AS175" s="63">
        <f t="shared" si="157"/>
        <v>65.333581759697879</v>
      </c>
      <c r="AT175" s="10"/>
      <c r="AU175">
        <f t="shared" si="158"/>
        <v>80.745990530848616</v>
      </c>
    </row>
    <row r="176" spans="7:47" x14ac:dyDescent="0.2">
      <c r="G176">
        <v>167</v>
      </c>
      <c r="H176">
        <f t="shared" si="120"/>
        <v>12.524999999999999</v>
      </c>
      <c r="I176" s="406">
        <f t="shared" si="136"/>
        <v>0.50976166929442357</v>
      </c>
      <c r="J176" s="407">
        <f t="shared" si="121"/>
        <v>2.1846928684046727</v>
      </c>
      <c r="K176" s="407">
        <f t="shared" si="132"/>
        <v>13.617346434202336</v>
      </c>
      <c r="L176" s="407">
        <f t="shared" si="137"/>
        <v>11.432653565797661</v>
      </c>
      <c r="M176" s="63">
        <f t="shared" si="122"/>
        <v>0</v>
      </c>
      <c r="N176" s="406">
        <f t="shared" si="138"/>
        <v>12.540867802672382</v>
      </c>
      <c r="O176" s="406">
        <f t="shared" si="139"/>
        <v>1.0206935911251105</v>
      </c>
      <c r="P176">
        <f t="shared" si="123"/>
        <v>0.2</v>
      </c>
      <c r="Q176" s="406">
        <f t="shared" si="133"/>
        <v>1.2206935911251104</v>
      </c>
      <c r="R176" s="9">
        <f t="shared" si="140"/>
        <v>0.63066650783504674</v>
      </c>
      <c r="S176" s="9">
        <f t="shared" si="141"/>
        <v>3.9774024410485308E-4</v>
      </c>
      <c r="T176" s="9">
        <f t="shared" si="142"/>
        <v>3.9774024410485308E-4</v>
      </c>
      <c r="U176" s="406">
        <f t="shared" si="143"/>
        <v>8.9538781096453661</v>
      </c>
      <c r="V176" s="408">
        <f t="shared" si="144"/>
        <v>0.16034386640477294</v>
      </c>
      <c r="W176" s="406">
        <f t="shared" si="145"/>
        <v>0.16034386640477294</v>
      </c>
      <c r="X176" s="406">
        <f t="shared" si="146"/>
        <v>8.9538781096453661</v>
      </c>
      <c r="Y176" s="406">
        <f t="shared" si="147"/>
        <v>4.1689405265240964</v>
      </c>
      <c r="Z176" s="406">
        <f t="shared" si="124"/>
        <v>1.6837334802835591</v>
      </c>
      <c r="AA176" s="406">
        <f t="shared" si="125"/>
        <v>0.37132800000000021</v>
      </c>
      <c r="AB176" s="406">
        <f t="shared" si="126"/>
        <v>0</v>
      </c>
      <c r="AC176" s="406">
        <f t="shared" si="148"/>
        <v>75.139083248818039</v>
      </c>
      <c r="AD176" s="406">
        <f t="shared" si="149"/>
        <v>8.7807421122430416</v>
      </c>
      <c r="AE176" s="406">
        <f t="shared" si="150"/>
        <v>0.77101432041718398</v>
      </c>
      <c r="AF176" s="406">
        <f t="shared" si="127"/>
        <v>0.6763499999999999</v>
      </c>
      <c r="AG176" s="406">
        <f t="shared" si="151"/>
        <v>1.6510404537681118</v>
      </c>
      <c r="AH176" s="406">
        <f t="shared" si="152"/>
        <v>0</v>
      </c>
      <c r="AI176">
        <f t="shared" si="128"/>
        <v>0</v>
      </c>
      <c r="AJ176" s="407">
        <f t="shared" si="129"/>
        <v>2.367435</v>
      </c>
      <c r="AK176">
        <f t="shared" si="134"/>
        <v>9.6000000000000002E-2</v>
      </c>
      <c r="AL176" s="407">
        <f t="shared" si="130"/>
        <v>0.1215</v>
      </c>
      <c r="AM176" s="407">
        <f t="shared" si="135"/>
        <v>0.70770810810810814</v>
      </c>
      <c r="AN176" s="407">
        <f t="shared" si="153"/>
        <v>0.2175</v>
      </c>
      <c r="AO176" s="407">
        <f t="shared" si="154"/>
        <v>80.756493900360141</v>
      </c>
      <c r="AP176">
        <f t="shared" si="131"/>
        <v>300.59999999999997</v>
      </c>
      <c r="AQ176" s="10">
        <f t="shared" si="155"/>
        <v>0.78823883900752456</v>
      </c>
      <c r="AR176" s="63">
        <f t="shared" si="156"/>
        <v>4132.6495786849919</v>
      </c>
      <c r="AS176" s="63">
        <f t="shared" si="157"/>
        <v>66.041618150724474</v>
      </c>
      <c r="AT176" s="10"/>
      <c r="AU176">
        <f t="shared" si="158"/>
        <v>78.823883900752463</v>
      </c>
    </row>
    <row r="177" spans="7:47" x14ac:dyDescent="0.2">
      <c r="G177">
        <v>168</v>
      </c>
      <c r="H177">
        <f t="shared" si="120"/>
        <v>12.6</v>
      </c>
      <c r="I177" s="406">
        <f t="shared" si="136"/>
        <v>0.50982077403372184</v>
      </c>
      <c r="J177" s="407">
        <f t="shared" si="121"/>
        <v>2.1849461744302365</v>
      </c>
      <c r="K177" s="407">
        <f t="shared" si="132"/>
        <v>13.692473087215118</v>
      </c>
      <c r="L177" s="407">
        <f t="shared" si="137"/>
        <v>11.507526912784881</v>
      </c>
      <c r="M177" s="63">
        <f t="shared" si="122"/>
        <v>0</v>
      </c>
      <c r="N177" s="406">
        <f t="shared" si="138"/>
        <v>12.615777125571633</v>
      </c>
      <c r="O177" s="406">
        <f t="shared" si="139"/>
        <v>1.0339352648165834</v>
      </c>
      <c r="P177">
        <f t="shared" si="123"/>
        <v>0.2</v>
      </c>
      <c r="Q177" s="406">
        <f t="shared" si="133"/>
        <v>1.2339352648165833</v>
      </c>
      <c r="R177" s="9">
        <f t="shared" si="140"/>
        <v>0.63073963098607011</v>
      </c>
      <c r="S177" s="9">
        <f t="shared" si="141"/>
        <v>3.9783248209644391E-4</v>
      </c>
      <c r="T177" s="9">
        <f t="shared" si="142"/>
        <v>3.9783248209644391E-4</v>
      </c>
      <c r="U177" s="406">
        <f t="shared" si="143"/>
        <v>9.00788373312799</v>
      </c>
      <c r="V177" s="408">
        <f t="shared" si="144"/>
        <v>0.16228393869910371</v>
      </c>
      <c r="W177" s="406">
        <f t="shared" si="145"/>
        <v>0.16228393869910371</v>
      </c>
      <c r="X177" s="406">
        <f t="shared" si="146"/>
        <v>9.00788373312799</v>
      </c>
      <c r="Y177" s="406">
        <f t="shared" si="147"/>
        <v>4.2193824061766962</v>
      </c>
      <c r="Z177" s="406">
        <f t="shared" si="124"/>
        <v>1.6941937090266339</v>
      </c>
      <c r="AA177" s="406">
        <f t="shared" si="125"/>
        <v>0.37132800000000021</v>
      </c>
      <c r="AB177" s="406">
        <f t="shared" si="126"/>
        <v>0</v>
      </c>
      <c r="AC177" s="406">
        <f t="shared" si="148"/>
        <v>87.611735370785837</v>
      </c>
      <c r="AD177" s="406">
        <f t="shared" si="149"/>
        <v>8.8326588937049184</v>
      </c>
      <c r="AE177" s="406">
        <f t="shared" si="150"/>
        <v>0.78015863132544594</v>
      </c>
      <c r="AF177" s="406">
        <f t="shared" si="127"/>
        <v>0.6804</v>
      </c>
      <c r="AG177" s="406">
        <f t="shared" si="151"/>
        <v>1.6688768157084679</v>
      </c>
      <c r="AH177" s="406">
        <f t="shared" si="152"/>
        <v>0</v>
      </c>
      <c r="AI177">
        <f t="shared" si="128"/>
        <v>0</v>
      </c>
      <c r="AJ177" s="407">
        <f t="shared" si="129"/>
        <v>2.3672399999999998</v>
      </c>
      <c r="AK177">
        <f t="shared" si="134"/>
        <v>9.6000000000000002E-2</v>
      </c>
      <c r="AL177" s="407">
        <f t="shared" si="130"/>
        <v>0.1215</v>
      </c>
      <c r="AM177" s="407">
        <f t="shared" si="135"/>
        <v>0.70770810810810814</v>
      </c>
      <c r="AN177" s="407">
        <f t="shared" si="153"/>
        <v>0.2175</v>
      </c>
      <c r="AO177" s="407">
        <f t="shared" si="154"/>
        <v>93.261969222492084</v>
      </c>
      <c r="AP177">
        <f t="shared" si="131"/>
        <v>302.39999999999998</v>
      </c>
      <c r="AQ177" s="10">
        <f t="shared" si="155"/>
        <v>0.76428877052358746</v>
      </c>
      <c r="AR177" s="63">
        <f t="shared" si="156"/>
        <v>4818.6454453932211</v>
      </c>
      <c r="AS177" s="63">
        <f t="shared" si="157"/>
        <v>66.755072628338723</v>
      </c>
      <c r="AT177" s="10"/>
      <c r="AU177">
        <f t="shared" si="158"/>
        <v>76.428877052358743</v>
      </c>
    </row>
    <row r="178" spans="7:47" x14ac:dyDescent="0.2">
      <c r="G178">
        <v>169</v>
      </c>
      <c r="H178">
        <f t="shared" si="120"/>
        <v>12.674999999999999</v>
      </c>
      <c r="I178" s="406">
        <f t="shared" si="136"/>
        <v>0.50987988661751737</v>
      </c>
      <c r="J178" s="407">
        <f t="shared" si="121"/>
        <v>2.1851995140750744</v>
      </c>
      <c r="K178" s="407">
        <f t="shared" si="132"/>
        <v>13.767599757037535</v>
      </c>
      <c r="L178" s="407">
        <f t="shared" si="137"/>
        <v>11.582400242962462</v>
      </c>
      <c r="M178" s="63">
        <f t="shared" si="122"/>
        <v>0</v>
      </c>
      <c r="N178" s="406">
        <f t="shared" si="138"/>
        <v>12.690687520502037</v>
      </c>
      <c r="O178" s="406">
        <f t="shared" si="139"/>
        <v>1.0472821849209495</v>
      </c>
      <c r="P178">
        <f t="shared" si="123"/>
        <v>0.2</v>
      </c>
      <c r="Q178" s="406">
        <f t="shared" si="133"/>
        <v>1.2472821849209494</v>
      </c>
      <c r="R178" s="9">
        <f t="shared" si="140"/>
        <v>0.6308127638421418</v>
      </c>
      <c r="S178" s="9">
        <f t="shared" si="141"/>
        <v>3.9792474302616178E-4</v>
      </c>
      <c r="T178" s="9">
        <f t="shared" si="142"/>
        <v>3.9792474302616178E-4</v>
      </c>
      <c r="U178" s="406">
        <f t="shared" si="143"/>
        <v>9.0618963623693496</v>
      </c>
      <c r="V178" s="408">
        <f t="shared" si="144"/>
        <v>0.1642359313646457</v>
      </c>
      <c r="W178" s="406">
        <f t="shared" si="145"/>
        <v>0.1642359313646457</v>
      </c>
      <c r="X178" s="406">
        <f t="shared" si="146"/>
        <v>9.0618963623693496</v>
      </c>
      <c r="Y178" s="406">
        <f t="shared" si="147"/>
        <v>4.2701342154807875</v>
      </c>
      <c r="Z178" s="406">
        <f t="shared" si="124"/>
        <v>1.7046539367791294</v>
      </c>
      <c r="AA178" s="406">
        <f t="shared" si="125"/>
        <v>0.37132800000000021</v>
      </c>
      <c r="AB178" s="406">
        <f t="shared" si="126"/>
        <v>0</v>
      </c>
      <c r="AC178" s="406">
        <f t="shared" si="148"/>
        <v>104.77243911854181</v>
      </c>
      <c r="AD178" s="406">
        <f t="shared" si="149"/>
        <v>8.8845699986382733</v>
      </c>
      <c r="AE178" s="406">
        <f t="shared" si="150"/>
        <v>0.7893558406070329</v>
      </c>
      <c r="AF178" s="406">
        <f t="shared" si="127"/>
        <v>0.68444999999999989</v>
      </c>
      <c r="AG178" s="406">
        <f t="shared" si="151"/>
        <v>1.6868497992035298</v>
      </c>
      <c r="AH178" s="406">
        <f t="shared" si="152"/>
        <v>0</v>
      </c>
      <c r="AI178">
        <f t="shared" si="128"/>
        <v>0</v>
      </c>
      <c r="AJ178" s="407">
        <f t="shared" si="129"/>
        <v>2.3670449999999996</v>
      </c>
      <c r="AK178">
        <f t="shared" si="134"/>
        <v>9.6000000000000002E-2</v>
      </c>
      <c r="AL178" s="407">
        <f t="shared" si="130"/>
        <v>0.1215</v>
      </c>
      <c r="AM178" s="407">
        <f t="shared" si="135"/>
        <v>0.70770810810810814</v>
      </c>
      <c r="AN178" s="407">
        <f t="shared" si="153"/>
        <v>0.2175</v>
      </c>
      <c r="AO178" s="407">
        <f t="shared" si="154"/>
        <v>110.45574995877396</v>
      </c>
      <c r="AP178">
        <f t="shared" si="131"/>
        <v>304.2</v>
      </c>
      <c r="AQ178" s="10">
        <f t="shared" si="155"/>
        <v>0.73362059981139593</v>
      </c>
      <c r="AR178" s="63">
        <f t="shared" si="156"/>
        <v>5762.4841515197995</v>
      </c>
      <c r="AS178" s="63">
        <f t="shared" si="157"/>
        <v>67.473991968141192</v>
      </c>
      <c r="AT178" s="10"/>
      <c r="AU178">
        <f t="shared" si="158"/>
        <v>73.362059981139595</v>
      </c>
    </row>
    <row r="179" spans="7:47" x14ac:dyDescent="0.2">
      <c r="G179">
        <v>170</v>
      </c>
      <c r="H179">
        <f t="shared" si="120"/>
        <v>12.75</v>
      </c>
      <c r="I179" s="406">
        <f t="shared" si="136"/>
        <v>0.50993900704737227</v>
      </c>
      <c r="J179" s="407">
        <f t="shared" si="121"/>
        <v>2.1854528873458814</v>
      </c>
      <c r="K179" s="407">
        <f t="shared" si="132"/>
        <v>13.842726443672941</v>
      </c>
      <c r="L179" s="407">
        <f t="shared" si="137"/>
        <v>11.657273556327059</v>
      </c>
      <c r="M179" s="63">
        <f t="shared" si="122"/>
        <v>0</v>
      </c>
      <c r="N179" s="406">
        <f t="shared" si="138"/>
        <v>12.765598968591357</v>
      </c>
      <c r="O179" s="406">
        <f t="shared" si="139"/>
        <v>1.0607348976924986</v>
      </c>
      <c r="P179">
        <f t="shared" si="123"/>
        <v>0.2</v>
      </c>
      <c r="Q179" s="406">
        <f t="shared" si="133"/>
        <v>1.2607348976924986</v>
      </c>
      <c r="R179" s="9">
        <f t="shared" si="140"/>
        <v>0.63088590640519482</v>
      </c>
      <c r="S179" s="9">
        <f t="shared" si="141"/>
        <v>3.9801702690070423E-4</v>
      </c>
      <c r="T179" s="9">
        <f t="shared" si="142"/>
        <v>3.9801702690070423E-4</v>
      </c>
      <c r="U179" s="406">
        <f t="shared" si="143"/>
        <v>9.1159159847282574</v>
      </c>
      <c r="V179" s="408">
        <f t="shared" si="144"/>
        <v>0.1661998484812483</v>
      </c>
      <c r="W179" s="406">
        <f t="shared" si="145"/>
        <v>0.1661998484812483</v>
      </c>
      <c r="X179" s="406">
        <f t="shared" si="146"/>
        <v>9.1159159847282574</v>
      </c>
      <c r="Y179" s="406">
        <f t="shared" si="147"/>
        <v>4.3211960605124551</v>
      </c>
      <c r="Z179" s="406">
        <f t="shared" si="124"/>
        <v>1.7151141635408489</v>
      </c>
      <c r="AA179" s="406">
        <f t="shared" si="125"/>
        <v>0.37132800000000021</v>
      </c>
      <c r="AB179" s="406">
        <f t="shared" si="126"/>
        <v>0</v>
      </c>
      <c r="AC179" s="406">
        <f t="shared" si="148"/>
        <v>129.87525666497064</v>
      </c>
      <c r="AD179" s="406">
        <f t="shared" si="149"/>
        <v>8.9364754118319247</v>
      </c>
      <c r="AE179" s="406">
        <f t="shared" si="150"/>
        <v>0.79860592786276574</v>
      </c>
      <c r="AF179" s="406">
        <f t="shared" si="127"/>
        <v>0.6885</v>
      </c>
      <c r="AG179" s="406">
        <f t="shared" si="151"/>
        <v>1.7049605891907915</v>
      </c>
      <c r="AH179" s="406">
        <f t="shared" si="152"/>
        <v>0</v>
      </c>
      <c r="AI179">
        <f t="shared" si="128"/>
        <v>0</v>
      </c>
      <c r="AJ179" s="407">
        <f t="shared" si="129"/>
        <v>2.3668499999999999</v>
      </c>
      <c r="AK179">
        <f t="shared" si="134"/>
        <v>9.6000000000000002E-2</v>
      </c>
      <c r="AL179" s="407">
        <f t="shared" si="130"/>
        <v>0.1215</v>
      </c>
      <c r="AM179" s="407">
        <f t="shared" si="135"/>
        <v>0.70770810810810814</v>
      </c>
      <c r="AN179" s="407">
        <f t="shared" si="153"/>
        <v>0.2175</v>
      </c>
      <c r="AO179" s="407">
        <f t="shared" si="154"/>
        <v>135.59190001736206</v>
      </c>
      <c r="AP179">
        <f t="shared" si="131"/>
        <v>306</v>
      </c>
      <c r="AQ179" s="10">
        <f t="shared" si="155"/>
        <v>0.6929474928955196</v>
      </c>
      <c r="AR179" s="63">
        <f t="shared" si="156"/>
        <v>7143.1391165733849</v>
      </c>
      <c r="AS179" s="63">
        <f t="shared" si="157"/>
        <v>68.198423567631664</v>
      </c>
      <c r="AT179" s="10"/>
      <c r="AU179">
        <f t="shared" si="158"/>
        <v>69.294749289551959</v>
      </c>
    </row>
    <row r="180" spans="7:47" x14ac:dyDescent="0.2">
      <c r="G180">
        <v>171</v>
      </c>
      <c r="H180">
        <f t="shared" si="120"/>
        <v>12.824999999999999</v>
      </c>
      <c r="I180" s="406">
        <f t="shared" si="136"/>
        <v>0.5099981353248485</v>
      </c>
      <c r="J180" s="407">
        <f t="shared" si="121"/>
        <v>2.1857062942493508</v>
      </c>
      <c r="K180" s="407">
        <f t="shared" si="132"/>
        <v>13.917853147124674</v>
      </c>
      <c r="L180" s="407">
        <f t="shared" si="137"/>
        <v>11.732146852875324</v>
      </c>
      <c r="M180" s="63">
        <f t="shared" si="122"/>
        <v>0</v>
      </c>
      <c r="N180" s="406">
        <f t="shared" si="138"/>
        <v>12.840511451407485</v>
      </c>
      <c r="O180" s="406">
        <f t="shared" si="139"/>
        <v>1.0742939552733231</v>
      </c>
      <c r="P180">
        <f t="shared" si="123"/>
        <v>0.2</v>
      </c>
      <c r="Q180" s="406">
        <f t="shared" si="133"/>
        <v>1.274293955273323</v>
      </c>
      <c r="R180" s="9">
        <f t="shared" si="140"/>
        <v>0.63095905867716107</v>
      </c>
      <c r="S180" s="9">
        <f t="shared" si="141"/>
        <v>3.9810933372676915E-4</v>
      </c>
      <c r="T180" s="9">
        <f t="shared" si="142"/>
        <v>3.9810933372676915E-4</v>
      </c>
      <c r="U180" s="406">
        <f t="shared" si="143"/>
        <v>9.1699425878748944</v>
      </c>
      <c r="V180" s="408">
        <f t="shared" si="144"/>
        <v>0.16817569412984343</v>
      </c>
      <c r="W180" s="406">
        <f t="shared" si="145"/>
        <v>0.16817569412984343</v>
      </c>
      <c r="X180" s="406">
        <f t="shared" si="146"/>
        <v>9.1699425878748944</v>
      </c>
      <c r="Y180" s="406">
        <f t="shared" si="147"/>
        <v>4.3725680473759292</v>
      </c>
      <c r="Z180" s="406">
        <f t="shared" si="124"/>
        <v>1.7255743893115945</v>
      </c>
      <c r="AA180" s="406">
        <f t="shared" si="125"/>
        <v>0.37132800000000021</v>
      </c>
      <c r="AB180" s="406">
        <f t="shared" si="126"/>
        <v>0</v>
      </c>
      <c r="AC180" s="406">
        <f t="shared" si="148"/>
        <v>170.09242555050781</v>
      </c>
      <c r="AD180" s="406">
        <f t="shared" si="149"/>
        <v>8.9883751183851377</v>
      </c>
      <c r="AE180" s="406">
        <f t="shared" si="150"/>
        <v>0.80790887268805034</v>
      </c>
      <c r="AF180" s="406">
        <f t="shared" si="127"/>
        <v>0.69255</v>
      </c>
      <c r="AG180" s="406">
        <f t="shared" si="151"/>
        <v>1.7232103863965231</v>
      </c>
      <c r="AH180" s="406">
        <f t="shared" si="152"/>
        <v>0</v>
      </c>
      <c r="AI180">
        <f t="shared" si="128"/>
        <v>0</v>
      </c>
      <c r="AJ180" s="407">
        <f t="shared" si="129"/>
        <v>2.3666549999999997</v>
      </c>
      <c r="AK180">
        <f t="shared" si="134"/>
        <v>9.6000000000000002E-2</v>
      </c>
      <c r="AL180" s="407">
        <f t="shared" si="130"/>
        <v>0.1215</v>
      </c>
      <c r="AM180" s="407">
        <f t="shared" si="135"/>
        <v>0.70770810810810814</v>
      </c>
      <c r="AN180" s="407">
        <f t="shared" si="153"/>
        <v>0.2175</v>
      </c>
      <c r="AO180" s="407">
        <f t="shared" si="154"/>
        <v>175.84265869564123</v>
      </c>
      <c r="AP180">
        <f t="shared" si="131"/>
        <v>307.79999999999995</v>
      </c>
      <c r="AQ180" s="10">
        <f t="shared" si="155"/>
        <v>0.63642028771845793</v>
      </c>
      <c r="AR180" s="63">
        <f t="shared" si="156"/>
        <v>9355.0834052779301</v>
      </c>
      <c r="AS180" s="63">
        <f t="shared" si="157"/>
        <v>68.928415455860929</v>
      </c>
      <c r="AT180" s="10"/>
      <c r="AU180">
        <f t="shared" si="158"/>
        <v>63.642028771845794</v>
      </c>
    </row>
    <row r="181" spans="7:47" x14ac:dyDescent="0.2">
      <c r="G181">
        <v>172</v>
      </c>
      <c r="H181">
        <f t="shared" si="120"/>
        <v>12.9</v>
      </c>
      <c r="I181" s="406">
        <f t="shared" si="136"/>
        <v>0.51005727145150892</v>
      </c>
      <c r="J181" s="407">
        <f t="shared" si="121"/>
        <v>2.1859597347921809</v>
      </c>
      <c r="K181" s="407">
        <f t="shared" si="132"/>
        <v>13.992979867396091</v>
      </c>
      <c r="L181" s="407">
        <f t="shared" si="137"/>
        <v>11.80702013260391</v>
      </c>
      <c r="M181" s="63">
        <f t="shared" si="122"/>
        <v>0</v>
      </c>
      <c r="N181" s="406">
        <f t="shared" si="138"/>
        <v>12.915424950945713</v>
      </c>
      <c r="O181" s="406">
        <f t="shared" si="139"/>
        <v>1.0879599157550255</v>
      </c>
      <c r="P181">
        <f t="shared" si="123"/>
        <v>0.2</v>
      </c>
      <c r="Q181" s="406">
        <f t="shared" si="133"/>
        <v>1.2879599157550254</v>
      </c>
      <c r="R181" s="9">
        <f t="shared" si="140"/>
        <v>0.63103222065997433</v>
      </c>
      <c r="S181" s="9">
        <f t="shared" si="141"/>
        <v>3.9820166351105853E-4</v>
      </c>
      <c r="T181" s="9">
        <f t="shared" si="142"/>
        <v>3.9820166351105853E-4</v>
      </c>
      <c r="U181" s="406">
        <f t="shared" si="143"/>
        <v>9.2239761597818273</v>
      </c>
      <c r="V181" s="408">
        <f t="shared" si="144"/>
        <v>0.170163472392447</v>
      </c>
      <c r="W181" s="406">
        <f t="shared" si="145"/>
        <v>0.170163472392447</v>
      </c>
      <c r="X181" s="406">
        <f t="shared" si="146"/>
        <v>9.2239761597818273</v>
      </c>
      <c r="Y181" s="406">
        <f t="shared" si="147"/>
        <v>4.424250282203622</v>
      </c>
      <c r="Z181" s="406">
        <f t="shared" si="124"/>
        <v>1.7360346140911695</v>
      </c>
      <c r="AA181" s="406">
        <f t="shared" si="125"/>
        <v>0.37132800000000021</v>
      </c>
      <c r="AB181" s="406">
        <f t="shared" si="126"/>
        <v>0</v>
      </c>
      <c r="AC181" s="406">
        <f t="shared" si="148"/>
        <v>244.95136336210069</v>
      </c>
      <c r="AD181" s="406">
        <f t="shared" si="149"/>
        <v>9.0402691036986038</v>
      </c>
      <c r="AE181" s="406">
        <f t="shared" si="150"/>
        <v>0.81726465467287557</v>
      </c>
      <c r="AF181" s="406">
        <f t="shared" si="127"/>
        <v>0.6966</v>
      </c>
      <c r="AG181" s="406">
        <f t="shared" si="151"/>
        <v>1.7416004075817448</v>
      </c>
      <c r="AH181" s="406">
        <f t="shared" si="152"/>
        <v>0</v>
      </c>
      <c r="AI181">
        <f t="shared" si="128"/>
        <v>0</v>
      </c>
      <c r="AJ181" s="407">
        <f t="shared" si="129"/>
        <v>2.36646</v>
      </c>
      <c r="AK181">
        <f t="shared" si="134"/>
        <v>9.6000000000000002E-2</v>
      </c>
      <c r="AL181" s="407">
        <f t="shared" si="130"/>
        <v>0.1215</v>
      </c>
      <c r="AM181" s="407">
        <f t="shared" si="135"/>
        <v>0.70770810810810814</v>
      </c>
      <c r="AN181" s="407">
        <f t="shared" si="153"/>
        <v>0.2175</v>
      </c>
      <c r="AO181" s="407">
        <f t="shared" si="154"/>
        <v>250.73544535949341</v>
      </c>
      <c r="AP181">
        <f t="shared" si="131"/>
        <v>309.60000000000002</v>
      </c>
      <c r="AQ181" s="10">
        <f t="shared" si="155"/>
        <v>0.55252617439071783</v>
      </c>
      <c r="AR181" s="63">
        <f t="shared" si="156"/>
        <v>13472.324984915538</v>
      </c>
      <c r="AS181" s="63">
        <f t="shared" si="157"/>
        <v>69.66401630326979</v>
      </c>
      <c r="AT181" s="10"/>
      <c r="AU181">
        <f t="shared" si="158"/>
        <v>55.252617439071784</v>
      </c>
    </row>
    <row r="182" spans="7:47" x14ac:dyDescent="0.2">
      <c r="G182">
        <v>173</v>
      </c>
      <c r="H182">
        <f t="shared" si="120"/>
        <v>12.975</v>
      </c>
      <c r="I182" s="406">
        <f t="shared" si="136"/>
        <v>0.5101164154289165</v>
      </c>
      <c r="J182" s="407">
        <f t="shared" si="121"/>
        <v>2.1862132089810706</v>
      </c>
      <c r="K182" s="407">
        <f t="shared" si="132"/>
        <v>14.068106604490534</v>
      </c>
      <c r="L182" s="407">
        <f t="shared" si="137"/>
        <v>11.881893395509465</v>
      </c>
      <c r="M182" s="63">
        <f t="shared" si="122"/>
        <v>0</v>
      </c>
      <c r="N182" s="406">
        <f t="shared" si="138"/>
        <v>12.990339449616405</v>
      </c>
      <c r="O182" s="406">
        <f t="shared" si="139"/>
        <v>1.1017333432413094</v>
      </c>
      <c r="P182">
        <f t="shared" si="123"/>
        <v>0.2</v>
      </c>
      <c r="Q182" s="406">
        <f t="shared" si="133"/>
        <v>1.3017333432413094</v>
      </c>
      <c r="R182" s="9">
        <f t="shared" si="140"/>
        <v>0.6311053923555684</v>
      </c>
      <c r="S182" s="9">
        <f t="shared" si="141"/>
        <v>3.9829401626027594E-4</v>
      </c>
      <c r="T182" s="9">
        <f t="shared" si="142"/>
        <v>3.9829401626027594E-4</v>
      </c>
      <c r="U182" s="406">
        <f t="shared" si="143"/>
        <v>9.2780166887152777</v>
      </c>
      <c r="V182" s="408">
        <f t="shared" si="144"/>
        <v>0.17216318735215841</v>
      </c>
      <c r="W182" s="406">
        <f t="shared" si="145"/>
        <v>0.17216318735215841</v>
      </c>
      <c r="X182" s="406">
        <f t="shared" si="146"/>
        <v>9.2780166887152777</v>
      </c>
      <c r="Y182" s="406">
        <f t="shared" si="147"/>
        <v>4.4762428711561189</v>
      </c>
      <c r="Z182" s="406">
        <f t="shared" si="124"/>
        <v>1.7464948378793763</v>
      </c>
      <c r="AA182" s="406">
        <f t="shared" si="125"/>
        <v>0.37132800000000021</v>
      </c>
      <c r="AB182" s="406">
        <f t="shared" si="126"/>
        <v>0</v>
      </c>
      <c r="AC182" s="406">
        <f t="shared" si="148"/>
        <v>433.06315378130569</v>
      </c>
      <c r="AD182" s="406">
        <f t="shared" si="149"/>
        <v>9.0921573534657352</v>
      </c>
      <c r="AE182" s="406">
        <f t="shared" si="150"/>
        <v>0.82667325340181042</v>
      </c>
      <c r="AF182" s="406">
        <f t="shared" si="127"/>
        <v>0.70065</v>
      </c>
      <c r="AG182" s="406">
        <f t="shared" si="151"/>
        <v>1.7601318857929684</v>
      </c>
      <c r="AH182" s="406">
        <f t="shared" si="152"/>
        <v>0</v>
      </c>
      <c r="AI182">
        <f t="shared" si="128"/>
        <v>0</v>
      </c>
      <c r="AJ182" s="407">
        <f t="shared" si="129"/>
        <v>2.3662649999999998</v>
      </c>
      <c r="AK182">
        <f t="shared" si="134"/>
        <v>9.6000000000000002E-2</v>
      </c>
      <c r="AL182" s="407">
        <f t="shared" si="130"/>
        <v>0.1215</v>
      </c>
      <c r="AM182" s="407">
        <f t="shared" si="135"/>
        <v>0.70770810810810814</v>
      </c>
      <c r="AN182" s="407">
        <f t="shared" si="153"/>
        <v>0.2175</v>
      </c>
      <c r="AO182" s="407">
        <f t="shared" si="154"/>
        <v>438.88134549170837</v>
      </c>
      <c r="AP182">
        <f t="shared" si="131"/>
        <v>311.39999999999998</v>
      </c>
      <c r="AQ182" s="10">
        <f t="shared" si="155"/>
        <v>0.41504430554103566</v>
      </c>
      <c r="AR182" s="63">
        <f t="shared" si="156"/>
        <v>23818.473457971813</v>
      </c>
      <c r="AS182" s="63">
        <f t="shared" si="157"/>
        <v>70.405275431718735</v>
      </c>
      <c r="AT182" s="10"/>
      <c r="AU182">
        <f t="shared" si="158"/>
        <v>41.504430554103564</v>
      </c>
    </row>
    <row r="183" spans="7:47" x14ac:dyDescent="0.2">
      <c r="G183">
        <v>174</v>
      </c>
      <c r="H183">
        <f t="shared" si="120"/>
        <v>13.05</v>
      </c>
      <c r="I183" s="406">
        <f t="shared" si="136"/>
        <v>0.51017556725863455</v>
      </c>
      <c r="J183" s="407">
        <f t="shared" si="121"/>
        <v>2.1864667168227196</v>
      </c>
      <c r="K183" s="407">
        <f t="shared" si="132"/>
        <v>14.143233358411361</v>
      </c>
      <c r="L183" s="407">
        <f t="shared" si="137"/>
        <v>11.95676664158864</v>
      </c>
      <c r="M183" s="63">
        <f t="shared" si="122"/>
        <v>0</v>
      </c>
      <c r="N183" s="406">
        <f t="shared" si="138"/>
        <v>13.065254930233131</v>
      </c>
      <c r="O183" s="406">
        <f t="shared" si="139"/>
        <v>1.1156148079114925</v>
      </c>
      <c r="P183">
        <f t="shared" si="123"/>
        <v>0.2</v>
      </c>
      <c r="Q183" s="406">
        <f t="shared" si="133"/>
        <v>1.3156148079114924</v>
      </c>
      <c r="R183" s="9">
        <f t="shared" si="140"/>
        <v>0.63117857376587727</v>
      </c>
      <c r="S183" s="9">
        <f t="shared" si="141"/>
        <v>3.9838639198112695E-4</v>
      </c>
      <c r="T183" s="9">
        <f t="shared" si="142"/>
        <v>3.9838639198112695E-4</v>
      </c>
      <c r="U183" s="406">
        <f t="shared" si="143"/>
        <v>9.332064163226736</v>
      </c>
      <c r="V183" s="408">
        <f t="shared" si="144"/>
        <v>0.17417484309316145</v>
      </c>
      <c r="W183" s="406">
        <f t="shared" si="145"/>
        <v>0.17417484309316145</v>
      </c>
      <c r="X183" s="406">
        <f t="shared" si="146"/>
        <v>9.332064163226736</v>
      </c>
      <c r="Y183" s="406">
        <f t="shared" si="147"/>
        <v>4.5285459204221974</v>
      </c>
      <c r="Z183" s="406">
        <f t="shared" si="124"/>
        <v>1.7569550606760174</v>
      </c>
      <c r="AA183" s="406">
        <f t="shared" si="125"/>
        <v>0.37132800000000021</v>
      </c>
      <c r="AB183" s="406">
        <f t="shared" si="126"/>
        <v>0</v>
      </c>
      <c r="AC183" s="406">
        <f t="shared" si="148"/>
        <v>1789.5194607817075</v>
      </c>
      <c r="AD183" s="406">
        <f t="shared" si="149"/>
        <v>9.1440398536642657</v>
      </c>
      <c r="AE183" s="406">
        <f t="shared" si="150"/>
        <v>0.83613464845400398</v>
      </c>
      <c r="AF183" s="406">
        <f t="shared" si="127"/>
        <v>0.70469999999999999</v>
      </c>
      <c r="AG183" s="406">
        <f t="shared" si="151"/>
        <v>1.7788060706178255</v>
      </c>
      <c r="AH183" s="406">
        <f t="shared" si="152"/>
        <v>0</v>
      </c>
      <c r="AI183">
        <f t="shared" si="128"/>
        <v>0</v>
      </c>
      <c r="AJ183" s="407">
        <f t="shared" si="129"/>
        <v>2.3660699999999997</v>
      </c>
      <c r="AK183">
        <f t="shared" si="134"/>
        <v>9.6000000000000002E-2</v>
      </c>
      <c r="AL183" s="407">
        <f t="shared" si="130"/>
        <v>0.1215</v>
      </c>
      <c r="AM183" s="407">
        <f t="shared" si="135"/>
        <v>0.70770810810810814</v>
      </c>
      <c r="AN183" s="407">
        <f t="shared" si="153"/>
        <v>0.2175</v>
      </c>
      <c r="AO183" s="407">
        <f t="shared" si="154"/>
        <v>1795.3720248897218</v>
      </c>
      <c r="AP183">
        <f t="shared" si="131"/>
        <v>313.20000000000005</v>
      </c>
      <c r="AQ183" s="10">
        <f t="shared" si="155"/>
        <v>0.14853654335871233</v>
      </c>
      <c r="AR183" s="63">
        <f t="shared" si="156"/>
        <v>98423.570342993917</v>
      </c>
      <c r="AS183" s="63">
        <f t="shared" si="157"/>
        <v>71.152242824713014</v>
      </c>
      <c r="AT183" s="10"/>
      <c r="AU183">
        <f t="shared" si="158"/>
        <v>14.853654335871234</v>
      </c>
    </row>
    <row r="184" spans="7:47" x14ac:dyDescent="0.2">
      <c r="G184">
        <v>175</v>
      </c>
      <c r="H184">
        <f t="shared" si="120"/>
        <v>13.125</v>
      </c>
      <c r="I184" s="406">
        <f t="shared" si="136"/>
        <v>0.51023472694222716</v>
      </c>
      <c r="J184" s="407">
        <f t="shared" si="121"/>
        <v>2.186720258323831</v>
      </c>
      <c r="K184" s="407">
        <f t="shared" si="132"/>
        <v>14.218360129161915</v>
      </c>
      <c r="L184" s="407">
        <f t="shared" si="137"/>
        <v>12.031639870838085</v>
      </c>
      <c r="M184" s="63">
        <f t="shared" si="122"/>
        <v>0</v>
      </c>
      <c r="N184" s="406">
        <f t="shared" si="138"/>
        <v>13.140171376001163</v>
      </c>
      <c r="O184" s="406">
        <f t="shared" si="139"/>
        <v>1.129604886084927</v>
      </c>
      <c r="P184">
        <f t="shared" si="123"/>
        <v>0.2</v>
      </c>
      <c r="Q184" s="406">
        <f t="shared" si="133"/>
        <v>1.329604886084927</v>
      </c>
      <c r="R184" s="9">
        <f t="shared" si="140"/>
        <v>0.63125176489283596</v>
      </c>
      <c r="S184" s="9">
        <f t="shared" si="141"/>
        <v>3.9847879068032028E-4</v>
      </c>
      <c r="T184" s="9">
        <f t="shared" si="142"/>
        <v>3.9847879068032028E-4</v>
      </c>
      <c r="U184" s="406">
        <f t="shared" si="143"/>
        <v>9.3861185721448308</v>
      </c>
      <c r="V184" s="408">
        <f t="shared" si="144"/>
        <v>0.17619844370072424</v>
      </c>
      <c r="W184" s="406">
        <f t="shared" si="145"/>
        <v>0.17619844370072424</v>
      </c>
      <c r="X184" s="406">
        <f t="shared" si="146"/>
        <v>9.3861185721448308</v>
      </c>
      <c r="Y184" s="406">
        <f t="shared" si="147"/>
        <v>4.5811595362188298</v>
      </c>
      <c r="Z184" s="406">
        <f t="shared" si="124"/>
        <v>1.7674152824808953</v>
      </c>
      <c r="AA184" s="406">
        <f t="shared" si="125"/>
        <v>0.37132800000000021</v>
      </c>
      <c r="AB184" s="406">
        <f t="shared" si="126"/>
        <v>0</v>
      </c>
      <c r="AC184" s="406">
        <f t="shared" si="148"/>
        <v>-855.48300555297249</v>
      </c>
      <c r="AD184" s="406">
        <f t="shared" si="149"/>
        <v>9.1959165905481211</v>
      </c>
      <c r="AE184" s="406">
        <f t="shared" si="150"/>
        <v>0.84564881940318171</v>
      </c>
      <c r="AF184" s="406">
        <f t="shared" si="127"/>
        <v>0.70874999999999999</v>
      </c>
      <c r="AG184" s="406">
        <f t="shared" si="151"/>
        <v>1.7976242284456856</v>
      </c>
      <c r="AH184" s="406">
        <f t="shared" si="152"/>
        <v>0</v>
      </c>
      <c r="AI184">
        <f t="shared" si="128"/>
        <v>0</v>
      </c>
      <c r="AJ184" s="407">
        <f t="shared" si="129"/>
        <v>2.365875</v>
      </c>
      <c r="AK184">
        <f t="shared" si="134"/>
        <v>9.6000000000000002E-2</v>
      </c>
      <c r="AL184" s="407">
        <f t="shared" si="130"/>
        <v>0.1215</v>
      </c>
      <c r="AM184" s="407">
        <f t="shared" si="135"/>
        <v>0.70770810810810814</v>
      </c>
      <c r="AN184" s="407">
        <f t="shared" si="153"/>
        <v>0.2175</v>
      </c>
      <c r="AO184" s="407">
        <f t="shared" si="154"/>
        <v>-849.59580451595059</v>
      </c>
      <c r="AP184">
        <f t="shared" si="131"/>
        <v>315</v>
      </c>
      <c r="AQ184" s="10">
        <f t="shared" si="155"/>
        <v>-0.58923021344175441</v>
      </c>
      <c r="AR184" s="63">
        <f t="shared" si="156"/>
        <v>-47051.565305413489</v>
      </c>
      <c r="AS184" s="63">
        <f t="shared" si="157"/>
        <v>71.904969137827422</v>
      </c>
      <c r="AT184" s="10"/>
      <c r="AU184">
        <f t="shared" si="158"/>
        <v>-58.923021344175439</v>
      </c>
    </row>
    <row r="185" spans="7:47" x14ac:dyDescent="0.2">
      <c r="G185">
        <v>176</v>
      </c>
      <c r="H185">
        <f t="shared" si="120"/>
        <v>13.2</v>
      </c>
      <c r="I185" s="406">
        <f t="shared" si="136"/>
        <v>0.51029389448125861</v>
      </c>
      <c r="J185" s="407">
        <f t="shared" si="121"/>
        <v>2.1869738334911082</v>
      </c>
      <c r="K185" s="407">
        <f t="shared" si="132"/>
        <v>14.293486916745554</v>
      </c>
      <c r="L185" s="407">
        <f t="shared" si="137"/>
        <v>12.106513083254445</v>
      </c>
      <c r="M185" s="63">
        <f t="shared" si="122"/>
        <v>0</v>
      </c>
      <c r="N185" s="406">
        <f t="shared" si="138"/>
        <v>13.215088770506407</v>
      </c>
      <c r="O185" s="406">
        <f t="shared" si="139"/>
        <v>1.1437041602863707</v>
      </c>
      <c r="P185">
        <f t="shared" si="123"/>
        <v>0.2</v>
      </c>
      <c r="Q185" s="406">
        <f t="shared" si="133"/>
        <v>1.3437041602863706</v>
      </c>
      <c r="R185" s="9">
        <f t="shared" si="140"/>
        <v>0.6313249657383796</v>
      </c>
      <c r="S185" s="9">
        <f t="shared" si="141"/>
        <v>3.9857121236456616E-4</v>
      </c>
      <c r="T185" s="9">
        <f t="shared" si="142"/>
        <v>3.9857121236456616E-4</v>
      </c>
      <c r="U185" s="406">
        <f t="shared" si="143"/>
        <v>9.4401799045675023</v>
      </c>
      <c r="V185" s="408">
        <f t="shared" si="144"/>
        <v>0.17823399326120021</v>
      </c>
      <c r="W185" s="406">
        <f t="shared" si="145"/>
        <v>0.17823399326120021</v>
      </c>
      <c r="X185" s="406">
        <f t="shared" si="146"/>
        <v>9.4401799045675023</v>
      </c>
      <c r="Y185" s="406">
        <f t="shared" si="147"/>
        <v>4.6340838247912046</v>
      </c>
      <c r="Z185" s="406">
        <f t="shared" si="124"/>
        <v>1.7778755032938127</v>
      </c>
      <c r="AA185" s="406">
        <f t="shared" si="125"/>
        <v>0.37132800000000021</v>
      </c>
      <c r="AB185" s="406">
        <f t="shared" si="126"/>
        <v>0</v>
      </c>
      <c r="AC185" s="406">
        <f t="shared" si="148"/>
        <v>-347.88869377407684</v>
      </c>
      <c r="AD185" s="406">
        <f t="shared" si="149"/>
        <v>9.2477875506395808</v>
      </c>
      <c r="AE185" s="406">
        <f t="shared" si="150"/>
        <v>0.85521574581764415</v>
      </c>
      <c r="AF185" s="406">
        <f t="shared" si="127"/>
        <v>0.71279999999999999</v>
      </c>
      <c r="AG185" s="406">
        <f t="shared" si="151"/>
        <v>1.8165876427333789</v>
      </c>
      <c r="AH185" s="406">
        <f t="shared" si="152"/>
        <v>0</v>
      </c>
      <c r="AI185">
        <f t="shared" si="128"/>
        <v>0</v>
      </c>
      <c r="AJ185" s="407">
        <f t="shared" si="129"/>
        <v>2.3656799999999998</v>
      </c>
      <c r="AK185">
        <f t="shared" si="134"/>
        <v>9.6000000000000002E-2</v>
      </c>
      <c r="AL185" s="407">
        <f t="shared" si="130"/>
        <v>0.1215</v>
      </c>
      <c r="AM185" s="407">
        <f t="shared" si="135"/>
        <v>0.70770810810810814</v>
      </c>
      <c r="AN185" s="407">
        <f t="shared" si="153"/>
        <v>0.2175</v>
      </c>
      <c r="AO185" s="407">
        <f t="shared" si="154"/>
        <v>-341.96658940658352</v>
      </c>
      <c r="AP185">
        <f t="shared" si="131"/>
        <v>316.79999999999995</v>
      </c>
      <c r="AQ185" s="10">
        <f t="shared" si="155"/>
        <v>-12.588118114929202</v>
      </c>
      <c r="AR185" s="63">
        <f t="shared" si="156"/>
        <v>-19133.878157574225</v>
      </c>
      <c r="AS185" s="63">
        <f t="shared" si="157"/>
        <v>72.663505709335155</v>
      </c>
      <c r="AT185" s="10"/>
      <c r="AU185">
        <f t="shared" si="158"/>
        <v>-1258.8118114929202</v>
      </c>
    </row>
    <row r="186" spans="7:47" x14ac:dyDescent="0.2">
      <c r="G186">
        <v>177</v>
      </c>
      <c r="H186">
        <f t="shared" si="120"/>
        <v>13.275</v>
      </c>
      <c r="I186" s="406">
        <f t="shared" si="136"/>
        <v>0.51035306987729345</v>
      </c>
      <c r="J186" s="407">
        <f t="shared" si="121"/>
        <v>2.1872274423312574</v>
      </c>
      <c r="K186" s="407">
        <f t="shared" si="132"/>
        <v>14.368613721165628</v>
      </c>
      <c r="L186" s="407">
        <f t="shared" si="137"/>
        <v>12.181386278834372</v>
      </c>
      <c r="M186" s="63">
        <f t="shared" si="122"/>
        <v>0</v>
      </c>
      <c r="N186" s="406">
        <f t="shared" si="138"/>
        <v>13.290007097704672</v>
      </c>
      <c r="O186" s="406">
        <f t="shared" si="139"/>
        <v>1.1579132193123005</v>
      </c>
      <c r="P186">
        <f t="shared" si="123"/>
        <v>0.2</v>
      </c>
      <c r="Q186" s="406">
        <f t="shared" si="133"/>
        <v>1.3579132193123005</v>
      </c>
      <c r="R186" s="9">
        <f t="shared" si="140"/>
        <v>0.63139817630444406</v>
      </c>
      <c r="S186" s="9">
        <f t="shared" si="141"/>
        <v>3.9866365704057782E-4</v>
      </c>
      <c r="T186" s="9">
        <f t="shared" si="142"/>
        <v>3.9866365704057782E-4</v>
      </c>
      <c r="U186" s="406">
        <f t="shared" si="143"/>
        <v>9.4942481498544105</v>
      </c>
      <c r="V186" s="408">
        <f t="shared" si="144"/>
        <v>0.1802814958620278</v>
      </c>
      <c r="W186" s="406">
        <f t="shared" si="145"/>
        <v>0.1802814958620278</v>
      </c>
      <c r="X186" s="406">
        <f t="shared" si="146"/>
        <v>9.4942481498544105</v>
      </c>
      <c r="Y186" s="406">
        <f t="shared" si="147"/>
        <v>4.6873188924127218</v>
      </c>
      <c r="Z186" s="406">
        <f t="shared" si="124"/>
        <v>1.788335723114572</v>
      </c>
      <c r="AA186" s="406">
        <f t="shared" si="125"/>
        <v>0.37132800000000021</v>
      </c>
      <c r="AB186" s="406">
        <f t="shared" si="126"/>
        <v>0</v>
      </c>
      <c r="AC186" s="406">
        <f t="shared" si="148"/>
        <v>-219.38315665437813</v>
      </c>
      <c r="AD186" s="406">
        <f t="shared" si="149"/>
        <v>9.2996527207217099</v>
      </c>
      <c r="AE186" s="406">
        <f t="shared" si="150"/>
        <v>0.86483540726026709</v>
      </c>
      <c r="AF186" s="406">
        <f t="shared" si="127"/>
        <v>0.71684999999999999</v>
      </c>
      <c r="AG186" s="406">
        <f t="shared" si="151"/>
        <v>1.8356976142761401</v>
      </c>
      <c r="AH186" s="406">
        <f t="shared" si="152"/>
        <v>0</v>
      </c>
      <c r="AI186">
        <f t="shared" si="128"/>
        <v>0</v>
      </c>
      <c r="AJ186" s="407">
        <f t="shared" si="129"/>
        <v>2.3654849999999996</v>
      </c>
      <c r="AK186">
        <f t="shared" si="134"/>
        <v>9.6000000000000002E-2</v>
      </c>
      <c r="AL186" s="407">
        <f t="shared" si="130"/>
        <v>0.1215</v>
      </c>
      <c r="AM186" s="407">
        <f t="shared" si="135"/>
        <v>0.70770810810810814</v>
      </c>
      <c r="AN186" s="407">
        <f t="shared" si="153"/>
        <v>0.2175</v>
      </c>
      <c r="AO186" s="407">
        <f t="shared" si="154"/>
        <v>-213.42588066127061</v>
      </c>
      <c r="AP186">
        <f t="shared" si="131"/>
        <v>318.60000000000002</v>
      </c>
      <c r="AQ186" s="10">
        <f t="shared" si="155"/>
        <v>3.0292623508821572</v>
      </c>
      <c r="AR186" s="63">
        <f t="shared" si="156"/>
        <v>-12066.073615990797</v>
      </c>
      <c r="AS186" s="63">
        <f t="shared" si="157"/>
        <v>73.427904571045602</v>
      </c>
      <c r="AT186" s="10"/>
      <c r="AU186">
        <f t="shared" si="158"/>
        <v>302.92623508821572</v>
      </c>
    </row>
    <row r="187" spans="7:47" x14ac:dyDescent="0.2">
      <c r="G187">
        <v>178</v>
      </c>
      <c r="H187">
        <f t="shared" si="120"/>
        <v>13.35</v>
      </c>
      <c r="I187" s="406">
        <f t="shared" si="136"/>
        <v>0.51041225313189709</v>
      </c>
      <c r="J187" s="407">
        <f t="shared" si="121"/>
        <v>2.1874810848509876</v>
      </c>
      <c r="K187" s="407">
        <f t="shared" si="132"/>
        <v>14.443740542425493</v>
      </c>
      <c r="L187" s="407">
        <f t="shared" si="137"/>
        <v>12.256259457574506</v>
      </c>
      <c r="M187" s="63">
        <f t="shared" si="122"/>
        <v>0</v>
      </c>
      <c r="N187" s="406">
        <f t="shared" si="138"/>
        <v>13.364926341911319</v>
      </c>
      <c r="O187" s="406">
        <f t="shared" si="139"/>
        <v>1.1722326582981968</v>
      </c>
      <c r="P187">
        <f t="shared" si="123"/>
        <v>0.2</v>
      </c>
      <c r="Q187" s="406">
        <f t="shared" si="133"/>
        <v>1.3722326582981967</v>
      </c>
      <c r="R187" s="9">
        <f t="shared" si="140"/>
        <v>0.63147139659296614</v>
      </c>
      <c r="S187" s="9">
        <f t="shared" si="141"/>
        <v>3.9875612471507112E-4</v>
      </c>
      <c r="T187" s="9">
        <f t="shared" si="142"/>
        <v>3.9875612471507112E-4</v>
      </c>
      <c r="U187" s="406">
        <f t="shared" si="143"/>
        <v>9.5483232976196142</v>
      </c>
      <c r="V187" s="408">
        <f t="shared" si="144"/>
        <v>0.18234095559173102</v>
      </c>
      <c r="W187" s="406">
        <f t="shared" si="145"/>
        <v>0.18234095559173102</v>
      </c>
      <c r="X187" s="406">
        <f t="shared" si="146"/>
        <v>9.5483232976196142</v>
      </c>
      <c r="Y187" s="406">
        <f t="shared" si="147"/>
        <v>4.7408648453850066</v>
      </c>
      <c r="Z187" s="406">
        <f t="shared" si="124"/>
        <v>1.7987959419429751</v>
      </c>
      <c r="AA187" s="406">
        <f t="shared" si="125"/>
        <v>0.37132800000000021</v>
      </c>
      <c r="AB187" s="406">
        <f t="shared" si="126"/>
        <v>0</v>
      </c>
      <c r="AC187" s="406">
        <f t="shared" si="148"/>
        <v>-160.75706044217847</v>
      </c>
      <c r="AD187" s="406">
        <f t="shared" si="149"/>
        <v>9.351512087831015</v>
      </c>
      <c r="AE187" s="406">
        <f t="shared" si="150"/>
        <v>0.87450778328849599</v>
      </c>
      <c r="AF187" s="406">
        <f t="shared" si="127"/>
        <v>0.72089999999999999</v>
      </c>
      <c r="AG187" s="406">
        <f t="shared" si="151"/>
        <v>1.8549554614838815</v>
      </c>
      <c r="AH187" s="406">
        <f t="shared" si="152"/>
        <v>0</v>
      </c>
      <c r="AI187">
        <f t="shared" si="128"/>
        <v>0</v>
      </c>
      <c r="AJ187" s="407">
        <f t="shared" si="129"/>
        <v>2.3652899999999999</v>
      </c>
      <c r="AK187">
        <f t="shared" si="134"/>
        <v>9.6000000000000002E-2</v>
      </c>
      <c r="AL187" s="407">
        <f t="shared" si="130"/>
        <v>0.1215</v>
      </c>
      <c r="AM187" s="407">
        <f t="shared" si="135"/>
        <v>0.70770810810810814</v>
      </c>
      <c r="AN187" s="407">
        <f t="shared" si="153"/>
        <v>0.2175</v>
      </c>
      <c r="AO187" s="407">
        <f t="shared" si="154"/>
        <v>-154.76434261067996</v>
      </c>
      <c r="AP187">
        <f t="shared" si="131"/>
        <v>320.39999999999998</v>
      </c>
      <c r="AQ187" s="10">
        <f t="shared" si="155"/>
        <v>1.9343660963467095</v>
      </c>
      <c r="AR187" s="63">
        <f t="shared" si="156"/>
        <v>-8841.6383243198161</v>
      </c>
      <c r="AS187" s="63">
        <f t="shared" si="157"/>
        <v>74.19821845935526</v>
      </c>
      <c r="AT187" s="10"/>
      <c r="AU187">
        <f t="shared" si="158"/>
        <v>193.43660963467096</v>
      </c>
    </row>
    <row r="188" spans="7:47" x14ac:dyDescent="0.2">
      <c r="G188">
        <v>179</v>
      </c>
      <c r="H188">
        <f t="shared" si="120"/>
        <v>13.425000000000001</v>
      </c>
      <c r="I188" s="406">
        <f t="shared" si="136"/>
        <v>0.5104714442466346</v>
      </c>
      <c r="J188" s="407">
        <f t="shared" si="121"/>
        <v>2.1877347610570057</v>
      </c>
      <c r="K188" s="407">
        <f t="shared" si="132"/>
        <v>14.518867380528503</v>
      </c>
      <c r="L188" s="407">
        <f t="shared" si="137"/>
        <v>12.331132619471498</v>
      </c>
      <c r="M188" s="63">
        <f t="shared" si="122"/>
        <v>0</v>
      </c>
      <c r="N188" s="406">
        <f t="shared" si="138"/>
        <v>13.43984648779125</v>
      </c>
      <c r="O188" s="406">
        <f t="shared" si="139"/>
        <v>1.1866630787868095</v>
      </c>
      <c r="P188">
        <f t="shared" si="123"/>
        <v>0.2</v>
      </c>
      <c r="Q188" s="406">
        <f t="shared" si="133"/>
        <v>1.3866630787868095</v>
      </c>
      <c r="R188" s="9">
        <f t="shared" si="140"/>
        <v>0.63154462660588195</v>
      </c>
      <c r="S188" s="9">
        <f t="shared" si="141"/>
        <v>3.9884861539476286E-4</v>
      </c>
      <c r="T188" s="9">
        <f t="shared" si="142"/>
        <v>3.9884861539476286E-4</v>
      </c>
      <c r="U188" s="406">
        <f t="shared" si="143"/>
        <v>9.6024053377245</v>
      </c>
      <c r="V188" s="408">
        <f t="shared" si="144"/>
        <v>0.18441237653991993</v>
      </c>
      <c r="W188" s="406">
        <f t="shared" si="145"/>
        <v>0.18441237653991993</v>
      </c>
      <c r="X188" s="406">
        <f t="shared" si="146"/>
        <v>9.6024053377245</v>
      </c>
      <c r="Y188" s="406">
        <f t="shared" si="147"/>
        <v>4.7947217900379178</v>
      </c>
      <c r="Z188" s="406">
        <f t="shared" si="124"/>
        <v>1.8092561597788253</v>
      </c>
      <c r="AA188" s="406">
        <f t="shared" si="125"/>
        <v>0.37132800000000021</v>
      </c>
      <c r="AB188" s="406">
        <f t="shared" si="126"/>
        <v>0</v>
      </c>
      <c r="AC188" s="406">
        <f t="shared" si="148"/>
        <v>-127.19656041660937</v>
      </c>
      <c r="AD188" s="406">
        <f t="shared" si="149"/>
        <v>9.4033656392503868</v>
      </c>
      <c r="AE188" s="406">
        <f t="shared" si="150"/>
        <v>0.88423285345434832</v>
      </c>
      <c r="AF188" s="406">
        <f t="shared" si="127"/>
        <v>0.72494999999999998</v>
      </c>
      <c r="AG188" s="406">
        <f t="shared" si="151"/>
        <v>1.8743625206629357</v>
      </c>
      <c r="AH188" s="406">
        <f t="shared" si="152"/>
        <v>0</v>
      </c>
      <c r="AI188">
        <f t="shared" si="128"/>
        <v>0</v>
      </c>
      <c r="AJ188" s="407">
        <f t="shared" si="129"/>
        <v>2.3650950000000002</v>
      </c>
      <c r="AK188">
        <f t="shared" si="134"/>
        <v>9.6000000000000002E-2</v>
      </c>
      <c r="AL188" s="407">
        <f t="shared" si="130"/>
        <v>0.1215</v>
      </c>
      <c r="AM188" s="407">
        <f t="shared" si="135"/>
        <v>0.70770810810810814</v>
      </c>
      <c r="AN188" s="407">
        <f t="shared" si="153"/>
        <v>0.2175</v>
      </c>
      <c r="AO188" s="407">
        <f t="shared" si="154"/>
        <v>-121.16812859200431</v>
      </c>
      <c r="AP188">
        <f t="shared" si="131"/>
        <v>322.20000000000005</v>
      </c>
      <c r="AQ188" s="10">
        <f t="shared" si="155"/>
        <v>1.602730938847466</v>
      </c>
      <c r="AR188" s="63">
        <f t="shared" si="156"/>
        <v>-6995.8108229135159</v>
      </c>
      <c r="AS188" s="63">
        <f t="shared" si="157"/>
        <v>74.974500826517428</v>
      </c>
      <c r="AT188" s="10"/>
      <c r="AU188">
        <f t="shared" si="158"/>
        <v>160.2730938847466</v>
      </c>
    </row>
    <row r="189" spans="7:47" x14ac:dyDescent="0.2">
      <c r="G189">
        <v>180</v>
      </c>
      <c r="H189">
        <f t="shared" si="120"/>
        <v>13.5</v>
      </c>
      <c r="I189" s="406">
        <f t="shared" si="136"/>
        <v>0.51053064322307262</v>
      </c>
      <c r="J189" s="407">
        <f t="shared" si="121"/>
        <v>2.1879884709560256</v>
      </c>
      <c r="K189" s="407">
        <f t="shared" si="132"/>
        <v>14.593994235478013</v>
      </c>
      <c r="L189" s="407">
        <f t="shared" si="137"/>
        <v>12.406005764521987</v>
      </c>
      <c r="M189" s="63">
        <f t="shared" si="122"/>
        <v>0</v>
      </c>
      <c r="N189" s="406">
        <f t="shared" si="138"/>
        <v>13.514767520349226</v>
      </c>
      <c r="O189" s="406">
        <f t="shared" si="139"/>
        <v>1.2012050887974235</v>
      </c>
      <c r="P189">
        <f t="shared" si="123"/>
        <v>0.2</v>
      </c>
      <c r="Q189" s="406">
        <f t="shared" si="133"/>
        <v>1.4012050887974234</v>
      </c>
      <c r="R189" s="9">
        <f t="shared" si="140"/>
        <v>0.63161786634512951</v>
      </c>
      <c r="S189" s="9">
        <f t="shared" si="141"/>
        <v>3.9894112908637385E-4</v>
      </c>
      <c r="T189" s="9">
        <f t="shared" si="142"/>
        <v>3.9894112908637385E-4</v>
      </c>
      <c r="U189" s="406">
        <f t="shared" si="143"/>
        <v>9.6564942602709376</v>
      </c>
      <c r="V189" s="408">
        <f t="shared" si="144"/>
        <v>0.18649576279729113</v>
      </c>
      <c r="W189" s="406">
        <f t="shared" si="145"/>
        <v>0.18649576279729113</v>
      </c>
      <c r="X189" s="406">
        <f t="shared" si="146"/>
        <v>9.6564942602709376</v>
      </c>
      <c r="Y189" s="406">
        <f t="shared" si="147"/>
        <v>4.8488898327295686</v>
      </c>
      <c r="Z189" s="406">
        <f t="shared" si="124"/>
        <v>1.8197163766219233</v>
      </c>
      <c r="AA189" s="406">
        <f t="shared" si="125"/>
        <v>0.37132800000000021</v>
      </c>
      <c r="AB189" s="406">
        <f t="shared" si="126"/>
        <v>0</v>
      </c>
      <c r="AC189" s="406">
        <f t="shared" si="148"/>
        <v>-105.45807390751577</v>
      </c>
      <c r="AD189" s="406">
        <f t="shared" si="149"/>
        <v>9.4552133625022314</v>
      </c>
      <c r="AE189" s="406">
        <f t="shared" si="150"/>
        <v>0.89401059730440746</v>
      </c>
      <c r="AF189" s="406">
        <f t="shared" si="127"/>
        <v>0.72899999999999998</v>
      </c>
      <c r="AG189" s="406">
        <f t="shared" si="151"/>
        <v>1.8939201463033724</v>
      </c>
      <c r="AH189" s="406">
        <f t="shared" si="152"/>
        <v>0</v>
      </c>
      <c r="AI189">
        <f t="shared" si="128"/>
        <v>0</v>
      </c>
      <c r="AJ189" s="407">
        <f t="shared" si="129"/>
        <v>2.3649</v>
      </c>
      <c r="AK189">
        <f t="shared" si="134"/>
        <v>9.6000000000000002E-2</v>
      </c>
      <c r="AL189" s="407">
        <f t="shared" si="130"/>
        <v>0.1215</v>
      </c>
      <c r="AM189" s="407">
        <f t="shared" si="135"/>
        <v>0.70770810810810814</v>
      </c>
      <c r="AN189" s="407">
        <f t="shared" si="153"/>
        <v>0.2175</v>
      </c>
      <c r="AO189" s="407">
        <f t="shared" si="154"/>
        <v>-99.393653968488593</v>
      </c>
      <c r="AP189">
        <f t="shared" si="131"/>
        <v>324</v>
      </c>
      <c r="AQ189" s="10">
        <f t="shared" si="155"/>
        <v>1.4425238009728543</v>
      </c>
      <c r="AR189" s="63">
        <f t="shared" si="156"/>
        <v>-5800.1940649133676</v>
      </c>
      <c r="AS189" s="63">
        <f t="shared" si="157"/>
        <v>75.756805852134889</v>
      </c>
      <c r="AT189" s="10"/>
      <c r="AU189">
        <f t="shared" si="158"/>
        <v>144.25238009728542</v>
      </c>
    </row>
    <row r="190" spans="7:47" x14ac:dyDescent="0.2">
      <c r="G190">
        <v>181</v>
      </c>
      <c r="H190">
        <f t="shared" si="120"/>
        <v>13.575000000000001</v>
      </c>
      <c r="I190" s="406">
        <f t="shared" si="136"/>
        <v>0.51058985006277691</v>
      </c>
      <c r="J190" s="407">
        <f t="shared" si="121"/>
        <v>2.1882422145547582</v>
      </c>
      <c r="K190" s="407">
        <f t="shared" si="132"/>
        <v>14.66912110727738</v>
      </c>
      <c r="L190" s="407">
        <f t="shared" si="137"/>
        <v>12.480878892722622</v>
      </c>
      <c r="M190" s="63">
        <f t="shared" si="122"/>
        <v>0</v>
      </c>
      <c r="N190" s="406">
        <f t="shared" si="138"/>
        <v>13.58968942492052</v>
      </c>
      <c r="O190" s="406">
        <f t="shared" si="139"/>
        <v>1.2158593028961358</v>
      </c>
      <c r="P190">
        <f t="shared" si="123"/>
        <v>0.2</v>
      </c>
      <c r="Q190" s="406">
        <f t="shared" si="133"/>
        <v>1.4158593028961357</v>
      </c>
      <c r="R190" s="9">
        <f t="shared" si="140"/>
        <v>0.63169111581264625</v>
      </c>
      <c r="S190" s="9">
        <f t="shared" si="141"/>
        <v>3.9903366579662608E-4</v>
      </c>
      <c r="T190" s="9">
        <f t="shared" si="142"/>
        <v>3.9903366579662608E-4</v>
      </c>
      <c r="U190" s="406">
        <f t="shared" si="143"/>
        <v>9.7105900555946612</v>
      </c>
      <c r="V190" s="408">
        <f t="shared" si="144"/>
        <v>0.18859111845562784</v>
      </c>
      <c r="W190" s="406">
        <f t="shared" si="145"/>
        <v>0.18859111845562784</v>
      </c>
      <c r="X190" s="406">
        <f t="shared" si="146"/>
        <v>9.7105900555946612</v>
      </c>
      <c r="Y190" s="406">
        <f t="shared" si="147"/>
        <v>4.9033690798463239</v>
      </c>
      <c r="Z190" s="406">
        <f t="shared" si="124"/>
        <v>1.830176592472073</v>
      </c>
      <c r="AA190" s="406">
        <f t="shared" si="125"/>
        <v>0.37132800000000021</v>
      </c>
      <c r="AB190" s="406">
        <f t="shared" si="126"/>
        <v>0</v>
      </c>
      <c r="AC190" s="406">
        <f t="shared" si="148"/>
        <v>-90.230703772899872</v>
      </c>
      <c r="AD190" s="406">
        <f t="shared" si="149"/>
        <v>9.5070552453418866</v>
      </c>
      <c r="AE190" s="406">
        <f t="shared" si="150"/>
        <v>0.9038409943798269</v>
      </c>
      <c r="AF190" s="406">
        <f t="shared" si="127"/>
        <v>0.73305000000000009</v>
      </c>
      <c r="AG190" s="406">
        <f t="shared" si="151"/>
        <v>1.9136297113720317</v>
      </c>
      <c r="AH190" s="406">
        <f t="shared" si="152"/>
        <v>0</v>
      </c>
      <c r="AI190">
        <f t="shared" si="128"/>
        <v>0</v>
      </c>
      <c r="AJ190" s="407">
        <f t="shared" si="129"/>
        <v>2.3647049999999998</v>
      </c>
      <c r="AK190">
        <f t="shared" si="134"/>
        <v>9.6000000000000002E-2</v>
      </c>
      <c r="AL190" s="407">
        <f t="shared" si="130"/>
        <v>0.1215</v>
      </c>
      <c r="AM190" s="407">
        <f t="shared" si="135"/>
        <v>0.70770810810810814</v>
      </c>
      <c r="AN190" s="407">
        <f t="shared" si="153"/>
        <v>0.2175</v>
      </c>
      <c r="AO190" s="407">
        <f t="shared" si="154"/>
        <v>-84.130019606510274</v>
      </c>
      <c r="AP190">
        <f t="shared" si="131"/>
        <v>325.8</v>
      </c>
      <c r="AQ190" s="10">
        <f t="shared" si="155"/>
        <v>1.348119445656961</v>
      </c>
      <c r="AR190" s="63">
        <f t="shared" si="156"/>
        <v>-4962.6887075094928</v>
      </c>
      <c r="AS190" s="63">
        <f t="shared" si="157"/>
        <v>76.54518845488127</v>
      </c>
      <c r="AT190" s="10"/>
      <c r="AU190">
        <f t="shared" si="158"/>
        <v>134.81194456569611</v>
      </c>
    </row>
    <row r="191" spans="7:47" x14ac:dyDescent="0.2">
      <c r="G191">
        <v>182</v>
      </c>
      <c r="H191">
        <f t="shared" si="120"/>
        <v>13.65</v>
      </c>
      <c r="I191" s="406">
        <f t="shared" si="136"/>
        <v>0.51064906476731475</v>
      </c>
      <c r="J191" s="407">
        <f t="shared" si="121"/>
        <v>2.1884959918599205</v>
      </c>
      <c r="K191" s="407">
        <f t="shared" si="132"/>
        <v>14.74424799592996</v>
      </c>
      <c r="L191" s="407">
        <f t="shared" si="137"/>
        <v>12.55575200407004</v>
      </c>
      <c r="M191" s="63">
        <f t="shared" si="122"/>
        <v>0</v>
      </c>
      <c r="N191" s="406">
        <f t="shared" si="138"/>
        <v>13.664612187161854</v>
      </c>
      <c r="O191" s="406">
        <f t="shared" si="139"/>
        <v>1.2306263422671631</v>
      </c>
      <c r="P191">
        <f t="shared" si="123"/>
        <v>0.2</v>
      </c>
      <c r="Q191" s="406">
        <f t="shared" si="133"/>
        <v>1.430626342267163</v>
      </c>
      <c r="R191" s="9">
        <f t="shared" si="140"/>
        <v>0.63176437501037108</v>
      </c>
      <c r="S191" s="9">
        <f t="shared" si="141"/>
        <v>3.9912622553224482E-4</v>
      </c>
      <c r="T191" s="9">
        <f t="shared" si="142"/>
        <v>3.9912622553224482E-4</v>
      </c>
      <c r="U191" s="406">
        <f t="shared" si="143"/>
        <v>9.7646927142588655</v>
      </c>
      <c r="V191" s="408">
        <f t="shared" si="144"/>
        <v>0.19069844760780036</v>
      </c>
      <c r="W191" s="406">
        <f t="shared" si="145"/>
        <v>0.19069844760780036</v>
      </c>
      <c r="X191" s="406">
        <f t="shared" si="146"/>
        <v>9.7646927142588655</v>
      </c>
      <c r="Y191" s="406">
        <f t="shared" si="147"/>
        <v>4.958159637802809</v>
      </c>
      <c r="Z191" s="406">
        <f t="shared" si="124"/>
        <v>1.8406368073290751</v>
      </c>
      <c r="AA191" s="406">
        <f t="shared" si="125"/>
        <v>0.37132800000000021</v>
      </c>
      <c r="AB191" s="406">
        <f t="shared" si="126"/>
        <v>0</v>
      </c>
      <c r="AC191" s="406">
        <f t="shared" si="148"/>
        <v>-78.970372197629629</v>
      </c>
      <c r="AD191" s="406">
        <f t="shared" si="149"/>
        <v>9.5588912757511846</v>
      </c>
      <c r="AE191" s="406">
        <f t="shared" si="150"/>
        <v>0.91372402421632104</v>
      </c>
      <c r="AF191" s="406">
        <f t="shared" si="127"/>
        <v>0.73709999999999998</v>
      </c>
      <c r="AG191" s="406">
        <f t="shared" si="151"/>
        <v>1.9334926076113912</v>
      </c>
      <c r="AH191" s="406">
        <f t="shared" si="152"/>
        <v>0</v>
      </c>
      <c r="AI191">
        <f t="shared" si="128"/>
        <v>0</v>
      </c>
      <c r="AJ191" s="407">
        <f t="shared" si="129"/>
        <v>2.3645099999999997</v>
      </c>
      <c r="AK191">
        <f t="shared" si="134"/>
        <v>9.6000000000000002E-2</v>
      </c>
      <c r="AL191" s="407">
        <f t="shared" si="130"/>
        <v>0.1215</v>
      </c>
      <c r="AM191" s="407">
        <f t="shared" si="135"/>
        <v>0.70770810810810814</v>
      </c>
      <c r="AN191" s="407">
        <f t="shared" si="153"/>
        <v>0.2175</v>
      </c>
      <c r="AO191" s="407">
        <f t="shared" si="154"/>
        <v>-72.833145673917755</v>
      </c>
      <c r="AP191">
        <f t="shared" si="131"/>
        <v>327.60000000000002</v>
      </c>
      <c r="AQ191" s="10">
        <f t="shared" si="155"/>
        <v>1.2858815596973099</v>
      </c>
      <c r="AR191" s="63">
        <f t="shared" si="156"/>
        <v>-4343.3704708696296</v>
      </c>
      <c r="AS191" s="63">
        <f t="shared" si="157"/>
        <v>77.339704304455651</v>
      </c>
      <c r="AT191" s="10"/>
      <c r="AU191">
        <f t="shared" si="158"/>
        <v>128.58815596973099</v>
      </c>
    </row>
    <row r="192" spans="7:47" x14ac:dyDescent="0.2">
      <c r="G192">
        <v>183</v>
      </c>
      <c r="H192">
        <f t="shared" si="120"/>
        <v>13.725000000000001</v>
      </c>
      <c r="I192" s="406">
        <f t="shared" si="136"/>
        <v>0.51070828733825291</v>
      </c>
      <c r="J192" s="407">
        <f t="shared" si="121"/>
        <v>2.1887498028782271</v>
      </c>
      <c r="K192" s="407">
        <f t="shared" si="132"/>
        <v>14.819374901439115</v>
      </c>
      <c r="L192" s="407">
        <f t="shared" si="137"/>
        <v>12.630625098560888</v>
      </c>
      <c r="M192" s="63">
        <f t="shared" si="122"/>
        <v>0</v>
      </c>
      <c r="N192" s="406">
        <f t="shared" si="138"/>
        <v>13.739535793042645</v>
      </c>
      <c r="O192" s="406">
        <f t="shared" si="139"/>
        <v>1.2455068347851979</v>
      </c>
      <c r="P192">
        <f t="shared" si="123"/>
        <v>0.2</v>
      </c>
      <c r="Q192" s="406">
        <f t="shared" si="133"/>
        <v>1.4455068347851978</v>
      </c>
      <c r="R192" s="9">
        <f t="shared" si="140"/>
        <v>0.63183764394024244</v>
      </c>
      <c r="S192" s="9">
        <f t="shared" si="141"/>
        <v>3.992188082999566E-4</v>
      </c>
      <c r="T192" s="9">
        <f t="shared" si="142"/>
        <v>3.992188082999566E-4</v>
      </c>
      <c r="U192" s="406">
        <f t="shared" si="143"/>
        <v>9.8188022270480175</v>
      </c>
      <c r="V192" s="408">
        <f t="shared" si="144"/>
        <v>0.19281775434776624</v>
      </c>
      <c r="W192" s="406">
        <f t="shared" si="145"/>
        <v>0.19281775434776624</v>
      </c>
      <c r="X192" s="406">
        <f t="shared" si="146"/>
        <v>9.8188022270480175</v>
      </c>
      <c r="Y192" s="406">
        <f t="shared" si="147"/>
        <v>5.0132616130419212</v>
      </c>
      <c r="Z192" s="406">
        <f t="shared" si="124"/>
        <v>1.8510970211927327</v>
      </c>
      <c r="AA192" s="406">
        <f t="shared" si="125"/>
        <v>0.37132800000000021</v>
      </c>
      <c r="AB192" s="406">
        <f t="shared" si="126"/>
        <v>0</v>
      </c>
      <c r="AC192" s="406">
        <f t="shared" si="148"/>
        <v>-70.305660131831118</v>
      </c>
      <c r="AD192" s="406">
        <f t="shared" si="149"/>
        <v>9.6107214419322808</v>
      </c>
      <c r="AE192" s="406">
        <f t="shared" si="150"/>
        <v>0.92365966634416896</v>
      </c>
      <c r="AF192" s="406">
        <f t="shared" si="127"/>
        <v>0.74115000000000009</v>
      </c>
      <c r="AG192" s="406">
        <f t="shared" si="151"/>
        <v>1.9535102458444209</v>
      </c>
      <c r="AH192" s="406">
        <f t="shared" si="152"/>
        <v>0</v>
      </c>
      <c r="AI192">
        <f t="shared" si="128"/>
        <v>0</v>
      </c>
      <c r="AJ192" s="407">
        <f t="shared" si="129"/>
        <v>2.3643149999999995</v>
      </c>
      <c r="AK192">
        <f t="shared" si="134"/>
        <v>9.6000000000000002E-2</v>
      </c>
      <c r="AL192" s="407">
        <f t="shared" si="130"/>
        <v>0.1215</v>
      </c>
      <c r="AM192" s="407">
        <f t="shared" si="135"/>
        <v>0.70770810810810814</v>
      </c>
      <c r="AN192" s="407">
        <f t="shared" si="153"/>
        <v>0.2175</v>
      </c>
      <c r="AO192" s="407">
        <f t="shared" si="154"/>
        <v>-64.131611078045424</v>
      </c>
      <c r="AP192">
        <f t="shared" si="131"/>
        <v>329.40000000000003</v>
      </c>
      <c r="AQ192" s="10">
        <f t="shared" si="155"/>
        <v>1.241761226577637</v>
      </c>
      <c r="AR192" s="63">
        <f t="shared" si="156"/>
        <v>-3866.8113072507117</v>
      </c>
      <c r="AS192" s="63">
        <f t="shared" si="157"/>
        <v>78.140409833776829</v>
      </c>
      <c r="AT192" s="10"/>
      <c r="AU192">
        <f t="shared" si="158"/>
        <v>124.1761226577637</v>
      </c>
    </row>
    <row r="193" spans="7:47" x14ac:dyDescent="0.2">
      <c r="G193">
        <v>184</v>
      </c>
      <c r="H193">
        <f t="shared" si="120"/>
        <v>13.8</v>
      </c>
      <c r="I193" s="406">
        <f t="shared" si="136"/>
        <v>0.51076751777715923</v>
      </c>
      <c r="J193" s="407">
        <f t="shared" si="121"/>
        <v>2.1890036476163965</v>
      </c>
      <c r="K193" s="407">
        <f t="shared" si="132"/>
        <v>14.894501823808199</v>
      </c>
      <c r="L193" s="407">
        <f t="shared" si="137"/>
        <v>12.705498176191803</v>
      </c>
      <c r="M193" s="63">
        <f t="shared" si="122"/>
        <v>0</v>
      </c>
      <c r="N193" s="406">
        <f t="shared" si="138"/>
        <v>13.814460228836539</v>
      </c>
      <c r="O193" s="406">
        <f t="shared" si="139"/>
        <v>1.2605014150888274</v>
      </c>
      <c r="P193">
        <f t="shared" si="123"/>
        <v>0.2</v>
      </c>
      <c r="Q193" s="406">
        <f t="shared" si="133"/>
        <v>1.4605014150888274</v>
      </c>
      <c r="R193" s="9">
        <f t="shared" si="140"/>
        <v>0.63191092260419968</v>
      </c>
      <c r="S193" s="9">
        <f t="shared" si="141"/>
        <v>3.9931141410649086E-4</v>
      </c>
      <c r="T193" s="9">
        <f t="shared" si="142"/>
        <v>3.9931141410649086E-4</v>
      </c>
      <c r="U193" s="406">
        <f t="shared" si="143"/>
        <v>9.8729185849618695</v>
      </c>
      <c r="V193" s="408">
        <f t="shared" si="144"/>
        <v>0.19494904277057098</v>
      </c>
      <c r="W193" s="406">
        <f t="shared" si="145"/>
        <v>0.19494904277057098</v>
      </c>
      <c r="X193" s="406">
        <f t="shared" si="146"/>
        <v>9.8729185849618695</v>
      </c>
      <c r="Y193" s="406">
        <f t="shared" si="147"/>
        <v>5.0686751120348452</v>
      </c>
      <c r="Z193" s="406">
        <f t="shared" si="124"/>
        <v>1.8615572340628475</v>
      </c>
      <c r="AA193" s="406">
        <f t="shared" si="125"/>
        <v>0.37132800000000021</v>
      </c>
      <c r="AB193" s="406">
        <f t="shared" si="126"/>
        <v>0</v>
      </c>
      <c r="AC193" s="406">
        <f t="shared" si="148"/>
        <v>-63.431968817660852</v>
      </c>
      <c r="AD193" s="406">
        <f t="shared" si="149"/>
        <v>9.662545732301659</v>
      </c>
      <c r="AE193" s="406">
        <f t="shared" si="150"/>
        <v>0.9336479002882101</v>
      </c>
      <c r="AF193" s="406">
        <f t="shared" si="127"/>
        <v>0.74520000000000008</v>
      </c>
      <c r="AG193" s="406">
        <f t="shared" si="151"/>
        <v>1.97368405628554</v>
      </c>
      <c r="AH193" s="406">
        <f t="shared" si="152"/>
        <v>0</v>
      </c>
      <c r="AI193">
        <f t="shared" si="128"/>
        <v>0</v>
      </c>
      <c r="AJ193" s="407">
        <f t="shared" si="129"/>
        <v>2.3641199999999998</v>
      </c>
      <c r="AK193">
        <f t="shared" si="134"/>
        <v>9.6000000000000002E-2</v>
      </c>
      <c r="AL193" s="407">
        <f t="shared" si="130"/>
        <v>0.1215</v>
      </c>
      <c r="AM193" s="407">
        <f t="shared" si="135"/>
        <v>0.70770810810810814</v>
      </c>
      <c r="AN193" s="407">
        <f t="shared" si="153"/>
        <v>0.2175</v>
      </c>
      <c r="AO193" s="407">
        <f t="shared" si="154"/>
        <v>-57.220814992101808</v>
      </c>
      <c r="AP193">
        <f t="shared" si="131"/>
        <v>331.20000000000005</v>
      </c>
      <c r="AQ193" s="10">
        <f t="shared" si="155"/>
        <v>1.2088509570186956</v>
      </c>
      <c r="AR193" s="63">
        <f t="shared" si="156"/>
        <v>-3488.7582849713467</v>
      </c>
      <c r="AS193" s="63">
        <f t="shared" si="157"/>
        <v>78.947362251421595</v>
      </c>
      <c r="AT193" s="10"/>
      <c r="AU193">
        <f t="shared" si="158"/>
        <v>120.88509570186956</v>
      </c>
    </row>
    <row r="194" spans="7:47" x14ac:dyDescent="0.2">
      <c r="G194">
        <v>185</v>
      </c>
      <c r="H194">
        <f t="shared" si="120"/>
        <v>13.875</v>
      </c>
      <c r="I194" s="406">
        <f t="shared" si="136"/>
        <v>0.5108267560856018</v>
      </c>
      <c r="J194" s="407">
        <f t="shared" si="121"/>
        <v>2.1892575260811507</v>
      </c>
      <c r="K194" s="407">
        <f t="shared" si="132"/>
        <v>14.969628763040575</v>
      </c>
      <c r="L194" s="407">
        <f t="shared" si="137"/>
        <v>12.780371236959425</v>
      </c>
      <c r="M194" s="63">
        <f t="shared" si="122"/>
        <v>0</v>
      </c>
      <c r="N194" s="406">
        <f t="shared" si="138"/>
        <v>13.889385481113216</v>
      </c>
      <c r="O194" s="406">
        <f t="shared" si="139"/>
        <v>1.2756107246550326</v>
      </c>
      <c r="P194">
        <f t="shared" si="123"/>
        <v>0.2</v>
      </c>
      <c r="Q194" s="406">
        <f t="shared" si="133"/>
        <v>1.4756107246550325</v>
      </c>
      <c r="R194" s="9">
        <f t="shared" si="140"/>
        <v>0.63198421100418323</v>
      </c>
      <c r="S194" s="9">
        <f t="shared" si="141"/>
        <v>3.9940404295858001E-4</v>
      </c>
      <c r="T194" s="9">
        <f t="shared" si="142"/>
        <v>3.9940404295858001E-4</v>
      </c>
      <c r="U194" s="406">
        <f t="shared" si="143"/>
        <v>9.9270417792096648</v>
      </c>
      <c r="V194" s="408">
        <f t="shared" si="144"/>
        <v>0.19709231697234839</v>
      </c>
      <c r="W194" s="406">
        <f t="shared" si="145"/>
        <v>0.19709231697234839</v>
      </c>
      <c r="X194" s="406">
        <f t="shared" si="146"/>
        <v>9.9270417792096648</v>
      </c>
      <c r="Y194" s="406">
        <f t="shared" si="147"/>
        <v>5.1244002412810579</v>
      </c>
      <c r="Z194" s="406">
        <f t="shared" si="124"/>
        <v>1.8720174459392211</v>
      </c>
      <c r="AA194" s="406">
        <f t="shared" si="125"/>
        <v>0.37132800000000021</v>
      </c>
      <c r="AB194" s="406">
        <f t="shared" si="126"/>
        <v>0</v>
      </c>
      <c r="AC194" s="406">
        <f t="shared" si="148"/>
        <v>-57.846104332666272</v>
      </c>
      <c r="AD194" s="406">
        <f t="shared" si="149"/>
        <v>9.7143641354843382</v>
      </c>
      <c r="AE194" s="406">
        <f t="shared" si="150"/>
        <v>0.94368870556784379</v>
      </c>
      <c r="AF194" s="406">
        <f t="shared" si="127"/>
        <v>0.74924999999999997</v>
      </c>
      <c r="AG194" s="406">
        <f t="shared" si="151"/>
        <v>1.9940154888578419</v>
      </c>
      <c r="AH194" s="406">
        <f t="shared" si="152"/>
        <v>0</v>
      </c>
      <c r="AI194">
        <f t="shared" si="128"/>
        <v>0</v>
      </c>
      <c r="AJ194" s="407">
        <f t="shared" si="129"/>
        <v>2.3639250000000001</v>
      </c>
      <c r="AK194">
        <f t="shared" si="134"/>
        <v>9.6000000000000002E-2</v>
      </c>
      <c r="AL194" s="407">
        <f t="shared" si="130"/>
        <v>0.1215</v>
      </c>
      <c r="AM194" s="407">
        <f t="shared" si="135"/>
        <v>0.70770810810810814</v>
      </c>
      <c r="AN194" s="407">
        <f t="shared" si="153"/>
        <v>0.2175</v>
      </c>
      <c r="AO194" s="407">
        <f t="shared" si="154"/>
        <v>-51.59756139813809</v>
      </c>
      <c r="AP194">
        <f t="shared" si="131"/>
        <v>333</v>
      </c>
      <c r="AQ194" s="10">
        <f t="shared" si="155"/>
        <v>1.1833586149945921</v>
      </c>
      <c r="AR194" s="63">
        <f t="shared" si="156"/>
        <v>-3181.5357382966449</v>
      </c>
      <c r="AS194" s="63">
        <f t="shared" si="157"/>
        <v>79.760619554313678</v>
      </c>
      <c r="AT194" s="10"/>
      <c r="AU194">
        <f t="shared" si="158"/>
        <v>118.3358614994592</v>
      </c>
    </row>
    <row r="195" spans="7:47" x14ac:dyDescent="0.2">
      <c r="G195">
        <v>186</v>
      </c>
      <c r="H195">
        <f t="shared" si="120"/>
        <v>13.950000000000001</v>
      </c>
      <c r="I195" s="406">
        <f t="shared" si="136"/>
        <v>0.51088600226514902</v>
      </c>
      <c r="J195" s="407">
        <f t="shared" si="121"/>
        <v>2.1895114382792102</v>
      </c>
      <c r="K195" s="407">
        <f t="shared" si="132"/>
        <v>15.044755719139607</v>
      </c>
      <c r="L195" s="407">
        <f t="shared" si="137"/>
        <v>12.855244280860395</v>
      </c>
      <c r="M195" s="63">
        <f t="shared" si="122"/>
        <v>0</v>
      </c>
      <c r="N195" s="406">
        <f t="shared" si="138"/>
        <v>13.964311536730444</v>
      </c>
      <c r="O195" s="406">
        <f t="shared" si="139"/>
        <v>1.2908354118747869</v>
      </c>
      <c r="P195">
        <f t="shared" si="123"/>
        <v>0.2</v>
      </c>
      <c r="Q195" s="406">
        <f t="shared" si="133"/>
        <v>1.4908354118747869</v>
      </c>
      <c r="R195" s="9">
        <f t="shared" si="140"/>
        <v>0.63205750914213343</v>
      </c>
      <c r="S195" s="9">
        <f t="shared" si="141"/>
        <v>3.9949669486295808E-4</v>
      </c>
      <c r="T195" s="9">
        <f t="shared" si="142"/>
        <v>3.9949669486295808E-4</v>
      </c>
      <c r="U195" s="406">
        <f t="shared" si="143"/>
        <v>9.981171801204523</v>
      </c>
      <c r="V195" s="408">
        <f t="shared" si="144"/>
        <v>0.1992475810503207</v>
      </c>
      <c r="W195" s="406">
        <f t="shared" si="145"/>
        <v>0.1992475810503207</v>
      </c>
      <c r="X195" s="406">
        <f t="shared" si="146"/>
        <v>9.981171801204523</v>
      </c>
      <c r="Y195" s="406">
        <f t="shared" si="147"/>
        <v>5.1804371073083377</v>
      </c>
      <c r="Z195" s="406">
        <f t="shared" si="124"/>
        <v>1.8824776568216564</v>
      </c>
      <c r="AA195" s="406">
        <f t="shared" si="125"/>
        <v>0.37132800000000021</v>
      </c>
      <c r="AB195" s="406">
        <f t="shared" si="126"/>
        <v>0</v>
      </c>
      <c r="AC195" s="406">
        <f t="shared" si="148"/>
        <v>-53.217229250475043</v>
      </c>
      <c r="AD195" s="406">
        <f t="shared" si="149"/>
        <v>9.7661766403082542</v>
      </c>
      <c r="AE195" s="406">
        <f t="shared" si="150"/>
        <v>0.95378206169702628</v>
      </c>
      <c r="AF195" s="406">
        <f t="shared" si="127"/>
        <v>0.75330000000000008</v>
      </c>
      <c r="AG195" s="406">
        <f t="shared" si="151"/>
        <v>2.0145060135167103</v>
      </c>
      <c r="AH195" s="406">
        <f t="shared" si="152"/>
        <v>0</v>
      </c>
      <c r="AI195">
        <f t="shared" si="128"/>
        <v>0</v>
      </c>
      <c r="AJ195" s="407">
        <f t="shared" si="129"/>
        <v>2.3637299999999999</v>
      </c>
      <c r="AK195">
        <f t="shared" si="134"/>
        <v>9.6000000000000002E-2</v>
      </c>
      <c r="AL195" s="407">
        <f t="shared" si="130"/>
        <v>0.1215</v>
      </c>
      <c r="AM195" s="407">
        <f t="shared" si="135"/>
        <v>0.70770810810810814</v>
      </c>
      <c r="AN195" s="407">
        <f t="shared" si="153"/>
        <v>0.2175</v>
      </c>
      <c r="AO195" s="407">
        <f t="shared" si="154"/>
        <v>-46.93101074733837</v>
      </c>
      <c r="AP195">
        <f t="shared" si="131"/>
        <v>334.8</v>
      </c>
      <c r="AQ195" s="10">
        <f t="shared" si="155"/>
        <v>1.1630290600914541</v>
      </c>
      <c r="AR195" s="63">
        <f t="shared" si="156"/>
        <v>-2926.9476087761273</v>
      </c>
      <c r="AS195" s="63">
        <f t="shared" si="157"/>
        <v>80.580240540668413</v>
      </c>
      <c r="AT195" s="10"/>
      <c r="AU195">
        <f t="shared" si="158"/>
        <v>116.30290600914542</v>
      </c>
    </row>
    <row r="196" spans="7:47" x14ac:dyDescent="0.2">
      <c r="G196">
        <v>187</v>
      </c>
      <c r="H196">
        <f t="shared" si="120"/>
        <v>14.025</v>
      </c>
      <c r="I196" s="406">
        <f t="shared" si="136"/>
        <v>0.51094525631736976</v>
      </c>
      <c r="J196" s="407">
        <f t="shared" si="121"/>
        <v>2.1897653842172993</v>
      </c>
      <c r="K196" s="407">
        <f t="shared" si="132"/>
        <v>15.11988269210865</v>
      </c>
      <c r="L196" s="407">
        <f t="shared" si="137"/>
        <v>12.930117307891351</v>
      </c>
      <c r="M196" s="63">
        <f t="shared" si="122"/>
        <v>0</v>
      </c>
      <c r="N196" s="406">
        <f t="shared" si="138"/>
        <v>14.039238382826412</v>
      </c>
      <c r="O196" s="406">
        <f t="shared" si="139"/>
        <v>1.3061761321297718</v>
      </c>
      <c r="P196">
        <f t="shared" si="123"/>
        <v>0.2</v>
      </c>
      <c r="Q196" s="406">
        <f t="shared" si="133"/>
        <v>1.5061761321297717</v>
      </c>
      <c r="R196" s="9">
        <f t="shared" si="140"/>
        <v>0.63213081701999108</v>
      </c>
      <c r="S196" s="9">
        <f t="shared" si="141"/>
        <v>3.9958936982636148E-4</v>
      </c>
      <c r="T196" s="9">
        <f t="shared" si="142"/>
        <v>3.9958936982636148E-4</v>
      </c>
      <c r="U196" s="406">
        <f t="shared" si="143"/>
        <v>10.035308642558009</v>
      </c>
      <c r="V196" s="408">
        <f t="shared" si="144"/>
        <v>0.20141483910279895</v>
      </c>
      <c r="W196" s="406">
        <f t="shared" si="145"/>
        <v>0.20141483910279895</v>
      </c>
      <c r="X196" s="406">
        <f t="shared" si="146"/>
        <v>10.035308642558009</v>
      </c>
      <c r="Y196" s="406">
        <f t="shared" si="147"/>
        <v>5.2367858166727723</v>
      </c>
      <c r="Z196" s="406">
        <f t="shared" si="124"/>
        <v>1.8929378667099543</v>
      </c>
      <c r="AA196" s="406">
        <f t="shared" si="125"/>
        <v>0.37132800000000021</v>
      </c>
      <c r="AB196" s="406">
        <f t="shared" si="126"/>
        <v>0</v>
      </c>
      <c r="AC196" s="406">
        <f t="shared" si="148"/>
        <v>-49.318887904260279</v>
      </c>
      <c r="AD196" s="406">
        <f t="shared" si="149"/>
        <v>9.8179832357988328</v>
      </c>
      <c r="AE196" s="406">
        <f t="shared" si="150"/>
        <v>0.96392794818426919</v>
      </c>
      <c r="AF196" s="406">
        <f t="shared" si="127"/>
        <v>0.75734999999999997</v>
      </c>
      <c r="AG196" s="406">
        <f t="shared" si="151"/>
        <v>2.0351571205799934</v>
      </c>
      <c r="AH196" s="406">
        <f t="shared" si="152"/>
        <v>0</v>
      </c>
      <c r="AI196">
        <f t="shared" si="128"/>
        <v>0</v>
      </c>
      <c r="AJ196" s="407">
        <f t="shared" si="129"/>
        <v>2.3635349999999997</v>
      </c>
      <c r="AK196">
        <f t="shared" si="134"/>
        <v>9.6000000000000002E-2</v>
      </c>
      <c r="AL196" s="407">
        <f t="shared" si="130"/>
        <v>0.1215</v>
      </c>
      <c r="AM196" s="407">
        <f t="shared" si="135"/>
        <v>0.70770810810810814</v>
      </c>
      <c r="AN196" s="407">
        <f t="shared" si="153"/>
        <v>0.2175</v>
      </c>
      <c r="AO196" s="407">
        <f t="shared" si="154"/>
        <v>-42.994705223077887</v>
      </c>
      <c r="AP196">
        <f t="shared" si="131"/>
        <v>336.6</v>
      </c>
      <c r="AQ196" s="10">
        <f t="shared" si="155"/>
        <v>1.1464370908424684</v>
      </c>
      <c r="AR196" s="63">
        <f t="shared" si="156"/>
        <v>-2712.5388347343155</v>
      </c>
      <c r="AS196" s="63">
        <f t="shared" si="157"/>
        <v>81.406284823199741</v>
      </c>
      <c r="AT196" s="10"/>
      <c r="AU196">
        <f t="shared" si="158"/>
        <v>114.64370908424684</v>
      </c>
    </row>
    <row r="197" spans="7:47" x14ac:dyDescent="0.2">
      <c r="G197">
        <v>188</v>
      </c>
      <c r="H197">
        <f t="shared" si="120"/>
        <v>14.1</v>
      </c>
      <c r="I197" s="406">
        <f t="shared" si="136"/>
        <v>0.51100451824383319</v>
      </c>
      <c r="J197" s="407">
        <f t="shared" si="121"/>
        <v>2.1900193639021426</v>
      </c>
      <c r="K197" s="407">
        <f t="shared" si="132"/>
        <v>15.19500968195107</v>
      </c>
      <c r="L197" s="407">
        <f t="shared" si="137"/>
        <v>13.004990318048929</v>
      </c>
      <c r="M197" s="63">
        <f t="shared" si="122"/>
        <v>0</v>
      </c>
      <c r="N197" s="406">
        <f t="shared" si="138"/>
        <v>14.114166006812289</v>
      </c>
      <c r="O197" s="406">
        <f t="shared" si="139"/>
        <v>1.3216335478702241</v>
      </c>
      <c r="P197">
        <f t="shared" si="123"/>
        <v>0.2</v>
      </c>
      <c r="Q197" s="406">
        <f t="shared" si="133"/>
        <v>1.5216335478702241</v>
      </c>
      <c r="R197" s="9">
        <f t="shared" si="140"/>
        <v>0.63220413463969749</v>
      </c>
      <c r="S197" s="9">
        <f t="shared" si="141"/>
        <v>3.9968206785552876E-4</v>
      </c>
      <c r="T197" s="9">
        <f t="shared" si="142"/>
        <v>3.9968206785552876E-4</v>
      </c>
      <c r="U197" s="406">
        <f t="shared" si="143"/>
        <v>10.089452295074878</v>
      </c>
      <c r="V197" s="408">
        <f t="shared" si="144"/>
        <v>0.20359409522918345</v>
      </c>
      <c r="W197" s="406">
        <f t="shared" si="145"/>
        <v>0.20359409522918345</v>
      </c>
      <c r="X197" s="406">
        <f t="shared" si="146"/>
        <v>10.089452295074878</v>
      </c>
      <c r="Y197" s="406">
        <f t="shared" si="147"/>
        <v>5.2934464759587687</v>
      </c>
      <c r="Z197" s="406">
        <f t="shared" si="124"/>
        <v>1.9033980756039173</v>
      </c>
      <c r="AA197" s="406">
        <f t="shared" si="125"/>
        <v>0.37132800000000021</v>
      </c>
      <c r="AB197" s="406">
        <f t="shared" si="126"/>
        <v>0</v>
      </c>
      <c r="AC197" s="406">
        <f t="shared" si="148"/>
        <v>-45.990849529747287</v>
      </c>
      <c r="AD197" s="406">
        <f t="shared" si="149"/>
        <v>9.869783911173732</v>
      </c>
      <c r="AE197" s="406">
        <f t="shared" si="150"/>
        <v>0.97412634453263847</v>
      </c>
      <c r="AF197" s="406">
        <f t="shared" si="127"/>
        <v>0.76139999999999997</v>
      </c>
      <c r="AG197" s="406">
        <f t="shared" si="151"/>
        <v>2.0559703210648834</v>
      </c>
      <c r="AH197" s="406">
        <f t="shared" si="152"/>
        <v>0</v>
      </c>
      <c r="AI197">
        <f t="shared" si="128"/>
        <v>0</v>
      </c>
      <c r="AJ197" s="407">
        <f t="shared" si="129"/>
        <v>2.36334</v>
      </c>
      <c r="AK197">
        <f t="shared" si="134"/>
        <v>9.6000000000000002E-2</v>
      </c>
      <c r="AL197" s="407">
        <f t="shared" si="130"/>
        <v>0.1215</v>
      </c>
      <c r="AM197" s="407">
        <f t="shared" si="135"/>
        <v>0.70770810810810814</v>
      </c>
      <c r="AN197" s="407">
        <f t="shared" si="153"/>
        <v>0.2175</v>
      </c>
      <c r="AO197" s="407">
        <f t="shared" si="154"/>
        <v>-39.628411883515142</v>
      </c>
      <c r="AP197">
        <f t="shared" si="131"/>
        <v>338.4</v>
      </c>
      <c r="AQ197" s="10">
        <f t="shared" si="155"/>
        <v>1.1326378191893696</v>
      </c>
      <c r="AR197" s="63">
        <f t="shared" si="156"/>
        <v>-2529.496724136101</v>
      </c>
      <c r="AS197" s="63">
        <f t="shared" si="157"/>
        <v>82.238812842595337</v>
      </c>
      <c r="AT197" s="10"/>
      <c r="AU197">
        <f t="shared" si="158"/>
        <v>113.26378191893696</v>
      </c>
    </row>
    <row r="198" spans="7:47" x14ac:dyDescent="0.2">
      <c r="G198">
        <v>189</v>
      </c>
      <c r="H198">
        <f t="shared" si="120"/>
        <v>14.174999999999999</v>
      </c>
      <c r="I198" s="406">
        <f t="shared" si="136"/>
        <v>0.5110637880461093</v>
      </c>
      <c r="J198" s="407">
        <f t="shared" si="121"/>
        <v>2.1902733773404686</v>
      </c>
      <c r="K198" s="407">
        <f t="shared" si="132"/>
        <v>15.270136688670233</v>
      </c>
      <c r="L198" s="407">
        <f t="shared" si="137"/>
        <v>13.079863311329765</v>
      </c>
      <c r="M198" s="63">
        <f t="shared" si="122"/>
        <v>0</v>
      </c>
      <c r="N198" s="406">
        <f t="shared" si="138"/>
        <v>14.189094396365018</v>
      </c>
      <c r="O198" s="406">
        <f t="shared" si="139"/>
        <v>1.3372083286939385</v>
      </c>
      <c r="P198">
        <f t="shared" si="123"/>
        <v>0.2</v>
      </c>
      <c r="Q198" s="406">
        <f t="shared" si="133"/>
        <v>1.5372083286939384</v>
      </c>
      <c r="R198" s="9">
        <f t="shared" si="140"/>
        <v>0.63227746200319523</v>
      </c>
      <c r="S198" s="9">
        <f t="shared" si="141"/>
        <v>3.9977478895720196E-4</v>
      </c>
      <c r="T198" s="9">
        <f t="shared" si="142"/>
        <v>3.9977478895720196E-4</v>
      </c>
      <c r="U198" s="406">
        <f t="shared" si="143"/>
        <v>10.143602750747982</v>
      </c>
      <c r="V198" s="408">
        <f t="shared" si="144"/>
        <v>0.20578535352996408</v>
      </c>
      <c r="W198" s="406">
        <f t="shared" si="145"/>
        <v>0.20578535352996408</v>
      </c>
      <c r="X198" s="406">
        <f t="shared" si="146"/>
        <v>10.143602750747982</v>
      </c>
      <c r="Y198" s="406">
        <f t="shared" si="147"/>
        <v>5.350419191779066</v>
      </c>
      <c r="Z198" s="406">
        <f t="shared" si="124"/>
        <v>1.9138582835033469</v>
      </c>
      <c r="AA198" s="406">
        <f t="shared" si="125"/>
        <v>0.37132800000000021</v>
      </c>
      <c r="AB198" s="406">
        <f t="shared" si="126"/>
        <v>0</v>
      </c>
      <c r="AC198" s="406">
        <f t="shared" si="148"/>
        <v>-43.116548998013791</v>
      </c>
      <c r="AD198" s="406">
        <f t="shared" si="149"/>
        <v>9.9215786558377452</v>
      </c>
      <c r="AE198" s="406">
        <f t="shared" si="150"/>
        <v>0.98437723023975121</v>
      </c>
      <c r="AF198" s="406">
        <f t="shared" si="127"/>
        <v>0.76544999999999996</v>
      </c>
      <c r="AG198" s="406">
        <f t="shared" si="151"/>
        <v>2.0769471470316501</v>
      </c>
      <c r="AH198" s="406">
        <f t="shared" si="152"/>
        <v>0</v>
      </c>
      <c r="AI198">
        <f t="shared" si="128"/>
        <v>0</v>
      </c>
      <c r="AJ198" s="407">
        <f t="shared" si="129"/>
        <v>2.3631449999999998</v>
      </c>
      <c r="AK198">
        <f t="shared" si="134"/>
        <v>9.6000000000000002E-2</v>
      </c>
      <c r="AL198" s="407">
        <f t="shared" si="130"/>
        <v>0.1215</v>
      </c>
      <c r="AM198" s="407">
        <f t="shared" si="135"/>
        <v>0.70770810810810814</v>
      </c>
      <c r="AN198" s="407">
        <f t="shared" si="153"/>
        <v>0.2175</v>
      </c>
      <c r="AO198" s="407">
        <f t="shared" si="154"/>
        <v>-36.715563393969276</v>
      </c>
      <c r="AP198">
        <f t="shared" si="131"/>
        <v>340.2</v>
      </c>
      <c r="AQ198" s="10">
        <f t="shared" si="155"/>
        <v>1.1209800535558654</v>
      </c>
      <c r="AR198" s="63">
        <f t="shared" si="156"/>
        <v>-2371.4101948907587</v>
      </c>
      <c r="AS198" s="63">
        <f t="shared" si="157"/>
        <v>83.077885881265999</v>
      </c>
      <c r="AT198" s="10"/>
      <c r="AU198">
        <f t="shared" si="158"/>
        <v>112.09800535558654</v>
      </c>
    </row>
    <row r="199" spans="7:47" x14ac:dyDescent="0.2">
      <c r="G199">
        <v>190</v>
      </c>
      <c r="H199">
        <f t="shared" si="120"/>
        <v>14.25</v>
      </c>
      <c r="I199" s="406">
        <f t="shared" si="136"/>
        <v>0.51112306572576816</v>
      </c>
      <c r="J199" s="407">
        <f t="shared" si="121"/>
        <v>2.1905274245390065</v>
      </c>
      <c r="K199" s="407">
        <f t="shared" si="132"/>
        <v>15.345263712269503</v>
      </c>
      <c r="L199" s="407">
        <f t="shared" si="137"/>
        <v>13.154736287730497</v>
      </c>
      <c r="M199" s="63">
        <f t="shared" si="122"/>
        <v>0</v>
      </c>
      <c r="N199" s="406">
        <f t="shared" si="138"/>
        <v>14.264023539420359</v>
      </c>
      <c r="O199" s="406">
        <f t="shared" si="139"/>
        <v>1.3529011514264444</v>
      </c>
      <c r="P199">
        <f t="shared" si="123"/>
        <v>0.2</v>
      </c>
      <c r="Q199" s="406">
        <f t="shared" si="133"/>
        <v>1.5529011514264444</v>
      </c>
      <c r="R199" s="9">
        <f t="shared" si="140"/>
        <v>0.63235079911242653</v>
      </c>
      <c r="S199" s="9">
        <f t="shared" si="141"/>
        <v>3.998675331381244E-4</v>
      </c>
      <c r="T199" s="9">
        <f t="shared" si="142"/>
        <v>3.998675331381244E-4</v>
      </c>
      <c r="U199" s="406">
        <f t="shared" si="143"/>
        <v>10.197760001753354</v>
      </c>
      <c r="V199" s="408">
        <f t="shared" si="144"/>
        <v>0.20798861810672112</v>
      </c>
      <c r="W199" s="406">
        <f t="shared" si="145"/>
        <v>0.20798861810672112</v>
      </c>
      <c r="X199" s="406">
        <f t="shared" si="146"/>
        <v>10.197760001753354</v>
      </c>
      <c r="Y199" s="406">
        <f t="shared" si="147"/>
        <v>5.4077040707747486</v>
      </c>
      <c r="Z199" s="406">
        <f t="shared" si="124"/>
        <v>1.9243184904080444</v>
      </c>
      <c r="AA199" s="406">
        <f t="shared" si="125"/>
        <v>0.37132800000000021</v>
      </c>
      <c r="AB199" s="406">
        <f t="shared" si="126"/>
        <v>0</v>
      </c>
      <c r="AC199" s="406">
        <f t="shared" si="148"/>
        <v>-40.609161032074752</v>
      </c>
      <c r="AD199" s="406">
        <f t="shared" si="149"/>
        <v>9.9733674593778794</v>
      </c>
      <c r="AE199" s="406">
        <f t="shared" si="150"/>
        <v>0.99468058479777588</v>
      </c>
      <c r="AF199" s="406">
        <f t="shared" si="127"/>
        <v>0.76949999999999996</v>
      </c>
      <c r="AG199" s="406">
        <f t="shared" si="151"/>
        <v>2.0980891519344147</v>
      </c>
      <c r="AH199" s="406">
        <f t="shared" si="152"/>
        <v>0</v>
      </c>
      <c r="AI199">
        <f t="shared" si="128"/>
        <v>0</v>
      </c>
      <c r="AJ199" s="407">
        <f t="shared" si="129"/>
        <v>2.3629499999999997</v>
      </c>
      <c r="AK199">
        <f t="shared" si="134"/>
        <v>9.6000000000000002E-2</v>
      </c>
      <c r="AL199" s="407">
        <f t="shared" si="130"/>
        <v>0.1215</v>
      </c>
      <c r="AM199" s="407">
        <f t="shared" si="135"/>
        <v>0.70770810810810814</v>
      </c>
      <c r="AN199" s="407">
        <f t="shared" si="153"/>
        <v>0.2175</v>
      </c>
      <c r="AO199" s="407">
        <f t="shared" si="154"/>
        <v>-34.169332243074031</v>
      </c>
      <c r="AP199">
        <f t="shared" si="131"/>
        <v>342</v>
      </c>
      <c r="AQ199" s="10">
        <f t="shared" si="155"/>
        <v>1.1110004162095226</v>
      </c>
      <c r="AR199" s="63">
        <f t="shared" si="156"/>
        <v>-2233.5038567641113</v>
      </c>
      <c r="AS199" s="63">
        <f t="shared" si="157"/>
        <v>83.923566077376591</v>
      </c>
      <c r="AT199" s="10"/>
      <c r="AU199">
        <f t="shared" si="158"/>
        <v>111.10004162095225</v>
      </c>
    </row>
    <row r="200" spans="7:47" x14ac:dyDescent="0.2">
      <c r="G200">
        <v>191</v>
      </c>
      <c r="H200">
        <f t="shared" si="120"/>
        <v>14.324999999999999</v>
      </c>
      <c r="I200" s="406">
        <f t="shared" si="136"/>
        <v>0.51118235128438017</v>
      </c>
      <c r="J200" s="407">
        <f t="shared" si="121"/>
        <v>2.1907815055044866</v>
      </c>
      <c r="K200" s="407">
        <f t="shared" si="132"/>
        <v>15.420390752752242</v>
      </c>
      <c r="L200" s="407">
        <f t="shared" si="137"/>
        <v>13.229609247247756</v>
      </c>
      <c r="M200" s="63">
        <f t="shared" si="122"/>
        <v>0</v>
      </c>
      <c r="N200" s="406">
        <f t="shared" si="138"/>
        <v>14.33895342416611</v>
      </c>
      <c r="O200" s="406">
        <f t="shared" si="139"/>
        <v>1.3687127002023691</v>
      </c>
      <c r="P200">
        <f t="shared" si="123"/>
        <v>0.2</v>
      </c>
      <c r="Q200" s="406">
        <f t="shared" si="133"/>
        <v>1.5687127002023691</v>
      </c>
      <c r="R200" s="9">
        <f t="shared" si="140"/>
        <v>0.63242414596933449</v>
      </c>
      <c r="S200" s="9">
        <f t="shared" si="141"/>
        <v>3.9996030040504214E-4</v>
      </c>
      <c r="T200" s="9">
        <f t="shared" si="142"/>
        <v>3.9996030040504214E-4</v>
      </c>
      <c r="U200" s="406">
        <f t="shared" si="143"/>
        <v>10.251924040445394</v>
      </c>
      <c r="V200" s="408">
        <f t="shared" si="144"/>
        <v>0.21020389306212439</v>
      </c>
      <c r="W200" s="406">
        <f t="shared" si="145"/>
        <v>0.21020389306212439</v>
      </c>
      <c r="X200" s="406">
        <f t="shared" si="146"/>
        <v>10.251924040445394</v>
      </c>
      <c r="Y200" s="406">
        <f t="shared" si="147"/>
        <v>5.4653012196152337</v>
      </c>
      <c r="Z200" s="406">
        <f t="shared" si="124"/>
        <v>1.9347786963178122</v>
      </c>
      <c r="AA200" s="406">
        <f t="shared" si="125"/>
        <v>0.37132800000000021</v>
      </c>
      <c r="AB200" s="406">
        <f t="shared" si="126"/>
        <v>0</v>
      </c>
      <c r="AC200" s="406">
        <f t="shared" si="148"/>
        <v>-38.402684304197919</v>
      </c>
      <c r="AD200" s="406">
        <f t="shared" si="149"/>
        <v>10.025150311558564</v>
      </c>
      <c r="AE200" s="406">
        <f t="shared" si="150"/>
        <v>1.0050363876934276</v>
      </c>
      <c r="AF200" s="406">
        <f t="shared" si="127"/>
        <v>0.77354999999999996</v>
      </c>
      <c r="AG200" s="406">
        <f t="shared" si="151"/>
        <v>2.1193979109790959</v>
      </c>
      <c r="AH200" s="406">
        <f t="shared" si="152"/>
        <v>0</v>
      </c>
      <c r="AI200">
        <f t="shared" si="128"/>
        <v>0</v>
      </c>
      <c r="AJ200" s="407">
        <f t="shared" si="129"/>
        <v>2.3627549999999999</v>
      </c>
      <c r="AK200">
        <f t="shared" si="134"/>
        <v>9.6000000000000002E-2</v>
      </c>
      <c r="AL200" s="407">
        <f t="shared" si="130"/>
        <v>0.1215</v>
      </c>
      <c r="AM200" s="407">
        <f t="shared" si="135"/>
        <v>0.70770810810810814</v>
      </c>
      <c r="AN200" s="407">
        <f t="shared" si="153"/>
        <v>0.2175</v>
      </c>
      <c r="AO200" s="407">
        <f t="shared" si="154"/>
        <v>-31.923714839653925</v>
      </c>
      <c r="AP200">
        <f t="shared" si="131"/>
        <v>343.79999999999995</v>
      </c>
      <c r="AQ200" s="10">
        <f t="shared" si="155"/>
        <v>1.1023601869030886</v>
      </c>
      <c r="AR200" s="63">
        <f t="shared" si="156"/>
        <v>-2112.1476367308856</v>
      </c>
      <c r="AS200" s="63">
        <f t="shared" si="157"/>
        <v>84.775916439163836</v>
      </c>
      <c r="AT200" s="10"/>
      <c r="AU200">
        <f t="shared" si="158"/>
        <v>110.23601869030885</v>
      </c>
    </row>
    <row r="201" spans="7:47" x14ac:dyDescent="0.2">
      <c r="G201">
        <v>192</v>
      </c>
      <c r="H201">
        <f t="shared" ref="H201:H209" si="159">Iout*(G201/200)</f>
        <v>14.399999999999999</v>
      </c>
      <c r="I201" s="406">
        <f t="shared" si="136"/>
        <v>0.5112416447235163</v>
      </c>
      <c r="J201" s="407">
        <f t="shared" ref="J201:J209" si="160">(Vin-Vout)*I201/(Fsw*Lout2)</f>
        <v>2.1910356202436412</v>
      </c>
      <c r="K201" s="407">
        <f t="shared" si="132"/>
        <v>15.49551781012182</v>
      </c>
      <c r="L201" s="407">
        <f t="shared" si="137"/>
        <v>13.304482189878177</v>
      </c>
      <c r="M201" s="63">
        <f t="shared" ref="M201:M209" si="161">IF(MIN(Vin, -L201/(CossTop+CossBot)*0.00000002)&lt;0, 0, MIN(Vin, -L201/(CossTop+CossBot)*0.00000002))</f>
        <v>0</v>
      </c>
      <c r="N201" s="406">
        <f t="shared" si="138"/>
        <v>14.413884039035581</v>
      </c>
      <c r="O201" s="406">
        <f t="shared" si="139"/>
        <v>1.3846436665480155</v>
      </c>
      <c r="P201">
        <f t="shared" ref="P201:P209" si="162">Core_Loss</f>
        <v>0.2</v>
      </c>
      <c r="Q201" s="406">
        <f t="shared" si="133"/>
        <v>1.5846436665480155</v>
      </c>
      <c r="R201" s="9">
        <f t="shared" si="140"/>
        <v>0.63249750257586246</v>
      </c>
      <c r="S201" s="9">
        <f t="shared" si="141"/>
        <v>4.0005309076470314E-4</v>
      </c>
      <c r="T201" s="9">
        <f t="shared" si="142"/>
        <v>4.0005309076470314E-4</v>
      </c>
      <c r="U201" s="406">
        <f t="shared" si="143"/>
        <v>10.306094859352285</v>
      </c>
      <c r="V201" s="408">
        <f t="shared" si="144"/>
        <v>0.2124311824999352</v>
      </c>
      <c r="W201" s="406">
        <f t="shared" si="145"/>
        <v>0.2124311824999352</v>
      </c>
      <c r="X201" s="406">
        <f t="shared" si="146"/>
        <v>10.306094859352285</v>
      </c>
      <c r="Y201" s="406">
        <f t="shared" si="147"/>
        <v>5.5232107449983152</v>
      </c>
      <c r="Z201" s="406">
        <f t="shared" ref="Z201:Z209" si="163">IF(L201&lt;0, (Vin*K201*Tf/2)*Fsw, (Vin*L201*Tr/2+Vin*K201*Tf/2)*Fsw)</f>
        <v>1.9452389012324516</v>
      </c>
      <c r="AA201" s="406">
        <f t="shared" ref="AA201:AA209" si="164">(0.5*CossTop*(Vin-M201)^2-0.5*CossBot*(Vin-M201)^2+(QossBot*(Vin-M201)/Vin)*Vin)*Fsw</f>
        <v>0.37132800000000021</v>
      </c>
      <c r="AB201" s="406">
        <f t="shared" ref="AB201:AB209" si="165">IF(L201&gt;0,0,-L201*VsdTop*Deadtime*Fsw)</f>
        <v>0</v>
      </c>
      <c r="AC201" s="406">
        <f t="shared" si="148"/>
        <v>-36.446051637453557</v>
      </c>
      <c r="AD201" s="406">
        <f t="shared" si="149"/>
        <v>10.076927202317037</v>
      </c>
      <c r="AE201" s="406">
        <f t="shared" si="150"/>
        <v>1.0154446184079706</v>
      </c>
      <c r="AF201" s="406">
        <f t="shared" ref="AF201:AF209" si="166">IF(L201&lt;0, Deadtime*Fsw*IF(VfdSky&gt;0,0,VsdBot)*K201, Deadtime*Fsw*IF(VfdSky&gt;0,0,VsdBot)*(K201+L201))</f>
        <v>0.77759999999999996</v>
      </c>
      <c r="AG201" s="406">
        <f t="shared" si="151"/>
        <v>2.1408750214887364</v>
      </c>
      <c r="AH201" s="406">
        <f t="shared" si="152"/>
        <v>0</v>
      </c>
      <c r="AI201">
        <f t="shared" ref="AI201:AI209" si="167">2*Deadtime*Fsw*IF(VfdSky&gt;0,VfdSky,0)*H201</f>
        <v>0</v>
      </c>
      <c r="AJ201" s="407">
        <f t="shared" ref="AJ201:AJ209" si="168">IF(QrrSky&gt;0,QrrSky,QrrBot)*Fsw*(Vin-H201*RdsonTop)</f>
        <v>2.3625599999999998</v>
      </c>
      <c r="AK201">
        <f t="shared" si="134"/>
        <v>9.6000000000000002E-2</v>
      </c>
      <c r="AL201" s="407">
        <f t="shared" ref="AL201:AL209" si="169">IF(Ext_VCC=1, Vdd*(QgTop+QgBot)*Fsw, Vin*(QgTop+QgBot)*Fsw)</f>
        <v>0.1215</v>
      </c>
      <c r="AM201" s="407">
        <f t="shared" si="135"/>
        <v>0.70770810810810814</v>
      </c>
      <c r="AN201" s="407">
        <f t="shared" si="153"/>
        <v>0.2175</v>
      </c>
      <c r="AO201" s="407">
        <f t="shared" si="154"/>
        <v>-29.927641713826102</v>
      </c>
      <c r="AP201">
        <f t="shared" ref="AP201:AP209" si="170">Vout*H201</f>
        <v>345.59999999999997</v>
      </c>
      <c r="AQ201" s="10">
        <f t="shared" si="155"/>
        <v>1.0948060257043322</v>
      </c>
      <c r="AR201" s="63">
        <f t="shared" si="156"/>
        <v>-2004.5328400599456</v>
      </c>
      <c r="AS201" s="63">
        <f t="shared" si="157"/>
        <v>85.63500085954945</v>
      </c>
      <c r="AT201" s="10"/>
      <c r="AU201">
        <f t="shared" si="158"/>
        <v>109.48060257043322</v>
      </c>
    </row>
    <row r="202" spans="7:47" x14ac:dyDescent="0.2">
      <c r="G202">
        <v>193</v>
      </c>
      <c r="H202">
        <f t="shared" si="159"/>
        <v>14.475</v>
      </c>
      <c r="I202" s="406">
        <f t="shared" si="136"/>
        <v>0.51130094604474785</v>
      </c>
      <c r="J202" s="407">
        <f t="shared" si="160"/>
        <v>2.1912897687632054</v>
      </c>
      <c r="K202" s="407">
        <f t="shared" ref="K202:K209" si="171">H202+J202/2</f>
        <v>15.570644884381602</v>
      </c>
      <c r="L202" s="407">
        <f t="shared" si="137"/>
        <v>13.379355115618397</v>
      </c>
      <c r="M202" s="63">
        <f t="shared" si="161"/>
        <v>0</v>
      </c>
      <c r="N202" s="406">
        <f t="shared" si="138"/>
        <v>14.488815372701243</v>
      </c>
      <c r="O202" s="406">
        <f t="shared" si="139"/>
        <v>1.4006947494651711</v>
      </c>
      <c r="P202">
        <f t="shared" si="162"/>
        <v>0.2</v>
      </c>
      <c r="Q202" s="406">
        <f t="shared" ref="Q202:Q209" si="172">O202+P202</f>
        <v>1.6006947494651711</v>
      </c>
      <c r="R202" s="9">
        <f t="shared" si="140"/>
        <v>0.63257086893395476</v>
      </c>
      <c r="S202" s="9">
        <f t="shared" si="141"/>
        <v>4.0014590422385857E-4</v>
      </c>
      <c r="T202" s="9">
        <f t="shared" si="142"/>
        <v>4.0014590422385857E-4</v>
      </c>
      <c r="U202" s="406">
        <f t="shared" si="143"/>
        <v>10.360272451171477</v>
      </c>
      <c r="V202" s="408">
        <f t="shared" si="144"/>
        <v>0.21467049052500531</v>
      </c>
      <c r="W202" s="406">
        <f t="shared" si="145"/>
        <v>0.21467049052500531</v>
      </c>
      <c r="X202" s="406">
        <f t="shared" si="146"/>
        <v>10.360272451171477</v>
      </c>
      <c r="Y202" s="406">
        <f t="shared" si="147"/>
        <v>5.5814327536501374</v>
      </c>
      <c r="Z202" s="406">
        <f t="shared" si="163"/>
        <v>1.9556991051517647</v>
      </c>
      <c r="AA202" s="406">
        <f t="shared" si="164"/>
        <v>0.37132800000000021</v>
      </c>
      <c r="AB202" s="406">
        <f t="shared" si="165"/>
        <v>0</v>
      </c>
      <c r="AC202" s="406">
        <f t="shared" si="148"/>
        <v>-34.699132209882393</v>
      </c>
      <c r="AD202" s="406">
        <f t="shared" si="149"/>
        <v>10.128698121758847</v>
      </c>
      <c r="AE202" s="406">
        <f t="shared" si="150"/>
        <v>1.025905256417212</v>
      </c>
      <c r="AF202" s="406">
        <f t="shared" si="166"/>
        <v>0.78164999999999996</v>
      </c>
      <c r="AG202" s="406">
        <f t="shared" si="151"/>
        <v>2.1625221032763497</v>
      </c>
      <c r="AH202" s="406">
        <f t="shared" si="152"/>
        <v>0</v>
      </c>
      <c r="AI202">
        <f t="shared" si="167"/>
        <v>0</v>
      </c>
      <c r="AJ202" s="407">
        <f t="shared" si="168"/>
        <v>2.362365</v>
      </c>
      <c r="AK202">
        <f t="shared" ref="AK202:AK209" si="173">Iq*Vin</f>
        <v>9.6000000000000002E-2</v>
      </c>
      <c r="AL202" s="407">
        <f t="shared" si="169"/>
        <v>0.1215</v>
      </c>
      <c r="AM202" s="407">
        <f t="shared" ref="AM202:AM209" si="174">(Vin-Vdd)*Fsw*(QgTop+QgBot)+(RdsonDRT+RdsonDRT2)*Fsw*QgTop*Vdd/(RdsonDRT+2*RGateTop+RdsonDRT2)+(RdsonDRB+RdsonDRB2)*Fsw*QgBot*Vdd/(RdsonDRB+2*RGateBot+RdsonDRB2)</f>
        <v>0.70770810810810814</v>
      </c>
      <c r="AN202" s="407">
        <f t="shared" si="153"/>
        <v>0.2175</v>
      </c>
      <c r="AO202" s="407">
        <f t="shared" si="154"/>
        <v>-28.140979720711641</v>
      </c>
      <c r="AP202">
        <f t="shared" si="170"/>
        <v>347.4</v>
      </c>
      <c r="AQ202" s="10">
        <f t="shared" si="155"/>
        <v>1.0881446660335357</v>
      </c>
      <c r="AR202" s="63">
        <f t="shared" si="156"/>
        <v>-1908.4522715435317</v>
      </c>
      <c r="AS202" s="63">
        <f t="shared" si="157"/>
        <v>86.500884131053994</v>
      </c>
      <c r="AT202" s="10"/>
      <c r="AU202">
        <f t="shared" si="158"/>
        <v>108.81446660335357</v>
      </c>
    </row>
    <row r="203" spans="7:47" x14ac:dyDescent="0.2">
      <c r="G203">
        <v>194</v>
      </c>
      <c r="H203">
        <f t="shared" si="159"/>
        <v>14.549999999999999</v>
      </c>
      <c r="I203" s="406">
        <f t="shared" si="136"/>
        <v>0.51136025524964701</v>
      </c>
      <c r="J203" s="407">
        <f t="shared" si="160"/>
        <v>2.191543951069916</v>
      </c>
      <c r="K203" s="407">
        <f t="shared" si="171"/>
        <v>15.645771975534958</v>
      </c>
      <c r="L203" s="407">
        <f t="shared" si="137"/>
        <v>13.45422802446504</v>
      </c>
      <c r="M203" s="63">
        <f t="shared" si="161"/>
        <v>0</v>
      </c>
      <c r="N203" s="406">
        <f t="shared" si="138"/>
        <v>14.56374741406858</v>
      </c>
      <c r="O203" s="406">
        <f t="shared" si="139"/>
        <v>1.4168666555161666</v>
      </c>
      <c r="P203">
        <f t="shared" si="162"/>
        <v>0.2</v>
      </c>
      <c r="Q203" s="406">
        <f t="shared" si="172"/>
        <v>1.6168666555161666</v>
      </c>
      <c r="R203" s="9">
        <f t="shared" si="140"/>
        <v>0.63264424504555605</v>
      </c>
      <c r="S203" s="9">
        <f t="shared" si="141"/>
        <v>4.0023874078926161E-4</v>
      </c>
      <c r="T203" s="9">
        <f t="shared" si="142"/>
        <v>4.0023874078926161E-4</v>
      </c>
      <c r="U203" s="406">
        <f t="shared" si="143"/>
        <v>10.414456808765362</v>
      </c>
      <c r="V203" s="408">
        <f t="shared" si="144"/>
        <v>0.21692182124327841</v>
      </c>
      <c r="W203" s="406">
        <f t="shared" si="145"/>
        <v>0.21692182124327841</v>
      </c>
      <c r="X203" s="406">
        <f t="shared" si="146"/>
        <v>10.414456808765362</v>
      </c>
      <c r="Y203" s="406">
        <f t="shared" si="147"/>
        <v>5.6399673523252378</v>
      </c>
      <c r="Z203" s="406">
        <f t="shared" si="163"/>
        <v>1.9661593080755522</v>
      </c>
      <c r="AA203" s="406">
        <f t="shared" si="164"/>
        <v>0.37132800000000021</v>
      </c>
      <c r="AB203" s="406">
        <f t="shared" si="165"/>
        <v>0</v>
      </c>
      <c r="AC203" s="406">
        <f t="shared" si="148"/>
        <v>-33.129952723851744</v>
      </c>
      <c r="AD203" s="406">
        <f t="shared" si="149"/>
        <v>10.180463060153505</v>
      </c>
      <c r="AE203" s="406">
        <f t="shared" si="150"/>
        <v>1.0364182811915006</v>
      </c>
      <c r="AF203" s="406">
        <f t="shared" si="166"/>
        <v>0.78569999999999995</v>
      </c>
      <c r="AG203" s="406">
        <f t="shared" si="151"/>
        <v>2.1843407990254962</v>
      </c>
      <c r="AH203" s="406">
        <f t="shared" si="152"/>
        <v>0</v>
      </c>
      <c r="AI203">
        <f t="shared" si="167"/>
        <v>0</v>
      </c>
      <c r="AJ203" s="407">
        <f t="shared" si="168"/>
        <v>2.3621699999999999</v>
      </c>
      <c r="AK203">
        <f t="shared" si="173"/>
        <v>9.6000000000000002E-2</v>
      </c>
      <c r="AL203" s="407">
        <f t="shared" si="169"/>
        <v>0.1215</v>
      </c>
      <c r="AM203" s="407">
        <f t="shared" si="174"/>
        <v>0.70770810810810814</v>
      </c>
      <c r="AN203" s="407">
        <f t="shared" si="153"/>
        <v>0.2175</v>
      </c>
      <c r="AO203" s="407">
        <f t="shared" si="154"/>
        <v>-26.531753209326016</v>
      </c>
      <c r="AP203">
        <f t="shared" si="170"/>
        <v>349.2</v>
      </c>
      <c r="AQ203" s="10">
        <f t="shared" si="155"/>
        <v>1.0822261052124478</v>
      </c>
      <c r="AR203" s="63">
        <f t="shared" si="156"/>
        <v>-1822.1473998118458</v>
      </c>
      <c r="AS203" s="63">
        <f t="shared" si="157"/>
        <v>87.373631961019839</v>
      </c>
      <c r="AT203" s="10"/>
      <c r="AU203">
        <f t="shared" si="158"/>
        <v>108.22261052124477</v>
      </c>
    </row>
    <row r="204" spans="7:47" x14ac:dyDescent="0.2">
      <c r="G204">
        <v>195</v>
      </c>
      <c r="H204">
        <f t="shared" si="159"/>
        <v>14.625</v>
      </c>
      <c r="I204" s="406">
        <f t="shared" si="136"/>
        <v>0.51141957233978563</v>
      </c>
      <c r="J204" s="407">
        <f t="shared" si="160"/>
        <v>2.1917981671705098</v>
      </c>
      <c r="K204" s="407">
        <f t="shared" si="171"/>
        <v>15.720899083585255</v>
      </c>
      <c r="L204" s="407">
        <f t="shared" si="137"/>
        <v>13.529100916414745</v>
      </c>
      <c r="M204" s="63">
        <f t="shared" si="161"/>
        <v>0</v>
      </c>
      <c r="N204" s="406">
        <f t="shared" si="138"/>
        <v>14.638680152270139</v>
      </c>
      <c r="O204" s="406">
        <f t="shared" si="139"/>
        <v>1.4331600989102093</v>
      </c>
      <c r="P204">
        <f t="shared" si="162"/>
        <v>0.2</v>
      </c>
      <c r="Q204" s="406">
        <f t="shared" si="172"/>
        <v>1.6331600989102093</v>
      </c>
      <c r="R204" s="9">
        <f t="shared" si="140"/>
        <v>0.63271763091261113</v>
      </c>
      <c r="S204" s="9">
        <f t="shared" si="141"/>
        <v>4.0033160046766721E-4</v>
      </c>
      <c r="T204" s="9">
        <f t="shared" si="142"/>
        <v>4.0033160046766721E-4</v>
      </c>
      <c r="U204" s="406">
        <f t="shared" si="143"/>
        <v>10.468647925157038</v>
      </c>
      <c r="V204" s="408">
        <f t="shared" si="144"/>
        <v>0.2191851787617895</v>
      </c>
      <c r="W204" s="406">
        <f t="shared" si="145"/>
        <v>0.2191851787617895</v>
      </c>
      <c r="X204" s="406">
        <f t="shared" si="146"/>
        <v>10.468647925157038</v>
      </c>
      <c r="Y204" s="406">
        <f t="shared" si="147"/>
        <v>5.6988146478065271</v>
      </c>
      <c r="Z204" s="406">
        <f t="shared" si="163"/>
        <v>1.9766195100036161</v>
      </c>
      <c r="AA204" s="406">
        <f t="shared" si="164"/>
        <v>0.37132800000000021</v>
      </c>
      <c r="AB204" s="406">
        <f t="shared" si="165"/>
        <v>0</v>
      </c>
      <c r="AC204" s="406">
        <f t="shared" si="148"/>
        <v>-31.712724891230408</v>
      </c>
      <c r="AD204" s="406">
        <f t="shared" si="149"/>
        <v>10.232222007930289</v>
      </c>
      <c r="AE204" s="406">
        <f t="shared" si="150"/>
        <v>1.0469836721957295</v>
      </c>
      <c r="AF204" s="406">
        <f t="shared" si="166"/>
        <v>0.78974999999999995</v>
      </c>
      <c r="AG204" s="406">
        <f t="shared" si="151"/>
        <v>2.206332774678764</v>
      </c>
      <c r="AH204" s="406">
        <f t="shared" si="152"/>
        <v>0</v>
      </c>
      <c r="AI204">
        <f t="shared" si="167"/>
        <v>0</v>
      </c>
      <c r="AJ204" s="407">
        <f t="shared" si="168"/>
        <v>2.3619749999999997</v>
      </c>
      <c r="AK204">
        <f t="shared" si="173"/>
        <v>9.6000000000000002E-2</v>
      </c>
      <c r="AL204" s="407">
        <f t="shared" si="169"/>
        <v>0.1215</v>
      </c>
      <c r="AM204" s="407">
        <f t="shared" si="174"/>
        <v>0.70770810810810814</v>
      </c>
      <c r="AN204" s="407">
        <f t="shared" si="153"/>
        <v>0.2175</v>
      </c>
      <c r="AO204" s="407">
        <f t="shared" si="154"/>
        <v>-25.074171507279175</v>
      </c>
      <c r="AP204">
        <f t="shared" si="170"/>
        <v>351</v>
      </c>
      <c r="AQ204" s="10">
        <f t="shared" si="155"/>
        <v>1.076932140122915</v>
      </c>
      <c r="AR204" s="63">
        <f t="shared" si="156"/>
        <v>-1744.1998690176724</v>
      </c>
      <c r="AS204" s="63">
        <f t="shared" si="157"/>
        <v>88.253310987150556</v>
      </c>
      <c r="AT204" s="10"/>
      <c r="AU204">
        <f t="shared" si="158"/>
        <v>107.69321401229151</v>
      </c>
    </row>
    <row r="205" spans="7:47" x14ac:dyDescent="0.2">
      <c r="G205">
        <v>196</v>
      </c>
      <c r="H205">
        <f t="shared" si="159"/>
        <v>14.7</v>
      </c>
      <c r="I205" s="406">
        <f t="shared" si="136"/>
        <v>0.51147889731673657</v>
      </c>
      <c r="J205" s="407">
        <f t="shared" si="160"/>
        <v>2.1920524170717282</v>
      </c>
      <c r="K205" s="407">
        <f t="shared" si="171"/>
        <v>15.796026208535864</v>
      </c>
      <c r="L205" s="407">
        <f t="shared" si="137"/>
        <v>13.603973791464135</v>
      </c>
      <c r="M205" s="63">
        <f t="shared" si="161"/>
        <v>0</v>
      </c>
      <c r="N205" s="406">
        <f t="shared" si="138"/>
        <v>14.713613576659739</v>
      </c>
      <c r="O205" s="406">
        <f t="shared" si="139"/>
        <v>1.4495758015910063</v>
      </c>
      <c r="P205">
        <f t="shared" si="162"/>
        <v>0.2</v>
      </c>
      <c r="Q205" s="406">
        <f t="shared" si="172"/>
        <v>1.6495758015910063</v>
      </c>
      <c r="R205" s="9">
        <f t="shared" si="140"/>
        <v>0.63279102653706609</v>
      </c>
      <c r="S205" s="9">
        <f t="shared" si="141"/>
        <v>4.004244832658339E-4</v>
      </c>
      <c r="T205" s="9">
        <f t="shared" si="142"/>
        <v>4.004244832658339E-4</v>
      </c>
      <c r="U205" s="406">
        <f t="shared" si="143"/>
        <v>10.522845793526248</v>
      </c>
      <c r="V205" s="408">
        <f t="shared" si="144"/>
        <v>0.22146056718866611</v>
      </c>
      <c r="W205" s="406">
        <f t="shared" si="145"/>
        <v>0.22146056718866611</v>
      </c>
      <c r="X205" s="406">
        <f t="shared" si="146"/>
        <v>10.522845793526248</v>
      </c>
      <c r="Y205" s="406">
        <f t="shared" si="147"/>
        <v>5.757974746905318</v>
      </c>
      <c r="Z205" s="406">
        <f t="shared" si="163"/>
        <v>1.9870797109357574</v>
      </c>
      <c r="AA205" s="406">
        <f t="shared" si="164"/>
        <v>0.37132800000000021</v>
      </c>
      <c r="AB205" s="406">
        <f t="shared" si="165"/>
        <v>0</v>
      </c>
      <c r="AC205" s="406">
        <f t="shared" si="148"/>
        <v>-30.426418868320258</v>
      </c>
      <c r="AD205" s="406">
        <f t="shared" si="149"/>
        <v>10.283974955674132</v>
      </c>
      <c r="AE205" s="406">
        <f t="shared" si="150"/>
        <v>1.0576014088893277</v>
      </c>
      <c r="AF205" s="406">
        <f t="shared" si="166"/>
        <v>0.79379999999999995</v>
      </c>
      <c r="AG205" s="406">
        <f t="shared" si="151"/>
        <v>2.2284997198343293</v>
      </c>
      <c r="AH205" s="406">
        <f t="shared" si="152"/>
        <v>0</v>
      </c>
      <c r="AI205">
        <f t="shared" si="167"/>
        <v>0</v>
      </c>
      <c r="AJ205" s="407">
        <f t="shared" si="168"/>
        <v>2.3617799999999995</v>
      </c>
      <c r="AK205">
        <f t="shared" si="173"/>
        <v>9.6000000000000002E-2</v>
      </c>
      <c r="AL205" s="407">
        <f t="shared" si="169"/>
        <v>0.1215</v>
      </c>
      <c r="AM205" s="407">
        <f t="shared" si="174"/>
        <v>0.70770810810810814</v>
      </c>
      <c r="AN205" s="407">
        <f t="shared" si="153"/>
        <v>0.2175</v>
      </c>
      <c r="AO205" s="407">
        <f t="shared" si="154"/>
        <v>-23.747202355222992</v>
      </c>
      <c r="AP205">
        <f t="shared" si="170"/>
        <v>352.79999999999995</v>
      </c>
      <c r="AQ205" s="10">
        <f t="shared" si="155"/>
        <v>1.0721683648496401</v>
      </c>
      <c r="AR205" s="63">
        <f t="shared" si="156"/>
        <v>-1673.4530377576143</v>
      </c>
      <c r="AS205" s="63">
        <f t="shared" si="157"/>
        <v>89.139988793373163</v>
      </c>
      <c r="AT205" s="10"/>
      <c r="AU205">
        <f t="shared" si="158"/>
        <v>107.21683648496401</v>
      </c>
    </row>
    <row r="206" spans="7:47" x14ac:dyDescent="0.2">
      <c r="G206">
        <v>197</v>
      </c>
      <c r="H206">
        <f t="shared" si="159"/>
        <v>14.775</v>
      </c>
      <c r="I206" s="406">
        <f t="shared" si="136"/>
        <v>0.51153823018207256</v>
      </c>
      <c r="J206" s="407">
        <f t="shared" si="160"/>
        <v>2.192306700780311</v>
      </c>
      <c r="K206" s="407">
        <f t="shared" si="171"/>
        <v>15.871153350390156</v>
      </c>
      <c r="L206" s="407">
        <f t="shared" si="137"/>
        <v>13.678846649609845</v>
      </c>
      <c r="M206" s="63">
        <f t="shared" si="161"/>
        <v>0</v>
      </c>
      <c r="N206" s="406">
        <f t="shared" si="138"/>
        <v>14.788547676806893</v>
      </c>
      <c r="O206" s="406">
        <f t="shared" si="139"/>
        <v>1.4661144933257109</v>
      </c>
      <c r="P206">
        <f t="shared" si="162"/>
        <v>0.2</v>
      </c>
      <c r="Q206" s="406">
        <f t="shared" si="172"/>
        <v>1.6661144933257108</v>
      </c>
      <c r="R206" s="9">
        <f t="shared" si="140"/>
        <v>0.6328644319208665</v>
      </c>
      <c r="S206" s="9">
        <f t="shared" si="141"/>
        <v>4.0051738919052104E-4</v>
      </c>
      <c r="T206" s="9">
        <f t="shared" si="142"/>
        <v>4.0051738919052104E-4</v>
      </c>
      <c r="U206" s="406">
        <f t="shared" si="143"/>
        <v>10.577050407205402</v>
      </c>
      <c r="V206" s="408">
        <f t="shared" si="144"/>
        <v>0.22374799063312789</v>
      </c>
      <c r="W206" s="406">
        <f t="shared" si="145"/>
        <v>0.22374799063312789</v>
      </c>
      <c r="X206" s="406">
        <f t="shared" si="146"/>
        <v>10.577050407205402</v>
      </c>
      <c r="Y206" s="406">
        <f t="shared" si="147"/>
        <v>5.8174477564613252</v>
      </c>
      <c r="Z206" s="406">
        <f t="shared" si="163"/>
        <v>1.9975399108717777</v>
      </c>
      <c r="AA206" s="406">
        <f t="shared" si="164"/>
        <v>0.37132800000000021</v>
      </c>
      <c r="AB206" s="406">
        <f t="shared" si="165"/>
        <v>0</v>
      </c>
      <c r="AC206" s="406">
        <f t="shared" si="148"/>
        <v>-29.253714122540782</v>
      </c>
      <c r="AD206" s="406">
        <f t="shared" si="149"/>
        <v>10.335721894121695</v>
      </c>
      <c r="AE206" s="406">
        <f t="shared" si="150"/>
        <v>1.0682714707262657</v>
      </c>
      <c r="AF206" s="406">
        <f t="shared" si="166"/>
        <v>0.79785000000000006</v>
      </c>
      <c r="AG206" s="406">
        <f t="shared" si="151"/>
        <v>2.2508433481508288</v>
      </c>
      <c r="AH206" s="406">
        <f t="shared" si="152"/>
        <v>0</v>
      </c>
      <c r="AI206">
        <f t="shared" si="167"/>
        <v>0</v>
      </c>
      <c r="AJ206" s="407">
        <f t="shared" si="168"/>
        <v>2.3615849999999998</v>
      </c>
      <c r="AK206">
        <f t="shared" si="173"/>
        <v>9.6000000000000002E-2</v>
      </c>
      <c r="AL206" s="407">
        <f t="shared" si="169"/>
        <v>0.1215</v>
      </c>
      <c r="AM206" s="407">
        <f t="shared" si="174"/>
        <v>0.70770810810810814</v>
      </c>
      <c r="AN206" s="407">
        <f t="shared" si="153"/>
        <v>0.2175</v>
      </c>
      <c r="AO206" s="407">
        <f t="shared" si="154"/>
        <v>-22.533522773041923</v>
      </c>
      <c r="AP206">
        <f t="shared" si="170"/>
        <v>354.6</v>
      </c>
      <c r="AQ206" s="10">
        <f t="shared" si="155"/>
        <v>1.0678584690668456</v>
      </c>
      <c r="AR206" s="63">
        <f t="shared" si="156"/>
        <v>-1608.9542767397429</v>
      </c>
      <c r="AS206" s="63">
        <f t="shared" si="157"/>
        <v>90.03373392603315</v>
      </c>
      <c r="AT206" s="10"/>
      <c r="AU206">
        <f t="shared" si="158"/>
        <v>106.78584690668455</v>
      </c>
    </row>
    <row r="207" spans="7:47" x14ac:dyDescent="0.2">
      <c r="G207">
        <v>198</v>
      </c>
      <c r="H207">
        <f t="shared" si="159"/>
        <v>14.85</v>
      </c>
      <c r="I207" s="406">
        <f t="shared" si="136"/>
        <v>0.51159757093736735</v>
      </c>
      <c r="J207" s="407">
        <f t="shared" si="160"/>
        <v>2.1925610183030031</v>
      </c>
      <c r="K207" s="407">
        <f t="shared" si="171"/>
        <v>15.946280509151501</v>
      </c>
      <c r="L207" s="407">
        <f t="shared" si="137"/>
        <v>13.753719490848498</v>
      </c>
      <c r="M207" s="63">
        <f t="shared" si="161"/>
        <v>0</v>
      </c>
      <c r="N207" s="406">
        <f t="shared" si="138"/>
        <v>14.863482442491344</v>
      </c>
      <c r="O207" s="406">
        <f t="shared" si="139"/>
        <v>1.4827769117951939</v>
      </c>
      <c r="P207">
        <f t="shared" si="162"/>
        <v>0.2</v>
      </c>
      <c r="Q207" s="406">
        <f t="shared" si="172"/>
        <v>1.6827769117951938</v>
      </c>
      <c r="R207" s="9">
        <f t="shared" si="140"/>
        <v>0.63293784706595946</v>
      </c>
      <c r="S207" s="9">
        <f t="shared" si="141"/>
        <v>4.0061031824849188E-4</v>
      </c>
      <c r="T207" s="9">
        <f t="shared" si="142"/>
        <v>4.0061031824849188E-4</v>
      </c>
      <c r="U207" s="406">
        <f t="shared" si="143"/>
        <v>10.631261759675752</v>
      </c>
      <c r="V207" s="408">
        <f t="shared" si="144"/>
        <v>0.22604745320548794</v>
      </c>
      <c r="W207" s="406">
        <f t="shared" si="145"/>
        <v>0.22604745320548794</v>
      </c>
      <c r="X207" s="406">
        <f t="shared" si="146"/>
        <v>10.631261759675752</v>
      </c>
      <c r="Y207" s="406">
        <f t="shared" si="147"/>
        <v>5.8772337833426862</v>
      </c>
      <c r="Z207" s="406">
        <f t="shared" si="163"/>
        <v>2.0080001098114781</v>
      </c>
      <c r="AA207" s="406">
        <f t="shared" si="164"/>
        <v>0.37132800000000021</v>
      </c>
      <c r="AB207" s="406">
        <f t="shared" si="165"/>
        <v>0</v>
      </c>
      <c r="AC207" s="406">
        <f t="shared" si="148"/>
        <v>-28.180216149470102</v>
      </c>
      <c r="AD207" s="406">
        <f t="shared" si="149"/>
        <v>10.387462814157484</v>
      </c>
      <c r="AE207" s="406">
        <f t="shared" si="150"/>
        <v>1.0789938371550452</v>
      </c>
      <c r="AF207" s="406">
        <f t="shared" si="166"/>
        <v>0.80189999999999995</v>
      </c>
      <c r="AG207" s="406">
        <f t="shared" si="151"/>
        <v>2.2733653977606965</v>
      </c>
      <c r="AH207" s="406">
        <f t="shared" si="152"/>
        <v>0</v>
      </c>
      <c r="AI207">
        <f t="shared" si="167"/>
        <v>0</v>
      </c>
      <c r="AJ207" s="407">
        <f t="shared" si="168"/>
        <v>2.3613900000000001</v>
      </c>
      <c r="AK207">
        <f t="shared" si="173"/>
        <v>9.6000000000000002E-2</v>
      </c>
      <c r="AL207" s="407">
        <f t="shared" si="169"/>
        <v>0.1215</v>
      </c>
      <c r="AM207" s="407">
        <f t="shared" si="174"/>
        <v>0.70770810810810814</v>
      </c>
      <c r="AN207" s="407">
        <f t="shared" si="153"/>
        <v>0.2175</v>
      </c>
      <c r="AO207" s="407">
        <f t="shared" si="154"/>
        <v>-21.418735776390474</v>
      </c>
      <c r="AP207">
        <f t="shared" si="170"/>
        <v>356.4</v>
      </c>
      <c r="AQ207" s="10">
        <f t="shared" si="155"/>
        <v>1.0639401007278211</v>
      </c>
      <c r="AR207" s="63">
        <f t="shared" si="156"/>
        <v>-1549.9118882208556</v>
      </c>
      <c r="AS207" s="63">
        <f t="shared" si="157"/>
        <v>90.934615910427851</v>
      </c>
      <c r="AT207" s="10"/>
      <c r="AU207">
        <f t="shared" si="158"/>
        <v>106.39401007278211</v>
      </c>
    </row>
    <row r="208" spans="7:47" x14ac:dyDescent="0.2">
      <c r="G208">
        <v>199</v>
      </c>
      <c r="H208">
        <f t="shared" si="159"/>
        <v>14.925000000000001</v>
      </c>
      <c r="I208" s="406">
        <f t="shared" si="136"/>
        <v>0.51165691958419479</v>
      </c>
      <c r="J208" s="407">
        <f t="shared" si="160"/>
        <v>2.1928153696465489</v>
      </c>
      <c r="K208" s="407">
        <f t="shared" si="171"/>
        <v>16.021407684823274</v>
      </c>
      <c r="L208" s="407">
        <f t="shared" si="137"/>
        <v>13.828592315176726</v>
      </c>
      <c r="M208" s="63">
        <f t="shared" si="161"/>
        <v>0</v>
      </c>
      <c r="N208" s="406">
        <f t="shared" si="138"/>
        <v>14.938417863697833</v>
      </c>
      <c r="O208" s="406">
        <f t="shared" si="139"/>
        <v>1.4995638026856906</v>
      </c>
      <c r="P208">
        <f t="shared" si="162"/>
        <v>0.2</v>
      </c>
      <c r="Q208" s="406">
        <f t="shared" si="172"/>
        <v>1.6995638026856905</v>
      </c>
      <c r="R208" s="9">
        <f t="shared" si="140"/>
        <v>0.63301127197429186</v>
      </c>
      <c r="S208" s="9">
        <f t="shared" si="141"/>
        <v>4.0070327044651092E-4</v>
      </c>
      <c r="T208" s="9">
        <f t="shared" si="142"/>
        <v>4.0070327044651092E-4</v>
      </c>
      <c r="U208" s="406">
        <f t="shared" si="143"/>
        <v>10.68547984456365</v>
      </c>
      <c r="V208" s="408">
        <f t="shared" si="144"/>
        <v>0.22835895901715203</v>
      </c>
      <c r="W208" s="406">
        <f t="shared" si="145"/>
        <v>0.22835895901715203</v>
      </c>
      <c r="X208" s="406">
        <f t="shared" si="146"/>
        <v>10.68547984456365</v>
      </c>
      <c r="Y208" s="406">
        <f t="shared" si="147"/>
        <v>5.9373329344459522</v>
      </c>
      <c r="Z208" s="406">
        <f t="shared" si="163"/>
        <v>2.0184603077546606</v>
      </c>
      <c r="AA208" s="406">
        <f t="shared" si="164"/>
        <v>0.37132800000000021</v>
      </c>
      <c r="AB208" s="406">
        <f t="shared" si="165"/>
        <v>0</v>
      </c>
      <c r="AC208" s="406">
        <f t="shared" si="148"/>
        <v>-27.193863630815784</v>
      </c>
      <c r="AD208" s="406">
        <f t="shared" si="149"/>
        <v>10.439197706810159</v>
      </c>
      <c r="AE208" s="406">
        <f t="shared" si="150"/>
        <v>1.0897684876187048</v>
      </c>
      <c r="AF208" s="406">
        <f t="shared" si="166"/>
        <v>0.80595000000000006</v>
      </c>
      <c r="AG208" s="406">
        <f t="shared" si="151"/>
        <v>2.2960676316922242</v>
      </c>
      <c r="AH208" s="406">
        <f t="shared" si="152"/>
        <v>0</v>
      </c>
      <c r="AI208">
        <f t="shared" si="167"/>
        <v>0</v>
      </c>
      <c r="AJ208" s="407">
        <f t="shared" si="168"/>
        <v>2.3611949999999999</v>
      </c>
      <c r="AK208">
        <f t="shared" si="173"/>
        <v>9.6000000000000002E-2</v>
      </c>
      <c r="AL208" s="407">
        <f t="shared" si="169"/>
        <v>0.1215</v>
      </c>
      <c r="AM208" s="407">
        <f t="shared" si="174"/>
        <v>0.70770810810810814</v>
      </c>
      <c r="AN208" s="407">
        <f t="shared" si="153"/>
        <v>0.2175</v>
      </c>
      <c r="AO208" s="407">
        <f t="shared" si="154"/>
        <v>-20.390777534150271</v>
      </c>
      <c r="AP208">
        <f t="shared" si="170"/>
        <v>358.20000000000005</v>
      </c>
      <c r="AQ208" s="10">
        <f t="shared" si="155"/>
        <v>1.060361814237359</v>
      </c>
      <c r="AR208" s="63">
        <f t="shared" si="156"/>
        <v>-1495.6624996948681</v>
      </c>
      <c r="AS208" s="63">
        <f t="shared" si="157"/>
        <v>91.84270526768897</v>
      </c>
      <c r="AT208" s="10"/>
      <c r="AU208">
        <f t="shared" si="158"/>
        <v>106.0361814237359</v>
      </c>
    </row>
    <row r="209" spans="7:47" x14ac:dyDescent="0.2">
      <c r="G209">
        <v>200</v>
      </c>
      <c r="H209">
        <f t="shared" si="159"/>
        <v>15</v>
      </c>
      <c r="I209" s="406">
        <f t="shared" si="136"/>
        <v>0.51171627612412918</v>
      </c>
      <c r="J209" s="407">
        <f t="shared" si="160"/>
        <v>2.1930697548176967</v>
      </c>
      <c r="K209" s="407">
        <f t="shared" si="171"/>
        <v>16.09653487740885</v>
      </c>
      <c r="L209" s="407">
        <f t="shared" si="137"/>
        <v>13.903465122591152</v>
      </c>
      <c r="M209" s="63">
        <f t="shared" si="161"/>
        <v>0</v>
      </c>
      <c r="N209" s="406">
        <f t="shared" si="138"/>
        <v>15.013353930610952</v>
      </c>
      <c r="O209" s="406">
        <f t="shared" si="139"/>
        <v>1.5164759197818154</v>
      </c>
      <c r="P209">
        <f t="shared" si="162"/>
        <v>0.2</v>
      </c>
      <c r="Q209" s="406">
        <f t="shared" si="172"/>
        <v>1.7164759197818154</v>
      </c>
      <c r="R209" s="9">
        <f t="shared" si="140"/>
        <v>0.63308470664781191</v>
      </c>
      <c r="S209" s="9">
        <f t="shared" si="141"/>
        <v>4.0079624579134607E-4</v>
      </c>
      <c r="T209" s="9">
        <f t="shared" si="142"/>
        <v>4.0079624579134607E-4</v>
      </c>
      <c r="U209" s="406">
        <f t="shared" si="143"/>
        <v>10.739704655636949</v>
      </c>
      <c r="V209" s="408">
        <f t="shared" si="144"/>
        <v>0.23068251218061991</v>
      </c>
      <c r="W209" s="406">
        <f t="shared" si="145"/>
        <v>0.23068251218061991</v>
      </c>
      <c r="X209" s="406">
        <f t="shared" si="146"/>
        <v>10.739704655636949</v>
      </c>
      <c r="Y209" s="406">
        <f t="shared" si="147"/>
        <v>5.9977453166961174</v>
      </c>
      <c r="Z209" s="406">
        <f t="shared" si="163"/>
        <v>2.0289205047011256</v>
      </c>
      <c r="AA209" s="406">
        <f t="shared" si="164"/>
        <v>0.37132800000000021</v>
      </c>
      <c r="AB209" s="406">
        <f t="shared" si="165"/>
        <v>0</v>
      </c>
      <c r="AC209" s="406">
        <f t="shared" si="148"/>
        <v>-26.284474117765836</v>
      </c>
      <c r="AD209" s="406">
        <f t="shared" si="149"/>
        <v>10.4909265632489</v>
      </c>
      <c r="AE209" s="406">
        <f t="shared" si="150"/>
        <v>1.1005954015548138</v>
      </c>
      <c r="AF209" s="406">
        <f t="shared" si="166"/>
        <v>0.80999999999999994</v>
      </c>
      <c r="AG209" s="406">
        <f t="shared" si="151"/>
        <v>2.3189518383005141</v>
      </c>
      <c r="AH209" s="406">
        <f t="shared" si="152"/>
        <v>0</v>
      </c>
      <c r="AI209">
        <f t="shared" si="167"/>
        <v>0</v>
      </c>
      <c r="AJ209" s="407">
        <f t="shared" si="168"/>
        <v>2.3609999999999998</v>
      </c>
      <c r="AK209">
        <f t="shared" si="173"/>
        <v>9.6000000000000002E-2</v>
      </c>
      <c r="AL209" s="407">
        <f t="shared" si="169"/>
        <v>0.1215</v>
      </c>
      <c r="AM209" s="407">
        <f t="shared" si="174"/>
        <v>0.70770810810810814</v>
      </c>
      <c r="AN209" s="407">
        <f t="shared" si="153"/>
        <v>0.2175</v>
      </c>
      <c r="AO209" s="407">
        <f t="shared" si="154"/>
        <v>-19.439463051257093</v>
      </c>
      <c r="AP209">
        <f t="shared" si="170"/>
        <v>360</v>
      </c>
      <c r="AQ209" s="10">
        <f t="shared" si="155"/>
        <v>1.0570807857699112</v>
      </c>
      <c r="AR209" s="63">
        <f t="shared" si="156"/>
        <v>-1445.6460764771209</v>
      </c>
      <c r="AS209" s="63">
        <f t="shared" si="157"/>
        <v>92.75807353202056</v>
      </c>
      <c r="AT209" s="10"/>
      <c r="AU209">
        <f t="shared" si="158"/>
        <v>105.70807857699111</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349</v>
      </c>
      <c r="D1" t="s">
        <v>348</v>
      </c>
    </row>
    <row r="2" spans="1:5" x14ac:dyDescent="0.2">
      <c r="A2" t="s">
        <v>346</v>
      </c>
      <c r="B2" s="62">
        <v>85</v>
      </c>
      <c r="C2" t="s">
        <v>347</v>
      </c>
      <c r="D2">
        <f>B2*1000000</f>
        <v>85000000</v>
      </c>
      <c r="E2" t="s">
        <v>10</v>
      </c>
    </row>
    <row r="3" spans="1:5" x14ac:dyDescent="0.2">
      <c r="A3" t="s">
        <v>350</v>
      </c>
      <c r="B3" s="62">
        <v>3000</v>
      </c>
      <c r="C3" t="s">
        <v>53</v>
      </c>
      <c r="D3">
        <f>B3*0.000000000001</f>
        <v>3E-9</v>
      </c>
      <c r="E3" t="s">
        <v>34</v>
      </c>
    </row>
    <row r="4" spans="1:5" x14ac:dyDescent="0.2">
      <c r="A4" t="s">
        <v>352</v>
      </c>
      <c r="B4" s="63">
        <f>1000000000*1/((D2*2*3.14159)^2*D3)</f>
        <v>1.1686430773614742</v>
      </c>
      <c r="C4" t="s">
        <v>353</v>
      </c>
      <c r="D4">
        <f>B4/1000000000</f>
        <v>1.1686430773614743E-9</v>
      </c>
      <c r="E4" t="s">
        <v>24</v>
      </c>
    </row>
    <row r="5" spans="1:5" x14ac:dyDescent="0.2">
      <c r="A5" t="s">
        <v>351</v>
      </c>
      <c r="B5">
        <f>4*B3</f>
        <v>12000</v>
      </c>
      <c r="C5" t="s">
        <v>53</v>
      </c>
      <c r="D5">
        <f>B5*0.000000000001</f>
        <v>1.2E-8</v>
      </c>
      <c r="E5" t="s">
        <v>34</v>
      </c>
    </row>
    <row r="6" spans="1:5" x14ac:dyDescent="0.2">
      <c r="A6" t="s">
        <v>354</v>
      </c>
      <c r="B6" s="4">
        <f>SQRT(D4/D3)</f>
        <v>0.62413755891936573</v>
      </c>
      <c r="C6" s="4" t="s">
        <v>274</v>
      </c>
      <c r="D6" s="4">
        <f>B6</f>
        <v>0.62413755891936573</v>
      </c>
      <c r="E6" t="s">
        <v>274</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2.75" x14ac:dyDescent="0.2"/>
  <sheetData>
    <row r="3" spans="1:5" x14ac:dyDescent="0.2">
      <c r="A3" t="s">
        <v>298</v>
      </c>
      <c r="B3">
        <f>Iripple1</f>
        <v>2.1930697548176967</v>
      </c>
    </row>
    <row r="4" spans="1:5" x14ac:dyDescent="0.2">
      <c r="A4" t="s">
        <v>7</v>
      </c>
      <c r="B4">
        <f>Fsw</f>
        <v>1000000</v>
      </c>
    </row>
    <row r="6" spans="1:5" x14ac:dyDescent="0.2">
      <c r="A6" t="s">
        <v>279</v>
      </c>
      <c r="B6" s="52">
        <v>0.5</v>
      </c>
      <c r="C6" t="s">
        <v>134</v>
      </c>
      <c r="D6">
        <f>B6/1000</f>
        <v>5.0000000000000001E-4</v>
      </c>
      <c r="E6" t="s">
        <v>25</v>
      </c>
    </row>
    <row r="7" spans="1:5" x14ac:dyDescent="0.2">
      <c r="A7" t="s">
        <v>296</v>
      </c>
      <c r="B7" s="52">
        <v>20</v>
      </c>
      <c r="C7" t="s">
        <v>30</v>
      </c>
      <c r="D7">
        <f>B7/1000000</f>
        <v>2.0000000000000002E-5</v>
      </c>
      <c r="E7" t="s">
        <v>34</v>
      </c>
    </row>
    <row r="9" spans="1:5" x14ac:dyDescent="0.2">
      <c r="A9" t="s">
        <v>280</v>
      </c>
      <c r="B9" s="52">
        <v>20</v>
      </c>
      <c r="C9" t="s">
        <v>134</v>
      </c>
      <c r="D9">
        <f>B9/1000</f>
        <v>0.02</v>
      </c>
      <c r="E9" t="s">
        <v>25</v>
      </c>
    </row>
    <row r="10" spans="1:5" x14ac:dyDescent="0.2">
      <c r="A10" t="s">
        <v>297</v>
      </c>
      <c r="B10" s="52">
        <v>68</v>
      </c>
      <c r="C10" t="s">
        <v>30</v>
      </c>
      <c r="D10">
        <f>B10/1000000</f>
        <v>6.7999999999999999E-5</v>
      </c>
      <c r="E10" t="s">
        <v>34</v>
      </c>
    </row>
    <row r="12" spans="1:5" x14ac:dyDescent="0.2">
      <c r="A12" t="s">
        <v>300</v>
      </c>
      <c r="B12">
        <f>(D7/(D7+D10))*SQRT((D9*D10*B4)^2+1)/SQRT((((D6+D9)*D7*D10/(D10+D7))*B4)^2+1)</f>
        <v>0.36573722195300923</v>
      </c>
      <c r="C12" t="s">
        <v>299</v>
      </c>
    </row>
    <row r="13" spans="1:5" x14ac:dyDescent="0.2">
      <c r="A13" t="s">
        <v>301</v>
      </c>
      <c r="B13">
        <f>1-B12</f>
        <v>0.63426277804699072</v>
      </c>
      <c r="C13" t="s">
        <v>299</v>
      </c>
    </row>
    <row r="15" spans="1:5" x14ac:dyDescent="0.2">
      <c r="A15" t="s">
        <v>300</v>
      </c>
      <c r="B15">
        <f>B12*(Iripple1/(2*SQRT(3)))</f>
        <v>0.23154264187030651</v>
      </c>
      <c r="C15" t="s">
        <v>2</v>
      </c>
    </row>
    <row r="16" spans="1:5" x14ac:dyDescent="0.2">
      <c r="A16" t="s">
        <v>301</v>
      </c>
      <c r="B16">
        <f>B13*(Iripple1/(2*SQRT(3)))</f>
        <v>0.40154206477750537</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NATCHANON THUENTHAM</cp:lastModifiedBy>
  <cp:lastPrinted>2017-06-16T22:24:31Z</cp:lastPrinted>
  <dcterms:created xsi:type="dcterms:W3CDTF">1996-10-14T23:33:28Z</dcterms:created>
  <dcterms:modified xsi:type="dcterms:W3CDTF">2026-06-30T14:56:19Z</dcterms:modified>
</cp:coreProperties>
</file>