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ea066889e705d9f/Desktop/Rice Bootcamp Resources/1-1-Student-Resources/"/>
    </mc:Choice>
  </mc:AlternateContent>
  <xr:revisionPtr revIDLastSave="370" documentId="8_{47D908A6-9E2C-412C-B84A-300A914BA97B}" xr6:coauthVersionLast="47" xr6:coauthVersionMax="47" xr10:uidLastSave="{9EF8B011-1FB7-4746-B35F-1039D19464BE}"/>
  <bookViews>
    <workbookView xWindow="-120" yWindow="-120" windowWidth="38640" windowHeight="21240" firstSheet="1" activeTab="2" xr2:uid="{00000000-000D-0000-FFFF-FFFF00000000}"/>
  </bookViews>
  <sheets>
    <sheet name="Sheet2" sheetId="6" r:id="rId1"/>
    <sheet name="Sheet1" sheetId="1" r:id="rId2"/>
    <sheet name="Outcomes Based on Goals" sheetId="5" r:id="rId3"/>
    <sheet name="Theater Outcomes vs Launch" sheetId="4" r:id="rId4"/>
    <sheet name="Parent Category Outcomes" sheetId="2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5" l="1"/>
  <c r="B2" i="5"/>
  <c r="C4" i="5"/>
  <c r="C8" i="5"/>
  <c r="C7" i="5"/>
  <c r="E7" i="5"/>
  <c r="B3" i="5"/>
  <c r="C3" i="5"/>
  <c r="C2" i="5"/>
  <c r="D2" i="5"/>
  <c r="H5" i="5"/>
  <c r="H6" i="5"/>
  <c r="H9" i="5"/>
  <c r="H10" i="5"/>
  <c r="H11" i="5"/>
  <c r="H12" i="5"/>
  <c r="H13" i="5"/>
  <c r="G5" i="5"/>
  <c r="G6" i="5"/>
  <c r="G9" i="5"/>
  <c r="G10" i="5"/>
  <c r="G11" i="5"/>
  <c r="G12" i="5"/>
  <c r="G13" i="5"/>
  <c r="F5" i="5"/>
  <c r="F6" i="5"/>
  <c r="F9" i="5"/>
  <c r="F10" i="5"/>
  <c r="F11" i="5"/>
  <c r="F12" i="5"/>
  <c r="F13" i="5"/>
  <c r="E5" i="5"/>
  <c r="E6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6" i="5"/>
  <c r="C5" i="5"/>
  <c r="B13" i="5"/>
  <c r="B12" i="5"/>
  <c r="B11" i="5"/>
  <c r="B10" i="5"/>
  <c r="B9" i="5"/>
  <c r="B8" i="5"/>
  <c r="B7" i="5"/>
  <c r="B6" i="5"/>
  <c r="B5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/>
  <c r="F4" i="5"/>
  <c r="E8" i="5"/>
  <c r="F8" i="5"/>
  <c r="F7" i="5"/>
  <c r="H7" i="5"/>
  <c r="G7" i="5"/>
  <c r="E3" i="5"/>
  <c r="F3" i="5"/>
  <c r="E2" i="5"/>
  <c r="F2" i="5"/>
  <c r="H4" i="5"/>
  <c r="G4" i="5"/>
  <c r="H8" i="5"/>
  <c r="G8" i="5"/>
  <c r="G3" i="5"/>
  <c r="H3" i="5"/>
  <c r="H2" i="5"/>
  <c r="G2" i="5"/>
</calcChain>
</file>

<file path=xl/sharedStrings.xml><?xml version="1.0" encoding="utf-8"?>
<sst xmlns="http://schemas.openxmlformats.org/spreadsheetml/2006/main" count="33004" uniqueCount="8400">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</sst>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D-455E-9544-C5E39DE0FE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D-455E-9544-C5E39DE0FE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D-455E-9544-C5E39DE0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262688"/>
        <c:axId val="998263104"/>
      </c:lineChart>
      <c:catAx>
        <c:axId val="99826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63104"/>
        <c:crosses val="autoZero"/>
        <c:auto val="1"/>
        <c:lblAlgn val="ctr"/>
        <c:lblOffset val="100"/>
        <c:noMultiLvlLbl val="0"/>
      </c:catAx>
      <c:valAx>
        <c:axId val="9982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vs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189204924652046"/>
          <c:y val="5.29379428429815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F-4B4C-9007-775F39B15932}"/>
            </c:ext>
          </c:extLst>
        </c:ser>
        <c:ser>
          <c:idx val="1"/>
          <c:order val="1"/>
          <c:tx>
            <c:strRef>
              <c:f>'Theater Outcomes vs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F-4B4C-9007-775F39B15932}"/>
            </c:ext>
          </c:extLst>
        </c:ser>
        <c:ser>
          <c:idx val="2"/>
          <c:order val="2"/>
          <c:tx>
            <c:strRef>
              <c:f>'Theater Outcomes vs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F-4B4C-9007-775F39B1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843520"/>
        <c:axId val="574841024"/>
      </c:lineChart>
      <c:catAx>
        <c:axId val="5748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1024"/>
        <c:crosses val="autoZero"/>
        <c:auto val="1"/>
        <c:lblAlgn val="ctr"/>
        <c:lblOffset val="100"/>
        <c:noMultiLvlLbl val="0"/>
      </c:catAx>
      <c:valAx>
        <c:axId val="5748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94930008748906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4-451F-A058-B3D7EC36834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4-451F-A058-B3D7EC36834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44-451F-A058-B3D7EC36834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4-451F-A058-B3D7EC368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5039328"/>
        <c:axId val="1035041408"/>
      </c:barChart>
      <c:catAx>
        <c:axId val="103503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041408"/>
        <c:crosses val="autoZero"/>
        <c:auto val="1"/>
        <c:lblAlgn val="ctr"/>
        <c:lblOffset val="100"/>
        <c:noMultiLvlLbl val="0"/>
      </c:catAx>
      <c:valAx>
        <c:axId val="10350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03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771524</xdr:colOff>
      <xdr:row>14</xdr:row>
      <xdr:rowOff>57150</xdr:rowOff>
    </xdr:from>
    <xdr:to>
      <xdr:col>6</xdr:col>
      <xdr:colOff>1009649</xdr:colOff>
      <xdr:row>33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FF6E0-08FF-31CB-C366-BAADCB20A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2</xdr:row>
      <xdr:rowOff>142875</xdr:rowOff>
    </xdr:from>
    <xdr:to>
      <xdr:col>18</xdr:col>
      <xdr:colOff>361950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F04AC-41AE-7D38-260E-CAD7497E9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15</xdr:row>
      <xdr:rowOff>138112</xdr:rowOff>
    </xdr:from>
    <xdr:to>
      <xdr:col>6</xdr:col>
      <xdr:colOff>409575</xdr:colOff>
      <xdr:row>30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18BA2D-F15A-A8AD-9C3A-909B10BC0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Kudla" refreshedDate="44811.496932407405" createdVersion="8" refreshedVersion="8" minRefreshableVersion="3" recordCount="4114" xr:uid="{6D9D557E-856C-4E93-BF60-4FB951DE37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Kudla" refreshedDate="44811.520971412036" createdVersion="8" refreshedVersion="8" minRefreshableVersion="3" recordCount="4114" xr:uid="{8819A249-CF7E-4847-961B-C2DCB537593A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x v="122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x v="124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x v="130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x v="117"/>
    <x v="1"/>
    <s v="US"/>
    <s v="USD"/>
    <n v="1467763200"/>
    <x v="13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x v="133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x v="134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x v="140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x v="143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x v="147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x v="165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x v="172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x v="173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x v="176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x v="178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x v="186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x v="195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x v="202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x v="206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x v="172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x v="221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x v="223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x v="225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x v="227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x v="228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x v="23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x v="233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x v="235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x v="236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x v="436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x v="437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x v="439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x v="441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x v="368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x v="462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x v="469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x v="475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x v="477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x v="478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x v="487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x v="488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x v="117"/>
    <x v="2"/>
    <s v="US"/>
    <s v="USD"/>
    <n v="1345677285"/>
    <x v="490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x v="491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x v="493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x v="49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x v="50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x v="510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x v="516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x v="547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x v="552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x v="558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x v="572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x v="585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x v="602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x v="607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x v="610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x v="612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x v="614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x v="615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x v="624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x v="628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x v="632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x v="461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x v="686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x v="710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x v="762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x v="764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x v="906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x v="907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x v="908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x v="914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x v="916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x v="920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x v="927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x v="92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x v="936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x v="1041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x v="1046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x v="117"/>
    <x v="1"/>
    <s v="US"/>
    <s v="USD"/>
    <n v="1455272445"/>
    <x v="1049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x v="1050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x v="1051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x v="105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x v="1057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x v="1059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x v="1061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x v="1071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x v="108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x v="1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x v="112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x v="116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x v="1140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x v="1141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x v="1142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x v="1144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x v="1147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x v="1156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x v="1159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x v="117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x v="1231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x v="1234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x v="1236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x v="1239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x v="1340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x v="1409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x v="1416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x v="1429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x v="1443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x v="1444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x v="1452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x v="1457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x v="1459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x v="1460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x v="1484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x v="1487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x v="1489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x v="1493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x v="1495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x v="1496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x v="154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x v="1547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x v="1553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x v="1554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x v="1555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2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x v="1569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x v="1580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x v="1584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x v="1586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x v="1588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x v="1589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x v="1592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x v="15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x v="1599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x v="1682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x v="1696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8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x v="1705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x v="1706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x v="1708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x v="1712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x v="1721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x v="1729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x v="1730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x v="1731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x v="1732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x v="1733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x v="1740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x v="1766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x v="1813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x v="1815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x v="1818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x v="1876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x v="1877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x v="1878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x v="1982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x v="1993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x v="1994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x v="1996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x v="1997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x v="2141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9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x v="2341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x v="2342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x v="2345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x v="2349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x v="235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x v="23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x v="2353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x v="2356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x v="2357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x v="2358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x v="2361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x v="2363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x v="2364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x v="236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x v="2369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x v="2371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x v="2375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x v="2377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x v="2378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x v="2379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x v="2386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x v="2390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x v="2392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x v="2395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x v="2397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x v="2398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x v="2399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x v="2400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x v="2404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x v="2410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x v="2412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x v="241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x v="241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x v="2426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x v="2437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x v="2503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x v="250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x v="2505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x v="2507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x v="2508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x v="2511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x v="2512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3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x v="2516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x v="251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x v="2520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x v="2561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x v="2563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x v="2564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x v="2566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x v="2572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x v="2573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x v="2574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x v="2575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x v="2576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x v="257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8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x v="2584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x v="2590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x v="2593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42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x v="1819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x v="2686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x v="2687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x v="2699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x v="2743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x v="2750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51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x v="2754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x v="2760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x v="2765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x v="2771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x v="2772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x v="2780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x v="2842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x v="2843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6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x v="2847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x v="2851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x v="2853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x v="2858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x v="2865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x v="2872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x v="2876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81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x v="2888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x v="2894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x v="2899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x v="2943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x v="2945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x v="2950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x v="2954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x v="2958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x v="2959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x v="2960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x v="30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x v="3056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x v="3057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x v="3061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x v="3082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x v="3114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x v="117"/>
    <x v="1"/>
    <s v="US"/>
    <s v="USD"/>
    <n v="1452142672"/>
    <x v="3125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7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x v="3138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x v="3143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x v="3145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x v="3190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x v="3194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x v="3204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x v="3206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x v="2173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28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x v="3636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x v="3641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x v="3643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x v="3733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x v="3741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x v="3743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x v="3744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x v="3790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x v="3791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x v="3802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x v="380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x v="3863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x v="3872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x v="3873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x v="3874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x v="387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x v="3879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x v="3882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x v="3883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x v="3884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x v="3885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x v="117"/>
    <x v="1"/>
    <s v="AU"/>
    <s v="AUD"/>
    <n v="1418275702"/>
    <x v="3886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x v="3892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903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x v="3916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x v="3921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x v="3930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x v="3931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x v="3936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x v="3942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x v="3944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x v="3948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x v="3953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x v="395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x v="3956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63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x v="3975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x v="3989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x v="3997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x v="4012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x v="4014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x v="402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x v="4026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x v="4029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x v="4031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x v="4043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x v="4051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x v="4054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x v="4061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x v="407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x v="4076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x v="4078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x v="4080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x v="4087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x v="409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x v="4098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x v="410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x v="4101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x v="4109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E1345-E450-458B-9004-E584AD41C04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49" firstHeaderRow="1" firstDataRow="2" firstDataCol="1" rowPageCount="1" colPageCount="1"/>
  <pivotFields count="23">
    <pivotField showAll="0"/>
    <pivotField showAll="0"/>
    <pivotField showAll="0"/>
    <pivotField numFmtId="44" showAll="0"/>
    <pivotField axis="axisRow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4"/>
  </rowFields>
  <rowItems count="44">
    <i>
      <x v="1831"/>
    </i>
    <i>
      <x v="1832"/>
    </i>
    <i>
      <x v="1833"/>
    </i>
    <i>
      <x v="1834"/>
    </i>
    <i>
      <x v="1838"/>
    </i>
    <i>
      <x v="1839"/>
    </i>
    <i>
      <x v="1842"/>
    </i>
    <i>
      <x v="1846"/>
    </i>
    <i>
      <x v="1848"/>
    </i>
    <i>
      <x v="1850"/>
    </i>
    <i>
      <x v="1851"/>
    </i>
    <i>
      <x v="1855"/>
    </i>
    <i>
      <x v="1859"/>
    </i>
    <i>
      <x v="1860"/>
    </i>
    <i>
      <x v="1862"/>
    </i>
    <i>
      <x v="1869"/>
    </i>
    <i>
      <x v="1874"/>
    </i>
    <i>
      <x v="1876"/>
    </i>
    <i>
      <x v="1882"/>
    </i>
    <i>
      <x v="1886"/>
    </i>
    <i>
      <x v="1896"/>
    </i>
    <i>
      <x v="1897"/>
    </i>
    <i>
      <x v="1901"/>
    </i>
    <i>
      <x v="1910"/>
    </i>
    <i>
      <x v="1913"/>
    </i>
    <i>
      <x v="1918"/>
    </i>
    <i>
      <x v="1922"/>
    </i>
    <i>
      <x v="1935"/>
    </i>
    <i>
      <x v="1939"/>
    </i>
    <i>
      <x v="1944"/>
    </i>
    <i>
      <x v="1950"/>
    </i>
    <i>
      <x v="1954"/>
    </i>
    <i>
      <x v="1956"/>
    </i>
    <i>
      <x v="1957"/>
    </i>
    <i>
      <x v="1959"/>
    </i>
    <i>
      <x v="1960"/>
    </i>
    <i>
      <x v="1966"/>
    </i>
    <i>
      <x v="1968"/>
    </i>
    <i>
      <x v="1971"/>
    </i>
    <i>
      <x v="1974"/>
    </i>
    <i>
      <x v="1976"/>
    </i>
    <i>
      <x v="1986"/>
    </i>
    <i>
      <x v="2015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item="2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filters count="1">
    <filter fld="4" type="captionBetween" evalOrder="-1" id="2" stringValue1="10000" stringValue2="14999">
      <autoFilter ref="A1">
        <filterColumn colId="0">
          <customFilters and="1">
            <customFilter operator="greaterThanOrEqual" val="10000"/>
            <customFilter operator="lessThanOrEqual" val="14999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60F88-D26C-4DB5-9488-F3A11F078C6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36BFE-CEDF-47BA-8D01-F5ACDF84AB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82E82-FFED-4163-8205-E69FFBBC4760}">
  <sheetPr codeName="Sheet1"/>
  <dimension ref="A2:D49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6" width="11.28515625" bestFit="1" customWidth="1"/>
  </cols>
  <sheetData>
    <row r="2" spans="1:4" x14ac:dyDescent="0.25">
      <c r="A2" s="11" t="s">
        <v>8359</v>
      </c>
      <c r="B2" t="s">
        <v>8316</v>
      </c>
    </row>
    <row r="4" spans="1:4" x14ac:dyDescent="0.25">
      <c r="A4" s="11" t="s">
        <v>8363</v>
      </c>
      <c r="B4" s="11" t="s">
        <v>8360</v>
      </c>
    </row>
    <row r="5" spans="1:4" x14ac:dyDescent="0.25">
      <c r="A5" s="11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7">
        <v>10026.49</v>
      </c>
      <c r="B6" s="13"/>
      <c r="C6" s="13">
        <v>1</v>
      </c>
      <c r="D6" s="13">
        <v>1</v>
      </c>
    </row>
    <row r="7" spans="1:4" x14ac:dyDescent="0.25">
      <c r="A7" s="17">
        <v>10027</v>
      </c>
      <c r="B7" s="13"/>
      <c r="C7" s="13">
        <v>1</v>
      </c>
      <c r="D7" s="13">
        <v>1</v>
      </c>
    </row>
    <row r="8" spans="1:4" x14ac:dyDescent="0.25">
      <c r="A8" s="17">
        <v>10031</v>
      </c>
      <c r="B8" s="13"/>
      <c r="C8" s="13">
        <v>1</v>
      </c>
      <c r="D8" s="13">
        <v>1</v>
      </c>
    </row>
    <row r="9" spans="1:4" x14ac:dyDescent="0.25">
      <c r="A9" s="17">
        <v>10041</v>
      </c>
      <c r="B9" s="13"/>
      <c r="C9" s="13">
        <v>1</v>
      </c>
      <c r="D9" s="13">
        <v>1</v>
      </c>
    </row>
    <row r="10" spans="1:4" x14ac:dyDescent="0.25">
      <c r="A10" s="17">
        <v>10065</v>
      </c>
      <c r="B10" s="13"/>
      <c r="C10" s="13">
        <v>1</v>
      </c>
      <c r="D10" s="13">
        <v>1</v>
      </c>
    </row>
    <row r="11" spans="1:4" x14ac:dyDescent="0.25">
      <c r="A11" s="17">
        <v>10067.5</v>
      </c>
      <c r="B11" s="13"/>
      <c r="C11" s="13">
        <v>1</v>
      </c>
      <c r="D11" s="13">
        <v>1</v>
      </c>
    </row>
    <row r="12" spans="1:4" x14ac:dyDescent="0.25">
      <c r="A12" s="17">
        <v>10085</v>
      </c>
      <c r="B12" s="13"/>
      <c r="C12" s="13">
        <v>1</v>
      </c>
      <c r="D12" s="13">
        <v>1</v>
      </c>
    </row>
    <row r="13" spans="1:4" x14ac:dyDescent="0.25">
      <c r="A13" s="17">
        <v>10115</v>
      </c>
      <c r="B13" s="13"/>
      <c r="C13" s="13">
        <v>1</v>
      </c>
      <c r="D13" s="13">
        <v>1</v>
      </c>
    </row>
    <row r="14" spans="1:4" x14ac:dyDescent="0.25">
      <c r="A14" s="17">
        <v>10133</v>
      </c>
      <c r="B14" s="13"/>
      <c r="C14" s="13">
        <v>1</v>
      </c>
      <c r="D14" s="13">
        <v>1</v>
      </c>
    </row>
    <row r="15" spans="1:4" x14ac:dyDescent="0.25">
      <c r="A15" s="17">
        <v>10156</v>
      </c>
      <c r="B15" s="13"/>
      <c r="C15" s="13">
        <v>1</v>
      </c>
      <c r="D15" s="13">
        <v>1</v>
      </c>
    </row>
    <row r="16" spans="1:4" x14ac:dyDescent="0.25">
      <c r="A16" s="17">
        <v>10173</v>
      </c>
      <c r="B16" s="13"/>
      <c r="C16" s="13">
        <v>1</v>
      </c>
      <c r="D16" s="13">
        <v>1</v>
      </c>
    </row>
    <row r="17" spans="1:4" x14ac:dyDescent="0.25">
      <c r="A17" s="17">
        <v>10235</v>
      </c>
      <c r="B17" s="13"/>
      <c r="C17" s="13">
        <v>1</v>
      </c>
      <c r="D17" s="13">
        <v>1</v>
      </c>
    </row>
    <row r="18" spans="1:4" x14ac:dyDescent="0.25">
      <c r="A18" s="17">
        <v>10299</v>
      </c>
      <c r="B18" s="13"/>
      <c r="C18" s="13">
        <v>1</v>
      </c>
      <c r="D18" s="13">
        <v>1</v>
      </c>
    </row>
    <row r="19" spans="1:4" x14ac:dyDescent="0.25">
      <c r="A19" s="17">
        <v>10300</v>
      </c>
      <c r="B19" s="13"/>
      <c r="C19" s="13">
        <v>1</v>
      </c>
      <c r="D19" s="13">
        <v>1</v>
      </c>
    </row>
    <row r="20" spans="1:4" x14ac:dyDescent="0.25">
      <c r="A20" s="17">
        <v>10338</v>
      </c>
      <c r="B20" s="13"/>
      <c r="C20" s="13">
        <v>1</v>
      </c>
      <c r="D20" s="13">
        <v>1</v>
      </c>
    </row>
    <row r="21" spans="1:4" x14ac:dyDescent="0.25">
      <c r="A21" s="17">
        <v>10440</v>
      </c>
      <c r="B21" s="13"/>
      <c r="C21" s="13">
        <v>1</v>
      </c>
      <c r="D21" s="13">
        <v>1</v>
      </c>
    </row>
    <row r="22" spans="1:4" x14ac:dyDescent="0.25">
      <c r="A22" s="17">
        <v>10555</v>
      </c>
      <c r="B22" s="13"/>
      <c r="C22" s="13">
        <v>1</v>
      </c>
      <c r="D22" s="13">
        <v>1</v>
      </c>
    </row>
    <row r="23" spans="1:4" x14ac:dyDescent="0.25">
      <c r="A23" s="17">
        <v>10603</v>
      </c>
      <c r="B23" s="13"/>
      <c r="C23" s="13">
        <v>1</v>
      </c>
      <c r="D23" s="13">
        <v>1</v>
      </c>
    </row>
    <row r="24" spans="1:4" x14ac:dyDescent="0.25">
      <c r="A24" s="17">
        <v>10685</v>
      </c>
      <c r="B24" s="13"/>
      <c r="C24" s="13">
        <v>1</v>
      </c>
      <c r="D24" s="13">
        <v>1</v>
      </c>
    </row>
    <row r="25" spans="1:4" x14ac:dyDescent="0.25">
      <c r="A25" s="17">
        <v>10775</v>
      </c>
      <c r="B25" s="13">
        <v>1</v>
      </c>
      <c r="C25" s="13"/>
      <c r="D25" s="13">
        <v>1</v>
      </c>
    </row>
    <row r="26" spans="1:4" x14ac:dyDescent="0.25">
      <c r="A26" s="17">
        <v>11045</v>
      </c>
      <c r="B26" s="13"/>
      <c r="C26" s="13">
        <v>1</v>
      </c>
      <c r="D26" s="13">
        <v>1</v>
      </c>
    </row>
    <row r="27" spans="1:4" x14ac:dyDescent="0.25">
      <c r="A27" s="17">
        <v>11056.75</v>
      </c>
      <c r="B27" s="13"/>
      <c r="C27" s="13">
        <v>1</v>
      </c>
      <c r="D27" s="13">
        <v>1</v>
      </c>
    </row>
    <row r="28" spans="1:4" x14ac:dyDescent="0.25">
      <c r="A28" s="17">
        <v>11122</v>
      </c>
      <c r="B28" s="13"/>
      <c r="C28" s="13">
        <v>1</v>
      </c>
      <c r="D28" s="13">
        <v>1</v>
      </c>
    </row>
    <row r="29" spans="1:4" x14ac:dyDescent="0.25">
      <c r="A29" s="17">
        <v>11335.7</v>
      </c>
      <c r="B29" s="13"/>
      <c r="C29" s="13">
        <v>1</v>
      </c>
      <c r="D29" s="13">
        <v>1</v>
      </c>
    </row>
    <row r="30" spans="1:4" x14ac:dyDescent="0.25">
      <c r="A30" s="17">
        <v>11363</v>
      </c>
      <c r="B30" s="13"/>
      <c r="C30" s="13">
        <v>1</v>
      </c>
      <c r="D30" s="13">
        <v>1</v>
      </c>
    </row>
    <row r="31" spans="1:4" x14ac:dyDescent="0.25">
      <c r="A31" s="17">
        <v>11450</v>
      </c>
      <c r="B31" s="13"/>
      <c r="C31" s="13">
        <v>1</v>
      </c>
      <c r="D31" s="13">
        <v>1</v>
      </c>
    </row>
    <row r="32" spans="1:4" x14ac:dyDescent="0.25">
      <c r="A32" s="17">
        <v>11530</v>
      </c>
      <c r="B32" s="13"/>
      <c r="C32" s="13">
        <v>1</v>
      </c>
      <c r="D32" s="13">
        <v>1</v>
      </c>
    </row>
    <row r="33" spans="1:4" x14ac:dyDescent="0.25">
      <c r="A33" s="17">
        <v>11747.18</v>
      </c>
      <c r="B33" s="13"/>
      <c r="C33" s="13">
        <v>1</v>
      </c>
      <c r="D33" s="13">
        <v>1</v>
      </c>
    </row>
    <row r="34" spans="1:4" x14ac:dyDescent="0.25">
      <c r="A34" s="17">
        <v>11880</v>
      </c>
      <c r="B34" s="13"/>
      <c r="C34" s="13">
        <v>1</v>
      </c>
      <c r="D34" s="13">
        <v>1</v>
      </c>
    </row>
    <row r="35" spans="1:4" x14ac:dyDescent="0.25">
      <c r="A35" s="17">
        <v>12000</v>
      </c>
      <c r="B35" s="13"/>
      <c r="C35" s="13">
        <v>1</v>
      </c>
      <c r="D35" s="13">
        <v>1</v>
      </c>
    </row>
    <row r="36" spans="1:4" x14ac:dyDescent="0.25">
      <c r="A36" s="17">
        <v>12095</v>
      </c>
      <c r="B36" s="13"/>
      <c r="C36" s="13">
        <v>1</v>
      </c>
      <c r="D36" s="13">
        <v>1</v>
      </c>
    </row>
    <row r="37" spans="1:4" x14ac:dyDescent="0.25">
      <c r="A37" s="17">
        <v>12178</v>
      </c>
      <c r="B37" s="13"/>
      <c r="C37" s="13">
        <v>1</v>
      </c>
      <c r="D37" s="13">
        <v>1</v>
      </c>
    </row>
    <row r="38" spans="1:4" x14ac:dyDescent="0.25">
      <c r="A38" s="17">
        <v>12252</v>
      </c>
      <c r="B38" s="13"/>
      <c r="C38" s="13">
        <v>1</v>
      </c>
      <c r="D38" s="13">
        <v>1</v>
      </c>
    </row>
    <row r="39" spans="1:4" x14ac:dyDescent="0.25">
      <c r="A39" s="17">
        <v>12256</v>
      </c>
      <c r="B39" s="13"/>
      <c r="C39" s="13">
        <v>1</v>
      </c>
      <c r="D39" s="13">
        <v>1</v>
      </c>
    </row>
    <row r="40" spans="1:4" x14ac:dyDescent="0.25">
      <c r="A40" s="17">
        <v>12325</v>
      </c>
      <c r="B40" s="13"/>
      <c r="C40" s="13">
        <v>1</v>
      </c>
      <c r="D40" s="13">
        <v>1</v>
      </c>
    </row>
    <row r="41" spans="1:4" x14ac:dyDescent="0.25">
      <c r="A41" s="17">
        <v>12348.5</v>
      </c>
      <c r="B41" s="13"/>
      <c r="C41" s="13">
        <v>1</v>
      </c>
      <c r="D41" s="13">
        <v>1</v>
      </c>
    </row>
    <row r="42" spans="1:4" x14ac:dyDescent="0.25">
      <c r="A42" s="17">
        <v>12521</v>
      </c>
      <c r="B42" s="13">
        <v>1</v>
      </c>
      <c r="C42" s="13"/>
      <c r="D42" s="13">
        <v>1</v>
      </c>
    </row>
    <row r="43" spans="1:4" x14ac:dyDescent="0.25">
      <c r="A43" s="17">
        <v>12571</v>
      </c>
      <c r="B43" s="13"/>
      <c r="C43" s="13">
        <v>1</v>
      </c>
      <c r="D43" s="13">
        <v>1</v>
      </c>
    </row>
    <row r="44" spans="1:4" x14ac:dyDescent="0.25">
      <c r="A44" s="17">
        <v>12730.42</v>
      </c>
      <c r="B44" s="13"/>
      <c r="C44" s="13">
        <v>1</v>
      </c>
      <c r="D44" s="13">
        <v>1</v>
      </c>
    </row>
    <row r="45" spans="1:4" x14ac:dyDescent="0.25">
      <c r="A45" s="17">
        <v>12795</v>
      </c>
      <c r="B45" s="13"/>
      <c r="C45" s="13">
        <v>1</v>
      </c>
      <c r="D45" s="13">
        <v>1</v>
      </c>
    </row>
    <row r="46" spans="1:4" x14ac:dyDescent="0.25">
      <c r="A46" s="17">
        <v>12806</v>
      </c>
      <c r="B46" s="13"/>
      <c r="C46" s="13">
        <v>1</v>
      </c>
      <c r="D46" s="13">
        <v>1</v>
      </c>
    </row>
    <row r="47" spans="1:4" x14ac:dyDescent="0.25">
      <c r="A47" s="17">
        <v>13163.5</v>
      </c>
      <c r="B47" s="13"/>
      <c r="C47" s="13">
        <v>1</v>
      </c>
      <c r="D47" s="13">
        <v>1</v>
      </c>
    </row>
    <row r="48" spans="1:4" x14ac:dyDescent="0.25">
      <c r="A48" s="17">
        <v>14450</v>
      </c>
      <c r="B48" s="13"/>
      <c r="C48" s="13">
        <v>1</v>
      </c>
      <c r="D48" s="13">
        <v>1</v>
      </c>
    </row>
    <row r="49" spans="1:4" x14ac:dyDescent="0.25">
      <c r="A49" s="17" t="s">
        <v>8361</v>
      </c>
      <c r="B49" s="13">
        <v>2</v>
      </c>
      <c r="C49" s="13">
        <v>41</v>
      </c>
      <c r="D49" s="13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70" zoomScaleNormal="70" workbookViewId="0">
      <selection activeCell="D8" sqref="D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30.5703125" bestFit="1" customWidth="1"/>
    <col min="20" max="20" width="28.7109375" bestFit="1" customWidth="1"/>
    <col min="21" max="21" width="8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45C2-B659-4096-8F4D-D19EEF6ED5DE}">
  <sheetPr codeName="Sheet3"/>
  <dimension ref="A1:H13"/>
  <sheetViews>
    <sheetView tabSelected="1" workbookViewId="0">
      <selection activeCell="Q24" sqref="Q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COUNTIFS(Sheet1!$E:$E,"&lt;1000",Sheet1!$F:$F,"successful",Sheet1!R:R, "plays")</f>
        <v>116</v>
      </c>
      <c r="C2">
        <f>COUNTIFS(Sheet1!$E:$E,"&lt;1000",Sheet1!$F:$F,"failed",Sheet1!R:R,"plays")</f>
        <v>305</v>
      </c>
      <c r="D2">
        <f>COUNTIFS(Sheet1!$E:$E,"&lt;1000",Sheet1!$F:$F,"canceled",Sheet1!R:R,"plays")</f>
        <v>0</v>
      </c>
      <c r="E2">
        <f>SUM(B2:D2)</f>
        <v>421</v>
      </c>
      <c r="F2" s="16">
        <f>B2/E2</f>
        <v>0.27553444180522563</v>
      </c>
      <c r="G2" s="16">
        <f>C2/E2</f>
        <v>0.72446555819477432</v>
      </c>
      <c r="H2" s="16">
        <f>D2/E2</f>
        <v>0</v>
      </c>
    </row>
    <row r="3" spans="1:8" x14ac:dyDescent="0.25">
      <c r="A3" t="s">
        <v>8399</v>
      </c>
      <c r="B3">
        <f>COUNTIFS(Sheet1!$E:$E,"&gt;=1000",Sheet1!$E:$E,"&lt;=4999",Sheet1!$F:$F,"=successful",Sheet1!R:R,"=plays")</f>
        <v>402</v>
      </c>
      <c r="C3">
        <f>COUNTIFS(Sheet1!$E:$E,"&gt;=1000",Sheet1!$E:$E,"&lt;=4999",Sheet1!$F:$F,"failed",Sheet1!R:R,"plays")</f>
        <v>43</v>
      </c>
      <c r="D3">
        <f>COUNTIFS(Sheet1!$E:$E,"&gt;=1000",Sheet1!$E:$E,"&lt;=4999",Sheet1!$F:$F,"canceled",Sheet1!R:R,"plays")</f>
        <v>0</v>
      </c>
      <c r="E3">
        <f t="shared" ref="E3:E13" si="0">SUM(B3:D3)</f>
        <v>445</v>
      </c>
      <c r="F3" s="16">
        <f t="shared" ref="F3:F13" si="1">B3/E3</f>
        <v>0.90337078651685399</v>
      </c>
      <c r="G3" s="16">
        <f t="shared" ref="G3:G13" si="2">C3/E3</f>
        <v>9.662921348314607E-2</v>
      </c>
      <c r="H3" s="16">
        <f t="shared" ref="H3:H13" si="3">D3/E3</f>
        <v>0</v>
      </c>
    </row>
    <row r="4" spans="1:8" x14ac:dyDescent="0.25">
      <c r="A4" t="s">
        <v>8389</v>
      </c>
      <c r="B4">
        <f>COUNTIFS(Sheet1!$E:$E,"&gt;=5000",Sheet1!$E:$E,"&lt;=9999",Sheet1!$F:$F,"successful",Sheet1!R:R,"plays")</f>
        <v>100</v>
      </c>
      <c r="C4">
        <f>COUNTIFS(Sheet1!$E:$E,"&gt;=5000",Sheet1!$E:$E,"&lt;=9999",Sheet1!$F:$F,"failed",Sheet1!R:R,"plays")</f>
        <v>3</v>
      </c>
      <c r="D4">
        <f>COUNTIFS(Sheet1!$E:$E,"&gt;=5000",Sheet1!$E:$E,"&lt;=9999",Sheet1!$F:$F,"canceled",Sheet1!R:R,"plays")</f>
        <v>0</v>
      </c>
      <c r="E4">
        <f t="shared" si="0"/>
        <v>103</v>
      </c>
      <c r="F4" s="16">
        <f t="shared" si="1"/>
        <v>0.970873786407767</v>
      </c>
      <c r="G4" s="16">
        <f t="shared" si="2"/>
        <v>2.9126213592233011E-2</v>
      </c>
      <c r="H4" s="16">
        <f t="shared" si="3"/>
        <v>0</v>
      </c>
    </row>
    <row r="5" spans="1:8" x14ac:dyDescent="0.25">
      <c r="A5" t="s">
        <v>8390</v>
      </c>
      <c r="B5">
        <f>COUNTIFS(Sheet1!$E:$E,"&gt;=10000",Sheet1!$E:$E,"&lt;=14999",Sheet1!$F:$F,"successful",Sheet1!R:R,"plays")</f>
        <v>41</v>
      </c>
      <c r="C5">
        <f>COUNTIFS(Sheet1!$E:$E,"&gt;=10000",Sheet1!$E:$E,"&lt;=14999",Sheet1!$F:$F,"failed",Sheet1!R:R,"plays")</f>
        <v>2</v>
      </c>
      <c r="D5">
        <f>COUNTIFS(Sheet1!$E:$E,"&gt;=10000",Sheet1!$E:$E,"&lt;=14999",Sheet1!$F:$F,"canceled",Sheet1!R:R,"plays")</f>
        <v>0</v>
      </c>
      <c r="E5">
        <f t="shared" si="0"/>
        <v>43</v>
      </c>
      <c r="F5" s="16">
        <f t="shared" si="1"/>
        <v>0.95348837209302328</v>
      </c>
      <c r="G5" s="16">
        <f t="shared" si="2"/>
        <v>4.6511627906976744E-2</v>
      </c>
      <c r="H5" s="16">
        <f t="shared" si="3"/>
        <v>0</v>
      </c>
    </row>
    <row r="6" spans="1:8" x14ac:dyDescent="0.25">
      <c r="A6" t="s">
        <v>8391</v>
      </c>
      <c r="B6">
        <f>COUNTIFS(Sheet1!$E:$E,"&gt;=15000",Sheet1!$E:$E,"&lt;=19999",Sheet1!$F:$F,"successful",Sheet1!R:R,"plays")</f>
        <v>14</v>
      </c>
      <c r="C6">
        <f>COUNTIFS(Sheet1!$E:$E,"&gt;=15000",Sheet1!$E:$E,"&lt;=19999",Sheet1!$F:$F,"failed",Sheet1!R:R,"plays")</f>
        <v>0</v>
      </c>
      <c r="D6">
        <f>COUNTIFS(Sheet1!$E:$E,"&gt;=15000",Sheet1!$E:$E,"&lt;=19999",Sheet1!$F:$F,"canceled",Sheet1!R:R,"plays")</f>
        <v>0</v>
      </c>
      <c r="E6">
        <f t="shared" si="0"/>
        <v>14</v>
      </c>
      <c r="F6" s="16">
        <f t="shared" si="1"/>
        <v>1</v>
      </c>
      <c r="G6" s="16">
        <f t="shared" si="2"/>
        <v>0</v>
      </c>
      <c r="H6" s="16">
        <f t="shared" si="3"/>
        <v>0</v>
      </c>
    </row>
    <row r="7" spans="1:8" x14ac:dyDescent="0.25">
      <c r="A7" t="s">
        <v>8392</v>
      </c>
      <c r="B7">
        <f>COUNTIFS(Sheet1!$E:$E,"&gt;=20000",Sheet1!$E:$E,"&lt;=24999",Sheet1!$F:$F,"successful",Sheet1!R:R,"plays")</f>
        <v>8</v>
      </c>
      <c r="C7">
        <f>COUNTIFS(Sheet1!$E:$E,"&gt;=20000",Sheet1!$E:$E,"&lt;=24999",Sheet1!$F:$F,"=failed",Sheet1!R:R,"=plays")</f>
        <v>0</v>
      </c>
      <c r="D7">
        <f>COUNTIFS(Sheet1!$E:$E,"&gt;=20000",Sheet1!$E:$E,"&lt;=24999",Sheet1!$F:$F,"canceled",Sheet1!R:R,"plays")</f>
        <v>0</v>
      </c>
      <c r="E7">
        <f t="shared" si="0"/>
        <v>8</v>
      </c>
      <c r="F7" s="16">
        <f t="shared" si="1"/>
        <v>1</v>
      </c>
      <c r="G7" s="16">
        <f t="shared" si="2"/>
        <v>0</v>
      </c>
      <c r="H7" s="16">
        <f t="shared" si="3"/>
        <v>0</v>
      </c>
    </row>
    <row r="8" spans="1:8" x14ac:dyDescent="0.25">
      <c r="A8" t="s">
        <v>8393</v>
      </c>
      <c r="B8">
        <f>COUNTIFS(Sheet1!$E:$E,"&gt;=25000",Sheet1!$E:$E,"&lt;=29999",Sheet1!$F:$F,"successful",Sheet1!R:R,"plays")</f>
        <v>2</v>
      </c>
      <c r="C8">
        <f>COUNTIFS(Sheet1!$E:$E,"&gt;=25000",Sheet1!$E:$E,"&lt;=29999",Sheet1!$F:$F,"failed",Sheet1!R:R,"plays")</f>
        <v>0</v>
      </c>
      <c r="D8">
        <f>COUNTIFS(Sheet1!$E:$E,"&gt;=25000",Sheet1!$E:$E,"&lt;=29999",Sheet1!$F:$F,"canceled",Sheet1!R:R,"plays")</f>
        <v>0</v>
      </c>
      <c r="E8">
        <f t="shared" si="0"/>
        <v>2</v>
      </c>
      <c r="F8" s="16">
        <f t="shared" si="1"/>
        <v>1</v>
      </c>
      <c r="G8" s="16">
        <f t="shared" si="2"/>
        <v>0</v>
      </c>
      <c r="H8" s="16">
        <f t="shared" si="3"/>
        <v>0</v>
      </c>
    </row>
    <row r="9" spans="1:8" x14ac:dyDescent="0.25">
      <c r="A9" t="s">
        <v>8394</v>
      </c>
      <c r="B9">
        <f>COUNTIFS(Sheet1!$E:$E,"&gt;=30000",Sheet1!$E:$E,"&lt;=34999",Sheet1!$F:$F,"successful",Sheet1!R:R,"plays")</f>
        <v>3</v>
      </c>
      <c r="C9">
        <f>COUNTIFS(Sheet1!$E:$E,"&gt;=30000",Sheet1!$E:$E,"&lt;=34999",Sheet1!$F:$F,"failed",Sheet1!R:R,"plays")</f>
        <v>0</v>
      </c>
      <c r="D9">
        <f>COUNTIFS(Sheet1!$E:$E,"&gt;=30000",Sheet1!$E:$E,"&lt;=34999",Sheet1!$F:$F,"canceled",Sheet1!R:R,"plays")</f>
        <v>0</v>
      </c>
      <c r="E9">
        <f t="shared" si="0"/>
        <v>3</v>
      </c>
      <c r="F9" s="16">
        <f t="shared" si="1"/>
        <v>1</v>
      </c>
      <c r="G9" s="16">
        <f t="shared" si="2"/>
        <v>0</v>
      </c>
      <c r="H9" s="16">
        <f t="shared" si="3"/>
        <v>0</v>
      </c>
    </row>
    <row r="10" spans="1:8" x14ac:dyDescent="0.25">
      <c r="A10" t="s">
        <v>8395</v>
      </c>
      <c r="B10">
        <f>COUNTIFS(Sheet1!$E:$E,"&gt;=35000",Sheet1!$E:$E,"&lt;=39999",Sheet1!$F:$F,"successful",Sheet1!R:R,"plays")</f>
        <v>2</v>
      </c>
      <c r="C10">
        <f>COUNTIFS(Sheet1!$E:$E,"&gt;=35000",Sheet1!$E:$E,"&lt;=39999",Sheet1!$F:$F,"failed",Sheet1!R:R,"plays")</f>
        <v>0</v>
      </c>
      <c r="D10">
        <f>COUNTIFS(Sheet1!$E:$E,"&gt;=35000",Sheet1!$E:$E,"&lt;=39999",Sheet1!$F:$F,"canceled",Sheet1!R:R,"plays")</f>
        <v>0</v>
      </c>
      <c r="E10">
        <f t="shared" si="0"/>
        <v>2</v>
      </c>
      <c r="F10" s="16">
        <f t="shared" si="1"/>
        <v>1</v>
      </c>
      <c r="G10" s="16">
        <f t="shared" si="2"/>
        <v>0</v>
      </c>
      <c r="H10" s="16">
        <f t="shared" si="3"/>
        <v>0</v>
      </c>
    </row>
    <row r="11" spans="1:8" x14ac:dyDescent="0.25">
      <c r="A11" t="s">
        <v>8396</v>
      </c>
      <c r="B11">
        <f>COUNTIFS(Sheet1!$E:$E,"&gt;=40000",Sheet1!$E:$E,"&lt;=44999",Sheet1!$F:$F,"successful",Sheet1!R:R,"plays")</f>
        <v>2</v>
      </c>
      <c r="C11">
        <f>COUNTIFS(Sheet1!$E:$E,"&gt;=40000",Sheet1!$E:$E,"&lt;=44999",Sheet1!$F:$F,"failed",Sheet1!R:R,"plays")</f>
        <v>0</v>
      </c>
      <c r="D11">
        <f>COUNTIFS(Sheet1!$E:$E,"&gt;=40000",Sheet1!$E:$E,"&lt;=44999",Sheet1!$F:$F,"canceled",Sheet1!R:R,"plays")</f>
        <v>0</v>
      </c>
      <c r="E11">
        <f t="shared" si="0"/>
        <v>2</v>
      </c>
      <c r="F11" s="16">
        <f t="shared" si="1"/>
        <v>1</v>
      </c>
      <c r="G11" s="16">
        <f t="shared" si="2"/>
        <v>0</v>
      </c>
      <c r="H11" s="16">
        <f t="shared" si="3"/>
        <v>0</v>
      </c>
    </row>
    <row r="12" spans="1:8" x14ac:dyDescent="0.25">
      <c r="A12" t="s">
        <v>8397</v>
      </c>
      <c r="B12">
        <f>COUNTIFS(Sheet1!$E:$E,"&gt;=45000",Sheet1!$E:$E,"&lt;=49999",Sheet1!$F:$F,"successful",Sheet1!R:R,"plays")</f>
        <v>0</v>
      </c>
      <c r="C12">
        <f>COUNTIFS(Sheet1!$E:$E,"&gt;=45000",Sheet1!$E:$E,"&lt;=49999",Sheet1!$F:$F,"failed",Sheet1!R:R,"plays")</f>
        <v>0</v>
      </c>
      <c r="D12">
        <f>COUNTIFS(Sheet1!$E:$E,"&gt;=45000",Sheet1!$E:$E,"&lt;=49999",Sheet1!$F:$F,"canceled",Sheet1!R:R,"plays")</f>
        <v>0</v>
      </c>
      <c r="E12">
        <f t="shared" si="0"/>
        <v>0</v>
      </c>
      <c r="F12" s="16" t="e">
        <f t="shared" si="1"/>
        <v>#DIV/0!</v>
      </c>
      <c r="G12" s="16" t="e">
        <f t="shared" si="2"/>
        <v>#DIV/0!</v>
      </c>
      <c r="H12" s="16" t="e">
        <f t="shared" si="3"/>
        <v>#DIV/0!</v>
      </c>
    </row>
    <row r="13" spans="1:8" x14ac:dyDescent="0.25">
      <c r="A13" t="s">
        <v>8398</v>
      </c>
      <c r="B13">
        <f>COUNTIFS(Sheet1!$E:$E,"&gt;=50000",Sheet1!$F:$F,"successful",Sheet1!R:R,"plays")</f>
        <v>4</v>
      </c>
      <c r="C13">
        <f>COUNTIFS(Sheet1!$E:$E,"&gt;=50000",Sheet1!$F:$F,"failed",Sheet1!R:R,"plays")</f>
        <v>0</v>
      </c>
      <c r="D13">
        <f>COUNTIFS(Sheet1!$E:$E,"&gt;=50000",Sheet1!$F:$F,"canceled",Sheet1!R:R,"plays")</f>
        <v>0</v>
      </c>
      <c r="E13">
        <f t="shared" si="0"/>
        <v>4</v>
      </c>
      <c r="F13" s="16">
        <f t="shared" si="1"/>
        <v>1</v>
      </c>
      <c r="G13" s="16">
        <f t="shared" si="2"/>
        <v>0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245E0-3B99-49AF-B71D-8092C87AEDD5}">
  <sheetPr codeName="Sheet4"/>
  <dimension ref="A1:E18"/>
  <sheetViews>
    <sheetView workbookViewId="0">
      <selection activeCell="W15" sqref="W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8367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ECD3-8B31-4F80-B997-1A654D25D8E4}">
  <sheetPr codeName="Sheet5"/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Sheet1</vt:lpstr>
      <vt:lpstr>Outcomes Based on Goals</vt:lpstr>
      <vt:lpstr>Theater Outcomes vs Launch</vt:lpstr>
      <vt:lpstr>Parent 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Kudla</cp:lastModifiedBy>
  <dcterms:created xsi:type="dcterms:W3CDTF">2017-04-20T15:17:24Z</dcterms:created>
  <dcterms:modified xsi:type="dcterms:W3CDTF">2022-09-16T00:57:50Z</dcterms:modified>
</cp:coreProperties>
</file>