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than.schaper\Downloads\"/>
    </mc:Choice>
  </mc:AlternateContent>
  <xr:revisionPtr revIDLastSave="0" documentId="13_ncr:1_{C3997D77-8114-462B-9A55-D7B5266EB3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ffee Order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50" i="1" l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<sst xmlns="http://schemas.openxmlformats.org/spreadsheetml/2006/main" count="1812" uniqueCount="1273">
  <si>
    <t>Name</t>
  </si>
  <si>
    <t>Email</t>
  </si>
  <si>
    <t>Order Pickup Time</t>
  </si>
  <si>
    <t>Coffee Bar Selections: Products</t>
  </si>
  <si>
    <t>Special Instructions</t>
  </si>
  <si>
    <t>Submission ID</t>
  </si>
  <si>
    <t>Wednesday, Jan 17, 2024 12:25 PM-12:30 PM</t>
  </si>
  <si>
    <t>Coke Zero (Amount: 0.00 USD, Quantity: 1)
Total: 0.00 USD</t>
  </si>
  <si>
    <t>Wednesday, Jan 17, 2024 01:25 PM-01:30 PM</t>
  </si>
  <si>
    <t>Matcha Latte (Amount: 0.00 USD, Quantity: 1, Milk: Oat, Syrups: None, Sauces: None, Iced: Yes)
Total: 0.00 USD</t>
  </si>
  <si>
    <t>with vanilla foam on top please!</t>
  </si>
  <si>
    <t>Wednesday, Jan 17, 2024 12:55 PM-01:00 PM</t>
  </si>
  <si>
    <t>Flat White (Amount: 0.00 USD, Quantity: 1, Milk: Almond)
Total: 0.00 USD</t>
  </si>
  <si>
    <t>Thursday, Jan 18, 2024 09:55 AM-10:00 AM</t>
  </si>
  <si>
    <t>Latte (Amount: 0.00 USD, Quantity: 1, Milk: Soy, Syrups: Brown Sugar Cinnamon, Sauces: None, Iced: No)
Total: 0.00 USD</t>
  </si>
  <si>
    <t>Thursday, Jan 18, 2024 10:10 AM-10:15 AM</t>
  </si>
  <si>
    <t>Matcha Latte (Amount: 0.00 USD, Quantity: 1, Milk: Half/Half, Syrups: Lavender, Sauces: White Chocolate, Iced: No)
Water (Amount: 0.00 USD, Quantity: 1)
Total: 0.00 USD</t>
  </si>
  <si>
    <t>Please do not make the drink so sweet</t>
  </si>
  <si>
    <t>Iced Shaken Espresso (Amount: 0.00 USD, Quantity: 1, Milk: Oat, Syrups: Hazelnut, Sauces: None)
Water (Amount: 0.00 USD, Quantity: 1)
Total: 0.00 USD</t>
  </si>
  <si>
    <t>Thursday, Jan 18, 2024 10:25 AM-10:30 AM</t>
  </si>
  <si>
    <t>Matcha Latte (Amount: 0.00 USD, Quantity: 1, Milk: Oat, Syrups: Lavender, Sauces: None, Iced: No)
Total: 0.00 USD</t>
  </si>
  <si>
    <t>Matcha Latte (Amount: 0.00 USD, Quantity: 1, Milk: 2% Milk, Syrups: Vanilla (Sugar Free), Sauces: None, Iced: Yes)
Total: 0.00 USD</t>
  </si>
  <si>
    <t>Thursday, Jan 18, 2024 11:10 AM-11:15 AM</t>
  </si>
  <si>
    <t>Latte (Amount: 0.00 USD, Quantity: 1, Milk: Almond, Syrups: Rose, Sauces: Dark Chocolate, Iced: No)
Total: 0.00 USD</t>
  </si>
  <si>
    <t>Good morning Sam &amp; June Bug!
If y’all have peppermint bark, I’ll take two pumps instead of rose.  If not, rose will do.  
Thank you!
-B</t>
  </si>
  <si>
    <t>Thursday, Jan 18, 2024 01:25 PM-01:30 PM</t>
  </si>
  <si>
    <t>Caramel Macchiato (Amount: 0.00 USD, Quantity: 1, Milk: Oat, Iced: No)
Total: 0.00 USD</t>
  </si>
  <si>
    <t>Thursday, Jan 18, 2024 02:20 PM-02:25 PM</t>
  </si>
  <si>
    <t>Latte (Amount: 0.00 USD, Quantity: 1, Milk: Whole Milk, Syrups: None, Sauces: None, Iced: Yes, Shots of Espresso: 2 (standard))
Total: 0.00 USD</t>
  </si>
  <si>
    <t>Thursday, Jan 18, 2024 03:10 PM-03:15 PM</t>
  </si>
  <si>
    <t>Matcha Latte (Amount: 0.00 USD, Quantity: 1, Milk: Oat, Syrups: Vanilla, Sauces: None, Iced: Yes)
Total: 0.00 USD</t>
  </si>
  <si>
    <t>vanilla cold foam</t>
  </si>
  <si>
    <t>Monday, Jan 22, 2024 11:00 AM-11:05 AM</t>
  </si>
  <si>
    <t>Latte (Amount: 0.00 USD, Quantity: 1, Milk: Oat, Syrups: Hazelnut, Sauces: Dark Chocolate, Iced: No, Shots of Espresso: 3, Pumps of Syrup/Sauce Total: 4 (standard))
Total: 0.00 USD</t>
  </si>
  <si>
    <t>Monday, Jan 22, 2024 03:30 PM-03:35 PM</t>
  </si>
  <si>
    <t>Caramel Macchiato (Amount: 0.00 USD, Quantity: 1, Milk: Whole, Iced: Yes, Shots of Espresso: 2, Pumps of Syrup: 1, Caramel Drizzle: Yes)
Total: 0.00 USD</t>
  </si>
  <si>
    <t>Tuesday, Jan 23, 2024 09:20 AM-09:25 AM</t>
  </si>
  <si>
    <t>Espresso (Amount: 0.00 USD, Quantity: 1, : Double (Doppio), Con Panna (With Cream): No)
Total: 0.00 USD</t>
  </si>
  <si>
    <t>Tuesday, Jan 23, 2024 09:50 AM-09:55 AM</t>
  </si>
  <si>
    <t>Hot Tea (Amount: 0.00 USD, Quantity: 1, Flavor: Earl Grey)
Matcha Latte (Amount: 0.00 USD, Quantity: 1, Milk: Oat, Syrups: None, Sauces: None, Iced: No)
Total: 0.00 USD</t>
  </si>
  <si>
    <t>Tuesday, Jan 23, 2024 09:55 AM-10:00 AM</t>
  </si>
  <si>
    <t>Latte (Amount: 0.00 USD, Quantity: 1, Milk: 2% Milk, Syrups: Vanilla, Sauces: None, Iced: No, Shots of Espresso: 1, Pumps of Syrup/Sauce Total: 1)
Total: 0.00 USD</t>
  </si>
  <si>
    <t>Thank You ?</t>
  </si>
  <si>
    <t>Tuesday, Jan 23, 2024 10:35 AM-10:40 AM</t>
  </si>
  <si>
    <t>Latte (Amount: 0.00 USD, Quantity: 1, Milk: 2% Milk, Syrups: None, Sauces: None, Iced: No, Shots of Espresso: 2 (standard), Pumps of Syrup/Sauce Total: 1)
Water (Amount: 0.00 USD, Quantity: 2)
Total: 0.00 USD</t>
  </si>
  <si>
    <t>With a Half pack of honey in a regular mug please</t>
  </si>
  <si>
    <t>Tuesday, Jan 23, 2024 11:10 AM-11:15 AM</t>
  </si>
  <si>
    <t>Latte (Amount: 0.00 USD, Quantity: 1, Milk: Oat, Syrups: Brown Sugar Cinnamon, Sauces: White Chocolate, Iced: No, Shots of Espresso: 3, Pumps of Syrup/Sauce Total: 4 (standard))
Total: 0.00 USD</t>
  </si>
  <si>
    <t>Tuesday, Jan 23, 2024 02:50 PM-02:55 PM</t>
  </si>
  <si>
    <t>Latte (Amount: 0.00 USD, Quantity: 1, Milk: Heavy Cream, Syrups: Brown Sugar Cinnamon (Sugar Free), Sauces: None, Iced: No, Shots of Espresso: 1, Pumps of Syrup/Sauce Total: 1)
Total: 0.00 USD</t>
  </si>
  <si>
    <t>Tuesday, Jan 23, 2024 03:50 PM-03:55 PM</t>
  </si>
  <si>
    <t>sweet matcha pls ??</t>
  </si>
  <si>
    <t>Wednesday, Jan 24, 2024 09:40 AM-09:45 AM</t>
  </si>
  <si>
    <t>Sprite (Amount: 0.00 USD, Quantity: 1)
Total: 0.00 USD</t>
  </si>
  <si>
    <t>With latte vanilla sweet cold foam</t>
  </si>
  <si>
    <t>Latte (Amount: 0.00 USD, Quantity: 1, Milk: Coconut, Syrups: Vanilla, Sauces: White Chocolate, Iced: No, Shots of Espresso: 1, Pumps of Syrup/Sauce Total: 1)
Total: 0.00 USD</t>
  </si>
  <si>
    <t>Merci!!</t>
  </si>
  <si>
    <t>Wednesday, Jan 24, 2024 10:50 AM-10:55 AM</t>
  </si>
  <si>
    <t>Latte (Amount: 0.00 USD, Quantity: 1, Milk: Almond, Syrups: None, Sauces: Peppermint Bark, Iced: No, Shots of Espresso: 2 (standard), Pumps of Syrup/Sauce Total: 1)
Total: 0.00 USD</t>
  </si>
  <si>
    <t>Good morning, Sammie &amp; Jenny!!
Thanks for my latte - see y’all soon!
Byron</t>
  </si>
  <si>
    <t>Wednesday, Jan 24, 2024 03:35 PM-03:40 PM</t>
  </si>
  <si>
    <t>Latte (Amount: 0.00 USD, Quantity: 1, Milk: Oat, Syrups: None, Sauces: None, Iced: Yes, Shots of Espresso: 2 (standard), Pumps of Syrup/Sauce Total: 1)
Total: 0.00 USD</t>
  </si>
  <si>
    <t>Thursday, Jan 25, 2024 09:25 AM-09:30 AM</t>
  </si>
  <si>
    <t>Caramel Macchiato (Amount: 0.00 USD, Quantity: 1, Milk: Coconut, Iced: No, Shots of Espresso: 1, Pumps of Syrup: 1, Caramel Drizzle: Yes)
Total: 0.00 USD</t>
  </si>
  <si>
    <t>Add cinnamon please.</t>
  </si>
  <si>
    <t>Thursday, Jan 25, 2024 09:30 AM-09:35 AM</t>
  </si>
  <si>
    <t>Latte (Amount: 0.00 USD, Quantity: 1, Milk: Oat, Syrups: Vanilla, Sauces: None, Iced: No, Shots of Espresso: 2 (standard), Pumps of Syrup/Sauce Total: 1)
Total: 0.00 USD</t>
  </si>
  <si>
    <t>Vanilla with honey please! Thank you!</t>
  </si>
  <si>
    <t>Thursday, Jan 25, 2024 11:30 AM-11:35 AM</t>
  </si>
  <si>
    <t>Chai Latte (Amount: 0.00 USD, Quantity: 1, Milk: Soy, Syrups: None, Sauces: None, Iced: No, Dirty: No)
Total: 0.00 USD</t>
  </si>
  <si>
    <t>Tuesday, Jan 30, 2024 02:40 PM-02:45 PM</t>
  </si>
  <si>
    <t>Water (Amount: 0.00 USD, Quantity: 2)
Total: 0.00 USD</t>
  </si>
  <si>
    <t>Wednesday, Jan 31, 2024 10:15 AM-10:20 AM</t>
  </si>
  <si>
    <t>Cappuccino (Amount: 0.00 USD, Quantity: 1, Milk: Coconut, Size: Small (12 oz), Syrups: Vanilla, Sauces: Caramel)
Total: 0.00 USD</t>
  </si>
  <si>
    <t>Dash of cinnamon</t>
  </si>
  <si>
    <t>Wednesday, Jan 31, 2024 10:30 AM-10:35 AM</t>
  </si>
  <si>
    <t>Vanilla and honey oatmilk latte plz! Thank you!</t>
  </si>
  <si>
    <t>Wednesday, Jan 31, 2024 03:05 PM-03:10 PM</t>
  </si>
  <si>
    <t>Chai Latte (Amount: 0.00 USD, Quantity: 1, Milk: Soy, Syrups: None, Sauces: None, Iced: No, Dirty: No)
Water (Amount: 0.00 USD, Quantity: 1)
Total: 0.00 USD</t>
  </si>
  <si>
    <t>Chai Latte (Amount: 0.00 USD, Quantity: 1, Milk: Coconut, Syrups: None, Sauces: None, Iced: No, Dirty: No)
Total: 0.00 USD</t>
  </si>
  <si>
    <t>Please add cimoninomin please.</t>
  </si>
  <si>
    <t>Wednesday, Jan 31, 2024 04:00 PM-04:05 PM</t>
  </si>
  <si>
    <t>With a few piece of ice</t>
  </si>
  <si>
    <t>Cappuccino (Amount: 0.00 USD, Quantity: 1, Milk: Oat, Size: Small (12 oz), Syrups: Vanilla, Sauces: Caramel)
Total: 0.00 USD</t>
  </si>
  <si>
    <t>No sauces! Just vanilla! It didn’t give me an option to remove the sauce option. Can you put it in a coffee mug please ?</t>
  </si>
  <si>
    <t>Thursday, Feb 01, 2024 09:30 AM-09:35 AM</t>
  </si>
  <si>
    <t>Americano (Amount: 0.00 USD, Quantity: 1)
Total: 0.00 USD</t>
  </si>
  <si>
    <t>Double shot, iced</t>
  </si>
  <si>
    <t>Thursday, Feb 01, 2024 09:15 AM-09:20 AM</t>
  </si>
  <si>
    <t>Latte (Amount: 0.00 USD, Quantity: 1, Milk: 2% Milk, Syrups: Brown Sugar Cinnamon, Sauces: Caramel, Iced: No, Shots of Espresso: 1, Pumps of Syrup/Sauce Total: 2)
Total: 0.00 USD</t>
  </si>
  <si>
    <t>2 pumps caramel and 2 pumps brown sugar cinnamon please</t>
  </si>
  <si>
    <t>Latte (Amount: 0.00 USD, Quantity: 1, Milk: Oat, Syrups: Lavender, Sauces: None, Iced: No, Shots of Espresso: 2 (standard), Pumps of Syrup/Sauce Total: 3)
Total: 0.00 USD</t>
  </si>
  <si>
    <t>Lavender honey oatmilk latte plz. Thank you!</t>
  </si>
  <si>
    <t>Topo Chico (Amount: 0.00 USD, Quantity: 1)
Total: 0.00 USD</t>
  </si>
  <si>
    <t>Hot coconut latte</t>
  </si>
  <si>
    <t>Matcha Latte (Amount: 0.00 USD, Quantity: 1, Milk: Soy, Syrups: None, Sauces: None, Iced: Yes)
Dr.Pepper (Amount: 0.00 USD, Quantity: 1)
Total: 0.00 USD</t>
  </si>
  <si>
    <t>Thursday, Feb 01, 2024 09:25 AM-09:30 AM</t>
  </si>
  <si>
    <t>Iced Shaken Espresso (Amount: 0.00 USD, Quantity: 1, Milk: Whole Milk, Syrups: Cane Syrup, Sauces: None)
Topo Chico (Amount: 0.00 USD, Quantity: 1)
Water (Amount: 0.00 USD, Quantity: 1)
Total: 0.00 USD</t>
  </si>
  <si>
    <t>Thursday, Feb 01, 2024 10:00 AM-10:05 AM</t>
  </si>
  <si>
    <t>Water (Amount: 0.00 USD, Quantity: 1)
Total: 0.00 USD</t>
  </si>
  <si>
    <t>Thursday, Feb 01, 2024 09:45 AM-09:50 AM</t>
  </si>
  <si>
    <t>Matcha Latte (Amount: 0.00 USD, Quantity: 1, Milk: Almond, Syrups: None, Sauces: None, Iced: Yes)
Total: 0.00 USD</t>
  </si>
  <si>
    <t>Thursday, Feb 01, 2024 10:10 AM-10:15 AM</t>
  </si>
  <si>
    <t>Latte (Amount: 0.00 USD, Quantity: 1, Milk: Almond, Syrups: None, Sauces: None, Iced: No, Shots of Espresso: 2 (standard), Pumps of Syrup/Sauce Total: 1)
Total: 0.00 USD</t>
  </si>
  <si>
    <t>Thursday, Feb 01, 2024 10:05 AM-10:10 AM</t>
  </si>
  <si>
    <t>Latte (Amount: 0.00 USD, Quantity: 1, Milk: Whole Milk, Syrups: Vanilla, Sauces: Caramel, Iced: Yes, Shots of Espresso: 1, Pumps of Syrup/Sauce Total: 1)
Total: 0.00 USD</t>
  </si>
  <si>
    <t>vanilla sweet foam</t>
  </si>
  <si>
    <t>Thursday, Feb 01, 2024 10:30 AM-10:35 AM</t>
  </si>
  <si>
    <t>Thursday, Feb 01, 2024 10:25 AM-10:30 AM</t>
  </si>
  <si>
    <t>Latte (Amount: 0.00 USD, Quantity: 1, Milk: 2% Milk, Syrups: Vanilla, Sauces: None, Iced: No, Shots of Espresso: 1, Pumps of Syrup/Sauce Total: 3)
Total: 0.00 USD</t>
  </si>
  <si>
    <t>Thursday, Feb 01, 2024 10:40 AM-10:45 AM</t>
  </si>
  <si>
    <t>Thursday, Feb 01, 2024 12:35 PM-12:40 PM</t>
  </si>
  <si>
    <t>Thursday, Feb 01, 2024 01:30 PM-01:35 PM</t>
  </si>
  <si>
    <t>Chai Latte (Amount: 0.00 USD, Quantity: 1, Milk: Oat, Syrups: None, Sauces: None, Iced: No, Dirty: No)
Total: 0.00 USD</t>
  </si>
  <si>
    <t>Thursday, Feb 01, 2024 01:25 PM-01:30 PM</t>
  </si>
  <si>
    <t>Diet Coke (Amount: 0.00 USD, Quantity: 1)
Total: 0.00 USD</t>
  </si>
  <si>
    <t>Coke (Amount: 0.00 USD, Quantity: 1)
Total: 0.00 USD</t>
  </si>
  <si>
    <t>Thursday, Feb 01, 2024 02:30 PM-02:35 PM</t>
  </si>
  <si>
    <t>Latte (Amount: 0.00 USD, Quantity: 1, Milk: Oat, Syrups: Vanilla (Sugar Free), Sauces: None, Iced: No, Shots of Espresso: 1, Pumps of Syrup/Sauce Total: 1)
Dr.Pepper (Amount: 0.00 USD, Quantity: 2)
Total: 0.00 USD</t>
  </si>
  <si>
    <t>Thursday, Feb 01, 2024 02:25 PM-02:30 PM</t>
  </si>
  <si>
    <t>Milk &amp; honey latte with cinnamon please!!</t>
  </si>
  <si>
    <t>Thursday, Feb 01, 2024 02:50 PM-02:55 PM</t>
  </si>
  <si>
    <t>Latte (Amount: 0.00 USD, Quantity: 1, Milk: Whole Milk, Syrups: Caramel (Sugar Free), Sauces: None, Iced: Yes, Shots of Espresso: 1, Pumps of Syrup/Sauce Total: 1)
Caramel Macchiato (Amount: 0.00 USD, Quantity: 1, Milk: Whole, Iced: Yes, Shots of Espresso: 2, Pumps of Syrup: 1, Caramel Drizzle: Yes)
Total: 0.00 USD</t>
  </si>
  <si>
    <t>Thursday, Feb 01, 2024 03:15 PM-03:20 PM</t>
  </si>
  <si>
    <t>Latte (Amount: 0.00 USD, Quantity: 1, Milk: Oat, Syrups: Brown Sugar Cinnamon (Sugar Free), Sauces: None, Iced: Yes, Shots of Espresso: 2 (standard), Pumps of Syrup/Sauce Total: 2)
Topo Chico (Amount: 0.00 USD, Quantity: 1)
Total: 0.00 USD</t>
  </si>
  <si>
    <t>Thursday, Feb 01, 2024 03:55 PM-04:00 PM</t>
  </si>
  <si>
    <t>Trial (Amount: 0.00 USD, Quantity: 3, Milk: Whole milk, Syrup: Hazelnut)
Trial (Amount: 0.00 USD, Quantity: 4, Milk: Whole milk, Syrup: Caramel)
Total: 0.00 USD</t>
  </si>
  <si>
    <t>Friday, Feb 02, 2024 10:00 AM-10:05 AM</t>
  </si>
  <si>
    <t>Drip Brew (Amount: 0.00 USD, Quantity: 1, Caffine: Regular, Black Eye (With Espresso): Yes, Iced: Yes)
Total: 0.00 USD</t>
  </si>
  <si>
    <t>Friday, Feb 02, 2024 01:55 PM-02:00 PM</t>
  </si>
  <si>
    <t>Iced Shaken Espresso (Amount: 0.00 USD, Quantity: 1, Milk: Oat, Syrups: Sweetener (Sugar Free), Sauces: None)
Total: 0.00 USD</t>
  </si>
  <si>
    <t>Monday, Feb 05, 2024 09:15 AM-09:20 AM</t>
  </si>
  <si>
    <t>Latte (Amount: 0.00 USD, Quantity: 1, Milk: Oat, Syrups: Hazelnut (Sugar Free), Sauces: None, Iced: No, Shots of Espresso: 1, Pumps of Syrup/Sauce Total: 1)
Total: 0.00 USD</t>
  </si>
  <si>
    <t>Monday, Feb 05, 2024 09:30 AM-09:35 AM</t>
  </si>
  <si>
    <t>Chai Latte (Amount: 0.00 USD, Quantity: 1, Milk: Oat, Syrups: Brown Sugar Cinnamon, Sauces: Caramel, Iced: No, Dirty: No)
Topo Chico (Amount: 0.00 USD, Quantity: 1)
Total: 0.00 USD</t>
  </si>
  <si>
    <t>Monday, Feb 05, 2024 10:40 AM-10:45 AM</t>
  </si>
  <si>
    <t>Milk and honey latte with cinnamon in a hard cup please!</t>
  </si>
  <si>
    <t>Monday, Feb 05, 2024 02:45 PM-02:50 PM</t>
  </si>
  <si>
    <t>Matcha Latte (Amount: 0.00 USD, Quantity: 1, Milk: Soy, Syrups: Hazelnut (Sugar Free), Sauces: None, Iced: Yes)
Total: 0.00 USD</t>
  </si>
  <si>
    <t>Tuesday, Feb 06, 2024 09:10 AM-09:15 AM</t>
  </si>
  <si>
    <t>Latte (Amount: 0.00 USD, Quantity: 1, Milk: Heavy Cream, Syrups: Brown Sugar Cinnamon (Sugar Free), Sauces: None, Iced: No, Shots of Espresso: 2 (standard), Pumps of Syrup/Sauce Total: 2)
Water (Amount: 0.00 USD, Quantity: 1)
Total: 0.00 USD</t>
  </si>
  <si>
    <t>Tuesday, Feb 06, 2024 09:20 AM-09:25 AM</t>
  </si>
  <si>
    <t>Iced Shaken Espresso (Amount: 0.00 USD, Quantity: 1, Milk: Oat, Syrups: Vanilla, Sauces: Caramel)
Water (Amount: 0.00 USD, Quantity: 2)
Total: 0.00 USD</t>
  </si>
  <si>
    <t>Tuesday, Feb 06, 2024 09:15 AM-09:20 AM</t>
  </si>
  <si>
    <t>Double shot iced</t>
  </si>
  <si>
    <t>Tuesday, Feb 06, 2024 09:05 AM-09:10 AM</t>
  </si>
  <si>
    <t>Matcha Latte (Amount: 0.00 USD, Quantity: 1, Milk: Oat, Syrups: Sweetener (Sugar Free), Sauces: None, Iced: No)
Total: 0.00 USD</t>
  </si>
  <si>
    <t>Tuesday, Feb 06, 2024 09:30 AM-09:35 AM</t>
  </si>
  <si>
    <t>Latte (Amount: 0.00 USD, Quantity: 1, Milk: Oat, Syrups: Vanilla, Sauces: None, Iced: No, Shots of Espresso: 2 (standard), Pumps of Syrup/Sauce Total: 3)
Total: 0.00 USD</t>
  </si>
  <si>
    <t>Vanilla honey oatmilk latte plz. Thank you!</t>
  </si>
  <si>
    <t>No syrups and in a coffee mug please!</t>
  </si>
  <si>
    <t>Extra Chai</t>
  </si>
  <si>
    <t>Tuesday, Feb 06, 2024 09:45 AM-09:50 AM</t>
  </si>
  <si>
    <t>Caramel Macchiato (Amount: 0.00 USD, Quantity: 1, Milk: Oat, Iced: No, Shots of Espresso: 1, Pumps of Syrup: 1, Caramel Drizzle: Yes)
Total: 0.00 USD</t>
  </si>
  <si>
    <t>Tuesday, Feb 06, 2024 09:35 AM-09:40 AM</t>
  </si>
  <si>
    <t>Latte (Amount: 0.00 USD, Quantity: 1, Milk: Oat, Syrups: Hazelnut (Sugar Free), Sauces: None, Iced: Yes, Shots of Espresso: 1, Pumps of Syrup/Sauce Total: 1)
Total: 0.00 USD</t>
  </si>
  <si>
    <t>Tuesday, Feb 06, 2024 09:40 AM-09:45 AM</t>
  </si>
  <si>
    <t>Latte (Amount: 0.00 USD, Quantity: 1, Milk: Oat, Syrups: Brown Sugar Cinnamon (Sugar Free), Sauces: None, Iced: Yes, Shots of Espresso: 2 (standard), Pumps of Syrup/Sauce Total: 2)
Total: 0.00 USD</t>
  </si>
  <si>
    <t>Caramel Macchiato (Amount: 0.00 USD, Quantity: 1, Milk: Coconut, Iced: No, Shots of Espresso: 2, Pumps of Syrup: 1, Caramel Drizzle: Yes)
Total: 0.00 USD</t>
  </si>
  <si>
    <t>Tuesday, Feb 06, 2024 10:00 AM-10:05 AM</t>
  </si>
  <si>
    <t>Latte (Amount: 0.00 USD, Quantity: 1, Milk: Almond, Syrups: Cane Syrup, Sauces: None, Iced: No, Shots of Espresso: 1, Pumps of Syrup/Sauce Total: 1)
Flat White (Amount: 0.00 USD, Quantity: 1, Milk: Almond)
Total: 0.00 USD</t>
  </si>
  <si>
    <t>Cinnamon on top of both please :)</t>
  </si>
  <si>
    <t>Tuesday, Feb 06, 2024 10:15 AM-10:20 AM</t>
  </si>
  <si>
    <t>Iced Shaken Espresso (Amount: 0.00 USD, Quantity: 1, Milk: Almond, Syrups: Vanilla (Sugar Free), Sauces: None)
Total: 0.00 USD</t>
  </si>
  <si>
    <t>Tuesday, Feb 06, 2024 11:45 AM-11:50 AM</t>
  </si>
  <si>
    <t>Matcha Latte (Amount: 0.00 USD, Quantity: 1, Milk: Whole Milk, Syrups: Raspberry, Sauces: None, Iced: No)
Total: 0.00 USD</t>
  </si>
  <si>
    <t>Please use a ceramic mug!</t>
  </si>
  <si>
    <t>Tuesday, Feb 06, 2024 11:05 AM-11:10 AM</t>
  </si>
  <si>
    <t>Cold Brew (Amount: 0.00 USD, Quantity: 1, Milk: None, Nitro: No)
Total: 0.00 USD</t>
  </si>
  <si>
    <t>Please add 1 espresso shot</t>
  </si>
  <si>
    <t>Tuesday, Feb 06, 2024 11:40 AM-11:45 AM</t>
  </si>
  <si>
    <t>Latte (Amount: 0.00 USD, Quantity: 1, Milk: Heavy Cream, Syrups: Brown Sugar Cinnamon (Sugar Free), Sauces: None, Iced: Yes, Shots of Espresso: 2 (standard), Pumps of Syrup/Sauce Total: 2)
Coke Zero (Amount: 0.00 USD, Quantity: 1)
Total: 0.00 USD</t>
  </si>
  <si>
    <t>Tuesday, Feb 06, 2024 12:00 PM-12:05 PM</t>
  </si>
  <si>
    <t>Iced Shaken Espresso (Amount: 0.00 USD, Quantity: 1, Milk: Oat, Syrups: Brown Sugar Cinnamon, Sauces: None)
Water (Amount: 0.00 USD, Quantity: 1)
Total: 0.00 USD</t>
  </si>
  <si>
    <t>Tuesday, Feb 06, 2024 12:40 PM-12:45 PM</t>
  </si>
  <si>
    <t>Matcha Latte (Amount: 0.00 USD, Quantity: 1, Milk: Soy, Syrups: Hazelnut (Sugar Free), Sauces: None, Iced: Yes)
Coke Zero (Amount: 0.00 USD, Quantity: 1)
Total: 0.00 USD</t>
  </si>
  <si>
    <t>Tuesday, Feb 06, 2024 01:00 PM-01:05 PM</t>
  </si>
  <si>
    <t>Latte (Amount: 0.00 USD, Quantity: 1, Milk: Oat, Syrups: Hazelnut (Sugar Free), Sauces: None, Iced: No, Shots of Espresso: 2 (standard), Pumps of Syrup/Sauce Total: 1)
Total: 0.00 USD</t>
  </si>
  <si>
    <t>Tuesday, Feb 06, 2024 01:20 PM-01:25 PM</t>
  </si>
  <si>
    <t>Matcha Latte (Amount: 0.00 USD, Quantity: 1, Milk: Oat, Syrups: Vanilla, Sauces: None, Iced: No)
Total: 0.00 USD</t>
  </si>
  <si>
    <t>Tuesday, Feb 06, 2024 01:40 PM-01:45 PM</t>
  </si>
  <si>
    <t>Iced Shaken Espresso (Amount: 0.00 USD, Quantity: 1, Milk: Oat, Syrups: Vanilla, Sauces: None)
Total: 0.00 USD</t>
  </si>
  <si>
    <t>Tuesday, Feb 06, 2024 01:50 PM-01:55 PM</t>
  </si>
  <si>
    <t>Tuesday, Feb 06, 2024 02:05 PM-02:10 PM</t>
  </si>
  <si>
    <t>Latte (Amount: 0.00 USD, Quantity: 1, Milk: Whole Milk, Syrups: Lavender, Sauces: None, Iced: No, Shots of Espresso: 1, Pumps of Syrup/Sauce Total: 2)
Water (Amount: 0.00 USD, Quantity: 1)
Total: 0.00 USD</t>
  </si>
  <si>
    <t>Wednesday, Feb 07, 2024 09:05 AM-09:10 AM</t>
  </si>
  <si>
    <t>Chai Latte (Amount: 0.00 USD, Quantity: 1, Milk: Oat, Syrups: None, Sauces: None, Iced: No, Dirty: Yes)
Total: 0.00 USD</t>
  </si>
  <si>
    <t>2 shots of espresso please</t>
  </si>
  <si>
    <t>Wednesday, Feb 07, 2024 09:20 AM-09:25 AM</t>
  </si>
  <si>
    <t>Wednesday, Feb 07, 2024 09:15 AM-09:20 AM</t>
  </si>
  <si>
    <t>Wednesday, Feb 07, 2024 09:10 AM-09:15 AM</t>
  </si>
  <si>
    <t>Latte (Amount: 0.00 USD, Quantity: 1, Milk: Oat, Syrups: Brown Sugar Cinnamon (Sugar Free), Sauces: None, Iced: No, Shots of Espresso: 2 (standard), Pumps of Syrup/Sauce Total: 3)
Total: 0.00 USD</t>
  </si>
  <si>
    <t>Wednesday, Feb 07, 2024 10:00 AM-10:05 AM</t>
  </si>
  <si>
    <t>Iced Shaken Espresso (Amount: 0.00 USD, Quantity: 1, Milk: Oat, Syrups: Brown Sugar Cinnamon (Sugar Free), Sauces: None)
Total: 0.00 USD</t>
  </si>
  <si>
    <t>Wednesday, Feb 07, 2024 09:45 AM-09:50 AM</t>
  </si>
  <si>
    <t>Iced Shaken Espresso (Amount: 0.00 USD, Quantity: 1, Milk: Almond, Syrups: None, Sauces: None)
Total: 0.00 USD</t>
  </si>
  <si>
    <t>Latte (Amount: 0.00 USD, Quantity: 1, Milk: Almond, Syrups: Hazelnut, Sauces: Caramel, Iced: No, Shots of Espresso: 1, Pumps of Syrup/Sauce Total: 4 (standard))
Total: 0.00 USD</t>
  </si>
  <si>
    <t>Wednesday, Feb 07, 2024 09:50 AM-09:55 AM</t>
  </si>
  <si>
    <t>Latte (Amount: 0.00 USD, Quantity: 1, Milk: Whole Milk, Syrups: Hazelnut, Sauces: None, Iced: Yes, Shots of Espresso: 1, Pumps of Syrup/Sauce Total: 2)
Water (Amount: 0.00 USD, Quantity: 1)
Total: 0.00 USD</t>
  </si>
  <si>
    <t>Wednesday, Feb 07, 2024 10:30 AM-10:35 AM</t>
  </si>
  <si>
    <t>Cappuccino (Amount: 0.00 USD, Quantity: 1, Milk: Coconut, Size: Small (12 oz), Syrups: Vanilla, Sauces: Caramel)
Topo Chico (Amount: 0.00 USD, Quantity: 1)
Total: 0.00 USD</t>
  </si>
  <si>
    <t>Less Syrups and sauce. Thank you</t>
  </si>
  <si>
    <t>Wednesday, Feb 07, 2024 1:30 PM-1:35 PM</t>
  </si>
  <si>
    <t>Matcha Latte (Amount: 0.00 USD, Quantity: 1, Milk: Whole Milk, Syrups: Rose, Sauces: None, Iced: No)
Total: 0.00 USD</t>
  </si>
  <si>
    <t>Please use a ceramic cup!</t>
  </si>
  <si>
    <t>Wednesday, Feb 07, 2024 1:35 PM-1:40 PM</t>
  </si>
  <si>
    <t>Flat White (Amount: 0.00 USD, Quantity: 1, Milk: Oat)
Matcha Latte (Amount: 0.00 USD, Quantity: 1, Iced: Yes, Milk: Oat, Syrups: Cane Syrup, Sauces: None)
Total: 0.00 USD</t>
  </si>
  <si>
    <t>Wednesday, Feb 07, 2024 2:10 PM-2:15 PM</t>
  </si>
  <si>
    <t>Latte (Amount: 0.00 USD, Quantity: 1, Iced: No, Milk: Oat, Syrups: SF Brown Sugar Cinnamon, Sauces: None, Shots of Espresso: 2 [Standard], Pumps of Syrup/Sauce Total: 3)
Total: 0.00 USD</t>
  </si>
  <si>
    <t>Wednesday, Feb 07, 2024 2:25 PM-2:30 PM</t>
  </si>
  <si>
    <t>Room temperature, not iced, thank you!</t>
  </si>
  <si>
    <t>Wednesday, Feb 07, 2024 3:15 PM-3:20 PM</t>
  </si>
  <si>
    <t>Iced Shaken Espresso (Amount: 0.00 USD, Quantity: 1, Milk: Oat, Syrups: Cane Syrup, Sauces: Caramel)
Total: 0.00 USD</t>
  </si>
  <si>
    <t>Can you add some cinnamon plsssss ??</t>
  </si>
  <si>
    <t>Thursday, Feb 08, 2024 9:10 AM-9:15 AM</t>
  </si>
  <si>
    <t>Thursday, Feb 08, 2024 9:20 AM-9:25 AM</t>
  </si>
  <si>
    <t>Caramel Macchiato (Amount: 0.00 USD, Quantity: 1, Iced: No, Milk: Oat, Shots of Espresso: 2 [Standard], Pumps of Syrup: 4 [Standard], Caramel Drizzle: Yes)
Total: 0.00 USD</t>
  </si>
  <si>
    <t>Thursday, Feb 08, 2024 9:25 AM-9:30 AM</t>
  </si>
  <si>
    <t>Latte (Amount: 0.00 USD, Quantity: 1, Iced: No, Milk: Oat, Syrups: Vanilla, Sauces: None, Shots of Espresso: 3, Pumps of Syrup/Sauce Total: 4 [Standard])
Total: 0.00 USD</t>
  </si>
  <si>
    <t>Vanilla honey oatmilk latte plz. Thank you!!</t>
  </si>
  <si>
    <t>Thursday, Feb 08, 2024 9:30 AM-9:35 AM</t>
  </si>
  <si>
    <t>Caramel Macchiato (Amount: 0.00 USD, Quantity: 1, Iced: Yes, Milk: Whole, Shots of Espresso: 3, Pumps of Syrup: 4 [Standard], Caramel Drizzle: Yes)
Water (Amount: 0.00 USD, Quantity: 1)
Total: 0.00 USD</t>
  </si>
  <si>
    <t>Thursday, Feb 08, 2024 9:35 AM-9:40 AM</t>
  </si>
  <si>
    <t>Thursday, Feb 08, 2024 9:45 AM-9:50 AM</t>
  </si>
  <si>
    <t>Chai Latte (Amount: 0.00 USD, Quantity: 1, Iced: Yes, Milk: Almond, Syrups: Vanilla, Sauces: None, Dirty: No)
Water (Amount: 0.00 USD, Quantity: 1)
Total: 0.00 USD</t>
  </si>
  <si>
    <t>Thursday, Feb 08, 2024 9:55 AM-10:00 AM</t>
  </si>
  <si>
    <t>Iced Shaken Espresso (Amount: 0.00 USD, Quantity: 1, Milk: Almond, Syrups: SF Hazelnut, Sauces: None)
Total: 0.00 USD</t>
  </si>
  <si>
    <t>Thursday, Feb 08, 2024 9:50 AM-9:55 AM</t>
  </si>
  <si>
    <t>Latte (Amount: 0.00 USD, Quantity: 1, Iced: No, Milk: Almond, Syrups: None, Sauces: None, Shots of Espresso: 2 [Standard], Pumps of Syrup/Sauce Total: 4 [Standard])
Total: 0.00 USD</t>
  </si>
  <si>
    <t>Hi I would like a Hazelnut Mocha w/Almond milk and whip cream</t>
  </si>
  <si>
    <t>Thursday, Feb 08, 2024 11:15 AM-11:20 AM</t>
  </si>
  <si>
    <t>Matcha Latte (Amount: 0.00 USD, Quantity: 1, Iced: No, Milk: Whole Milk, Syrups: Raspberry, Sauces: None)
Total: 0.00 USD</t>
  </si>
  <si>
    <t>Please use a ceramic cup! Thank you ??</t>
  </si>
  <si>
    <t>Thursday, Feb 08, 2024 12:05 PM-12:10 PM</t>
  </si>
  <si>
    <t>Latte (Amount: 0.00 USD, Quantity: 1, Iced: No, Milk: Oat, Syrups: Vanilla, Sauces: Caramel, Shots of Espresso: 2 [Standard], Pumps of Syrup/Sauce Total: 4 [Standard])
Total: 0.00 USD</t>
  </si>
  <si>
    <t>Thursday, Feb 08, 2024 1:40 PM-1:45 PM</t>
  </si>
  <si>
    <t>Caramel Macchiato (Amount: 0.00 USD, Quantity: 1, Iced: No, Milk: Oat, Shots of Espresso: 2 [Standard], Pumps of Syrup: 2, Caramel Drizzle: Yes)
Total: 0.00 USD</t>
  </si>
  <si>
    <t>Thursday, Feb 08, 2024 3:45 PM-3:50 PM</t>
  </si>
  <si>
    <t>Matcha Latte (Amount: 0.00 USD, Quantity: 1, Iced: No, Milk: Whole Milk, Syrups: Lavender, Sauces: None)
Total: 0.00 USD</t>
  </si>
  <si>
    <t>Throw the Bouquet in a ceramic cup please! I'll bring another clean one by.</t>
  </si>
  <si>
    <t>Thursday, Feb 08, 2024 2:10 PM-2:15 PM</t>
  </si>
  <si>
    <t>Thursday, Feb 08, 2024 2:25 PM-2:30 PM</t>
  </si>
  <si>
    <t>Flat White (Amount: 0.00 USD, Quantity: 1, Milk: Oat)
Total: 0.00 USD</t>
  </si>
  <si>
    <t>Thursday, Feb 08, 2024 2:50 PM-2:55 PM</t>
  </si>
  <si>
    <t>Iced Shaken Espresso (Amount: 0.00 USD, Quantity: 1, Milk: Oat, Syrups: Brown Sugar Cinnamon, Sauces: None)
Total: 0.00 USD</t>
  </si>
  <si>
    <t>Thursday, Feb 08, 2024 3:35 PM-3:40 PM</t>
  </si>
  <si>
    <t>Latte (Amount: 0.00 USD, Quantity: 1, Iced: Yes, Milk: Heavy Cream, Syrups: SF Brown Sugar Cinnamon, Sauces: None, Shots of Espresso: 3, Pumps of Syrup/Sauce Total: 2)
Iced Tea (Amount: 0.00 USD, Quantity: 1)
Total: 0.00 USD</t>
  </si>
  <si>
    <t>Loveee you!!</t>
  </si>
  <si>
    <t>Friday, Feb 09, 2024 9:05 AM-9:10 AM</t>
  </si>
  <si>
    <t>Latte (Amount: 0.00 USD, Quantity: 1, Iced: No, Milk: Oat, Syrups: None, Sauces: Caramel, Shots of Espresso: 2 [Standard], Pumps of Syrup/Sauce Total: 4 [Standard])
Caramel Macchiato (Amount: 0.00 USD, Quantity: 1, Iced: No, Milk: 2%, Shots of Espresso: 2 [Standard], Pumps of Syrup: 4 [Standard], Caramel Drizzle: Yes)
Total: 0.00 USD</t>
  </si>
  <si>
    <t>Friday, Feb 09, 2024 9:20 AM-9:25 AM</t>
  </si>
  <si>
    <t>Latte (Amount: 0.00 USD, Quantity: 1, Iced: No, Milk: Fat Free Milk, Syrups: None, Sauces: None, Shots of Espresso: 2 [Standard], Pumps of Syrup/Sauce Total: 4 [Standard])
Ginger Ale (Amount: 0.00 USD, Quantity: 1)
Total: 0.00 USD</t>
  </si>
  <si>
    <t>Stuff</t>
  </si>
  <si>
    <t>Friday, Feb 09, 2024 4:30 PM-4:35 PM</t>
  </si>
  <si>
    <t>Latte (Amount: 0.00 USD, Quantity: 1, Iced: No, Milk: 2% Milk, Syrups: Vanilla, Sauces: None, Shots of Espresso: 2 [Standard], Pumps of Syrup/Sauce Total: 3)
Total: 0.00 USD</t>
  </si>
  <si>
    <t>Friday, Feb 09, 2024 9:15 AM-9:20 AM</t>
  </si>
  <si>
    <t>Friday, Feb 09, 2024 12:55 PM-1:00 PM</t>
  </si>
  <si>
    <t>Latte (Amount: 0.00 USD, Quantity: 1, Iced: Yes, Milk: Oat, Syrups: None, Sauces: None, Shots of Espresso: 2 [Standard], Pumps of Syrup/Sauce Total: 4 [Standard])
Drip Brew (Amount: 0.00 USD, Quantity: 1, Caffine: Regular, Black Eye (With Espresso): No, Iced: No)
Red Bull (Amount: 0.00 USD, Quantity: 1)
Total: 0.00 USD</t>
  </si>
  <si>
    <t>Friday, Feb 09, 2024 1:30 PM-1:35 PM</t>
  </si>
  <si>
    <t>Latte (Amount: 0.00 USD, Quantity: 1, Iced: No, Milk: Oat, Syrups: None, Sauces: None, Shots of Espresso: 2 [Standard], Pumps of Syrup/Sauce Total: 4 [Standard])
Drip Brew (Amount: 0.00 USD, Quantity: 1, Caffine: Regular, Con Panna [With Cream]: No, Iced: No)
Matcha Latte (Amount: 0.00 USD, Quantity: 1, Iced: Yes, Milk: Oat, Syrups: None, Sauces: None)
Red Bull [Sugar Free] (Amount: 0.00 USD, Quantity: 1)
Total: 0.00 USD</t>
  </si>
  <si>
    <t>Monday, Feb 12, 2024 9:15 AM-9:20 AM</t>
  </si>
  <si>
    <t>Iced Shaken Espresso (Amount: 0.00 USD, Quantity: 1, Milk: Whole Milk, Syrups: Cane Syrup, Sauces: None)
Water (Amount: 0.00 USD, Quantity: 1)
Total: 0.00 USD</t>
  </si>
  <si>
    <t>Monday, Feb 12, 2024 9:45 AM-9:50 AM</t>
  </si>
  <si>
    <t>Chai Latte (Amount: 0.00 USD, Quantity: 1, Iced: No, Milk: Oat, Syrups: None, Sauces: None, Dirty: Yes)
Total: 0.00 USD</t>
  </si>
  <si>
    <t>2 shots espresso pls</t>
  </si>
  <si>
    <t>Thursday, Apr 25, 2024 1:45 PM-1:50 PM</t>
  </si>
  <si>
    <t>Latte (Amount: 0.00 USD, Quantity: 1, Iced: Yes, Milk: Oat, Syrups: Vanilla, Sauces: None, Shots of Espresso: 3, Pumps of Syrup/Sauce Total: 3)
Cappuccino (Amount: 0.00 USD, Quantity: 1, Milk: Oat, Size: Small [12 oz], Syrups: Vanilla, Sauces: Caramel)
Total: 0.00 USD</t>
  </si>
  <si>
    <t>No syrups</t>
  </si>
  <si>
    <t>Monday, Feb 12, 2024 10:25 AM-10:30 AM</t>
  </si>
  <si>
    <t>Iced americano please</t>
  </si>
  <si>
    <t>Monday, Feb 12, 2024 10:40 AM-10:45 AM</t>
  </si>
  <si>
    <t>Cappuccino (Amount: 0.00 USD, Quantity: 1, Milk: Almond, Size: Big [16 oz], Syrups: Vanilla, Sauces: Caramel)
Total: 0.00 USD</t>
  </si>
  <si>
    <t>light on the sweet</t>
  </si>
  <si>
    <t>Monday, Feb 12, 2024 11:35 AM-11:40 AM</t>
  </si>
  <si>
    <t>Espresso (Amount: 0.00 USD, Quantity: 1, : Triple, Con Panna [With Cream]: No)
Total: 0.00 USD</t>
  </si>
  <si>
    <t>With some ice. Thanks!</t>
  </si>
  <si>
    <t>Monday, Feb 12, 2024 2:15 PM-2:20 PM</t>
  </si>
  <si>
    <t>Iced Shaken Espresso (Amount: 0.00 USD, Quantity: 1, Milk: Oat, Syrups: Hazelnut, Sauces: None)
Total: 0.00 USD</t>
  </si>
  <si>
    <t>Monday, Feb 12, 2024 2:35 PM-2:40 PM</t>
  </si>
  <si>
    <t>Matcha Latte (Amount: 0.00 USD, Quantity: 1, Iced: Yes, Milk: Oat, Syrups: SF Sweetener, Sauces: None)
Total: 0.00 USD</t>
  </si>
  <si>
    <t>Monday, Feb 12, 2024 3:15 PM-3:20 PM</t>
  </si>
  <si>
    <t>Hot Tea (Amount: 0.00 USD, Quantity: 1, Flavor: Orange Spice)
Topo Chico (Amount: 0.00 USD, Quantity: 1)
Total: 0.00 USD</t>
  </si>
  <si>
    <t>Tuesday, Feb 13, 2024 9:15 AM-9:20 AM</t>
  </si>
  <si>
    <t>Latte (Amount: 0.00 USD, Quantity: 1, Iced: No, Milk: Oat, Syrups: SF Hazelnut, Sauces: None, Shots of Espresso: 2 [Standard], Pumps of Syrup/Sauce Total: 4 [Standard])
Total: 0.00 USD</t>
  </si>
  <si>
    <t>Tuesday, Feb 13, 2024 9:05 AM-9:10 AM</t>
  </si>
  <si>
    <t>Caramel Macchiato (Amount: 0.00 USD, Quantity: 1, Iced: No, Milk: Coconut, Shots of Espresso: 2 [Standard], Pumps of Syrup: 1, Caramel Drizzle: No)
Water (Amount: 0.00 USD, Quantity: 2)
Total: 0.00 USD</t>
  </si>
  <si>
    <t>Not to sweet on the coffee</t>
  </si>
  <si>
    <t>Tuesday, Feb 13, 2024 9:10 AM-9:15 AM</t>
  </si>
  <si>
    <t>Latte (Amount: 0.00 USD, Quantity: 1, Iced: No, Milk: Soy, Syrups: None, Sauces: None, Shots of Espresso: 2 [Standard], Pumps of Syrup/Sauce Total: 4 [Standard])
Matcha Latte (Amount: 0.00 USD, Quantity: 1, Iced: No, Milk: Almond, Syrups: None, Sauces: None)
Total: 0.00 USD</t>
  </si>
  <si>
    <t>Chai Latte (Amount: 0.00 USD, Quantity: 1, Iced: No, Milk: Fat Free Milk, Syrups: None, Sauces: None, Dirty: No)
Total: 0.00 USD</t>
  </si>
  <si>
    <t>Skim milk please</t>
  </si>
  <si>
    <t>Tuesday, Feb 13, 2024 9:25 AM-9:30 AM</t>
  </si>
  <si>
    <t>Latte (Amount: 0.00 USD, Quantity: 1, Iced: No, Milk: Oat, Syrups: SF Vanilla, Sauces: None, Shots of Espresso: 1, Pumps of Syrup/Sauce Total: 2)
Total: 0.00 USD</t>
  </si>
  <si>
    <t>Tuesday, Feb 13, 2024 9:35 AM-9:40 AM</t>
  </si>
  <si>
    <t>Tuesday, Feb 13, 2024 9:45 AM-9:50 AM</t>
  </si>
  <si>
    <t>Latte (Amount: 0.00 USD, Quantity: 1, Iced: No, Milk: Coconut, Syrups: None, Sauces: None, Shots of Espresso: 2 [Standard], Pumps of Syrup/Sauce Total: 4 [Standard])
Total: 0.00 USD</t>
  </si>
  <si>
    <t>Tuesday, Feb 13, 2024 10:10 AM-10:15 AM</t>
  </si>
  <si>
    <t>Caramel Macchiato (Amount: 0.00 USD, Quantity: 1, Iced: No, Milk: Almond, Shots of Espresso: 2 [Standard], Pumps of Syrup: 1, Caramel Drizzle: No)
Total: 0.00 USD</t>
  </si>
  <si>
    <t>Can I get sugar free caramel instead? If not, no syrup please</t>
  </si>
  <si>
    <t>Tuesday, Feb 13, 2024 10:00 AM-10:05 AM</t>
  </si>
  <si>
    <t>Flat White (Amount: 0.00 USD, Quantity: 1, Milk: Oat)
Topo Chico (Amount: 0.00 USD, Quantity: 1)
Total: 0.00 USD</t>
  </si>
  <si>
    <t>Tuesday, Feb 13, 2024 10:35 AM-10:40 AM</t>
  </si>
  <si>
    <t>Tuesday, Feb 13, 2024 11:05 AM-11:10 AM</t>
  </si>
  <si>
    <t>Espresso (Amount: 0.00 USD, Quantity: 1, : Quad, Con Panna [With Cream]: No)
Total: 0.00 USD</t>
  </si>
  <si>
    <t>Over ice. Thank you!!</t>
  </si>
  <si>
    <t>Tuesday, Feb 13, 2024 1:05 PM-1:10 PM</t>
  </si>
  <si>
    <t>Tuesday, Feb 13, 2024 1:40 PM-1:45 PM</t>
  </si>
  <si>
    <t>Tuesday, Feb 13, 2024 1:50 PM-1:55 PM</t>
  </si>
  <si>
    <t>Iced Shaken Espresso (Amount: 0.00 USD, Quantity: 1, Milk: Oat, Syrups: SF Brown Sugar Cinnamon, Sauces: None)
Total: 0.00 USD</t>
  </si>
  <si>
    <t>Tuesday, Feb 13, 2024 2:35 PM-2:40 PM</t>
  </si>
  <si>
    <t>Matcha Latte (Amount: 0.00 USD, Quantity: 1, Iced: Yes, Milk: Oat, Syrups: Cane Syrup, Sauces: None)
Total: 0.00 USD</t>
  </si>
  <si>
    <t>Wednesday, Feb 14, 2024 9:05 AM-9:10 AM</t>
  </si>
  <si>
    <t>Cappuccino (Amount: 0.00 USD, Quantity: 1, Milk: Almond, Size: Big [16 oz], Syrups: Hazelnut, Sauces: Caramel)
London Fog (Amount: 0.00 USD, Quantity: 1, Milk: Almond)
Water (Amount: 0.00 USD, Quantity: 1)
Total: 0.00 USD</t>
  </si>
  <si>
    <t>Wednesday, Feb 14, 2024 9:10 AM-9:15 AM</t>
  </si>
  <si>
    <t>Light dusting of cinnamon</t>
  </si>
  <si>
    <t>Wednesday, Feb 14, 2024 9:15 AM-9:20 AM</t>
  </si>
  <si>
    <t>Matcha Latte (Amount: 0.00 USD, Quantity: 1, Iced: No, Milk: Almond, Syrups: None, Sauces: None)
Total: 0.00 USD</t>
  </si>
  <si>
    <t>Wednesday, Feb 14, 2024 9:25 AM-9:30 AM</t>
  </si>
  <si>
    <t>Latte (Amount: 0.00 USD, Quantity: 1, Iced: No, Milk: Soy, Syrups: Rose, Sauces: White Chocolate, Shots of Espresso: 2 [Standard], Pumps of Syrup/Sauce Total: 4 [Standard])
Total: 0.00 USD</t>
  </si>
  <si>
    <t>Wednesday, Feb 14, 2024 9:35 AM-9:40 AM</t>
  </si>
  <si>
    <t>Latte (Amount: 0.00 USD, Quantity: 1, Iced: No, Milk: 2% Milk, Syrups: Brown Sugar Cinnamon, Sauces: Caramel, Shots of Espresso: 2 [Standard], Pumps of Syrup/Sauce Total: 4 [Standard])
Total: 0.00 USD</t>
  </si>
  <si>
    <t>Wednesday, Feb 14, 2024 9:50 AM-9:55 AM</t>
  </si>
  <si>
    <t>Wednesday, Feb 14, 2024 9:55 AM-10:00 AM</t>
  </si>
  <si>
    <t>Latte (Amount: 0.00 USD, Quantity: 1, Iced: No, Milk: Whole Milk, Syrups: Vanilla, Sauces: None, Shots of Espresso: 2 [Standard], Pumps of Syrup/Sauce Total: 2)
Total: 0.00 USD</t>
  </si>
  <si>
    <t>Wednesday, Feb 14, 2024 10:15 AM-10:20 AM</t>
  </si>
  <si>
    <t>Wednesday, Feb 14, 2024 10:20 AM-10:25 AM</t>
  </si>
  <si>
    <t>Wednesday, Feb 14, 2024 11:05 AM-11:10 AM</t>
  </si>
  <si>
    <t>Latte (Amount: 0.00 USD, Quantity: 1, Iced: No, Milk: 2% Milk, Syrups: Cane Syrup, Sauces: None, Shots of Espresso: 2 [Standard], Pumps of Syrup/Sauce Total: 1)
Flat White (Amount: 0.00 USD, Quantity: 1, Milk: Almond)
Total: 0.00 USD</t>
  </si>
  <si>
    <t>Please add cinnamon on top of both. 
Please add honey to flat white. 
Thank you! ?</t>
  </si>
  <si>
    <t>Wednesday, Feb 14, 2024 11:25 AM-11:30 AM</t>
  </si>
  <si>
    <t>Iced Shaken Espresso (Amount: 0.00 USD, Quantity: 1, Milk: Heavy Cream, Syrups: Hazelnut, Sauces: White Chocolate)
Water (Amount: 0.00 USD, Quantity: 1)
Total: 0.00 USD</t>
  </si>
  <si>
    <t>Can I get cinnamon powder in the shaken espresso pls 
Thank you!</t>
  </si>
  <si>
    <t>Wednesday, Feb 14, 2024 1:15 PM-1:20 PM</t>
  </si>
  <si>
    <t>Matcha Latte (Amount: 0.00 USD, Quantity: 1, Iced: No, Milk: Oat, Syrups: Lavender, Sauces: None)
Water (Amount: 0.00 USD, Quantity: 1)
Total: 0.00 USD</t>
  </si>
  <si>
    <t>Wednesday, Feb 14, 2024 1:30 PM-1:35 PM</t>
  </si>
  <si>
    <t>Latte (Amount: 0.00 USD, Quantity: 1, Iced: No, Milk: Almond, Syrups: None, Sauces: Peppermint Bark, Shots of Espresso: 2 [Standard], Pumps of Syrup/Sauce Total: 4 [Standard])
Total: 0.00 USD</t>
  </si>
  <si>
    <t>Thank you!</t>
  </si>
  <si>
    <t>Wednesday, Feb 14, 2024 2:00 PM-2:05 PM</t>
  </si>
  <si>
    <t>Chai Latte (Amount: 0.00 USD, Quantity: 1, Iced: No, Milk: Whole Milk, Syrups: None, Sauces: None, Dirty: Yes)
Total: 0.00 USD</t>
  </si>
  <si>
    <t>Please use a ceramic cup, if available!</t>
  </si>
  <si>
    <t>Wednesday, Feb 14, 2024 2:15 PM-2:20 PM</t>
  </si>
  <si>
    <t>Wednesday, Feb 14, 2024 3:05 PM-3:10 PM</t>
  </si>
  <si>
    <t>Wednesday, Feb 14, 2024 3:50 PM-3:55 PM</t>
  </si>
  <si>
    <t>Matcha Latte (Amount: 0.00 USD, Quantity: 1, Iced: Yes, Milk: Almond, Syrups: Lavender, Sauces: None)
Topo Chico (Amount: 0.00 USD, Quantity: 1)
Total: 0.00 USD</t>
  </si>
  <si>
    <t>+1 shot Lavender, +1 shot Vanilla 
Unsweetened matcha</t>
  </si>
  <si>
    <t>Wednesday, Feb 14, 2024 4:10 PM-4:15 PM</t>
  </si>
  <si>
    <t>Matcha Latte (Amount: 0.00 USD, Quantity: 1, Iced: Yes, Milk: Almond, Syrups: None, Sauces: None)
Topo Chico (Amount: 0.00 USD, Quantity: 1)
Total: 0.00 USD</t>
  </si>
  <si>
    <t>Thursday, Feb 15, 2024 9:05 AM-9:10 AM</t>
  </si>
  <si>
    <t>Caramel Macchiato (Amount: 0.00 USD, Quantity: 1, Iced: No, Milk: Almond, Shots of Espresso: 2 [Standard], Pumps of Syrup: 4 [Standard], Caramel Drizzle: No)
Water (Amount: 0.00 USD, Quantity: 2)
Total: 0.00 USD</t>
  </si>
  <si>
    <t>Caramel Macchiato (Amount: 0.00 USD, Quantity: 1, Iced: No, Milk: Almond, Shots of Espresso: 2 [Standard], Pumps of Syrup: 2, Caramel Drizzle: No)
Water (Amount: 0.00 USD, Quantity: 2)
Total: 0.00 USD</t>
  </si>
  <si>
    <t>I didn't get an email confirmation so I'm re-sending the order.</t>
  </si>
  <si>
    <t>Thursday, Feb 15, 2024 9:15 AM-9:20 AM</t>
  </si>
  <si>
    <t>Chai Latte (Amount: 0.00 USD, Quantity: 1, Iced: No, Milk: Oat, Syrups: None, Sauces: None, Dirty: No)
Total: 0.00 USD</t>
  </si>
  <si>
    <t>Thursday, Feb 15, 2024 9:30 AM-9:35 AM</t>
  </si>
  <si>
    <t>Latte (Amount: 0.00 USD, Quantity: 1, Iced: No, Milk: Coconut, Syrups: None, Sauces: None, Shots of Espresso: 1, Pumps of Syrup/Sauce Total: 4 [Standard])
Total: 0.00 USD</t>
  </si>
  <si>
    <t>Thursday, Feb 15, 2024 9:10 AM-9:15 AM</t>
  </si>
  <si>
    <t>Latte (Amount: 0.00 USD, Quantity: 1, Iced: No, Milk: Oat, Syrups: Vanilla, Sauces: None, Shots of Espresso: 2 [Standard], Pumps of Syrup/Sauce Total: 3)
Total: 0.00 USD</t>
  </si>
  <si>
    <t>Vanilla honey oatmilk latte plz</t>
  </si>
  <si>
    <t>Latte (Amount: 0.00 USD, Quantity: 1, Iced: Yes, Milk: Oat, Syrups: SF Brown Sugar Cinnamon, Sauces: None, Shots of Espresso: 2 [Standard], Pumps of Syrup/Sauce Total: 4 [Standard])
Total: 0.00 USD</t>
  </si>
  <si>
    <t>Cold Brew (Amount: 0.00 USD, Quantity: 1, Milk: Oat, Nitro: No)
Total: 0.00 USD</t>
  </si>
  <si>
    <t>Add 2 pumps Vanilla Syrup and ice please (I can grab the cold brew)
Thanks</t>
  </si>
  <si>
    <t>Thursday, Feb 15, 2024 9:20 AM-9:25 AM</t>
  </si>
  <si>
    <t>Flat White (Amount: 0.00 USD, Quantity: 1, Milk: Almond)
Coke (Amount: 0.00 USD, Quantity: 1)
Total: 0.00 USD</t>
  </si>
  <si>
    <t>Thursday, Feb 15, 2024 9:25 AM-9:30 AM</t>
  </si>
  <si>
    <t>Thursday, Feb 15, 2024 9:35 AM-9:40 AM</t>
  </si>
  <si>
    <t>Thursday, Feb 15, 2024 9:45 AM-9:50 AM</t>
  </si>
  <si>
    <t>Latte (Amount: 0.00 USD, Quantity: 1, Iced: No, Milk: Coconut, Syrups: None, Sauces: None, Shots of Espresso: 2 [Standard], Pumps of Syrup/Sauce Total: 1)
Total: 0.00 USD</t>
  </si>
  <si>
    <t>Rose latte, no rose petal. Thank you.</t>
  </si>
  <si>
    <t>Thursday, Feb 15, 2024 9:50 AM-9:55 AM</t>
  </si>
  <si>
    <t>Iced Shaken Espresso (Amount: 0.00 USD, Quantity: 1, Milk: Oat, Syrups: SF Brown Sugar Cinnamon, Sauces: None)
Topo Chico (Amount: 0.00 USD, Quantity: 1)
Total: 0.00 USD</t>
  </si>
  <si>
    <t>Thursday, Feb 15, 2024 9:55 AM-10:00 AM</t>
  </si>
  <si>
    <t>Can I get sugar free caramel please?</t>
  </si>
  <si>
    <t>Thursday, Feb 15, 2024 10:30 AM-10:35 AM</t>
  </si>
  <si>
    <t>Please add honey to flat white 
Please add cinnamon to both drinks thank you</t>
  </si>
  <si>
    <t>Thursday, Feb 15, 2024 10:10 AM-10:15 AM</t>
  </si>
  <si>
    <t>Latte (Amount: 0.00 USD, Quantity: 1, Iced: No, Milk: Soy, Syrups: Raspberry, Sauces: Dark Chocolate, Shots of Espresso: 2 [Standard], Pumps of Syrup/Sauce Total: 4 [Standard])
Total: 0.00 USD</t>
  </si>
  <si>
    <t>Doesn't give me a mocha election</t>
  </si>
  <si>
    <t>Thursday, Feb 15, 2024 10:20 AM-10:25 AM</t>
  </si>
  <si>
    <t>Latte (Amount: 0.00 USD, Quantity: 1, Iced: No, Milk: Almond, Syrups: None, Sauces: Peppermint Bark, Shots of Espresso: 2 [Standard], Pumps of Syrup/Sauce Total: 4 [Standard])
Diet Coke (Amount: 0.00 USD, Quantity: 1)
Total: 0.00 USD</t>
  </si>
  <si>
    <t>Thursday, Feb 15, 2024 10:25 AM-10:30 AM</t>
  </si>
  <si>
    <t>Thursday, Feb 15, 2024 11:00 AM-11:05 AM</t>
  </si>
  <si>
    <t>Iced Tea (Amount: 0.00 USD, Quantity: 1)
Water (Amount: 0.00 USD, Quantity: 1)
Coke Zero (Amount: 0.00 USD, Quantity: 1)
Total: 0.00 USD</t>
  </si>
  <si>
    <t>Thursday, Feb 15, 2024 12:50 PM-12:55 PM</t>
  </si>
  <si>
    <t>Hot Tea (Amount: 0.00 USD, Quantity: 1, Flavor: Earl Grey)
Total: 0.00 USD</t>
  </si>
  <si>
    <t>hot. two tea bags with honey, please and ty</t>
  </si>
  <si>
    <t>Thursday, Feb 15, 2024 1:45 PM-1:50 PM</t>
  </si>
  <si>
    <t>Thursday, Feb 15, 2024 2:20 PM-2:25 PM</t>
  </si>
  <si>
    <t>Thursday, Feb 15, 2024 3:20 PM-3:25 PM</t>
  </si>
  <si>
    <t>Chai Latte (Amount: 0.00 USD, Quantity: 1, Iced: No, Milk: 2% Milk, Syrups: Brown Sugar Cinnamon, Sauces: None, Dirty: No)
Total: 0.00 USD</t>
  </si>
  <si>
    <t>Xtra cimoninomin</t>
  </si>
  <si>
    <t>Thursday, Feb 15, 2024 3:35 PM-3:40 PM</t>
  </si>
  <si>
    <t>Latte (Amount: 0.00 USD, Quantity: 1, Iced: Yes, Milk: Heavy Cream, Syrups: SF Brown Sugar Cinnamon, Sauces: None, Shots of Espresso: 2 [Standard], Pumps of Syrup/Sauce Total: 3)
Water (Amount: 0.00 USD, Quantity: 1)
Total: 0.00 USD</t>
  </si>
  <si>
    <t>Matcha Latte (Amount: 0.00 USD, Quantity: 1, Iced: No, Milk: Almond, Syrups: Lavender, Sauces: None)
Total: 0.00 USD</t>
  </si>
  <si>
    <t>Unsweetened matcha
1 Lavender
1 Vanilla</t>
  </si>
  <si>
    <t>Friday, Feb 16, 2024 9:05 AM-9:10 AM</t>
  </si>
  <si>
    <t>Latte (Amount: 0.00 USD, Quantity: 1, Iced: No, Milk: Oat, Syrups: None, Sauces: None, Shots of Espresso: 2 [Standard], Pumps of Syrup/Sauce Total: 4 [Standard])
Total: 0.00 USD</t>
  </si>
  <si>
    <t>asdas</t>
  </si>
  <si>
    <t>Friday, Feb 16, 2024 9:55 AM-10:00 AM</t>
  </si>
  <si>
    <t>Friday, Feb 16, 2024 1:30 PM-1:35 PM</t>
  </si>
  <si>
    <t>Drip Brew (Amount: 0.00 USD, Quantity: 1, Caffine: Decaf, Con Panna [With Cream]: Yes, Iced: Yes)
Total: 0.00 USD</t>
  </si>
  <si>
    <t>Tuesday, Feb 20, 2024 9:05 AM-9:10 AM</t>
  </si>
  <si>
    <t>Tuesday, Feb 20, 2024 9:10 AM-9:15 AM</t>
  </si>
  <si>
    <t>Latte (Amount: 0.00 USD, Quantity: 1, Iced: No, Milk: Oat, Syrups: SF Hazelnut, Sauces: None, Shots of Espresso: 2 [Standard], Pumps of Syrup/Sauce Total: 3)
Total: 0.00 USD</t>
  </si>
  <si>
    <t>Tuesday, Feb 20, 2024 9:15 AM-9:20 AM</t>
  </si>
  <si>
    <t>Vanilla honey oatmilk latte-  triple shot</t>
  </si>
  <si>
    <t>Tuesday, Feb 20, 2024 9:30 AM-9:35 AM</t>
  </si>
  <si>
    <t>Tuesday, Feb 20, 2024 9:55 AM-10:00 AM</t>
  </si>
  <si>
    <t>Caramel Macchiato (Amount: 0.00 USD, Quantity: 1, Iced: No, Milk: Almond, Shots of Espresso: 2 [Standard], Pumps of Syrup: 2, Caramel Drizzle: No)
Total: 0.00 USD</t>
  </si>
  <si>
    <t>Sugar free caramel please!</t>
  </si>
  <si>
    <t>Latte (Amount: 0.00 USD, Quantity: 1, Iced: No, Milk: 2% Milk, Syrups: None, Sauces: None, Shots of Espresso: 2 [Standard], Pumps of Syrup/Sauce Total: 4 [Standard])
Total: 0.00 USD</t>
  </si>
  <si>
    <t>Tuesday, Feb 20, 2024 9:50 AM-9:55 AM</t>
  </si>
  <si>
    <t>Please place cinnamon on both 
Please add honey to flat white</t>
  </si>
  <si>
    <t>Tuesday, Feb 20, 2024 10:30 AM-10:35 AM</t>
  </si>
  <si>
    <t>Tuesday, Feb 20, 2024 10:40 AM-10:45 AM</t>
  </si>
  <si>
    <t>Drip Brew (Amount: 0.00 USD, Quantity: 1, Caffine: Regular, Con Panna [With Cream]: No, Iced: No)
Total: 0.00 USD</t>
  </si>
  <si>
    <t>Please add 1 shot of espresso.</t>
  </si>
  <si>
    <t>Tuesday, Feb 20, 2024 10:50 AM-10:55 AM</t>
  </si>
  <si>
    <t>I’ll bring my own cup</t>
  </si>
  <si>
    <t>Tuesday, Feb 20, 2024 1:45 PM-1:50 PM</t>
  </si>
  <si>
    <t>Tuesday, Feb 20, 2024 2:25 PM-2:30 PM</t>
  </si>
  <si>
    <t>Tuesday, Feb 20, 2024 2:45 PM-2:50 PM</t>
  </si>
  <si>
    <t>Wednesday, Feb 21, 2024 10:00 AM-10:05 AM</t>
  </si>
  <si>
    <t>Wednesday, Feb 21, 2024 9:05 AM-9:10 AM</t>
  </si>
  <si>
    <t>Chai Latte (Amount: 0.00 USD, Quantity: 1, Iced: No, Milk: Almond, Syrups: Hazelnut, Sauces: None, Dirty: No)
Water (Amount: 0.00 USD, Quantity: 2)
Total: 0.00 USD</t>
  </si>
  <si>
    <t>Cold Brew (Amount: 0.00 USD, Quantity: 1, Milk: Oat, Nitro: No)
Water (Amount: 0.00 USD, Quantity: 1)
Total: 0.00 USD</t>
  </si>
  <si>
    <t>2 pumps vanilla syrup. I can add cold brew. Thanks!</t>
  </si>
  <si>
    <t>Wednesday, Feb 21, 2024 9:10 AM-9:15 AM</t>
  </si>
  <si>
    <t>Wednesday, Feb 21, 2024 9:20 AM-9:25 AM</t>
  </si>
  <si>
    <t>Latte (Amount: 0.00 USD, Quantity: 1, Iced: No, Milk: Oat, Syrups: SF Brown Sugar Cinnamon, Sauces: None, Shots of Espresso: 2 [Standard], Pumps of Syrup/Sauce Total: 4 [Standard])
Total: 0.00 USD</t>
  </si>
  <si>
    <t>Wednesday, Feb 21, 2024 9:30 AM-9:35 AM</t>
  </si>
  <si>
    <t>Wednesday, Feb 21, 2024 9:50 AM-9:55 AM</t>
  </si>
  <si>
    <t>Wednesday, Feb 21, 2024 10:15 AM-10:20 AM</t>
  </si>
  <si>
    <t>Matcha Latte (Amount: 0.00 USD, Quantity: 1, Iced: No, Milk: Coconut, Syrups: None, Sauces: None)
Topo Chico (Amount: 0.00 USD, Quantity: 1)
Total: 0.00 USD</t>
  </si>
  <si>
    <t>Room temperature topo Chico, thank you.</t>
  </si>
  <si>
    <t>Wednesday, Feb 21, 2024 10:45 AM-10:50 AM</t>
  </si>
  <si>
    <t>Latte (Amount: 0.00 USD, Quantity: 1, Iced: No, Milk: Whole Milk, Syrups: None, Sauces: None, Shots of Espresso: 2 [Standard], Pumps of Syrup/Sauce Total: 2)
Total: 0.00 USD</t>
  </si>
  <si>
    <t>Please add honey to flat white
Please add cinnaMON' to both drinks
Thanks ladies!</t>
  </si>
  <si>
    <t>Wednesday, Feb 21, 2024 12:30 PM-12:35 PM</t>
  </si>
  <si>
    <t>Iced Shaken Espresso (Amount: 0.00 USD, Quantity: 1, Milk: Almond, Syrups: None, Sauces: None)
Topo Chico (Amount: 0.00 USD, Quantity: 1)
Total: 0.00 USD</t>
  </si>
  <si>
    <t>Could you open the Topo Chico please? Thank you!</t>
  </si>
  <si>
    <t>Wednesday, Feb 21, 2024 1:20 PM-1:25 PM</t>
  </si>
  <si>
    <t>Wednesday, Feb 21, 2024 2:20 PM-2:25 PM</t>
  </si>
  <si>
    <t>Matcha Latte (Amount: 0.00 USD, Quantity: 1, Iced: No, Milk: Almond, Syrups: None, Sauces: None)
Dr.Pepper (Amount: 0.00 USD, Quantity: 1)
Total: 0.00 USD</t>
  </si>
  <si>
    <t>Regular hot sweet</t>
  </si>
  <si>
    <t>Wednesday, Feb 21, 2024 3:05 PM-3:10 PM</t>
  </si>
  <si>
    <t>Wednesday, Feb 21, 2024 3:45 PM-3:50 PM</t>
  </si>
  <si>
    <t>Thursday, Feb 22, 2024 9:05 AM-9:10 AM</t>
  </si>
  <si>
    <t>Caramel Macchiato (Amount: 0.00 USD, Quantity: 1, Iced: No, Milk: Almond, Shots of Espresso: 3, Pumps of Syrup: 3, Caramel Drizzle: No)
Water (Amount: 0.00 USD, Quantity: 2)
Total: 0.00 USD</t>
  </si>
  <si>
    <t>Thursday, Feb 22, 2024 10:00 AM-10:05 AM</t>
  </si>
  <si>
    <t>Chai Latte (Amount: 0.00 USD, Quantity: 1, Iced: No, Milk: 2% Milk, Syrups: None, Sauces: None, Dirty: No)
Red Bull (Amount: 0.00 USD, Quantity: 1)
Total: 0.00 USD</t>
  </si>
  <si>
    <t>Thursday, Feb 22, 2024 9:15 AM-9:20 AM</t>
  </si>
  <si>
    <t>Latte (Amount: 0.00 USD, Quantity: 1, Iced: No, Milk: Oat, Syrups: SF Hazelnut, Sauces: None, Shots of Espresso: 2 [Standard], Pumps of Syrup/Sauce Total: 3)
Water (Amount: 0.00 USD, Quantity: 1)
Total: 0.00 USD</t>
  </si>
  <si>
    <t>Thursday, Feb 22, 2024 9:20 AM-9:25 AM</t>
  </si>
  <si>
    <t>Latte (Amount: 0.00 USD, Quantity: 1, Iced: No, Milk: Oat, Syrups: Rose, Sauces: None, Shots of Espresso: 1, Pumps of Syrup/Sauce Total: 1)
Total: 0.00 USD</t>
  </si>
  <si>
    <t>Thursday, Feb 22, 2024 9:25 AM-9:30 AM</t>
  </si>
  <si>
    <t>Chai Latte (Amount: 0.00 USD, Quantity: 1, Iced: No, Milk: 2% Milk, Syrups: None, Sauces: None, Dirty: No)
Total: 0.00 USD</t>
  </si>
  <si>
    <t>Thursday, Feb 22, 2024 9:55 AM-10:00 AM</t>
  </si>
  <si>
    <t>Thursday, Feb 22, 2024 9:50 AM-9:55 AM</t>
  </si>
  <si>
    <t>I’ll bring my own cup. Thx</t>
  </si>
  <si>
    <t>Thursday, Feb 22, 2024 10:15 AM-10:20 AM</t>
  </si>
  <si>
    <t>Please add honey to flat white 
Please add cinnamon to both drinks. 
Thank youuuu</t>
  </si>
  <si>
    <t>Thursday, Feb 22, 2024 10:25 AM-10:30 AM</t>
  </si>
  <si>
    <t>Matcha Latte (Amount: 0.00 USD, Quantity: 2, Iced: No, Milk: Almond, Syrups: None, Sauces: None)
Total: 0.00 USD</t>
  </si>
  <si>
    <t>Thursday, Feb 22, 2024 12:10 PM-12:15 PM</t>
  </si>
  <si>
    <t>Thursday, Feb 22, 2024 1:20 PM-1:25 PM</t>
  </si>
  <si>
    <t>Latte (Amount: 0.00 USD, Quantity: 1, Iced: No, Milk: Oat, Syrups: Raspberry, Sauces: None, Shots of Espresso: 1, Pumps of Syrup/Sauce Total: 1)
Total: 0.00 USD</t>
  </si>
  <si>
    <t>Thursday, Feb 22, 2024 1:30 PM-1:35 PM</t>
  </si>
  <si>
    <t>Latte (Amount: 0.00 USD, Quantity: 1, Iced: No, Milk: Almond, Syrups: Raspberry, Sauces: None, Shots of Espresso: 1, Pumps of Syrup/Sauce Total: 1)
Total: 0.00 USD</t>
  </si>
  <si>
    <t>Thursday, Feb 22, 2024 1:45 PM-1:50 PM</t>
  </si>
  <si>
    <t>Latte (Amount: 0.00 USD, Quantity: 1, Iced: Yes, Milk: Whole Milk, Syrups: Vanilla, Sauces: None, Shots of Espresso: 3, Pumps of Syrup/Sauce Total: 4 [Standard])
Sprite (Amount: 0.00 USD, Quantity: 1)
Total: 0.00 USD</t>
  </si>
  <si>
    <t>Thursday, Feb 22, 2024 2:25 PM-2:30 PM</t>
  </si>
  <si>
    <t>Espresso (Amount: 0.00 USD, Quantity: 1, : Triple, Con Panna [With Cream]: No)
Matcha Latte (Amount: 0.00 USD, Quantity: 1, Iced: No, Milk: Almond, Syrups: Hazelnut, Sauces: None)
Total: 0.00 USD</t>
  </si>
  <si>
    <t>Thursday, Feb 22, 2024 2:30 PM-2:35 PM</t>
  </si>
  <si>
    <t>Iced Tea (Amount: 0.00 USD, Quantity: 1)
Total: 0.00 USD</t>
  </si>
  <si>
    <t>Add mint leaves</t>
  </si>
  <si>
    <t>Thursday, Feb 22, 2024 2:55 PM-3:00 PM</t>
  </si>
  <si>
    <t>Coke Zero (Amount: 0.00 USD, Quantity: 2)
Total: 0.00 USD</t>
  </si>
  <si>
    <t>May I have a side of whipped cream? I know.. lol ty</t>
  </si>
  <si>
    <t>Thursday, Feb 22, 2024 3:20 PM-3:25 PM</t>
  </si>
  <si>
    <t>Espresso (Amount: 0.00 USD, Quantity: 1, : Double [Doppio], Con Panna [With Cream]: No)
Total: 0.00 USD</t>
  </si>
  <si>
    <t>500 Red Bulls and a cup of ice. Five cubes of ice only.</t>
  </si>
  <si>
    <t>Thursday, Feb 22, 2024 3:40 PM-3:45 PM</t>
  </si>
  <si>
    <t>Please use a ceramic cup! 3 pumps of raspberry is good ?</t>
  </si>
  <si>
    <t>Friday, Feb 23, 2024 11:00 AM-11:05 AM</t>
  </si>
  <si>
    <t>Latte (Amount: 0.00 USD, Quantity: 1, Iced: No, Milk: Oat, Syrups: None, Sauces: None, Shots of Espresso: 2 [Standard], Pumps of Syrup/Sauce Total: 4 [Standard])
Matcha Latte (Amount: 0.00 USD, Quantity: 1, Iced: Yes, Milk: Oat, Syrups: Lavender, Sauces: None)
Water (Amount: 0.00 USD, Quantity: 1)
Total: 0.00 USD</t>
  </si>
  <si>
    <t>Friday, Feb 23, 2024 10:00 AM-10:05 AM</t>
  </si>
  <si>
    <t>Friday, Feb 23, 2024 2:00 PM-2:05 PM</t>
  </si>
  <si>
    <t>Latte (Amount: 0.00 USD, Quantity: 1, Iced: No, Milk: Oat, Syrups: None, Sauces: None, Shots of Espresso: 2 [Standard], Pumps of Syrup/Sauce Total: 4 [Standard])
Red Bull [Sugar Free] (Amount: 0.00 USD, Quantity: 2)
Total: 0.00 USD</t>
  </si>
  <si>
    <t>Friday, Feb 23, 2024 2:35 PM-2:40 PM</t>
  </si>
  <si>
    <t>Caramel Macchiato (Amount: 0.00 USD, Quantity: 1, Iced: No, Milk: Almond, Shots of Espresso: 2 [Standard], Pumps of Syrup: 4 [Standard], Caramel Drizzle: Yes)
Diet Coke (Amount: 0.00 USD, Quantity: 1)
Red Bull (Amount: 0.00 USD, Quantity: 1)
Total: 0.00 USD</t>
  </si>
  <si>
    <t>Monday, Feb 26, 2024 9:20 AM-9:25 AM</t>
  </si>
  <si>
    <t>Latte (Amount: 0.00 USD, Quantity: 1, Iced: Yes, Milk: Whole Milk, Syrups: SF Caramel, Sauces: None, Shots of Espresso: 3, Pumps of Syrup/Sauce Total: 4 [Standard])
Sprite (Amount: 0.00 USD, Quantity: 1)
Total: 0.00 USD</t>
  </si>
  <si>
    <t>Monday, Feb 26, 2024 9:50 AM-9:55 AM</t>
  </si>
  <si>
    <t>Latte (Amount: 0.00 USD, Quantity: 1, Iced: No, Milk: Soy, Syrups: None, Sauces: Dark Chocolate, Shots of Espresso: 2 [Standard], Pumps of Syrup/Sauce Total: 4 [Standard])
Total: 0.00 USD</t>
  </si>
  <si>
    <t>I'd like a soy mocha please</t>
  </si>
  <si>
    <t>Monday, Feb 26, 2024 10:40 AM-10:45 AM</t>
  </si>
  <si>
    <t>Latte (Amount: 0.00 USD, Quantity: 1, Iced: No, Milk: Oat, Syrups: None, Sauces: None, Shots of Espresso: 2 [Standard], Pumps of Syrup/Sauce Total: 4 [Standard])
Caramel Macchiato (Amount: 0.00 USD, Quantity: 1, Iced: No, Milk: Oat, Shots of Espresso: 2 [Standard], Pumps of Syrup: 4 [Standard], Caramel Drizzle: Yes)
Total: 0.00 USD</t>
  </si>
  <si>
    <t>Monday, Feb 26, 2024 10:45 AM-10:50 AM</t>
  </si>
  <si>
    <t>Latte (Amount: 0.00 USD, Quantity: 1, Iced: No, Milk: Oat, Syrups: None, Sauces: None, Shots of Espresso: 2 [Standard], Pumps of Syrup/Sauce Total: 4 [Standard])
Cold Brew (Amount: 0.00 USD, Quantity: 1, Milk: None, Nitro: No)
Total: 0.00 USD</t>
  </si>
  <si>
    <t>Monday, Feb 26, 2024 12:10 PM-12:15 PM</t>
  </si>
  <si>
    <t>Monday, Feb 26, 2024 3:00 PM-3:05 PM</t>
  </si>
  <si>
    <t>Chai Latte (Amount: 0.00 USD, Quantity: 1, Iced: Yes, Milk: Oat, Syrups: SF Brown Sugar Cinnamon, Sauces: Caramel, Dirty: No)
Total: 0.00 USD</t>
  </si>
  <si>
    <t>Tuesday, Feb 27, 2024 9:05 AM-9:10 AM</t>
  </si>
  <si>
    <t>Matcha Latte (Amount: 0.00 USD, Quantity: 1, Iced: No, Milk: Almond, Syrups: Hazelnut, Sauces: None)
Water (Amount: 0.00 USD, Quantity: 2)
Total: 0.00 USD</t>
  </si>
  <si>
    <t>2 pumps vanilla syrup. I can add cold brew. Thanks</t>
  </si>
  <si>
    <t>Tuesday, Feb 27, 2024 9:15 AM-9:20 AM</t>
  </si>
  <si>
    <t>Latte (Amount: 0.00 USD, Quantity: 1, Iced: No, Milk: Oat, Syrups: SF Brown Sugar Cinnamon, Sauces: None, Shots of Espresso: 2 [Standard], Pumps of Syrup/Sauce Total: 2)
Water (Amount: 0.00 USD, Quantity: 2)
Total: 0.00 USD</t>
  </si>
  <si>
    <t>Tuesday, Feb 27, 2024 10:45 AM-10:50 AM</t>
  </si>
  <si>
    <t>Latte (Amount: 0.00 USD, Quantity: 10, Iced: Yes, Milk: Heavy Cream, Syrups: Cherry, Sauces: Peppermint Bark, Shots of Espresso: 4, Pumps of Syrup/Sauce Total: 4 [Standard])
Total: 0.00 USD</t>
  </si>
  <si>
    <t>Extra foam over ice. 2 cubes. Shaken. With a dash of nutmeg. 50000 oranges. K thnx.</t>
  </si>
  <si>
    <t>Tuesday, Feb 27, 2024 12:00 PM-12:05 PM</t>
  </si>
  <si>
    <t>Tuesday, Feb 27, 2024 12:45 PM-12:50 PM</t>
  </si>
  <si>
    <t>Tuesday, Feb 27, 2024 2:40 PM-2:45 PM</t>
  </si>
  <si>
    <t>London Fog (Amount: 0.00 USD, Quantity: 1, Milk: Almond)
Coke Zero (Amount: 0.00 USD, Quantity: 1)
Total: 0.00 USD</t>
  </si>
  <si>
    <t>Please add vanilla for latte 2 pump</t>
  </si>
  <si>
    <t>Wednesday, Feb 28, 2024 10:30 AM-10:35 AM</t>
  </si>
  <si>
    <t>Wednesday, Feb 28, 2024 9:05 AM-9:10 AM</t>
  </si>
  <si>
    <t>Caramel Macchiato (Amount: 0.00 USD, Quantity: 1, Iced: No, Milk: Oat, Shots of Espresso: 2 [Standard], Pumps of Syrup: 4 [Standard], Caramel Drizzle: No)
Water (Amount: 0.00 USD, Quantity: 2)
Total: 0.00 USD</t>
  </si>
  <si>
    <t>Wednesday, Feb 28, 2024 2:45 PM-2:50 PM</t>
  </si>
  <si>
    <t>Please make with almond milk not sure if I added it the my 9 clock order. 
Thank you</t>
  </si>
  <si>
    <t>2 pumps vanilla syrup. I can pour the cold brew. Thanks!</t>
  </si>
  <si>
    <t>Wednesday, Feb 28, 2024 9:40 AM-9:45 AM</t>
  </si>
  <si>
    <t>Iced Shaken Espresso (Amount: 0.00 USD, Quantity: 1, Milk: Whole Milk, Syrups: Cane Syrup, Sauces: None)
Topo Chico (Amount: 0.00 USD, Quantity: 1)
Total: 0.00 USD</t>
  </si>
  <si>
    <t>Wednesday, Feb 28, 2024 9:45 AM-9:50 AM</t>
  </si>
  <si>
    <t>Latte (Amount: 0.00 USD, Quantity: 1, Iced: No, Milk: Almond, Syrups: Vanilla, Sauces: Caramel, Shots of Espresso: 2 [Standard], Pumps of Syrup/Sauce Total: 4 [Standard])
Total: 0.00 USD</t>
  </si>
  <si>
    <t>Wednesday, Feb 28, 2024 10:00 AM-10:05 AM</t>
  </si>
  <si>
    <t>Good morning and thank you!</t>
  </si>
  <si>
    <t>Wednesday, Feb 28, 2024 10:55 AM-11:00 AM</t>
  </si>
  <si>
    <t>Caramel Macchiato (Amount: 0.00 USD, Quantity: 1, Iced: No, Milk: Soy, Shots of Espresso: 2 [Standard], Pumps of Syrup: 2, Caramel Drizzle: Yes)
Total: 0.00 USD</t>
  </si>
  <si>
    <t>Wednesday, Feb 28, 2024 11:10 AM-11:15 AM</t>
  </si>
  <si>
    <t>Please add honey to the flat white &amp; cinna'mun =)
Yes only one coffee today.
Thank you!</t>
  </si>
  <si>
    <t>Wednesday, Feb 28, 2024 12:05 PM-12:10 PM</t>
  </si>
  <si>
    <t>Wednesday, Feb 28, 2024 12:45 PM-12:50 PM</t>
  </si>
  <si>
    <t>Chai Latte (Amount: 0.00 USD, Quantity: 1, Iced: No, Milk: Almond, Syrups: None, Sauces: Caramel, Dirty: Yes)
Total: 0.00 USD</t>
  </si>
  <si>
    <t>Thursday, Feb 29, 2024 9:05 AM-9:10 AM</t>
  </si>
  <si>
    <t>2 pumps vanilla syrup. I can pour my own cold brew. Thanks!</t>
  </si>
  <si>
    <t>Thursday, Feb 29, 2024 9:35 AM-9:40 AM</t>
  </si>
  <si>
    <t>Caramel Macchiato (Amount: 0.00 USD, Quantity: 1, Iced: Yes, Milk: Whole, Shots of Espresso: 3, Pumps of Syrup: 4 [Standard], Caramel Drizzle: Yes)
Topo Chico (Amount: 0.00 USD, Quantity: 2)
Sprite (Amount: 0.00 USD, Quantity: 1)
Coke Zero (Amount: 0.00 USD, Quantity: 1)
Total: 0.00 USD</t>
  </si>
  <si>
    <t>Thursday, Feb 29, 2024 9:55 AM-10:00 AM</t>
  </si>
  <si>
    <t>Caramel Macchiato (Amount: 0.00 USD, Quantity: 1, Iced: No, Milk: Almond, Shots of Espresso: 2 [Standard], Pumps of Syrup: 4 [Standard], Caramel Drizzle: No)
Total: 0.00 USD</t>
  </si>
  <si>
    <t>Thursday, Feb 29, 2024 11:05 AM-11:10 AM</t>
  </si>
  <si>
    <t>Thursday, Feb 29, 2024 2:05 PM-2:10 PM</t>
  </si>
  <si>
    <t>Thursday, Feb 29, 2024 3:25 PM-3:30 PM</t>
  </si>
  <si>
    <t>Matcha Latte (Amount: 0.00 USD, Quantity: 1, Iced: No, Milk: Almond, Syrups: Lavender, Sauces: None)
Topo Chico (Amount: 0.00 USD, Quantity: 1)
Total: 0.00 USD</t>
  </si>
  <si>
    <t>Matcha latte: unsweetened matcha, 1 pump vanilla, 1 pump lavender</t>
  </si>
  <si>
    <t>Thursday, Feb 29, 2024 3:50 PM-3:55 PM</t>
  </si>
  <si>
    <t>Matcha Latte (Amount: 0.00 USD, Quantity: 1, Iced: Yes, Milk: Oat, Syrups: Cane Syrup, Sauces: None)
Water (Amount: 0.00 USD, Quantity: 1)
Total: 0.00 USD</t>
  </si>
  <si>
    <t>Friday, Mar 01, 2024 11:15 AM-11:20 AM</t>
  </si>
  <si>
    <t>Friday, Mar 01, 2024 10:55 AM-11:00 AM</t>
  </si>
  <si>
    <t>Please add 1 espresso shot.</t>
  </si>
  <si>
    <t>Monday, Mar 04, 2024 9:15 AM-9:20 AM</t>
  </si>
  <si>
    <t>Americano (Amount: 0.00 USD, Quantity: 1)
Topo Chico (Amount: 0.00 USD, Quantity: 1)
Total: 0.00 USD</t>
  </si>
  <si>
    <t>Iced americano, 4 pumps of cane please.</t>
  </si>
  <si>
    <t>Monday, Mar 04, 2024 10:05 AM-10:10 AM</t>
  </si>
  <si>
    <t>Latte (Amount: 0.00 USD, Quantity: 1, Iced: No, Milk: Half/Half, Syrups: None, Sauces: None, Shots of Espresso: 2 [Standard], Pumps of Syrup/Sauce Total: 1)
Water (Amount: 0.00 USD, Quantity: 1)
Total: 0.00 USD</t>
  </si>
  <si>
    <t>Monday, Mar 04, 2024 10:10 AM-10:15 AM</t>
  </si>
  <si>
    <t>Latte (Amount: 0.00 USD, Quantity: 1, Iced: No, Milk: Coconut, Syrups: Rose, Sauces: None, Shots of Espresso: 1, Pumps of Syrup/Sauce Total: 1)
Total: 0.00 USD</t>
  </si>
  <si>
    <t>Monday, Mar 04, 2024 2:35 PM-2:40 PM</t>
  </si>
  <si>
    <t>Matcha Latte (Amount: 0.00 USD, Quantity: 1, Iced: Yes, Milk: Oat, Syrups: Vanilla, Sauces: None)
Total: 0.00 USD</t>
  </si>
  <si>
    <t>Tuesday, Mar 05, 2024 9:15 AM-9:20 AM</t>
  </si>
  <si>
    <t>Latte (Amount: 0.00 USD, Quantity: 1, Iced: No, Milk: Oat, Syrups: SF Hazelnut, Sauces: None, Shots of Espresso: 2 [Standard], Pumps of Syrup/Sauce Total: 4 [Standard])
Dr.Pepper (Amount: 0.00 USD, Quantity: 1)
Total: 0.00 USD</t>
  </si>
  <si>
    <t>Tuesday, Mar 05, 2024 9:05 AM-9:10 AM</t>
  </si>
  <si>
    <t>2 pumps vanilla. I can pour the cold brew. Thanks!</t>
  </si>
  <si>
    <t>Water (Amount: 0.00 USD, Quantity: 3)
Total: 0.00 USD</t>
  </si>
  <si>
    <t>Can I get a 1/2 cup of hot and 1/2 cup of almond Milk steamed with 3 pumps of hazelnut. 
I have some mushrooms coffee that I want to try today. 
Thanks in advance.</t>
  </si>
  <si>
    <t>Tuesday, Mar 05, 2024 9:10 AM-9:15 AM</t>
  </si>
  <si>
    <t>Tuesday, Mar 05, 2024 9:20 AM-9:25 AM</t>
  </si>
  <si>
    <t>Latte (Amount: 0.00 USD, Quantity: 1, Iced: Yes, Milk: Almond, Syrups: Lavender, Sauces: None, Shots of Espresso: 2 [Standard], Pumps of Syrup/Sauce Total: 2)
Water (Amount: 0.00 USD, Quantity: 2)
Total: 0.00 USD</t>
  </si>
  <si>
    <t>Can I have an iced almond milk lavender honey latte please. Thanks !</t>
  </si>
  <si>
    <t>Tuesday, Mar 05, 2024 9:45 AM-9:50 AM</t>
  </si>
  <si>
    <t>Espresso (Amount: 0.00 USD, Quantity: 1, : Double [Doppio], Con Panna [With Cream]: Yes)
Total: 0.00 USD</t>
  </si>
  <si>
    <t>With hazelnut syrup please</t>
  </si>
  <si>
    <t>Tuesday, Mar 05, 2024 10:00 AM-10:05 AM</t>
  </si>
  <si>
    <t>Tuesday, Mar 05, 2024 9:55 AM-10:00 AM</t>
  </si>
  <si>
    <t>Cappuccino (Amount: 0.00 USD, Quantity: 1, Milk: Almond, Size: Big [16 oz], Syrups: SF Brown Sugar Cinnamon, Sauces: Caramel)
Flat White (Amount: 0.00 USD, Quantity: 1, Milk: None)
Topo Chico (Amount: 0.00 USD, Quantity: 1)
Total: 0.00 USD</t>
  </si>
  <si>
    <t>No source, no auger, please</t>
  </si>
  <si>
    <t>Tuesday, Mar 05, 2024 10:05 AM-10:10 AM</t>
  </si>
  <si>
    <t>Latte (Amount: 0.00 USD, Quantity: 1, Iced: No, Milk: Coconut, Syrups: Vanilla, Sauces: None, Shots of Espresso: 1, Pumps of Syrup/Sauce Total: 1)
Total: 0.00 USD</t>
  </si>
  <si>
    <t>Tuesday, Mar 05, 2024 10:20 AM-10:25 AM</t>
  </si>
  <si>
    <t>Iced Shaken Espresso (Amount: 0.00 USD, Quantity: 1, Milk: Oat, Syrups: None, Sauces: None)
Total: 0.00 USD</t>
  </si>
  <si>
    <t>No sweeteners or syrups</t>
  </si>
  <si>
    <t>Tuesday, Mar 05, 2024 10:25 AM-10:30 AM</t>
  </si>
  <si>
    <t>Thanks</t>
  </si>
  <si>
    <t>Tuesday, Mar 05, 2024 10:35 AM-10:40 AM</t>
  </si>
  <si>
    <t>Tuesday, Mar 05, 2024 12:35 PM-12:40 PM</t>
  </si>
  <si>
    <t>Tuesday, Mar 05, 2024 2:15 PM-2:20 PM</t>
  </si>
  <si>
    <t>Matcha Latte (Amount: 0.00 USD, Quantity: 1, Iced: Yes, Milk: Oat, Syrups: SF Hazelnut, Sauces: None)
Total: 0.00 USD</t>
  </si>
  <si>
    <t>Tuesday, Mar 05, 2024 2:00 PM-2:05 PM</t>
  </si>
  <si>
    <t>Tuesday, Mar 05, 2024 2:20 PM-2:25 PM</t>
  </si>
  <si>
    <t>Wednesday, Mar 06, 2024 11:00 AM-11:05 AM</t>
  </si>
  <si>
    <t>Wednesday, Mar 06, 2024 9:05 AM-9:10 AM</t>
  </si>
  <si>
    <t>2 pumps vanilla syrup. I can pour cold brew. Thanks!</t>
  </si>
  <si>
    <t>Wednesday, Mar 06, 2024 9:15 AM-9:20 AM</t>
  </si>
  <si>
    <t>Latte (Amount: 0.00 USD, Quantity: 1, Iced: Yes, Milk: Almond, Syrups: Lavender, Sauces: None, Shots of Espresso: 2 [Standard], Pumps of Syrup/Sauce Total: 2)
Water (Amount: 0.00 USD, Quantity: 1)
Total: 0.00 USD</t>
  </si>
  <si>
    <t>Can you do iced almond milk lavender honey latte. Thank you!</t>
  </si>
  <si>
    <t>Wednesday, Mar 06, 2024 9:50 AM-9:55 AM</t>
  </si>
  <si>
    <t>Americano (Amount: 0.00 USD, Quantity: 1)
Sprite (Amount: 0.00 USD, Quantity: 1)
Total: 0.00 USD</t>
  </si>
  <si>
    <t>Wednesday, Mar 06, 2024 10:00 AM-10:05 AM</t>
  </si>
  <si>
    <t>Wednesday, Mar 06, 2024 10:05 AM-10:10 AM</t>
  </si>
  <si>
    <t>Wednesday, Mar 06, 2024 10:35 AM-10:40 AM</t>
  </si>
  <si>
    <t>Matcha Latte (Amount: 0.00 USD, Quantity: 1, Iced: No, Milk: Almond, Syrups: None, Sauces: None)
Water (Amount: 0.00 USD, Quantity: 2)
Total: 0.00 USD</t>
  </si>
  <si>
    <t>Sweet</t>
  </si>
  <si>
    <t>Wednesday, Mar 06, 2024 12:25 PM-12:30 PM</t>
  </si>
  <si>
    <t>Caramel Macchiato (Amount: 0.00 USD, Quantity: 1, Iced: No, Milk: Whole, Shots of Espresso: 2 [Standard], Pumps of Syrup: 2, Caramel Drizzle: Yes)
Total: 0.00 USD</t>
  </si>
  <si>
    <t>Wednesday, Mar 06, 2024 1:55 PM-2:00 PM</t>
  </si>
  <si>
    <t>Please add honey to the flat white.
Please include cinnamon on top of both drinks.
Thank you! =)</t>
  </si>
  <si>
    <t>Wednesday, Mar 06, 2024 2:10 PM-2:15 PM</t>
  </si>
  <si>
    <t>Thursday, Mar 07, 2024 9:15 AM-9:20 AM</t>
  </si>
  <si>
    <t>Chai Latte (Amount: 0.00 USD, Quantity: 1, Iced: No, Milk: 2% Milk, Syrups: None, Sauces: None, Dirty: No)
Coke (Amount: 0.00 USD, Quantity: 1)
Total: 0.00 USD</t>
  </si>
  <si>
    <t>Chai Latte (Amount: 0.00 USD, Quantity: 1, Iced: Yes, Milk: Oat, Syrups: Lavender, Sauces: None, Dirty: No)
Total: 0.00 USD</t>
  </si>
  <si>
    <t>Thursday, Mar 07, 2024 9:05 AM-9:10 AM</t>
  </si>
  <si>
    <t>Three shots please. Thank you lovelies!</t>
  </si>
  <si>
    <t>Vanilla honey oatmilk latte</t>
  </si>
  <si>
    <t>Thursday, Mar 07, 2024 9:20 AM-9:25 AM</t>
  </si>
  <si>
    <t>Latte (Amount: 0.00 USD, Quantity: 1, Iced: No, Milk: Coconut, Syrups: Lavender, Sauces: None, Shots of Espresso: 2 [Standard], Pumps of Syrup/Sauce Total: 1)
Total: 0.00 USD</t>
  </si>
  <si>
    <t>Steam almond milk 8oz</t>
  </si>
  <si>
    <t>Thursday, Mar 07, 2024 9:35 AM-9:40 AM</t>
  </si>
  <si>
    <t>Latte (Amount: 0.00 USD, Quantity: 1, Iced: No, Milk: Oat, Syrups: None, Sauces: White Chocolate, Shots of Espresso: 2 [Standard], Pumps of Syrup/Sauce Total: 4 [Standard])
Total: 0.00 USD</t>
  </si>
  <si>
    <t>Thursday, Mar 07, 2024 10:30 AM-10:35 AM</t>
  </si>
  <si>
    <t>Latte (Amount: 0.00 USD, Quantity: 1, Iced: Yes, Milk: Whole Milk, Syrups: SF Vanilla, Sauces: Caramel, Shots of Espresso: 2 [Standard], Pumps of Syrup/Sauce Total: 4 [Standard])
Total: 0.00 USD</t>
  </si>
  <si>
    <t>Cold foam</t>
  </si>
  <si>
    <t>Thursday, Mar 07, 2024 10:25 AM-10:30 AM</t>
  </si>
  <si>
    <t>Latte (Amount: 0.00 USD, Quantity: 1, Iced: No, Milk: 2% Milk, Syrups: Cane Syrup, Sauces: None, Shots of Espresso: 2 [Standard], Pumps of Syrup/Sauce Total: 1)
Flat White (Amount: 0.00 USD, Quantity: 1, Milk: Coconut)
Total: 0.00 USD</t>
  </si>
  <si>
    <t>Please add honey to the flat white
Please add cinnamon to both drinks 
Thank youuu ?</t>
  </si>
  <si>
    <t>Thursday, Mar 07, 2024 10:40 AM-10:45 AM</t>
  </si>
  <si>
    <t>Hot Tea (Amount: 0.00 USD, Quantity: 1, Flavor: Camomille Lemon)
Total: 0.00 USD</t>
  </si>
  <si>
    <t>With some lemon or lime juice - if possible - if not then no worries :)</t>
  </si>
  <si>
    <t>Thursday, Mar 07, 2024 12:10 PM-12:15 PM</t>
  </si>
  <si>
    <t>Cappuccino (Amount: 0.00 USD, Quantity: 1, Milk: Oat, Size: Small [12 oz], Syrups: Vanilla, Sauces: Caramel)
Iced Shaken Espresso (Amount: 0.00 USD, Quantity: 1, Milk: Oat, Syrups: SF Brown Sugar Cinnamon, Sauces: None)
Topo Chico (Amount: 0.00 USD, Quantity: 1)
Total: 0.00 USD</t>
  </si>
  <si>
    <t>I’ll bring my own cup. Thanks :)</t>
  </si>
  <si>
    <t>Thursday, Mar 07, 2024 2:15 PM-2:20 PM</t>
  </si>
  <si>
    <t>Matcha Latte (Amount: 0.00 USD, Quantity: 1, Iced: No, Milk: Heavy Cream, Syrups: None, Sauces: None)
Water (Amount: 0.00 USD, Quantity: 1)
Total: 0.00 USD</t>
  </si>
  <si>
    <t>Thursday, Mar 07, 2024 1:00 PM-1:05 PM</t>
  </si>
  <si>
    <t>Thursday, Mar 07, 2024 2:05 PM-2:10 PM</t>
  </si>
  <si>
    <t>Thursday, Mar 07, 2024 3:35 PM-3:40 PM</t>
  </si>
  <si>
    <t>Latte (Amount: 0.00 USD, Quantity: 1, Iced: Yes, Milk: Almond, Syrups: Lavender, Sauces: None, Shots of Espresso: 2 [Standard], Pumps of Syrup/Sauce Total: 2)
Total: 0.00 USD</t>
  </si>
  <si>
    <t>Can I have an iced almond milk lavender honey latte. Thank you!</t>
  </si>
  <si>
    <t>Friday, Mar 08, 2024 10:25 AM-10:30 AM</t>
  </si>
  <si>
    <t>Friday, Mar 08, 2024 3:55 PM-4:00 PM</t>
  </si>
  <si>
    <t>Monday, Mar 11, 2024 9:45 AM-9:50 AM</t>
  </si>
  <si>
    <t>Monday, Mar 11, 2024 9:55 AM-10:00 AM</t>
  </si>
  <si>
    <t>Iced please. Thank you!</t>
  </si>
  <si>
    <t>Monday, Mar 11, 2024 10:20 AM-10:25 AM</t>
  </si>
  <si>
    <t>Cold Brew (Amount: 0.00 USD, Quantity: 1, Milk: Coconut, Nitro: No)
Total: 0.00 USD</t>
  </si>
  <si>
    <t>Light ice + sugar free syrup please</t>
  </si>
  <si>
    <t>Monday, Mar 11, 2024 3:15 PM-3:20 PM</t>
  </si>
  <si>
    <t>Tuesday, Mar 12, 2024 9:05 AM-9:10 AM</t>
  </si>
  <si>
    <t>Tuesday, Mar 12, 2024 9:10 AM-9:15 AM</t>
  </si>
  <si>
    <t>2 pumps vanilla. I can pour cold brew. Thanks!</t>
  </si>
  <si>
    <t>Tuesday, Mar 12, 2024 9:35 AM-9:40 AM</t>
  </si>
  <si>
    <t>Tuesday, Mar 12, 2024 9:30 AM-9:35 AM</t>
  </si>
  <si>
    <t>Chai Latte (Amount: 0.00 USD, Quantity: 1, Iced: Yes, Milk: Oat, Syrups: None, Sauces: None, Dirty: Yes)
Total: 0.00 USD</t>
  </si>
  <si>
    <t>Tuesday, Mar 12, 2024 9:50 AM-9:55 AM</t>
  </si>
  <si>
    <t>Latte (Amount: 0.00 USD, Quantity: 1, Iced: No, Milk: Almond, Syrups: None, Sauces: None, Shots of Espresso: 2 [Standard], Pumps of Syrup/Sauce Total: 1)
Topo Chico (Amount: 0.00 USD, Quantity: 1)
Total: 0.00 USD</t>
  </si>
  <si>
    <t>No syrup. I’ll bring my own cup. Thanks :)</t>
  </si>
  <si>
    <t>Latte (Amount: 0.00 USD, Quantity: 1, Iced: No, Milk: Coconut, Syrups: None, Sauces: Caramel, Shots of Espresso: 2 [Standard], Pumps of Syrup/Sauce Total: 1)
Total: 0.00 USD</t>
  </si>
  <si>
    <t>Tuesday, Mar 12, 2024 10:05 AM-10:10 AM</t>
  </si>
  <si>
    <t>Caramel Macchiato (Amount: 0.00 USD, Quantity: 1, Iced: No, Milk: Almond, Shots of Espresso: 3, Pumps of Syrup: 2, Caramel Drizzle: No)
Total: 0.00 USD</t>
  </si>
  <si>
    <t>Tuesday, Mar 12, 2024 10:25 AM-10:30 AM</t>
  </si>
  <si>
    <t>London Fog (Amount: 0.00 USD, Quantity: 1, Milk: Oat)
Total: 0.00 USD</t>
  </si>
  <si>
    <t>Tuesday, Mar 12, 2024 12:05 PM-12:10 PM</t>
  </si>
  <si>
    <t>Tuesday, Mar 12, 2024 12:30 PM-12:35 PM</t>
  </si>
  <si>
    <t>Tuesday, Mar 12, 2024 12:35 PM-12:40 PM</t>
  </si>
  <si>
    <t>Latte (Amount: 0.00 USD, Quantity: 1, Iced: No, Milk: Oat, Syrups: SF Brown Sugar Cinnamon, Sauces: None, Shots of Espresso: 2 [Standard], Pumps of Syrup/Sauce Total: 2)
Total: 0.00 USD</t>
  </si>
  <si>
    <t>Wednesday, Mar 13, 2024 9:05 AM-9:10 AM</t>
  </si>
  <si>
    <t>Wednesday, Mar 13, 2024 9:15 AM-9:20 AM</t>
  </si>
  <si>
    <t>Latte (Amount: 0.00 USD, Quantity: 1, Iced: No, Milk: Oat, Syrups: Brown Sugar Cinnamon, Sauces: None, Shots of Espresso: 2 [Standard], Pumps of Syrup/Sauce Total: 4 [Standard])
Topo Chico (Amount: 0.00 USD, Quantity: 1)
Red Bull [Sugar Free] (Amount: 0.00 USD, Quantity: 1)
Total: 0.00 USD</t>
  </si>
  <si>
    <t>Wednesday, Mar 13, 2024 9:20 AM-9:25 AM</t>
  </si>
  <si>
    <t>Can I have a honey latte please? Thank you!</t>
  </si>
  <si>
    <t>Wednesday, Mar 13, 2024 9:35 AM-9:40 AM</t>
  </si>
  <si>
    <t>Caramel Macchiato (Amount: 0.00 USD, Quantity: 1, Iced: Yes, Milk: Whole, Shots of Espresso: 3, Pumps of Syrup: 4 [Standard], Caramel Drizzle: Yes)
Sprite (Amount: 0.00 USD, Quantity: 1)
Total: 0.00 USD</t>
  </si>
  <si>
    <t>Wednesday, Mar 13, 2024 10:05 AM-10:10 AM</t>
  </si>
  <si>
    <t>Matcha Latte (Amount: 0.00 USD, Quantity: 1, Iced: No, Milk: Oat, Syrups: None, Sauces: None)
Total: 0.00 USD</t>
  </si>
  <si>
    <t>Wednesday, Mar 13, 2024 11:00 AM-11:05 AM</t>
  </si>
  <si>
    <t>Matcha Latte (Amount: 0.00 USD, Quantity: 1, Iced: No, Milk: Almond, Syrups: None, Sauces: None)
Water (Amount: 0.00 USD, Quantity: 1)
Total: 0.00 USD</t>
  </si>
  <si>
    <t>Wednesday, Mar 13, 2024 2:00 PM-2:05 PM</t>
  </si>
  <si>
    <t>Thursday, Mar 14, 2024 9:05 AM-9:10 AM</t>
  </si>
  <si>
    <t>Iced Shaken Espresso (Amount: 0.00 USD, Quantity: 1, Milk: Almond, Syrups: Vanilla, Sauces: Caramel)
Water (Amount: 0.00 USD, Quantity: 2)
Total: 0.00 USD</t>
  </si>
  <si>
    <t>Latte (Amount: 0.00 USD, Quantity: 1, Iced: Yes, Milk: Heavy Cream, Syrups: SF Brown Sugar Cinnamon, Sauces: None, Shots of Espresso: 2 [Standard], Pumps of Syrup/Sauce Total: 2)
Water (Amount: 0.00 USD, Quantity: 1)
Coke Zero (Amount: 0.00 USD, Quantity: 1)
Total: 0.00 USD</t>
  </si>
  <si>
    <t>Thursday, Mar 14, 2024 9:10 AM-9:15 AM</t>
  </si>
  <si>
    <t>Chai Latte (Amount: 0.00 USD, Quantity: 1, Iced: Yes, Milk: Oat, Syrups: None, Sauces: None, Dirty: No)
Total: 0.00 USD</t>
  </si>
  <si>
    <t>Latte (Amount: 0.00 USD, Quantity: 1, Iced: Yes, Milk: Whole Milk, Syrups: Vanilla, Sauces: White Chocolate, Shots of Espresso: 2 [Standard], Pumps of Syrup/Sauce Total: 4 [Standard])
Total: 0.00 USD</t>
  </si>
  <si>
    <t>Thursday, Mar 14, 2024 9:15 AM-9:20 AM</t>
  </si>
  <si>
    <t>Latte (Amount: 0.00 USD, Quantity: 1, Iced: Yes, Milk: Whole Milk, Syrups: SF Vanilla, Sauces: None, Shots of Espresso: 2 [Standard], Pumps of Syrup/Sauce Total: 6)
Total: 0.00 USD</t>
  </si>
  <si>
    <t>Matcha Latte (Amount: 0.00 USD, Quantity: 1, Iced: Yes, Milk: Soy, Syrups: Raspberry, Sauces: None)
Total: 0.00 USD</t>
  </si>
  <si>
    <t>Light ice please</t>
  </si>
  <si>
    <t>Thursday, Mar 14, 2024 9:20 AM-9:25 AM</t>
  </si>
  <si>
    <t>Chai Latte (Amount: 0.00 USD, Quantity: 1, Iced: No, Milk: Whole Milk, Syrups: SF Caramel, Sauces: Caramel, Dirty: No)
Water (Amount: 0.00 USD, Quantity: 1)
Total: 0.00 USD</t>
  </si>
  <si>
    <t>Soy mocha</t>
  </si>
  <si>
    <t>Thursday, Mar 14, 2024 9:35 AM-9:40 AM</t>
  </si>
  <si>
    <t>Iced Shaken Espresso (Amount: 0.00 USD, Quantity: 1, Milk: Oat, Syrups: SF Caramel, Sauces: White Chocolate)
Total: 0.00 USD</t>
  </si>
  <si>
    <t>Thursday, Mar 14, 2024 9:55 AM-10:00 AM</t>
  </si>
  <si>
    <t>Matcha Latte (Amount: 0.00 USD, Quantity: 1, Iced: Yes, Milk: Oat, Syrups: Raspberry, Sauces: None)
Total: 0.00 USD</t>
  </si>
  <si>
    <t>Thursday, Mar 14, 2024 10:00 AM-10:05 AM</t>
  </si>
  <si>
    <t>Iced Shaken Espresso (Amount: 0.00 USD, Quantity: 1, Milk: Almond, Syrups: Hazelnut, Sauces: None)
Total: 0.00 USD</t>
  </si>
  <si>
    <t>Thursday, Mar 14, 2024 10:20 AM-10:25 AM</t>
  </si>
  <si>
    <t>Chai Latte (Amount: 0.00 USD, Quantity: 1, Iced: No, Milk: Whole Milk, Syrups: SF Caramel, Sauces: Caramel, Dirty: No)
Total: 0.00 USD</t>
  </si>
  <si>
    <t>Thursday, Mar 14, 2024 1:40 PM-1:45 PM</t>
  </si>
  <si>
    <t>Thursday, Mar 14, 2024 2:45 PM-2:50 PM</t>
  </si>
  <si>
    <t>Only one pump of raspberry please! Please use a ceramic mug if possible ?</t>
  </si>
  <si>
    <t>Thursday, Mar 14, 2024 3:50 PM-3:55 PM</t>
  </si>
  <si>
    <t>Iced Pistachio Matcha latte (unsweetened matcha) w/ Oat milk, please :)</t>
  </si>
  <si>
    <t>Thursday, Mar 14, 2024 3:35 PM-3:40 PM</t>
  </si>
  <si>
    <t>Thursday, Mar 14, 2024 3:45 PM-3:50 PM</t>
  </si>
  <si>
    <t>Matcha Latte (Amount: 0.00 USD, Quantity: 1, Iced: Yes, Milk: Oat, Syrups: None, Sauces: None)
Total: 0.00 USD</t>
  </si>
  <si>
    <t>Can I do a Mother Earth with Matcha? Thank you!</t>
  </si>
  <si>
    <t>Thursday, Mar 14, 2024 3:55 PM-4:00 PM</t>
  </si>
  <si>
    <t>Matcha Latte (Amount: 0.00 USD, Quantity: 1, Iced: Yes, Milk: Oat, Syrups: Lavender, Sauces: None)
Total: 0.00 USD</t>
  </si>
  <si>
    <t>Can I have the matcha late semi-sweet.
Thanks you!
Will</t>
  </si>
  <si>
    <t>Friday, Mar 15, 2024 9:05 AM-9:10 AM</t>
  </si>
  <si>
    <t>Latte (Amount: 0.00 USD, Quantity: 1, Iced: Yes, Milk: Whole Milk, Syrups: Vanilla, Sauces: None, Shots of Espresso: 2 [Standard], Pumps of Syrup/Sauce Total: 4 [Standard])
Total: 0.00 USD</t>
  </si>
  <si>
    <t>Friday, Mar 15, 2024 10:50 AM-10:55 AM</t>
  </si>
  <si>
    <t>Monday, Mar 18, 2024 9:25 AM-9:30 AM</t>
  </si>
  <si>
    <t>Latte (Amount: 0.00 USD, Quantity: 1, Iced: No, Milk: Whole Milk, Syrups: SF Vanilla, Sauces: None, Shots of Espresso: 2 [Standard], Pumps of Syrup/Sauce Total: 2)
Total: 0.00 USD</t>
  </si>
  <si>
    <t>Monday, Mar 18, 2024 1:00 PM-1:05 PM</t>
  </si>
  <si>
    <t>Monday, Mar 18, 2024 4:25 PM-4:30 PM</t>
  </si>
  <si>
    <t>Tuesday, Mar 19, 2024 9:05 AM-9:10 AM</t>
  </si>
  <si>
    <t>Tuesday, Mar 19, 2024 10:25 AM-10:30 AM</t>
  </si>
  <si>
    <t>Latte (Amount: 0.00 USD, Quantity: 1, Iced: No, Milk: Oat, Syrups: None, Sauces: None, Shots of Espresso: 3, Pumps of Syrup/Sauce Total: 4 [Standard])
Total: 0.00 USD</t>
  </si>
  <si>
    <t>Vanilla honey oatmilk latte- triple shot plz. Thank you!</t>
  </si>
  <si>
    <t>Matcha Latte (Amount: 0.00 USD, Quantity: 1, Iced: No, Milk: Oat, Syrups: Raspberry, Sauces: None)
Total: 0.00 USD</t>
  </si>
  <si>
    <t>Tuesday, Mar 19, 2024 9:20 AM-9:25 AM</t>
  </si>
  <si>
    <t>Caramel Macchiato (Amount: 0.00 USD, Quantity: 1, Iced: No, Milk: Almond, Shots of Espresso: 2 [Standard], Pumps of Syrup: 2, Caramel Drizzle: Yes)
Water (Amount: 0.00 USD, Quantity: 1)
Total: 0.00 USD</t>
  </si>
  <si>
    <t>Tuesday, Mar 19, 2024 9:25 AM-9:30 AM</t>
  </si>
  <si>
    <t>Cappuccino (Amount: 0.00 USD, Quantity: 1, Milk: Almond, Size: Big [16 oz], Syrups: Vanilla, Sauces: Caramel)
Coke (Amount: 0.00 USD, Quantity: 1)
Total: 0.00 USD</t>
  </si>
  <si>
    <t>For the cappuccino - can I just get a normal one (no syrup added) please</t>
  </si>
  <si>
    <t>Tuesday, Mar 19, 2024 9:30 AM-9:35 AM</t>
  </si>
  <si>
    <t>Tuesday, Mar 19, 2024 9:45 AM-9:50 AM</t>
  </si>
  <si>
    <t>Sugar free caramel syrup please</t>
  </si>
  <si>
    <t>Tuesday, Mar 19, 2024 9:55 AM-10:00 AM</t>
  </si>
  <si>
    <t>Latte (Amount: 0.00 USD, Quantity: 1, Iced: No, Milk: Almond, Syrups: None, Sauces: None, Shots of Espresso: 2 [Standard], Pumps of Syrup/Sauce Total: 1)
Total: 0.00 USD</t>
  </si>
  <si>
    <t>No syrup. 1 Liquid death sparkling water.   Thanks. :)</t>
  </si>
  <si>
    <t>Tuesday, Mar 19, 2024 10:15 AM-10:20 AM</t>
  </si>
  <si>
    <t>Tuesday, Mar 19, 2024 10:30 AM-10:35 AM</t>
  </si>
  <si>
    <t>Tuesday, Mar 19, 2024 10:35 AM-10:40 AM</t>
  </si>
  <si>
    <t>Liquid Death- sparkling water</t>
  </si>
  <si>
    <t>Tuesday, Mar 19, 2024 12:05 PM-12:10 PM</t>
  </si>
  <si>
    <t>Latte (Amount: 0.00 USD, Quantity: 1, Iced: Yes, Milk: Almond, Syrups: None, Sauces: None, Shots of Espresso: 2 [Standard], Pumps of Syrup/Sauce Total: 4 [Standard])
Total: 0.00 USD</t>
  </si>
  <si>
    <t>Can you add pistachio cold foam on top with the pistachio sauce please? Thank you!</t>
  </si>
  <si>
    <t>Tuesday, Mar 19, 2024 1:25 PM-1:30 PM</t>
  </si>
  <si>
    <t>I’ll bring my own cup. Thanks. :)</t>
  </si>
  <si>
    <t>Tuesday, Mar 19, 2024 1:30 PM-1:35 PM</t>
  </si>
  <si>
    <t>Tuesday, Mar 19, 2024 3:45 PM-3:50 PM</t>
  </si>
  <si>
    <t>Thank you</t>
  </si>
  <si>
    <t>Wednesday, Mar 20, 2024 9:15 AM-9:20 AM</t>
  </si>
  <si>
    <t>Matcha Latte (Amount: 0.00 USD, Quantity: 1, Iced: Yes, Milk: Oat, Syrups: SF Hazelnut, Sauces: None)
Water (Amount: 0.00 USD, Quantity: 1)
Coke (Amount: 0.00 USD, Quantity: 1)
Total: 0.00 USD</t>
  </si>
  <si>
    <t>Wednesday, Mar 20, 2024 9:55 AM-10:00 AM</t>
  </si>
  <si>
    <t>Wednesday, Mar 20, 2024 10:20 AM-10:25 AM</t>
  </si>
  <si>
    <t>Wednesday, Mar 20, 2024 10:35 AM-10:40 AM</t>
  </si>
  <si>
    <t>Wednesday, Mar 20, 2024 11:00 AM-11:05 AM</t>
  </si>
  <si>
    <t>Wednesday, Mar 20, 2024 1:45 PM-1:50 PM</t>
  </si>
  <si>
    <t>Matcha Latte (Amount: 0.00 USD, Quantity: 1, Iced: No, Milk: Soy, Syrups: Raspberry, Sauces: None)
Total: 0.00 USD</t>
  </si>
  <si>
    <t>Wednesday, Mar 20, 2024 4:00 PM-4:05 PM</t>
  </si>
  <si>
    <t>Only one pump of raspberry, in a ceramic mug please! ?? thank you!</t>
  </si>
  <si>
    <t>Thursday, Mar 21, 2024 9:05 AM-9:10 AM</t>
  </si>
  <si>
    <t>Matcha Latte (Amount: 0.00 USD, Quantity: 1, Iced: No, Milk: Coconut, Syrups: None, Sauces: None)
Water (Amount: 0.00 USD, Quantity: 3)
Total: 0.00 USD</t>
  </si>
  <si>
    <t>Thursday, Mar 21, 2024 9:10 AM-9:15 AM</t>
  </si>
  <si>
    <t>Latte (Amount: 0.00 USD, Quantity: 1, Iced: No, Milk: Oat, Syrups: Brown Sugar Cinnamon, Sauces: Caramel, Shots of Espresso: 2 [Standard], Pumps of Syrup/Sauce Total: 4 [Standard])
Total: 0.00 USD</t>
  </si>
  <si>
    <t>Thursday, Mar 21, 2024 9:30 AM-9:35 AM</t>
  </si>
  <si>
    <t>Thursday, Mar 21, 2024 10:00 AM-10:05 AM</t>
  </si>
  <si>
    <t>Iced</t>
  </si>
  <si>
    <t>Thursday, Mar 21, 2024 9:50 AM-9:55 AM</t>
  </si>
  <si>
    <t>Latte (Amount: 0.00 USD, Quantity: 1, Iced: No, Milk: Almond, Syrups: None, Sauces: None, Shots of Espresso: 3, Pumps of Syrup/Sauce Total: 4 [Standard])
Total: 0.00 USD</t>
  </si>
  <si>
    <t>No syrup please. Just almond milk.</t>
  </si>
  <si>
    <t>Chai Latte (Amount: 0.00 USD, Quantity: 1, Iced: No, Milk: Coconut, Syrups: None, Sauces: None, Dirty: No)
Total: 0.00 USD</t>
  </si>
  <si>
    <t>Thursday, Mar 21, 2024 10:05 AM-10:10 AM</t>
  </si>
  <si>
    <t>Flat White (Amount: 0.00 USD, Quantity: 1, Milk: Oat)
Water (Amount: 0.00 USD, Quantity: 2)
Total: 0.00 USD</t>
  </si>
  <si>
    <t>Thursday, Mar 21, 2024 10:10 AM-10:15 AM</t>
  </si>
  <si>
    <t>Latte (Amount: 0.00 USD, Quantity: 1, Iced: Yes, Milk: Whole Milk, Syrups: Vanilla, Sauces: Caramel, Shots of Espresso: 2 [Standard], Pumps of Syrup/Sauce Total: 4 [Standard])
Total: 0.00 USD</t>
  </si>
  <si>
    <t>Vanilla cold foam :) thank you!</t>
  </si>
  <si>
    <t>Thursday, Mar 21, 2024 10:35 AM-10:40 AM</t>
  </si>
  <si>
    <t>Thursday, Mar 21, 2024 1:15 PM-1:20 PM</t>
  </si>
  <si>
    <t>Hot Tea (Amount: 0.00 USD, Quantity: 1, Flavor: Rooibos Chai)
Total: 0.00 USD</t>
  </si>
  <si>
    <t>Can you please steep this tea and then add steamed almond milk to it?</t>
  </si>
  <si>
    <t>Thursday, Mar 21, 2024 1:50 PM-1:55 PM</t>
  </si>
  <si>
    <t>Ceramic cup, please! ?</t>
  </si>
  <si>
    <t>Friday, Mar 22, 2024 9:10 AM-9:15 AM</t>
  </si>
  <si>
    <t>Matcha Latte (Amount: 0.00 USD, Quantity: 1, Iced: No, Milk: Coconut, Syrups: None, Sauces: None)
Water (Amount: 0.00 USD, Quantity: 2)
Total: 0.00 USD</t>
  </si>
  <si>
    <t>Can you make it with pistachio</t>
  </si>
  <si>
    <t>Friday, Mar 22, 2024 9:50 AM-9:55 AM</t>
  </si>
  <si>
    <t>Latte (Amount: 0.00 USD, Quantity: 1, Iced: Yes, Milk: Whole Milk, Syrups: Vanilla, Sauces: Caramel, Shots of Espresso: 2 [Standard], Pumps of Syrup/Sauce Total: 4 [Standard])
Ginger Ale (Amount: 0.00 USD, Quantity: 1)
Total: 0.00 USD</t>
  </si>
  <si>
    <t>With Vanilla cold foam please. Thank you! :)</t>
  </si>
  <si>
    <t>Friday, Mar 22, 2024 11:00 AM-11:05 AM</t>
  </si>
  <si>
    <t>Matcha Latte (Amount: 0.00 USD, Quantity: 1, Iced: No, Milk: Oat, Syrups: None, Sauces: None)
Water (Amount: 0.00 USD, Quantity: 1)
Total: 0.00 USD</t>
  </si>
  <si>
    <t>Monday, Mar 25, 2024 9:05 AM-9:10 AM</t>
  </si>
  <si>
    <t>Monday, Mar 25, 2024 9:10 AM-9:15 AM</t>
  </si>
  <si>
    <t>Monday, Mar 25, 2024 9:20 AM-9:25 AM</t>
  </si>
  <si>
    <t>Monday, Mar 25, 2024 10:00 AM-10:05 AM</t>
  </si>
  <si>
    <t>Valina Syrup 1 pump. Thank you.</t>
  </si>
  <si>
    <t>Latte (Amount: 0.00 USD, Quantity: 1, Iced: No, Milk: 2% Milk, Syrups: Vanilla, Sauces: None, Shots of Espresso: 2 [Standard], Pumps of Syrup/Sauce Total: 2)
Total: 0.00 USD</t>
  </si>
  <si>
    <t>Monday, Mar 25, 2024 10:05 AM-10:10 AM</t>
  </si>
  <si>
    <t>Can you make the cappuccino normal - no syrup no flavors. Thank you!</t>
  </si>
  <si>
    <t>Monday, Mar 25, 2024 10:25 AM-10:30 AM</t>
  </si>
  <si>
    <t>Triple shot Vanilla honey oatmilk latte plz. Thank you!!!</t>
  </si>
  <si>
    <t>I’ll bring my cup. LD sparkling water. Thanks!</t>
  </si>
  <si>
    <t>Monday, Mar 25, 2024 11:30 AM-11:35 AM</t>
  </si>
  <si>
    <t>Caramel Macchiato (Amount: 0.00 USD, Quantity: 1, Iced: No, Milk: Whole, Shots of Espresso: 2 [Standard], Pumps of Syrup: 1, Caramel Drizzle: Yes)
Total: 0.00 USD</t>
  </si>
  <si>
    <t>Monday, Mar 25, 2024 1:40 PM-1:45 PM</t>
  </si>
  <si>
    <t>Cold Brew (Amount: 0.00 USD, Quantity: 1, Milk: None, Nitro: No)
Iced Shaken Espresso (Amount: 0.00 USD, Quantity: 1, Milk: Oat, Syrups: Hazelnut, Sauces: None)
Flat White (Amount: 0.00 USD, Quantity: 1, Milk: 2% Milk)
Matcha Latte (Amount: 0.00 USD, Quantity: 1, Iced: Yes, Milk: Oat, Syrups: Cane Syrup, Sauces: None)
Chai Latte (Amount: 0.00 USD, Quantity: 1, Iced: No, Milk: Coconut, Syrups: None, Sauces: None, Dirty: No)
Red Bull [Sugar Free] (Amount: 0.00 USD, Quantity: 1)
Total: 0.00 USD</t>
  </si>
  <si>
    <t>Tuesday, Mar 26, 2024 9:05 AM-9:10 AM</t>
  </si>
  <si>
    <t>Gm Can I get half almond milk and half hot water with 3 pumps of hazelnut sweet. (Back using my mushroom coffee ). Please thank you !</t>
  </si>
  <si>
    <t>Tuesday, Mar 26, 2024 9:10 AM-9:15 AM</t>
  </si>
  <si>
    <t>Tuesday, Mar 26, 2024 9:25 AM-9:30 AM</t>
  </si>
  <si>
    <t>Tuesday, Mar 26, 2024 9:30 AM-9:35 AM</t>
  </si>
  <si>
    <t>Latte (Amount: 0.00 USD, Quantity: 1, Iced: No, Milk: Oat, Syrups: Lavender, Sauces: None, Shots of Espresso: 2 [Standard], Pumps of Syrup/Sauce Total: 3)
Total: 0.00 USD</t>
  </si>
  <si>
    <t>Lavender honey oatmilk latte. Thank you!!</t>
  </si>
  <si>
    <t>Tuesday, Mar 26, 2024 9:15 AM-9:20 AM</t>
  </si>
  <si>
    <t>Latte (Amount: 0.00 USD, Quantity: 1, Iced: No, Milk: Oat, Syrups: Vanilla, Sauces: None, Shots of Espresso: 2 [Standard], Pumps of Syrup/Sauce Total: 4 [Standard])
Total: 0.00 USD</t>
  </si>
  <si>
    <t>Latte (Amount: 0.00 USD, Quantity: 1, Iced: Yes, Milk: Soy, Syrups: Raspberry, Sauces: Dark Chocolate, Shots of Espresso: 2 [Standard], Pumps of Syrup/Sauce Total: 6)
Total: 0.00 USD</t>
  </si>
  <si>
    <t>Iced soy mocha with raspberry
4 dark chocolate
2 raspberry</t>
  </si>
  <si>
    <t>Tuesday, Mar 26, 2024 10:00 AM-10:05 AM</t>
  </si>
  <si>
    <t>Latte (Amount: 0.00 USD, Quantity: 1, Iced: No, Milk: Coconut, Syrups: Vanilla, Sauces: None, Shots of Espresso: 2 [Standard], Pumps of Syrup/Sauce Total: 1)
Total: 0.00 USD</t>
  </si>
  <si>
    <t>Tuesday, Mar 26, 2024 10:05 AM-10:10 AM</t>
  </si>
  <si>
    <t>Liquid Death sparkling water, room temperature. Thanks!</t>
  </si>
  <si>
    <t>Tuesday, Mar 26, 2024 10:10 AM-10:15 AM</t>
  </si>
  <si>
    <t>Please add honey to flat white &amp; cinnamon to both coffees. Thanks!</t>
  </si>
  <si>
    <t>Tuesday, Mar 26, 2024 10:20 AM-10:25 AM</t>
  </si>
  <si>
    <t>I’ll bring my cup. And a LD sparkling please. Thx :)</t>
  </si>
  <si>
    <t>Tuesday, Mar 26, 2024 10:50 AM-10:55 AM</t>
  </si>
  <si>
    <t>Tuesday, Mar 26, 2024 11:25 AM-11:30 AM</t>
  </si>
  <si>
    <t>Latte (Amount: 0.00 USD, Quantity: 1, Iced: No, Milk: Coconut, Syrups: SF Vanilla, Sauces: None, Shots of Espresso: 2 [Standard], Pumps of Syrup/Sauce Total: 2)
Total: 0.00 USD</t>
  </si>
  <si>
    <t>Tuesday, Mar 26, 2024 11:50 AM-11:55 AM</t>
  </si>
  <si>
    <t>Tuesday, Mar 26, 2024 12:00 PM-12:05 PM</t>
  </si>
  <si>
    <t>Cappuccino (Amount: 0.00 USD, Quantity: 1, Milk: Oat, Size: Small [12 oz], Syrups: SF Brown Sugar Cinnamon, Sauces: Caramel)
Ginger Ale (Amount: 0.00 USD, Quantity: 1)
Sprite (Amount: 0.00 USD, Quantity: 1)
Total: 0.00 USD</t>
  </si>
  <si>
    <t>Tuesday, Mar 26, 2024 12:50 PM-12:55 PM</t>
  </si>
  <si>
    <t>Latte (Amount: 0.00 USD, Quantity: 1, Iced: Yes, Milk: Oat, Syrups: SF Vanilla, Sauces: None, Shots of Espresso: 2 [Standard], Pumps of Syrup/Sauce Total: 2)
Total: 0.00 USD</t>
  </si>
  <si>
    <t>Tuesday, Mar 26, 2024 2:00 PM-2:05 PM</t>
  </si>
  <si>
    <t>Tuesday, Mar 26, 2024 2:05 PM-2:10 PM</t>
  </si>
  <si>
    <t>Hazelnut Cold brew with a splash of oatmilk plz. Thank you</t>
  </si>
  <si>
    <t>Iced with a splash of oat milk please!</t>
  </si>
  <si>
    <t>Tuesday, Mar 26, 2024 3:25 PM-3:30 PM</t>
  </si>
  <si>
    <t>Espresso (Amount: 0.00 USD, Quantity: 1, : Double [Doppio], Con Panna [With Cream]: No)
Matcha Latte (Amount: 0.00 USD, Quantity: 1, Iced: Yes, Milk: Oat, Syrups: Cane Syrup, Sauces: None)
Chai Latte (Amount: 0.00 USD, Quantity: 1, Iced: No, Milk: Coconut, Syrups: None, Sauces: None, Dirty: No)
Total: 0.00 USD</t>
  </si>
  <si>
    <t>Wednesday, Mar 27, 2024 11:00 AM-11:05 AM</t>
  </si>
  <si>
    <t>Wednesday, Mar 27, 2024 9:05 AM-9:10 AM</t>
  </si>
  <si>
    <t>Wednesday, Mar 27, 2024 9:50 AM-9:55 AM</t>
  </si>
  <si>
    <t>Wednesday, Mar 27, 2024 10:00 AM-10:05 AM</t>
  </si>
  <si>
    <t>Wednesday, Mar 27, 2024 10:15 AM-10:20 AM</t>
  </si>
  <si>
    <t>Iced 3shots and 3 cane pumps. Pretty please</t>
  </si>
  <si>
    <t>Wednesday, Mar 27, 2024 11:15 AM-11:20 AM</t>
  </si>
  <si>
    <t>Latte (Amount: 0.00 USD, Quantity: 1, Iced: No, Milk: Almond, Syrups: Lavender, Sauces: None, Shots of Espresso: 2 [Standard], Pumps of Syrup/Sauce Total: 2)
Total: 0.00 USD</t>
  </si>
  <si>
    <t>1 pump lavender
1 pump vanilla</t>
  </si>
  <si>
    <t>Wednesday, Mar 27, 2024 1:05 PM-1:10 PM</t>
  </si>
  <si>
    <t>Wednesday, Mar 27, 2024 2:50 PM-2:55 PM</t>
  </si>
  <si>
    <t>Chai Latte (Amount: 0.00 USD, Quantity: 1, Iced: No, Milk: Oat, Syrups: Cane Syrup, Sauces: None, Dirty: Yes)
Total: 0.00 USD</t>
  </si>
  <si>
    <t>Thursday, Mar 28, 2024 9:05 AM-9:10 AM</t>
  </si>
  <si>
    <t>Water (Amount: 0.00 USD, Quantity: 4)
Total: 0.00 USD</t>
  </si>
  <si>
    <t>Cup of Almond milk with 1/2 hot water mixed/ formed add mushrooms coffee to it. Thanks</t>
  </si>
  <si>
    <t>Latte (Amount: 0.00 USD, Quantity: 1, Iced: No, Milk: Oat, Syrups: None, Sauces: None, Shots of Espresso: 2 [Standard], Pumps of Syrup/Sauce Total: 1)
Total: 0.00 USD</t>
  </si>
  <si>
    <t>Thursday, Mar 28, 2024 9:10 AM-9:15 AM</t>
  </si>
  <si>
    <t>Latte (Amount: 0.00 USD, Quantity: 1, Iced: No, Milk: Oat, Syrups: None, Sauces: Dark Chocolate, Shots of Espresso: 2 [Standard], Pumps of Syrup/Sauce Total: 2)
Total: 0.00 USD</t>
  </si>
  <si>
    <t>Thursday, Mar 28, 2024 9:45 AM-9:50 AM</t>
  </si>
  <si>
    <t>Thursday, Mar 28, 2024 9:50 AM-9:55 AM</t>
  </si>
  <si>
    <t>Thursday, Mar 28, 2024 10:10 AM-10:15 AM</t>
  </si>
  <si>
    <t>Red Bull (Amount: 0.00 USD, Quantity: 1)
Total: 0.00 USD</t>
  </si>
  <si>
    <t>thanks</t>
  </si>
  <si>
    <t>Thursday, Mar 28, 2024 10:15 AM-10:20 AM</t>
  </si>
  <si>
    <t>Latte (Amount: 0.00 USD, Quantity: 1, Iced: Yes, Milk: Whole Milk, Syrups: Brown Sugar Cinnamon, Sauces: Caramel, Shots of Espresso: 2 [Standard], Pumps of Syrup/Sauce Total: 4 [Standard])
Total: 0.00 USD</t>
  </si>
  <si>
    <t>With vanilla cold foam please. Thank you so much :)</t>
  </si>
  <si>
    <t>Thursday, Mar 28, 2024 10:45 AM-10:50 AM</t>
  </si>
  <si>
    <t>Thursday, Mar 28, 2024 10:40 AM-10:45 AM</t>
  </si>
  <si>
    <t>Please add honey to the flat white and cinnamon
Please add cinnamon to the latte
Thanks!</t>
  </si>
  <si>
    <t>Thursday, Mar 28, 2024 2:10 PM-2:15 PM</t>
  </si>
  <si>
    <t>Lots of cinnamons</t>
  </si>
  <si>
    <t>Thursday, Mar 28, 2024 2:40 PM-2:45 PM</t>
  </si>
  <si>
    <t>iced please! :)</t>
  </si>
  <si>
    <t>Thursday, Mar 28, 2024 2:35 PM-2:40 PM</t>
  </si>
  <si>
    <t>Latte (Amount: 0.00 USD, Quantity: 1, Iced: No, Milk: Almond, Syrups: Lavender, Sauces: None, Shots of Espresso: 2 [Standard], Pumps of Syrup/Sauce Total: 2)
Matcha Latte (Amount: 0.00 USD, Quantity: 1, Iced: No, Milk: Oat, Syrups: Lavender, Sauces: None)
Total: 0.00 USD</t>
  </si>
  <si>
    <t>Match: Unsweetened matcha w/ 1 vanilla, 1 lavender</t>
  </si>
  <si>
    <t>Friday, Mar 29, 2024 9:10 AM-9:15 AM</t>
  </si>
  <si>
    <t>1 1/2 Cup of coconut milk warm and 1/2 hot water. Yesterday it taste just like water.</t>
  </si>
  <si>
    <t>Friday, Mar 29, 2024 2:40 PM-2:45 PM</t>
  </si>
  <si>
    <t>Monday, Apr 01, 2024 9:45 AM-9:50 AM</t>
  </si>
  <si>
    <t>Caramel Macchiato (Amount: 0.00 USD, Quantity: 1, Iced: No, Milk: Coconut, Shots of Espresso: 2 [Standard], Pumps of Syrup: 1, Caramel Drizzle: No)
Total: 0.00 USD</t>
  </si>
  <si>
    <t>Monday, Apr 01, 2024 11:30 AM-11:35 AM</t>
  </si>
  <si>
    <t>LD sparking water pls. I’ll by my cup. Thx :)</t>
  </si>
  <si>
    <t>Monday, Apr 01, 2024 4:35 PM-4:40 PM</t>
  </si>
  <si>
    <t>Can I have an iced almond lavender honey latte please? Thank u</t>
  </si>
  <si>
    <t>Tuesday, Apr 02, 2024 9:05 AM-9:10 AM</t>
  </si>
  <si>
    <t>1 1/2 cup of coconut milk warm  frother (if that how you spell it). 
Thanks</t>
  </si>
  <si>
    <t>Tuesday, Apr 02, 2024 9:10 AM-9:15 AM</t>
  </si>
  <si>
    <t>Latte (Amount: 0.00 USD, Quantity: 1, Iced: No, Milk: Oat, Syrups: SF Hazelnut, Sauces: None, Shots of Espresso: 2 [Standard], Pumps of Syrup/Sauce Total: 2)
Total: 0.00 USD</t>
  </si>
  <si>
    <t>Tuesday, Apr 02, 2024 9:45 AM-9:50 AM</t>
  </si>
  <si>
    <t>Latte (Amount: 0.00 USD, Quantity: 1, Iced: No, Milk: Oat, Syrups: Brown Sugar Cinnamon, Sauces: Caramel, Shots of Espresso: 2 [Standard], Pumps of Syrup/Sauce Total: 4 [Standard])
Water (Amount: 0.00 USD, Quantity: 1)
Total: 0.00 USD</t>
  </si>
  <si>
    <t>Tuesday, Apr 02, 2024 9:20 AM-9:25 AM</t>
  </si>
  <si>
    <t>Tuesday, Apr 02, 2024 9:25 AM-9:30 AM</t>
  </si>
  <si>
    <t>No syrup or sauce</t>
  </si>
  <si>
    <t>Tuesday, Apr 02, 2024 10:20 AM-10:25 AM</t>
  </si>
  <si>
    <t>Caramel Macchiato (Amount: 0.00 USD, Quantity: 1, Iced: No, Milk: Whole, Shots of Espresso: 2 [Standard], Pumps of Syrup: 1, Caramel Drizzle: Yes)
Water (Amount: 0.00 USD, Quantity: 1)
Total: 0.00 USD</t>
  </si>
  <si>
    <t>Tuesday, Apr 02, 2024 10:30 AM-10:35 AM</t>
  </si>
  <si>
    <t>Triple vanilla  honey oatmilk latte plz. Thank you!!</t>
  </si>
  <si>
    <t>Latte (Amount: 0.00 USD, Quantity: 1, Iced: No, Milk: Oat, Syrups: Vanilla, Sauces: None, Shots of Espresso: 2 [Standard], Pumps of Syrup/Sauce Total: 2)
Total: 0.00 USD</t>
  </si>
  <si>
    <t>Tuesday, Apr 02, 2024 10:50 AM-10:55 AM</t>
  </si>
  <si>
    <t>Honey in the flat white and cin-cin on both =)  Thanks!</t>
  </si>
  <si>
    <t>Tuesday, Apr 02, 2024 1:00 PM-1:05 PM</t>
  </si>
  <si>
    <t>Two shots of espresso in the dirty chai, please! I'd love a porcelain cup, if one is available. Thank you! ?</t>
  </si>
  <si>
    <t>Tuesday, Apr 02, 2024 1:30 PM-1:35 PM</t>
  </si>
  <si>
    <t>Matcha Latte (Amount: 0.00 USD, Quantity: 1, Iced: Yes, Milk: Oat, Syrups: None, Sauces: None)
Water (Amount: 0.00 USD, Quantity: 1)
Total: 0.00 USD</t>
  </si>
  <si>
    <t>Tuesday, Apr 02, 2024 2:10 PM-2:15 PM</t>
  </si>
  <si>
    <t>thank you!!! -̈</t>
  </si>
  <si>
    <t>Tuesday, Apr 02, 2024 3:20 PM-3:25 PM</t>
  </si>
  <si>
    <t>Wednesday, Apr 03, 2024 9:05 AM-9:10 AM</t>
  </si>
  <si>
    <t>2 pumps vanilla syrup.I can pour cold brew. Thanks!</t>
  </si>
  <si>
    <t>Wednesday, Apr 03, 2024 11:00 AM-11:05 AM</t>
  </si>
  <si>
    <t>Wednesday, Apr 03, 2024 9:10 AM-9:15 AM</t>
  </si>
  <si>
    <t>Iced Shaken Espresso (Amount: 0.00 USD, Quantity: 1, Milk: Oat, Syrups: SF Vanilla, Sauces: None)
Total: 0.00 USD</t>
  </si>
  <si>
    <t>Wednesday, Apr 03, 2024 9:20 AM-9:25 AM</t>
  </si>
  <si>
    <t>Latte (Amount: 0.00 USD, Quantity: 1, Iced: Yes, Milk: Almond, Syrups: None, Sauces: None, Shots of Espresso: 3, Pumps of Syrup/Sauce Total: 4 [Standard])
Total: 0.00 USD</t>
  </si>
  <si>
    <t>Can you add pistachio cold foam and some of the pistachio sauce on top please</t>
  </si>
  <si>
    <t>Wednesday, Apr 03, 2024 9:30 AM-9:35 AM</t>
  </si>
  <si>
    <t>Iced w/ 3 shots 3 sugar cane pumps. Pretty please :)</t>
  </si>
  <si>
    <t>Wednesday, Apr 03, 2024 9:45 AM-9:50 AM</t>
  </si>
  <si>
    <t>Wednesday, Apr 03, 2024 10:10 AM-10:15 AM</t>
  </si>
  <si>
    <t>Vanilla cold foam as well please. Thank you! :)</t>
  </si>
  <si>
    <t>Wednesday, Apr 03, 2024 10:50 AM-10:55 AM</t>
  </si>
  <si>
    <t>Please add honey to the flat white and cin to the minnn to both coffees. 
Thanks =)</t>
  </si>
  <si>
    <t>Wednesday, Apr 03, 2024 2:20 PM-2:25 PM</t>
  </si>
  <si>
    <t>Chai Latte (Amount: 0.00 USD, Quantity: 1, Iced: No, Milk: Oat, Syrups: Cane Syrup, Sauces: None, Dirty: No)
Total: 0.00 USD</t>
  </si>
  <si>
    <t>Wednesday, Apr 03, 2024 3:20 PM-3:25 PM</t>
  </si>
  <si>
    <t>Chai Latte (Amount: 0.00 USD, Quantity: 1, Iced: No, Milk: Coconut, Syrups: Vanilla, Sauces: None, Dirty: No)
Total: 0.00 USD</t>
  </si>
  <si>
    <t>Thursday, Apr 04, 2024 9:05 AM-9:10 AM</t>
  </si>
  <si>
    <t>Latte (Amount: 0.00 USD, Quantity: 1, Iced: No, Milk: Whole Milk, Syrups: None, Sauces: Caramel, Shots of Espresso: 2 [Standard], Pumps of Syrup/Sauce Total: 4 [Standard])
Water (Amount: 0.00 USD, Quantity: 1)
Total: 0.00 USD</t>
  </si>
  <si>
    <t>White chocolate caramel mocha :)</t>
  </si>
  <si>
    <t>Thursday, Apr 04, 2024 9:20 AM-9:25 AM</t>
  </si>
  <si>
    <t>Thursday, Apr 04, 2024 9:10 AM-9:15 AM</t>
  </si>
  <si>
    <t>Cappuccino (Amount: 0.00 USD, Quantity: 1, Milk: Whole Milk, Size: Small [12 oz], Syrups: Vanilla, Sauces: Caramel)
Total: 0.00 USD</t>
  </si>
  <si>
    <t>Can I have a normal cappuccino. No syrups or flavor</t>
  </si>
  <si>
    <t>Thursday, Apr 04, 2024 9:30 AM-9:35 AM</t>
  </si>
  <si>
    <t>Caramel Macchiato (Amount: 0.00 USD, Quantity: 1, Iced: Yes, Milk: Whole, Shots of Espresso: 3, Pumps of Syrup: 4 [Standard], Caramel Drizzle: Yes)
Topo Chico (Amount: 0.00 USD, Quantity: 1)
Total: 0.00 USD</t>
  </si>
  <si>
    <t>Thursday, Apr 04, 2024 9:25 AM-9:30 AM</t>
  </si>
  <si>
    <t>Vanilla honey triple oatmilk latte plz! Thank you!</t>
  </si>
  <si>
    <t>Water (Amount: 0.00 USD, Quantity: 2)
Red Bull [Sugar Free] (Amount: 0.00 USD, Quantity: 1)
Total: 0.00 USD</t>
  </si>
  <si>
    <t>Thursday, Apr 04, 2024 9:50 AM-9:55 AM</t>
  </si>
  <si>
    <t>Cappuccino (Amount: 0.00 USD, Quantity: 1, Milk: Coconut, Size: Big [16 oz], Syrups: SF Vanilla, Sauces: Caramel)
Total: 0.00 USD</t>
  </si>
  <si>
    <t>Only 1 pump syrups, thanks!</t>
  </si>
  <si>
    <t>Thursday, Apr 04, 2024 9:55 AM-10:00 AM</t>
  </si>
  <si>
    <t>Thursday, Apr 04, 2024 10:45 AM-10:50 AM</t>
  </si>
  <si>
    <t>Chai Latte (Amount: 0.00 USD, Quantity: 1, Iced: No, Milk: 2% Milk, Syrups: None, Sauces: None, Dirty: No)
Sprite (Amount: 0.00 USD, Quantity: 1)
Total: 0.00 USD</t>
  </si>
  <si>
    <t>Thursday, Apr 04, 2024 10:30 AM-10:35 AM</t>
  </si>
  <si>
    <t>With vanilla cold foam please. Thank you! :)</t>
  </si>
  <si>
    <t>Thursday, Apr 04, 2024 10:55 AM-11:00 AM</t>
  </si>
  <si>
    <t>Please add honey to the flat white  and cinnamon to both. Thanks ladies!</t>
  </si>
  <si>
    <t>Thursday, Apr 04, 2024 1:15 PM-1:20 PM</t>
  </si>
  <si>
    <t>Iced Shaken Espresso (Amount: 0.00 USD, Quantity: 1, Milk: Oat, Syrups: SF Hazelnut, Sauces: None)
Total: 0.00 USD</t>
  </si>
  <si>
    <t>I’ll bring my cup. And LD sparkling water pls :) thx</t>
  </si>
  <si>
    <t>Thursday, Apr 04, 2024 1:55 PM-2:00 PM</t>
  </si>
  <si>
    <t>Latte (Amount: 0.00 USD, Quantity: 1, Iced: No, Milk: Oat, Syrups: SF Vanilla, Sauces: None, Shots of Espresso: 2 [Standard], Pumps of Syrup/Sauce Total: 1)
Total: 0.00 USD</t>
  </si>
  <si>
    <t>Thursday, Apr 04, 2024 2:50 PM-2:55 PM</t>
  </si>
  <si>
    <t>Matcha Latte (Amount: 0.00 USD, Quantity: 1, Iced: Yes, Milk: Oat, Syrups: SF Hazelnut, Sauces: None)
Water (Amount: 0.00 USD, Quantity: 1)
Total: 0.00 USD</t>
  </si>
  <si>
    <t>Friday, Apr 05, 2024 11:00 AM-11:05 AM</t>
  </si>
  <si>
    <t>Friday, Apr 05, 2024 9:50 AM-9:55 AM</t>
  </si>
  <si>
    <t>Vanilla cold foam please if available. Thank you! :)</t>
  </si>
  <si>
    <t>Monday, Apr 08, 2024 9:15 AM-9:20 AM</t>
  </si>
  <si>
    <t>Latte (Amount: 0.00 USD, Quantity: 1, Iced: Yes, Milk: Almond, Syrups: Lavender, Sauces: None, Shots of Espresso: 3, Pumps of Syrup/Sauce Total: 4 [Standard])
Total: 0.00 USD</t>
  </si>
  <si>
    <t>Can I have an iced almond milk honey lavender latte please? Thank you!</t>
  </si>
  <si>
    <t>Monday, Apr 08, 2024 9:25 AM-9:30 AM</t>
  </si>
  <si>
    <t>No syrup. LD sparkling water. I’ll bring my cup. Thx :)</t>
  </si>
  <si>
    <t>Monday, Apr 08, 2024 9:35 AM-9:40 AM</t>
  </si>
  <si>
    <t>Cappuccino (Amount: 0.00 USD, Quantity: 1, Milk: Coconut, Size: Small [12 oz], Syrups: Vanilla, Sauces: Caramel)
Total: 0.00 USD</t>
  </si>
  <si>
    <t>1 syrup</t>
  </si>
  <si>
    <t>Monday, Apr 08, 2024 11:25 AM-11:30 AM</t>
  </si>
  <si>
    <t>Tuesday, Apr 09, 2024 9:10 AM-9:15 AM</t>
  </si>
  <si>
    <t>Latte (Amount: 0.00 USD, Quantity: 1, Iced: No, Milk: Oat, Syrups: SF Hazelnut, Sauces: None, Shots of Espresso: 1, Pumps of Syrup/Sauce Total: 2)
Total: 0.00 USD</t>
  </si>
  <si>
    <t>Tuesday, Apr 09, 2024 9:05 AM-9:10 AM</t>
  </si>
  <si>
    <t>Tuesday, Apr 09, 2024 9:20 AM-9:25 AM</t>
  </si>
  <si>
    <t>I’ll bring my cup. No syrup. Thx :)</t>
  </si>
  <si>
    <t>Caramel Macchiato (Amount: 0.00 USD, Quantity: 1, Iced: Yes, Milk: Oat, Shots of Espresso: 2 [Standard], Pumps of Syrup: 4 [Standard], Caramel Drizzle: Yes)
Water (Amount: 0.00 USD, Quantity: 2)
Total: 0.00 USD</t>
  </si>
  <si>
    <t>Tuesday, Apr 09, 2024 9:35 AM-9:40 AM</t>
  </si>
  <si>
    <t>Tuesday, Apr 09, 2024 9:45 AM-9:50 AM</t>
  </si>
  <si>
    <t>Latte (Amount: 0.00 USD, Quantity: 1, Iced: No, Milk: Coconut, Syrups: Cherry, Sauces: None, Shots of Espresso: 2 [Standard], Pumps of Syrup/Sauce Total: 1)
Total: 0.00 USD</t>
  </si>
  <si>
    <t>Tuesday, Apr 09, 2024 9:50 AM-9:55 AM</t>
  </si>
  <si>
    <t>Latte (Amount: 0.00 USD, Quantity: 1, Iced: Yes, Milk: Soy, Syrups: SF Vanilla, Sauces: None, Shots of Espresso: 3, Pumps of Syrup/Sauce Total: 2)
Topo Chico (Amount: 0.00 USD, Quantity: 1)
Total: 0.00 USD</t>
  </si>
  <si>
    <t>Tuesday, Apr 09, 2024 10:00 AM-10:05 AM</t>
  </si>
  <si>
    <t>Triple vanilla honey oatmilk latte plz. Thank you!</t>
  </si>
  <si>
    <t>Tuesday, Apr 09, 2024 10:40 AM-10:45 AM</t>
  </si>
  <si>
    <t>Howdy! Honey in the flat white and cinnamon in both. Thanks!</t>
  </si>
  <si>
    <t>Tuesday, Apr 09, 2024 10:50 AM-10:55 AM</t>
  </si>
  <si>
    <t>Please add one espresso shot.</t>
  </si>
  <si>
    <t>Tuesday, Apr 09, 2024 11:00 AM-11:05 AM</t>
  </si>
  <si>
    <t>Tuesday, Apr 09, 2024 11:10 AM-11:15 AM</t>
  </si>
  <si>
    <t>Espresso (Amount: 0.00 USD, Quantity: 1, : Double [Doppio], Con Panna [With Cream]: Yes)
Water (Amount: 0.00 USD, Quantity: 2)
Total: 0.00 USD</t>
  </si>
  <si>
    <t>Please add stevia</t>
  </si>
  <si>
    <t>Tuesday, Apr 09, 2024 3:10 PM-3:15 PM</t>
  </si>
  <si>
    <t>Tuesday, Apr 09, 2024 3:20 PM-3:25 PM</t>
  </si>
  <si>
    <t>Unsweetened</t>
  </si>
  <si>
    <t>Wednesday, Apr 10, 2024 9:05 AM-9:10 AM</t>
  </si>
  <si>
    <t>Latte (Amount: 0.00 USD, Quantity: 1, Iced: Yes, Milk: Soy, Syrups: SF Hazelnut, Sauces: None, Shots of Espresso: 3, Pumps of Syrup/Sauce Total: 4 [Standard])
Total: 0.00 USD</t>
  </si>
  <si>
    <t>Light ice please :)</t>
  </si>
  <si>
    <t>Wednesday, Apr 10, 2024 9:30 AM-9:35 AM</t>
  </si>
  <si>
    <t>Wednesday, Apr 10, 2024 10:05 AM-10:10 AM</t>
  </si>
  <si>
    <t>With vanilla cold foam please, thank you! :)</t>
  </si>
  <si>
    <t>Wednesday, Apr 10, 2024 10:25 AM-10:30 AM</t>
  </si>
  <si>
    <t>Latte (Amount: 0.00 USD, Quantity: 1, Iced: No, Milk: Soy, Syrups: SF Vanilla, Sauces: None, Shots of Espresso: 3, Pumps of Syrup/Sauce Total: 2)
Total: 0.00 USD</t>
  </si>
  <si>
    <t>Wednesday, Apr 10, 2024 10:50 AM-10:55 AM</t>
  </si>
  <si>
    <t>Please add honey to the flat wire and cinnamon to both. Thank you</t>
  </si>
  <si>
    <t>Wednesday, Apr 10, 2024 11:05 AM-11:10 AM</t>
  </si>
  <si>
    <t>Cappuccino (Amount: 0.00 USD, Quantity: 1, Milk: Coconut, Size: Small [12 oz], Syrups: Vanilla, Sauces: Caramel)
Water (Amount: 0.00 USD, Quantity: 1)
Total: 0.00 USD</t>
  </si>
  <si>
    <t>No syrup or sauce on the coffee</t>
  </si>
  <si>
    <t>Wednesday, Apr 10, 2024 12:15 PM-12:20 PM</t>
  </si>
  <si>
    <t>Wednesday, Apr 10, 2024 1:40 PM-1:45 PM</t>
  </si>
  <si>
    <t>Iced Shaken Espresso (Amount: 0.00 USD, Quantity: 1, Milk: Oat, Syrups: Cane Syrup, Sauces: None)
Water (Amount: 0.00 USD, Quantity: 1)
Total: 0.00 USD</t>
  </si>
  <si>
    <t>Thursday, Apr 11, 2024 9:05 AM-9:10 AM</t>
  </si>
  <si>
    <t>Matcha Latte (Amount: 0.00 USD, Quantity: 1, Iced: Yes, Milk: Soy, Syrups: None, Sauces: None)
Water (Amount: 0.00 USD, Quantity: 1)
Total: 0.00 USD</t>
  </si>
  <si>
    <t>Thursday, Apr 11, 2024 9:15 AM-9:20 AM</t>
  </si>
  <si>
    <t>Chai Latte (Amount: 0.00 USD, Quantity: 1, Iced: No, Milk: 2% Milk, Syrups: None, Sauces: None, Dirty: Yes)
Total: 0.00 USD</t>
  </si>
  <si>
    <t>Can I get an extra shot of espresso in the dirty chai? Thank you! ?</t>
  </si>
  <si>
    <t>2 pumps vanilla syrup. I can pour cold brew. Thanks !</t>
  </si>
  <si>
    <t>Thursday, Apr 11, 2024 9:20 AM-9:25 AM</t>
  </si>
  <si>
    <t>Caramel Macchiato (Amount: 0.00 USD, Quantity: 1, Iced: No, Milk: Whole, Shots of Espresso: 2 [Standard], Pumps of Syrup: 1, Caramel Drizzle: No)
Total: 0.00 USD</t>
  </si>
  <si>
    <t>Thursday, Apr 11, 2024 9:40 AM-9:45 AM</t>
  </si>
  <si>
    <t>Triple vanilla honey oatmilk latte</t>
  </si>
  <si>
    <t>Thursday, Apr 11, 2024 2:00 PM-2:05 PM</t>
  </si>
  <si>
    <t>Chai Latte (Amount: 0.00 USD, Quantity: 1, Iced: No, Milk: Oat, Syrups: Cane Syrup, Sauces: None, Dirty: Yes)
Water (Amount: 0.00 USD, Quantity: 1)
Total: 0.00 USD</t>
  </si>
  <si>
    <t>1/2 syrup.  Thank you!</t>
  </si>
  <si>
    <t>Monday, Apr 15, 2024 9:30 AM-9:35 AM</t>
  </si>
  <si>
    <t>Latte (Amount: 0.00 USD, Quantity: 2, Iced: No, Milk: Oat, Syrups: SF Brown Sugar Cinnamon, Sauces: None, Shots of Espresso: 2 [Standard], Pumps of Syrup/Sauce Total: 4 [Standard])
Total: 0.00 USD</t>
  </si>
  <si>
    <t>Monday, Apr 15, 2024 9:35 AM-9:40 AM</t>
  </si>
  <si>
    <t>Sweet matcha please, thank you!</t>
  </si>
  <si>
    <t>Tuesday, Apr 16, 2024 9:05 AM-9:10 AM</t>
  </si>
  <si>
    <t>Latte (Amount: 0.00 USD, Quantity: 1, Iced: No, Milk: Oat, Syrups: SF Hazelnut, Sauces: None, Shots of Espresso: 1, Pumps of Syrup/Sauce Total: 1)
Water (Amount: 0.00 USD, Quantity: 1)
Total: 0.00 USD</t>
  </si>
  <si>
    <t>Tuesday, Apr 16, 2024 9:50 AM-9:55 AM</t>
  </si>
  <si>
    <t>Tuesday, Apr 16, 2024 10:25 AM-10:30 AM</t>
  </si>
  <si>
    <t>Latte (Amount: 0.00 USD, Quantity: 1, Iced: No, Milk: Oat, Syrups: Vanilla, Sauces: None, Shots of Espresso: 2 [Standard], Pumps of Syrup/Sauce Total: 3)
Water (Amount: 0.00 USD, Quantity: 1)
Total: 0.00 USD</t>
  </si>
  <si>
    <t>Oatmilk vanilla honey latte and still liquid death plz</t>
  </si>
  <si>
    <t>Tuesday, Apr 16, 2024 10:35 AM-10:40 AM</t>
  </si>
  <si>
    <t>Redeye please.</t>
  </si>
  <si>
    <t>Tuesday, Apr 16, 2024 11:00 AM-11:05 AM</t>
  </si>
  <si>
    <t>Tuesday, Apr 16, 2024 11:25 AM-11:30 AM</t>
  </si>
  <si>
    <t>Flat White (Amount: 0.00 USD, Quantity: 1, Milk: Coconut)
Total: 0.00 USD</t>
  </si>
  <si>
    <t>Please add honey to the flat white &amp; cinnamon. Thx!</t>
  </si>
  <si>
    <t>Tuesday, Apr 16, 2024 2:20 PM-2:25 PM</t>
  </si>
  <si>
    <t>Tuesday, Apr 16, 2024 3:10 PM-3:15 PM</t>
  </si>
  <si>
    <t>Latte (Amount: 0.00 USD, Quantity: 1, Iced: No, Milk: Whole Milk, Syrups: None, Sauces: Dark Chocolate, Shots of Espresso: 2 [Standard], Pumps of Syrup/Sauce Total: 3)
Total: 0.00 USD</t>
  </si>
  <si>
    <t>Wednesday, Apr 17, 2024 9:05 AM-9:10 AM</t>
  </si>
  <si>
    <t>Wednesday, Apr 17, 2024 9:20 AM-9:25 AM</t>
  </si>
  <si>
    <t>2 shots / 3 pumps of cane syrup. Please :)</t>
  </si>
  <si>
    <t>Wednesday, Apr 17, 2024 9:50 AM-9:55 AM</t>
  </si>
  <si>
    <t>Can you add pistachio cold foam please, thank you!</t>
  </si>
  <si>
    <t>Sugar free caramel please</t>
  </si>
  <si>
    <t>Wednesday, Apr 17, 2024 11:00 AM-11:05 AM</t>
  </si>
  <si>
    <t>Thursday, Apr 18, 2024 9:05 AM-9:10 AM</t>
  </si>
  <si>
    <t>Thursday, Apr 18, 2024 9:35 AM-9:40 AM</t>
  </si>
  <si>
    <t>Latte (Amount: 0.00 USD, Quantity: 1, Iced: No, Milk: Almond, Syrups: None, Sauces: None, Shots of Espresso: 2 [Standard], Pumps of Syrup/Sauce Total: 2)
Water (Amount: 0.00 USD, Quantity: 1)
Total: 0.00 USD</t>
  </si>
  <si>
    <t>Thursday, Apr 18, 2024 10:00 AM-10:05 AM</t>
  </si>
  <si>
    <t>Thursday, Apr 18, 2024 10:20 AM-10:25 AM</t>
  </si>
  <si>
    <t>Thursday, Apr 18, 2024 10:50 AM-10:55 AM</t>
  </si>
  <si>
    <t>Thursday, Apr 18, 2024 10:40 AM-10:45 AM</t>
  </si>
  <si>
    <t>Please add honey to flat white &amp; cinnamon to both. Thanks</t>
  </si>
  <si>
    <t>Thursday, Apr 18, 2024 1:50 PM-1:55 PM</t>
  </si>
  <si>
    <t>Matcha Latte (Amount: 0.00 USD, Quantity: 1, Iced: No, Milk: Oat, Syrups: Cane Syrup, Sauces: None)
Total: 0.00 USD</t>
  </si>
  <si>
    <t>Friday, Apr 19, 2024 9:15 AM-9:20 AM</t>
  </si>
  <si>
    <t>Friday, Apr 19, 2024 11:00 AM-11:05 AM</t>
  </si>
  <si>
    <t>Friday, Apr 19, 2024 10:15 AM-10:20 AM</t>
  </si>
  <si>
    <t>Latte (Amount: 0.00 USD, Quantity: 1, Iced: Yes, Milk: Whole Milk, Syrups: Vanilla, Sauces: White Chocolate, Shots of Espresso: 2 [Standard], Pumps of Syrup/Sauce Total: 4 [Standard])
Ginger Ale (Amount: 0.00 USD, Quantity: 1)
Total: 0.00 USD</t>
  </si>
  <si>
    <t>With Vanilla cold foam please, thank you! :)</t>
  </si>
  <si>
    <t>Monday, Apr 22, 2024 9:25 AM-9:30 AM</t>
  </si>
  <si>
    <t>Latte (Amount: 0.00 USD, Quantity: 1, Iced: Yes, Milk: Almond, Syrups: None, Sauces: None, Shots of Espresso: 2 [Standard], Pumps of Syrup/Sauce Total: 4 [Standard])
Water (Amount: 0.00 USD, Quantity: 1)
Total: 0.00 USD</t>
  </si>
  <si>
    <t>Monday, Apr 22, 2024 9:45 AM-9:50 AM</t>
  </si>
  <si>
    <t>Tuesday, Apr 23, 2024 9:05 AM-9:10 AM</t>
  </si>
  <si>
    <t>Caramel Macchiato (Amount: 0.00 USD, Quantity: 1, Iced: No, Milk: Oat, Shots of Espresso: 2 [Standard], Pumps of Syrup: 4 [Standard], Caramel Drizzle: Yes)
Water (Amount: 0.00 USD, Quantity: 4)
Total: 0.00 USD</t>
  </si>
  <si>
    <t>Can I get decaf caramel macchiato with almond milk thanks</t>
  </si>
  <si>
    <t>Tuesday, Apr 23, 2024 10:10 AM-10:15 AM</t>
  </si>
  <si>
    <t>Iced Shaken Espresso (Amount: 0.00 USD, Quantity: 1, Milk: 2% Milk, Syrups: Vanilla, Sauces: None)
Total: 0.00 USD</t>
  </si>
  <si>
    <t>Tuesday, Apr 23, 2024 10:30 AM-10:35 AM</t>
  </si>
  <si>
    <t>Vanilla honey oatmilk latte thank you!</t>
  </si>
  <si>
    <t>Tuesday, Apr 23, 2024 11:25 AM-11:30 AM</t>
  </si>
  <si>
    <t>I’ll bring my cup. And one LD sparkling water please. Thx :)</t>
  </si>
  <si>
    <t>Tuesday, Apr 23, 2024 12:10 PM-12:15 PM</t>
  </si>
  <si>
    <t>Latte (Amount: 0.00 USD, Quantity: 1, Iced: Yes, Milk: Half/Half, Syrups: None, Sauces: White Chocolate, Shots of Espresso: 2 [Standard], Pumps of Syrup/Sauce Total: 4 [Standard])
Total: 0.00 USD</t>
  </si>
  <si>
    <t>Wednesday, Apr 24, 2024 9:05 AM-9:10 AM</t>
  </si>
  <si>
    <t>Latte (Amount: 0.00 USD, Quantity: 1, Iced: No, Milk: Oat, Syrups: Lavender, Sauces: None, Shots of Espresso: 1, Pumps of Syrup/Sauce Total: 1)
Water (Amount: 0.00 USD, Quantity: 1)
Total: 0.00 USD</t>
  </si>
  <si>
    <t>Wednesday, Apr 24, 2024 9:30 AM-9:35 AM</t>
  </si>
  <si>
    <t>Iced - 3 shots and 3 pumps of cane.</t>
  </si>
  <si>
    <t>Wednesday, Apr 24, 2024 9:55 AM-10:00 AM</t>
  </si>
  <si>
    <t>No sauce or syrup</t>
  </si>
  <si>
    <t>Wednesday, Apr 24, 2024 10:05 AM-10:10 AM</t>
  </si>
  <si>
    <t>Latte (Amount: 0.00 USD, Quantity: 1, Iced: No, Milk: Whole Milk, Syrups: Brown Sugar Cinnamon, Sauces: None, Shots of Espresso: 2 [Standard], Pumps of Syrup/Sauce Total: 2)
Total: 0.00 USD</t>
  </si>
  <si>
    <t>Wednesday, Apr 24, 2024 10:20 AM-10:25 AM</t>
  </si>
  <si>
    <t>Sprite (Amount: 0.00 USD, Quantity: 1)
Red Bull [Sugar Free] (Amount: 0.00 USD, Quantity: 1)
Total: 0.00 USD</t>
  </si>
  <si>
    <t>-Cup of ice and lid
-pleas add caramel drizzle to top of chai tea (Jenny knows how to make it)</t>
  </si>
  <si>
    <t>Wednesday, Apr 24, 2024 11:35 AM-11:40 AM</t>
  </si>
  <si>
    <t>Iced Shaken Espresso (Amount: 0.00 USD, Quantity: 1, Milk: Oat, Syrups: None, Sauces: Dark Chocolate)
Total: 0.00 USD</t>
  </si>
  <si>
    <t>Wednesday, Apr 24, 2024 3:35 PM-3:40 PM</t>
  </si>
  <si>
    <t>Just one pump of syrup.  Thanks!</t>
  </si>
  <si>
    <t>Wednesday, Apr 24, 2024 3:45 PM-3:50 PM</t>
  </si>
  <si>
    <t>1 stevia please. Thank you.</t>
  </si>
  <si>
    <t>Wednesday, Apr 24, 2024 4:30 PM-4:35 PM</t>
  </si>
  <si>
    <t>Matcha Latte (Amount: 0.00 USD, Quantity: 1, Iced: Yes, Milk: Whole Milk, Syrups: Raspberry, Sauces: None)
Total: 0.00 USD</t>
  </si>
  <si>
    <t>Can you make it an strawberry Macha please.
Thank you.
Bc</t>
  </si>
  <si>
    <t>Thursday, Apr 25, 2024 9:05 AM-9:10 AM</t>
  </si>
  <si>
    <t>Thursday, Apr 25, 2024 11:00 AM-11:05 AM</t>
  </si>
  <si>
    <t>Thursday, Apr 25, 2024 9:10 AM-9:15 AM</t>
  </si>
  <si>
    <t>Can I have sweet match please. Thank you!</t>
  </si>
  <si>
    <t>Thursday, Apr 25, 2024 9:40 AM-9:45 AM</t>
  </si>
  <si>
    <t>I’ll bring my cup.</t>
  </si>
  <si>
    <t>Thursday, Apr 25, 2024 9:45 AM-9:50 AM</t>
  </si>
  <si>
    <t>Triple vanilla honey oat milk latte plz. Thank you!!!</t>
  </si>
  <si>
    <t>Thursday, Apr 25, 2024 9:50 AM-9:55 AM</t>
  </si>
  <si>
    <t>Cappuccino (Amount: 0.00 USD, Quantity: 1, Milk: Whole Milk, Size: Small [12 oz], Syrups: Vanilla, Sauces: Caramel)
Water (Amount: 0.00 USD, Quantity: 1)
Total: 0.00 USD</t>
  </si>
  <si>
    <t>No syrup or sauce in the coffee</t>
  </si>
  <si>
    <t>Latte (Amount: 0.00 USD, Quantity: 1, Iced: No, Milk: Coconut, Syrups: SF Vanilla, Sauces: None, Shots of Espresso: 2 [Standard], Pumps of Syrup/Sauce Total: 1)
Total: 0.00 USD</t>
  </si>
  <si>
    <t>Thursday, Apr 25, 2024 9:55 AM-10:00 AM</t>
  </si>
  <si>
    <t>Latte (Amount: 0.00 USD, Quantity: 1, Iced: No, Milk: Coconut, Syrups: SF Vanilla, Sauces: None, Shots of Espresso: 2 [Standard], Pumps of Syrup/Sauce Total: 2)
Diet Coke (Amount: 0.00 USD, Quantity: 1)
Total: 0.00 USD</t>
  </si>
  <si>
    <t>Thursday, Apr 25, 2024 10:20 AM-10:25 AM</t>
  </si>
  <si>
    <t>Please add honey to flat white
Please add cinnamon to both. Yes he needs another coffee =)</t>
  </si>
  <si>
    <t>Thursday, Apr 25, 2024 11:05 AM-11:10 AM</t>
  </si>
  <si>
    <t>Thursday, Apr 25, 2024 3:20 PM-3:25 PM</t>
  </si>
  <si>
    <t>Thursday, Apr 25, 2024 3:55 PM-4:00 PM</t>
  </si>
  <si>
    <t>Latte (Amount: 0.00 USD, Quantity: 1, Iced: Yes, Milk: Heavy Cream, Syrups: SF Brown Sugar Cinnamon, Sauces: None, Shots of Espresso: 2 [Standard], Pumps of Syrup/Sauce Total: 3)
Coke Zero (Amount: 0.00 USD, Quantity: 1)
Total: 0.00 USD</t>
  </si>
  <si>
    <t>Monday, Apr 29, 2024 9:35 AM-9:40 AM</t>
  </si>
  <si>
    <t>Can I have a honey lavender latte please, thank you!</t>
  </si>
  <si>
    <t>Monday, Apr 29, 2024 9:50 AM-9:55 AM</t>
  </si>
  <si>
    <t>No syrup or Carmel sauce in coffee</t>
  </si>
  <si>
    <t>Monday, Apr 29, 2024 10:05 AM-10:10 AM</t>
  </si>
  <si>
    <t>Tuesday, Apr 30, 2024 9:05 AM-9:10 AM</t>
  </si>
  <si>
    <t>Gm Can I get cup of coconut milk hot stem I'm mixing mushrooms  this morning</t>
  </si>
  <si>
    <t>Tuesday, Apr 30, 2024 9:10 AM-9:15 AM</t>
  </si>
  <si>
    <t>Tuesday, Apr 30, 2024 9:20 AM-9:25 AM</t>
  </si>
  <si>
    <t>Cappuccino (Amount: 0.00 USD, Quantity: 1, Milk: 2% Milk, Size: Small [12 oz], Syrups: Vanilla, Sauces: Caramel)
Total: 0.00 USD</t>
  </si>
  <si>
    <t>Regular cappuccino. No syrup or flavor please</t>
  </si>
  <si>
    <t>Tuesday, Apr 30, 2024 9:30 AM-9:35 AM</t>
  </si>
  <si>
    <t>Triple vanilla honey oat milk latte plz! Thank you!</t>
  </si>
  <si>
    <t>Tuesday, Apr 30, 2024 9:40 AM-9:45 AM</t>
  </si>
  <si>
    <t>Room temperature Liquid Death Sparkling. Thanks!</t>
  </si>
  <si>
    <t>Tuesday, Apr 30, 2024 9:55 AM-10:00 AM</t>
  </si>
  <si>
    <t>Tuesday, Apr 30, 2024 10:00 AM-10:05 AM</t>
  </si>
  <si>
    <t>Please add honey to flat and cinnamon to both thanks! -️</t>
  </si>
  <si>
    <t>Tuesday, Apr 30, 2024 3:15 PM-3:20 PM</t>
  </si>
  <si>
    <t>Tuesday, Apr 30, 2024 3:40 PM-3:45 PM</t>
  </si>
  <si>
    <t>Wednesday, May 01, 2024 11:00 AM-11:05 AM</t>
  </si>
  <si>
    <t>Wednesday, May 01, 2024 9:05 AM-9:10 AM</t>
  </si>
  <si>
    <t>2 pumps vanilla syrup. If cold brew doesn’t work I’ll just take an iced latte instead. Thanks!</t>
  </si>
  <si>
    <t>Wednesday, May 01, 2024 9:15 AM-9:20 AM</t>
  </si>
  <si>
    <t>Latte (Amount: 0.00 USD, Quantity: 1, Iced: No, Milk: Coconut, Syrups: SF Hazelnut, Sauces: White Chocolate, Shots of Espresso: 2 [Standard], Pumps of Syrup/Sauce Total: 4 [Standard])
Water (Amount: 0.00 USD, Quantity: 1)
Total: 0.00 USD</t>
  </si>
  <si>
    <t>Wednesday, May 01, 2024 9:20 AM-9:25 AM</t>
  </si>
  <si>
    <t>Caramel Macchiato (Amount: 0.00 USD, Quantity: 1, Iced: No, Milk: Almond, Shots of Espresso: 2 [Standard], Pumps of Syrup: 3, Caramel Drizzle: No)
Total: 0.00 USD</t>
  </si>
  <si>
    <t>Wednesday, May 01, 2024 9:25 AM-9:30 AM</t>
  </si>
  <si>
    <t>Matcha Latte (Amount: 0.00 USD, Quantity: 1, Iced: Yes, Milk: Almond, Syrups: None, Sauces: None)
Water (Amount: 0.00 USD, Quantity: 1)
Total: 0.00 USD</t>
  </si>
  <si>
    <t>Sweet match please, thank you!</t>
  </si>
  <si>
    <t>Wednesday, May 01, 2024 9:45 AM-9:50 AM</t>
  </si>
  <si>
    <t>Wednesday, May 01, 2024 9:55 AM-10:00 AM</t>
  </si>
  <si>
    <t>Latte (Amount: 0.00 USD, Quantity: 1, Iced: Yes, Milk: Whole Milk, Syrups: None, Sauces: None, Shots of Espresso: 3, Pumps of Syrup/Sauce Total: 4 [Standard])
Sprite (Amount: 0.00 USD, Quantity: 1)
Total: 0.00 USD</t>
  </si>
  <si>
    <t>Wednesday, May 01, 2024 10:10 AM-10:15 AM</t>
  </si>
  <si>
    <t>Only one pump, please!</t>
  </si>
  <si>
    <t>Wednesday, May 01, 2024 11:50 AM-11:55 AM</t>
  </si>
  <si>
    <t>Matcha Latte (Amount: 0.00 USD, Quantity: 1, Iced: No, Milk: Coconut, Syrups: None, Sauces: None)
Total: 0.00 USD</t>
  </si>
  <si>
    <t>Wednesday, May 01, 2024 3:10 PM-3:15 PM</t>
  </si>
  <si>
    <t>Chai Latte (Amount: 0.00 USD, Quantity: 1, Iced: No, Milk: Oat, Syrups: Cane Syrup, Sauces: None, Dirty: No)
Water (Amount: 0.00 USD, Quantity: 1)
Total: 0.00 USD</t>
  </si>
  <si>
    <t>1 pump syrup</t>
  </si>
  <si>
    <t>Thursday, May 02, 2024 9:10 AM-9:15 AM</t>
  </si>
  <si>
    <t>Thursday, May 02, 2024 9:05 AM-9:10 AM</t>
  </si>
  <si>
    <t>Red Bull [Sugar Free] (Amount: 0.00 USD, Quantity: 1)
Total: 0.00 USD</t>
  </si>
  <si>
    <t>Thursday, May 02, 2024 9:20 AM-9:25 AM</t>
  </si>
  <si>
    <t>Latte (Amount: 0.00 USD, Quantity: 1, Iced: No, Milk: Oat, Syrups: Vanilla, Sauces: None, Shots of Espresso: 3, Pumps of Syrup/Sauce Total: 4 [Standard])
Chai Latte (Amount: 0.00 USD, Quantity: 1, Iced: No, Milk: 2% Milk, Syrups: None, Sauces: None, Dirty: No)
Total: 0.00 USD</t>
  </si>
  <si>
    <t>Vanilla honey in latte please. None in chai</t>
  </si>
  <si>
    <t>Thursday, May 02, 2024 9:15 AM-9:20 AM</t>
  </si>
  <si>
    <t>No syrup or sauce. Extra shot of espresso</t>
  </si>
  <si>
    <t>Thursday, May 02, 2024 9:35 AM-9:40 AM</t>
  </si>
  <si>
    <t>Sparkling liquid death. Thanks!</t>
  </si>
  <si>
    <t>Thursday, May 02, 2024 9:30 AM-9:35 AM</t>
  </si>
  <si>
    <t>I’ll use my own cup. And LD sparkling water</t>
  </si>
  <si>
    <t>Thursday, May 02, 2024 10:40 AM-10:45 AM</t>
  </si>
  <si>
    <t>Thursday, May 02, 2024 11:05 AM-11:10 AM</t>
  </si>
  <si>
    <t>Thursday, May 02, 2024 1:40 PM-1:45 PM</t>
  </si>
  <si>
    <t>Only 1 pump syrup; thanks!</t>
  </si>
  <si>
    <t>Monday, May 06, 2024 9:30 AM-9:35 AM</t>
  </si>
  <si>
    <t>Latte (Amount: 0.00 USD, Quantity: 1, Iced: Yes, Milk: Soy, Syrups: SF Vanilla, Sauces: None, Shots of Espresso: 2 [Standard], Pumps of Syrup/Sauce Total: 2)
Total: 0.00 USD</t>
  </si>
  <si>
    <t>Monday, May 06, 2024 10:15 AM-10:20 AM</t>
  </si>
  <si>
    <t>Monday, May 06, 2024 12:15 PM-12:20 PM</t>
  </si>
  <si>
    <t>Americano (Amount: 0.00 USD, Quantity: 1)
Sprite (Amount: 0.00 USD, Quantity: 1)
Red Bull [Sugar Free] (Amount: 0.00 USD, Quantity: 1)
Total: 0.00 USD</t>
  </si>
  <si>
    <t>iced- 3 shots and 3 pumps of cane.  Pretty please</t>
  </si>
  <si>
    <t>Tuesday, May 07, 2024 9:05 AM-9:10 AM</t>
  </si>
  <si>
    <t>2 pumps vanilla syrup. If cold brew is still broken, iced americano is fine. Thanks!</t>
  </si>
  <si>
    <t>Tuesday, May 07, 2024 9:40 AM-9:45 AM</t>
  </si>
  <si>
    <t>Tuesday, May 07, 2024 9:50 AM-9:55 AM</t>
  </si>
  <si>
    <t>Latte (Amount: 0.00 USD, Quantity: 1, Iced: No, Milk: Oat, Syrups: Vanilla, Sauces: None, Shots of Espresso: 1, Pumps of Syrup/Sauce Total: 1)
Total: 0.00 USD</t>
  </si>
  <si>
    <t>Tuesday, May 07, 2024 10:05 AM-10:10 AM</t>
  </si>
  <si>
    <t>No syrup or sauce in coffee</t>
  </si>
  <si>
    <t>Tuesday, May 07, 2024 10:30 AM-10:35 AM</t>
  </si>
  <si>
    <t>Latte (Amount: 0.00 USD, Quantity: 1, Iced: No, Milk: Almond, Syrups: Cane Syrup, Sauces: None, Shots of Espresso: 2 [Standard], Pumps of Syrup/Sauce Total: 1)
Flat White (Amount: 0.00 USD, Quantity: 1, Milk: Almond)
Total: 0.00 USD</t>
  </si>
  <si>
    <t>Please add honey to the flat white and cinnamon to both. Thanks! =)</t>
  </si>
  <si>
    <t>Tuesday, May 07, 2024 11:10 AM-11:15 AM</t>
  </si>
  <si>
    <t>Tuesday, May 07, 2024 11:15 AM-11:20 AM</t>
  </si>
  <si>
    <t>Tuesday, May 07, 2024 12:00 PM-12:05 PM</t>
  </si>
  <si>
    <t>Tuesday, May 07, 2024 1:50 PM-1:55 PM</t>
  </si>
  <si>
    <t>Vanilla honey oat milk latte plz. Thank you!</t>
  </si>
  <si>
    <t>Tuesday, May 07, 2024 3:25 PM-3:30 PM</t>
  </si>
  <si>
    <t>2 pumps syrup only. Thx</t>
  </si>
  <si>
    <t>Wednesday, May 08, 2024 11:00 AM-11:05 AM</t>
  </si>
  <si>
    <t>Wednesday, May 08, 2024 9:05 AM-9:10 AM</t>
  </si>
  <si>
    <t>2 pumps cold brew. Thanks!</t>
  </si>
  <si>
    <t>Wednesday, May 08, 2024 9:10 AM-9:15 AM</t>
  </si>
  <si>
    <t>Wednesday, May 08, 2024 9:25 AM-9:30 AM</t>
  </si>
  <si>
    <t>Triple Vanilla honey oat milk latte plz. Thank you!</t>
  </si>
  <si>
    <t>Chai Latte (Amount: 0.00 USD, Quantity: 1, Iced: No, Milk: Almond, Syrups: Vanilla, Sauces: White Chocolate, Dirty: No)
Total: 0.00 USD</t>
  </si>
  <si>
    <t>None</t>
  </si>
  <si>
    <t>Wednesday, May 08, 2024 9:20 AM-9:25 AM</t>
  </si>
  <si>
    <t>Iced Shaken Espresso (Amount: 0.00 USD, Quantity: 1, Milk: Whole Milk, Syrups: Cane Syrup, Sauces: None)
Coke Zero (Amount: 0.00 USD, Quantity: 1)
Total: 0.00 USD</t>
  </si>
  <si>
    <t>Wednesday, May 08, 2024 9:40 AM-9:45 AM</t>
  </si>
  <si>
    <t>Wednesday, May 08, 2024 10:30 AM-10:35 AM</t>
  </si>
  <si>
    <t>Small cup of warm coconut milk for my mushrooms coffee. Thanks</t>
  </si>
  <si>
    <t>Wednesday, May 08, 2024 9:45 AM-9:50 AM</t>
  </si>
  <si>
    <t>Wednesday, May 08, 2024 10:00 AM-10:05 AM</t>
  </si>
  <si>
    <t>Wednesday, May 08, 2024 10:45 AM-10:50 AM</t>
  </si>
  <si>
    <t>Thursday, May 09, 2024 9:05 AM-9:10 AM</t>
  </si>
  <si>
    <t>Chai Latte (Amount: 0.00 USD, Quantity: 1, Iced: No, Milk: Almond, Syrups: Vanilla, Sauces: White Chocolate, Dirty: No)
Ginger Ale (Amount: 0.00 USD, Quantity: 1)
Total: 0.00 USD</t>
  </si>
  <si>
    <t>2 pumps vanilla. Thanks!</t>
  </si>
  <si>
    <t>Thursday, May 09, 2024 9:10 AM-9:15 AM</t>
  </si>
  <si>
    <t>Matcha Latte (Amount: 0.00 USD, Quantity: 1, Iced: No, Milk: Soy, Syrups: SF Sweetener, Sauces: None)
Water (Amount: 0.00 USD, Quantity: 2)
Total: 0.00 USD</t>
  </si>
  <si>
    <t>Thursday, May 09, 2024 9:50 AM-9:55 AM</t>
  </si>
  <si>
    <t>Thursday, May 09, 2024 10:40 AM-10:45 AM</t>
  </si>
  <si>
    <t>Honey in flat &amp; cin cin in both. Thanks!</t>
  </si>
  <si>
    <t>Thursday, May 09, 2024 11:00 AM-11:05 AM</t>
  </si>
  <si>
    <t>Thursday, May 09, 2024 1:00 PM-1:05 PM</t>
  </si>
  <si>
    <t>Thursday, May 09, 2024 1:45 PM-1:50 PM</t>
  </si>
  <si>
    <t>Thursday, May 09, 2024 3:10 PM-3:15 PM</t>
  </si>
  <si>
    <t>Thursday, May 09, 2024 3:25 PM-3:30 PM</t>
  </si>
  <si>
    <t>Ginger Ale (Amount: 0.00 USD, Quantity: 1)
Total: 0.00 USD</t>
  </si>
  <si>
    <t>Friday, May 10, 2024 9:05 AM-9:10 AM</t>
  </si>
  <si>
    <t>Latte (Amount: 0.00 USD, Quantity: 1, Iced: No, Milk: Almond, Syrups: Vanilla, Sauces: None, Shots of Espresso: 2 [Standard], Pumps of Syrup/Sauce Total: 1)
Total: 0.00 USD</t>
  </si>
  <si>
    <t>Friday, May 10, 2024 10:05 AM-10:10 AM</t>
  </si>
  <si>
    <t>Love you!</t>
  </si>
  <si>
    <t>Friday, May 10, 2024 11:00 AM-11:05 AM</t>
  </si>
  <si>
    <t>Monday, May 13, 2024 9:30 AM-9:35 AM</t>
  </si>
  <si>
    <t>Monday, May 13, 2024 9:20 AM-9:25 AM</t>
  </si>
  <si>
    <t>Latte (Amount: 0.00 USD, Quantity: 3, Iced: No, Milk: Oat, Syrups: Hazelnut, Sauces: None, Shots of Espresso: 2 [Standard], Pumps of Syrup/Sauce Total: 1)
Water (Amount: 0.00 USD, Quantity: 1)
Total: 0.00 USD</t>
  </si>
  <si>
    <t>Monday, May 13, 2024 10:25 AM-10:30 AM</t>
  </si>
  <si>
    <t>Triple vanilla honey oat milk latte</t>
  </si>
  <si>
    <t>Tuesday, May 14, 2024 9:10 AM-9:15 AM</t>
  </si>
  <si>
    <t>Tuesday, May 14, 2024 9:15 AM-9:20 AM</t>
  </si>
  <si>
    <t>Please add a Mango Chamoy Lemonade</t>
  </si>
  <si>
    <t>Chai Latte (Amount: 0.00 USD, Quantity: 1, Iced: No, Milk: Oat, Syrups: Vanilla, Sauces: White Chocolate, Dirty: No)
Total: 0.00 USD</t>
  </si>
  <si>
    <t>Tuesday, May 14, 2024 9:25 AM-9:30 AM</t>
  </si>
  <si>
    <t>Latte (Amount: 0.00 USD, Quantity: 1, Iced: No, Milk: Oat, Syrups: None, Sauces: None, Shots of Espresso: 2 [Standard], Pumps of Syrup/Sauce Total: 1)
Americano (Amount: 0.00 USD, Quantity: 1)
Total: 0.00 USD</t>
  </si>
  <si>
    <t>Tuesday, May 14, 2024 9:35 AM-9:40 AM</t>
  </si>
  <si>
    <t>Latte (Amount: 0.00 USD, Quantity: 1, Iced: No, Milk: Soy, Syrups: Vanilla, Sauces: None, Shots of Espresso: 3, Pumps of Syrup/Sauce Total: 4 [Standard])
Total: 0.00 USD</t>
  </si>
  <si>
    <t>Triple vanilla honey soy latte</t>
  </si>
  <si>
    <t>Tuesday, May 14, 2024 9:50 AM-9:55 AM</t>
  </si>
  <si>
    <t>Latte (Amount: 0.00 USD, Quantity: 1, Iced: No, Milk: Oat, Syrups: SF Caramel, Sauces: Caramel, Shots of Espresso: 2 [Standard], Pumps of Syrup/Sauce Total: 4 [Standard])
Red Bull [Sugar Free] (Amount: 0.00 USD, Quantity: 1)
Total: 0.00 USD</t>
  </si>
  <si>
    <t>Tuesday, May 14, 2024 9:55 AM-10:00 AM</t>
  </si>
  <si>
    <t>Tuesday, May 14, 2024 10:45 AM-10:50 AM</t>
  </si>
  <si>
    <t>Matcha Latte (Amount: 0.00 USD, Quantity: 1, Iced: No, Milk: Heavy Cream, Syrups: None, Sauces: None)
Total: 0.00 USD</t>
  </si>
  <si>
    <t>Tuesday, May 14, 2024 10:40 AM-10:45 AM</t>
  </si>
  <si>
    <t>Tuesday, May 14, 2024 1:00 PM-1:05 PM</t>
  </si>
  <si>
    <t>Chai Latte (Amount: 0.00 USD, Quantity: 1, Iced: No, Milk: Oat, Syrups: Vanilla, Sauces: White Chocolate, Dirty: No)
Ginger Ale (Amount: 0.00 USD, Quantity: 1)
Total: 0.00 USD</t>
  </si>
  <si>
    <t>Tuesday, May 14, 2024 3:35 PM-3:40 PM</t>
  </si>
  <si>
    <t>Latte (Amount: 0.00 USD, Quantity: 1, Iced: No, Milk: Whole Milk, Syrups: None, Sauces: Dark Chocolate, Shots of Espresso: 3, Pumps of Syrup/Sauce Total: 4 [Standard])
Total: 0.00 USD</t>
  </si>
  <si>
    <t>Wednesday, May 15, 2024 9:10 AM-9:15 AM</t>
  </si>
  <si>
    <t>Wednesday, May 15, 2024 9:25 AM-9:30 AM</t>
  </si>
  <si>
    <t>Wednesday, May 15, 2024 9:30 AM-9:35 AM</t>
  </si>
  <si>
    <t>Chai Latte (Amount: 0.00 USD, Quantity: 1, Iced: No, Milk: Soy, Syrups: None, Sauces: None, Dirty: No)
Total: 0.00 USD</t>
  </si>
  <si>
    <t>Matcha Latte (Amount: 0.00 USD, Quantity: 1, Iced: No, Milk: Whole Milk, Syrups: None, Sauces: None)
Total: 0.00 USD</t>
  </si>
  <si>
    <t>Triple vanilla honey oat milk latte. Thank you!</t>
  </si>
  <si>
    <t>Wednesday, May 15, 2024 9:40 AM-9:45 AM</t>
  </si>
  <si>
    <t>Latte (Amount: 0.00 USD, Quantity: 1, Iced: No, Milk: Coconut, Syrups: None, Sauces: None, Shots of Espresso: 2 [Standard], Pumps of Syrup/Sauce Total: 1)
Iced Shaken Espresso (Amount: 0.00 USD, Quantity: 1, Milk: Oat, Syrups: Vanilla, Sauces: None)
Total: 0.00 USD</t>
  </si>
  <si>
    <t>Wednesday, May 15, 2024 9:45 AM-9:50 AM</t>
  </si>
  <si>
    <t>Matcha Latte (Amount: 0.00 USD, Quantity: 1, Iced: No, Milk: 2% Milk, Syrups: None, Sauces: None)
Total: 0.00 USD</t>
  </si>
  <si>
    <t>Wednesday, May 15, 2024 10:05 AM-10:10 AM</t>
  </si>
  <si>
    <t>Wednesday, May 15, 2024 10:10 AM-10:15 AM</t>
  </si>
  <si>
    <t>No syrup</t>
  </si>
  <si>
    <t>Wednesday, May 15, 2024 10:25 AM-10:30 AM</t>
  </si>
  <si>
    <t>Wednesday, May 15, 2024 11:00 AM-11:05 AM</t>
  </si>
  <si>
    <t>Wednesday, May 15, 2024 11:45 AM-11:50 AM</t>
  </si>
  <si>
    <t>the unsweetened matcha, with honey please!!-️</t>
  </si>
  <si>
    <t>Wednesday, May 15, 2024 1:05 PM-1:10 PM</t>
  </si>
  <si>
    <t>Thursday, May 16, 2024 9:40 AM-9:45 AM</t>
  </si>
  <si>
    <t>Thursday, May 16, 2024 10:50 AM-10:55 AM</t>
  </si>
  <si>
    <t>Please use a ceramic cup of possible! Thank you ?</t>
  </si>
  <si>
    <t>Thursday, May 16, 2024 10:45 AM-10:50 AM</t>
  </si>
  <si>
    <t>Matcha Latte (Amount: 0.00 USD, Quantity: 1, Iced: No, Milk: Oat, Syrups: SF Vanilla, Sauces: None)
Total: 0.00 USD</t>
  </si>
  <si>
    <t>unsweetened matcha + one pump of the SF vanilla — thank you!! -️</t>
  </si>
  <si>
    <t>Thursday, May 16, 2024 1:05 PM-1:10 PM</t>
  </si>
  <si>
    <t>Water (Amount: 0.00 USD, Quantity: 3)
Diet Coke (Amount: 0.00 USD, Quantity: 2)
Total: 0.00 USD</t>
  </si>
  <si>
    <t>Thursday, May 16, 2024 3:40 PM-3:45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</si>
</sst>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50"/>
  <sheetViews>
    <sheetView tabSelected="1" workbookViewId="0">
      <pane ySplit="1" topLeftCell="A123" activePane="bottomLeft" state="frozen"/>
      <selection pane="bottomLeft" activeCell="D13" sqref="D13"/>
    </sheetView>
  </sheetViews>
  <sheetFormatPr defaultColWidth="12.6328125" defaultRowHeight="15.75" customHeight="1" x14ac:dyDescent="0.25"/>
  <cols>
    <col min="1" max="1" width="16.453125" customWidth="1"/>
    <col min="2" max="2" width="26.90625" customWidth="1"/>
    <col min="3" max="3" width="33.90625" customWidth="1"/>
    <col min="4" max="4" width="84.6328125" customWidth="1"/>
    <col min="5" max="5" width="45.7265625" customWidth="1"/>
    <col min="6" max="6" width="12.453125" hidden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/>
      <c r="B2" s="2"/>
      <c r="C2" s="2" t="s">
        <v>6</v>
      </c>
      <c r="D2" s="2" t="s">
        <v>7</v>
      </c>
      <c r="F2" s="2" t="str">
        <f>TEXT("5813249086186126509","0")</f>
        <v>5813249086186120000</v>
      </c>
    </row>
    <row r="3" spans="1:6" ht="15.75" customHeight="1" x14ac:dyDescent="0.25">
      <c r="A3" s="2"/>
      <c r="C3" s="2" t="s">
        <v>8</v>
      </c>
      <c r="D3" s="2" t="s">
        <v>9</v>
      </c>
      <c r="E3" s="2" t="s">
        <v>10</v>
      </c>
      <c r="F3" s="2" t="str">
        <f>TEXT("5813256974513261851","0")</f>
        <v>5813256974513260000</v>
      </c>
    </row>
    <row r="4" spans="1:6" ht="15.75" customHeight="1" x14ac:dyDescent="0.25">
      <c r="A4" s="2"/>
      <c r="C4" s="2" t="s">
        <v>11</v>
      </c>
      <c r="D4" s="2" t="s">
        <v>12</v>
      </c>
      <c r="F4" s="2" t="str">
        <f>TEXT("5813267614519988973","0")</f>
        <v>5813267614519980000</v>
      </c>
    </row>
    <row r="5" spans="1:6" ht="15.75" customHeight="1" x14ac:dyDescent="0.25">
      <c r="A5" s="2"/>
      <c r="B5" s="2"/>
      <c r="C5" s="2" t="s">
        <v>13</v>
      </c>
      <c r="D5" s="2" t="s">
        <v>14</v>
      </c>
      <c r="F5" s="2" t="str">
        <f>TEXT("5814023154516858970","0")</f>
        <v>5814023154516850000</v>
      </c>
    </row>
    <row r="6" spans="1:6" ht="15.75" customHeight="1" x14ac:dyDescent="0.25">
      <c r="A6" s="2"/>
      <c r="B6" s="2"/>
      <c r="C6" s="2" t="s">
        <v>15</v>
      </c>
      <c r="D6" s="2" t="s">
        <v>16</v>
      </c>
      <c r="E6" s="2" t="s">
        <v>17</v>
      </c>
      <c r="F6" s="2" t="str">
        <f>TEXT("5814028639032767243","0")</f>
        <v>5814028639032760000</v>
      </c>
    </row>
    <row r="7" spans="1:6" ht="15.75" customHeight="1" x14ac:dyDescent="0.25">
      <c r="A7" s="2"/>
      <c r="B7" s="2"/>
      <c r="C7" s="2" t="s">
        <v>15</v>
      </c>
      <c r="D7" s="2" t="s">
        <v>18</v>
      </c>
      <c r="F7" s="2" t="str">
        <f>TEXT("5814034324514957934","0")</f>
        <v>5814034324514950000</v>
      </c>
    </row>
    <row r="8" spans="1:6" ht="15.75" customHeight="1" x14ac:dyDescent="0.25">
      <c r="A8" s="2"/>
      <c r="B8" s="2"/>
      <c r="C8" s="2" t="s">
        <v>19</v>
      </c>
      <c r="D8" s="2" t="s">
        <v>20</v>
      </c>
      <c r="F8" s="2" t="str">
        <f>TEXT("5814040934511073326","0")</f>
        <v>5814040934511070000</v>
      </c>
    </row>
    <row r="9" spans="1:6" ht="15.75" customHeight="1" x14ac:dyDescent="0.25">
      <c r="A9" s="2"/>
      <c r="B9" s="2"/>
      <c r="C9" s="2" t="s">
        <v>19</v>
      </c>
      <c r="D9" s="2" t="s">
        <v>21</v>
      </c>
      <c r="F9" s="2" t="str">
        <f>TEXT("5814041934517957383","0")</f>
        <v>5814041934517950000</v>
      </c>
    </row>
    <row r="10" spans="1:6" ht="15.75" customHeight="1" x14ac:dyDescent="0.25">
      <c r="A10" s="2"/>
      <c r="B10" s="2"/>
      <c r="C10" s="2" t="s">
        <v>22</v>
      </c>
      <c r="D10" s="2" t="s">
        <v>23</v>
      </c>
      <c r="E10" s="2" t="s">
        <v>24</v>
      </c>
      <c r="F10" s="2" t="str">
        <f>TEXT("5814051222414796092","0")</f>
        <v>5814051222414790000</v>
      </c>
    </row>
    <row r="11" spans="1:6" ht="15.75" customHeight="1" x14ac:dyDescent="0.25">
      <c r="A11" s="2"/>
      <c r="B11" s="2"/>
      <c r="C11" s="2" t="s">
        <v>25</v>
      </c>
      <c r="D11" s="2" t="s">
        <v>26</v>
      </c>
      <c r="F11" s="2" t="str">
        <f>TEXT("5814149694516580235","0")</f>
        <v>5814149694516580000</v>
      </c>
    </row>
    <row r="12" spans="1:6" ht="15.75" customHeight="1" x14ac:dyDescent="0.25">
      <c r="A12" s="2"/>
      <c r="B12" s="2"/>
      <c r="C12" s="2" t="s">
        <v>27</v>
      </c>
      <c r="D12" s="2" t="s">
        <v>28</v>
      </c>
      <c r="F12" s="2" t="str">
        <f>TEXT("5814183014516372682","0")</f>
        <v>5814183014516370000</v>
      </c>
    </row>
    <row r="13" spans="1:6" ht="15.75" customHeight="1" x14ac:dyDescent="0.25">
      <c r="A13" s="2"/>
      <c r="B13" s="2"/>
      <c r="C13" s="2" t="s">
        <v>29</v>
      </c>
      <c r="D13" s="2" t="s">
        <v>30</v>
      </c>
      <c r="E13" s="2" t="s">
        <v>31</v>
      </c>
      <c r="F13" s="2" t="str">
        <f>TEXT("5814210664519383309","0")</f>
        <v>5814210664519380000</v>
      </c>
    </row>
    <row r="14" spans="1:6" ht="15.75" customHeight="1" x14ac:dyDescent="0.25">
      <c r="A14" s="2"/>
      <c r="C14" s="2" t="s">
        <v>32</v>
      </c>
      <c r="D14" s="2" t="s">
        <v>33</v>
      </c>
      <c r="F14" s="2" t="str">
        <f>TEXT("5817510436935345382","0")</f>
        <v>5817510436935340000</v>
      </c>
    </row>
    <row r="15" spans="1:6" ht="15.75" customHeight="1" x14ac:dyDescent="0.25">
      <c r="A15" s="2"/>
      <c r="B15" s="2"/>
      <c r="C15" s="2" t="s">
        <v>34</v>
      </c>
      <c r="D15" s="2" t="s">
        <v>35</v>
      </c>
      <c r="F15" s="2" t="str">
        <f>TEXT("5817674844516513331","0")</f>
        <v>5817674844516510000</v>
      </c>
    </row>
    <row r="16" spans="1:6" ht="15.75" customHeight="1" x14ac:dyDescent="0.25">
      <c r="A16" s="2"/>
      <c r="B16" s="2"/>
      <c r="C16" s="2" t="s">
        <v>36</v>
      </c>
      <c r="D16" s="2" t="s">
        <v>37</v>
      </c>
      <c r="F16" s="2" t="str">
        <f>TEXT("5818320296224630910","0")</f>
        <v>5818320296224630000</v>
      </c>
    </row>
    <row r="17" spans="1:6" ht="15.75" customHeight="1" x14ac:dyDescent="0.25">
      <c r="A17" s="2"/>
      <c r="B17" s="2"/>
      <c r="C17" s="2" t="s">
        <v>38</v>
      </c>
      <c r="D17" s="2" t="s">
        <v>39</v>
      </c>
      <c r="F17" s="2" t="str">
        <f>TEXT("5818340954511640687","0")</f>
        <v>5818340954511640000</v>
      </c>
    </row>
    <row r="18" spans="1:6" ht="15.75" customHeight="1" x14ac:dyDescent="0.25">
      <c r="A18" s="2"/>
      <c r="B18" s="2"/>
      <c r="C18" s="2" t="s">
        <v>40</v>
      </c>
      <c r="D18" s="2" t="s">
        <v>41</v>
      </c>
      <c r="E18" s="2" t="s">
        <v>42</v>
      </c>
      <c r="F18" s="2" t="str">
        <f>TEXT("5818342538118372696","0")</f>
        <v>5818342538118370000</v>
      </c>
    </row>
    <row r="19" spans="1:6" ht="15.75" customHeight="1" x14ac:dyDescent="0.25">
      <c r="A19" s="2"/>
      <c r="B19" s="2"/>
      <c r="C19" s="2" t="s">
        <v>43</v>
      </c>
      <c r="D19" s="2" t="s">
        <v>44</v>
      </c>
      <c r="E19" s="2" t="s">
        <v>45</v>
      </c>
      <c r="F19" s="2" t="str">
        <f>TEXT("5818369474511786355","0")</f>
        <v>5818369474511780000</v>
      </c>
    </row>
    <row r="20" spans="1:6" ht="15.75" customHeight="1" x14ac:dyDescent="0.25">
      <c r="A20" s="2"/>
      <c r="B20" s="2"/>
      <c r="C20" s="2" t="s">
        <v>46</v>
      </c>
      <c r="D20" s="2" t="s">
        <v>47</v>
      </c>
      <c r="F20" s="2" t="str">
        <f>TEXT("5818385712613811514","0")</f>
        <v>5818385712613810000</v>
      </c>
    </row>
    <row r="21" spans="1:6" ht="15.75" customHeight="1" x14ac:dyDescent="0.25">
      <c r="A21" s="2"/>
      <c r="B21" s="2"/>
      <c r="C21" s="2" t="s">
        <v>48</v>
      </c>
      <c r="D21" s="2" t="s">
        <v>49</v>
      </c>
      <c r="F21" s="2" t="str">
        <f>TEXT("5818519034514574492","0")</f>
        <v>5818519034514570000</v>
      </c>
    </row>
    <row r="22" spans="1:6" ht="12.5" x14ac:dyDescent="0.25">
      <c r="A22" s="2"/>
      <c r="C22" s="2" t="s">
        <v>50</v>
      </c>
      <c r="D22" s="2" t="s">
        <v>9</v>
      </c>
      <c r="E22" s="2" t="s">
        <v>51</v>
      </c>
      <c r="F22" s="2" t="str">
        <f>TEXT("5818539404518293265","0")</f>
        <v>5818539404518290000</v>
      </c>
    </row>
    <row r="23" spans="1:6" ht="12.5" x14ac:dyDescent="0.25">
      <c r="A23" s="2"/>
      <c r="C23" s="2" t="s">
        <v>52</v>
      </c>
      <c r="D23" s="2" t="s">
        <v>53</v>
      </c>
      <c r="E23" s="2" t="s">
        <v>54</v>
      </c>
      <c r="F23" s="2" t="str">
        <f>TEXT("5819196304486015638","0")</f>
        <v>5819196304486010000</v>
      </c>
    </row>
    <row r="24" spans="1:6" ht="12.5" x14ac:dyDescent="0.25">
      <c r="A24" s="2"/>
      <c r="B24" s="2"/>
      <c r="C24" s="2" t="s">
        <v>52</v>
      </c>
      <c r="D24" s="2" t="s">
        <v>55</v>
      </c>
      <c r="E24" s="2" t="s">
        <v>56</v>
      </c>
      <c r="F24" s="2" t="str">
        <f>TEXT("5819200384511393363","0")</f>
        <v>5819200384511390000</v>
      </c>
    </row>
    <row r="25" spans="1:6" ht="12.5" x14ac:dyDescent="0.25">
      <c r="A25" s="2"/>
      <c r="B25" s="2"/>
      <c r="C25" s="2" t="s">
        <v>57</v>
      </c>
      <c r="D25" s="2" t="s">
        <v>58</v>
      </c>
      <c r="E25" s="2" t="s">
        <v>59</v>
      </c>
      <c r="F25" s="2" t="str">
        <f>TEXT("5819224594304725121","0")</f>
        <v>5819224594304720000</v>
      </c>
    </row>
    <row r="26" spans="1:6" ht="12.5" x14ac:dyDescent="0.25">
      <c r="A26" s="2"/>
      <c r="B26" s="2"/>
      <c r="C26" s="2" t="s">
        <v>60</v>
      </c>
      <c r="D26" s="2" t="s">
        <v>61</v>
      </c>
      <c r="F26" s="2" t="str">
        <f>TEXT("5819410904515597608","0")</f>
        <v>5819410904515590000</v>
      </c>
    </row>
    <row r="27" spans="1:6" ht="12.5" x14ac:dyDescent="0.25">
      <c r="A27" s="2"/>
      <c r="B27" s="2"/>
      <c r="C27" s="2" t="s">
        <v>62</v>
      </c>
      <c r="D27" s="2" t="s">
        <v>63</v>
      </c>
      <c r="E27" s="2" t="s">
        <v>64</v>
      </c>
      <c r="F27" s="2" t="str">
        <f>TEXT("5820054274516932611","0")</f>
        <v>5820054274516930000</v>
      </c>
    </row>
    <row r="28" spans="1:6" ht="12.5" x14ac:dyDescent="0.25">
      <c r="A28" s="2"/>
      <c r="B28" s="2"/>
      <c r="C28" s="2" t="s">
        <v>65</v>
      </c>
      <c r="D28" s="2" t="s">
        <v>66</v>
      </c>
      <c r="E28" s="2" t="s">
        <v>67</v>
      </c>
      <c r="F28" s="2" t="str">
        <f>TEXT("5820055177195019462","0")</f>
        <v>5820055177195010000</v>
      </c>
    </row>
    <row r="29" spans="1:6" ht="12.5" x14ac:dyDescent="0.25">
      <c r="A29" s="2"/>
      <c r="B29" s="2"/>
      <c r="C29" s="2" t="s">
        <v>68</v>
      </c>
      <c r="D29" s="2" t="s">
        <v>69</v>
      </c>
      <c r="F29" s="2" t="str">
        <f>TEXT("5820121111976145501","0")</f>
        <v>5820121111976140000</v>
      </c>
    </row>
    <row r="30" spans="1:6" ht="12.5" x14ac:dyDescent="0.25">
      <c r="A30" s="2"/>
      <c r="B30" s="2"/>
      <c r="C30" s="2" t="s">
        <v>70</v>
      </c>
      <c r="D30" s="2" t="s">
        <v>71</v>
      </c>
      <c r="F30" s="2" t="str">
        <f>TEXT("5824560974511485057","0")</f>
        <v>5824560974511480000</v>
      </c>
    </row>
    <row r="31" spans="1:6" ht="12.5" x14ac:dyDescent="0.25">
      <c r="A31" s="2"/>
      <c r="B31" s="2"/>
      <c r="C31" s="2" t="s">
        <v>72</v>
      </c>
      <c r="D31" s="2" t="s">
        <v>73</v>
      </c>
      <c r="E31" s="2" t="s">
        <v>74</v>
      </c>
      <c r="F31" s="2" t="str">
        <f>TEXT("5825267874514973906","0")</f>
        <v>5825267874514970000</v>
      </c>
    </row>
    <row r="32" spans="1:6" ht="12.5" x14ac:dyDescent="0.25">
      <c r="A32" s="2"/>
      <c r="B32" s="2"/>
      <c r="C32" s="2" t="s">
        <v>75</v>
      </c>
      <c r="D32" s="2" t="s">
        <v>66</v>
      </c>
      <c r="E32" s="2" t="s">
        <v>76</v>
      </c>
      <c r="F32" s="2" t="str">
        <f>TEXT("5825271437343880768","0")</f>
        <v>5825271437343880000</v>
      </c>
    </row>
    <row r="33" spans="1:6" ht="12.5" x14ac:dyDescent="0.25">
      <c r="A33" s="2"/>
      <c r="B33" s="2"/>
      <c r="C33" s="2" t="s">
        <v>77</v>
      </c>
      <c r="D33" s="2" t="s">
        <v>78</v>
      </c>
      <c r="F33" s="2" t="str">
        <f>TEXT("5825439877494700280","0")</f>
        <v>5825439877494700000</v>
      </c>
    </row>
    <row r="34" spans="1:6" ht="12.5" x14ac:dyDescent="0.25">
      <c r="A34" s="2"/>
      <c r="B34" s="2"/>
      <c r="C34" s="2" t="s">
        <v>77</v>
      </c>
      <c r="D34" s="2" t="s">
        <v>79</v>
      </c>
      <c r="E34" s="2" t="s">
        <v>80</v>
      </c>
      <c r="F34" s="2" t="str">
        <f>TEXT("5825441124514541673","0")</f>
        <v>5825441124514540000</v>
      </c>
    </row>
    <row r="35" spans="1:6" ht="12.5" x14ac:dyDescent="0.25">
      <c r="A35" s="2"/>
      <c r="B35" s="2"/>
      <c r="C35" s="2" t="s">
        <v>81</v>
      </c>
      <c r="D35" s="2" t="s">
        <v>37</v>
      </c>
      <c r="E35" s="2" t="s">
        <v>82</v>
      </c>
      <c r="F35" s="2" t="str">
        <f>TEXT("5825473054514734503","0")</f>
        <v>5825473054514730000</v>
      </c>
    </row>
    <row r="36" spans="1:6" ht="12.5" x14ac:dyDescent="0.25">
      <c r="A36" s="2"/>
      <c r="C36" s="2" t="s">
        <v>81</v>
      </c>
      <c r="D36" s="2" t="s">
        <v>83</v>
      </c>
      <c r="E36" s="2" t="s">
        <v>84</v>
      </c>
      <c r="F36" s="2" t="str">
        <f>TEXT("5825473285501021647","0")</f>
        <v>5825473285501020000</v>
      </c>
    </row>
    <row r="37" spans="1:6" ht="12.5" x14ac:dyDescent="0.25">
      <c r="A37" s="2"/>
      <c r="C37" s="2" t="s">
        <v>85</v>
      </c>
      <c r="D37" s="2" t="s">
        <v>86</v>
      </c>
      <c r="E37" s="2" t="s">
        <v>87</v>
      </c>
      <c r="F37" s="2" t="str">
        <f>TEXT("5826086425133437829","0")</f>
        <v>5826086425133430000</v>
      </c>
    </row>
    <row r="38" spans="1:6" ht="12.5" x14ac:dyDescent="0.25">
      <c r="A38" s="2"/>
      <c r="B38" s="2"/>
      <c r="C38" s="2" t="s">
        <v>88</v>
      </c>
      <c r="D38" s="2" t="s">
        <v>89</v>
      </c>
      <c r="E38" s="2" t="s">
        <v>90</v>
      </c>
      <c r="F38" s="2" t="str">
        <f>TEXT("5826094789418543589","0")</f>
        <v>5826094789418540000</v>
      </c>
    </row>
    <row r="39" spans="1:6" ht="12.5" x14ac:dyDescent="0.25">
      <c r="A39" s="2"/>
      <c r="B39" s="2"/>
      <c r="C39" s="2" t="s">
        <v>85</v>
      </c>
      <c r="D39" s="2" t="s">
        <v>91</v>
      </c>
      <c r="E39" s="2" t="s">
        <v>92</v>
      </c>
      <c r="F39" s="2" t="str">
        <f>TEXT("5826095112955293987","0")</f>
        <v>5826095112955290000</v>
      </c>
    </row>
    <row r="40" spans="1:6" ht="12.5" x14ac:dyDescent="0.25">
      <c r="A40" s="2"/>
      <c r="C40" s="2" t="s">
        <v>88</v>
      </c>
      <c r="D40" s="2" t="s">
        <v>93</v>
      </c>
      <c r="E40" s="2" t="s">
        <v>94</v>
      </c>
      <c r="F40" s="2" t="str">
        <f>TEXT("5826095474513474974","0")</f>
        <v>5826095474513470000</v>
      </c>
    </row>
    <row r="41" spans="1:6" ht="12.5" x14ac:dyDescent="0.25">
      <c r="A41" s="2"/>
      <c r="C41" s="2" t="s">
        <v>88</v>
      </c>
      <c r="D41" s="2" t="s">
        <v>95</v>
      </c>
      <c r="F41" s="2" t="str">
        <f>TEXT("5826096214519940503","0")</f>
        <v>5826096214519940000</v>
      </c>
    </row>
    <row r="42" spans="1:6" ht="12.5" x14ac:dyDescent="0.25">
      <c r="A42" s="2"/>
      <c r="B42" s="2"/>
      <c r="C42" s="2" t="s">
        <v>96</v>
      </c>
      <c r="D42" s="2" t="s">
        <v>97</v>
      </c>
      <c r="F42" s="2" t="str">
        <f>TEXT("5826101064511670149","0")</f>
        <v>5826101064511670000</v>
      </c>
    </row>
    <row r="43" spans="1:6" ht="12.5" x14ac:dyDescent="0.25">
      <c r="A43" s="2"/>
      <c r="B43" s="2"/>
      <c r="C43" s="2" t="s">
        <v>98</v>
      </c>
      <c r="D43" s="2" t="s">
        <v>99</v>
      </c>
      <c r="E43" s="2" t="s">
        <v>17</v>
      </c>
      <c r="F43" s="2" t="str">
        <f>TEXT("5826107090837038260","0")</f>
        <v>5826107090837030000</v>
      </c>
    </row>
    <row r="44" spans="1:6" ht="12.5" x14ac:dyDescent="0.25">
      <c r="A44" s="2"/>
      <c r="B44" s="2"/>
      <c r="C44" s="2" t="s">
        <v>100</v>
      </c>
      <c r="D44" s="2" t="s">
        <v>101</v>
      </c>
      <c r="F44" s="2" t="str">
        <f>TEXT("5826114885545889112","0")</f>
        <v>5826114885545880000</v>
      </c>
    </row>
    <row r="45" spans="1:6" ht="12.5" x14ac:dyDescent="0.25">
      <c r="A45" s="2"/>
      <c r="B45" s="2"/>
      <c r="C45" s="2" t="s">
        <v>102</v>
      </c>
      <c r="D45" s="2" t="s">
        <v>103</v>
      </c>
      <c r="F45" s="2" t="str">
        <f>TEXT("5826119164512824903","0")</f>
        <v>5826119164512820000</v>
      </c>
    </row>
    <row r="46" spans="1:6" ht="12.5" x14ac:dyDescent="0.25">
      <c r="A46" s="2"/>
      <c r="B46" s="2"/>
      <c r="C46" s="2" t="s">
        <v>104</v>
      </c>
      <c r="D46" s="2" t="s">
        <v>105</v>
      </c>
      <c r="E46" s="2" t="s">
        <v>106</v>
      </c>
      <c r="F46" s="2" t="str">
        <f>TEXT("5826123133809768492","0")</f>
        <v>5826123133809760000</v>
      </c>
    </row>
    <row r="47" spans="1:6" ht="12.5" x14ac:dyDescent="0.25">
      <c r="A47" s="2"/>
      <c r="C47" s="2" t="s">
        <v>107</v>
      </c>
      <c r="D47" s="2" t="s">
        <v>86</v>
      </c>
      <c r="E47" s="2" t="s">
        <v>87</v>
      </c>
      <c r="F47" s="2" t="str">
        <f>TEXT("5826134415132642610","0")</f>
        <v>5826134415132640000</v>
      </c>
    </row>
    <row r="48" spans="1:6" ht="12.5" x14ac:dyDescent="0.25">
      <c r="A48" s="2"/>
      <c r="B48" s="2"/>
      <c r="C48" s="2" t="s">
        <v>108</v>
      </c>
      <c r="D48" s="2" t="s">
        <v>109</v>
      </c>
      <c r="F48" s="2" t="str">
        <f>TEXT("5826138674518791416","0")</f>
        <v>5826138674518790000</v>
      </c>
    </row>
    <row r="49" spans="1:6" ht="12.5" x14ac:dyDescent="0.25">
      <c r="A49" s="2"/>
      <c r="B49" s="2"/>
      <c r="C49" s="2" t="s">
        <v>110</v>
      </c>
      <c r="D49" s="2" t="s">
        <v>58</v>
      </c>
      <c r="F49" s="2" t="str">
        <f>TEXT("5826145384515981394","0")</f>
        <v>5826145384515980000</v>
      </c>
    </row>
    <row r="50" spans="1:6" ht="12.5" x14ac:dyDescent="0.25">
      <c r="A50" s="2"/>
      <c r="B50" s="2"/>
      <c r="C50" s="2" t="s">
        <v>111</v>
      </c>
      <c r="D50" s="2" t="s">
        <v>71</v>
      </c>
      <c r="F50" s="2" t="str">
        <f>TEXT("5826209794519698654","0")</f>
        <v>5826209794519690000</v>
      </c>
    </row>
    <row r="51" spans="1:6" ht="12.5" x14ac:dyDescent="0.25">
      <c r="A51" s="2"/>
      <c r="B51" s="2"/>
      <c r="C51" s="2" t="s">
        <v>112</v>
      </c>
      <c r="D51" s="2" t="s">
        <v>113</v>
      </c>
      <c r="F51" s="2" t="str">
        <f>TEXT("5826214754516784183","0")</f>
        <v>5826214754516780000</v>
      </c>
    </row>
    <row r="52" spans="1:6" ht="12.5" x14ac:dyDescent="0.25">
      <c r="A52" s="2"/>
      <c r="C52" s="2" t="s">
        <v>114</v>
      </c>
      <c r="D52" s="2" t="s">
        <v>115</v>
      </c>
      <c r="F52" s="2" t="str">
        <f>TEXT("5826246674517549911","0")</f>
        <v>5826246674517540000</v>
      </c>
    </row>
    <row r="53" spans="1:6" ht="12.5" x14ac:dyDescent="0.25">
      <c r="A53" s="2"/>
      <c r="B53" s="2"/>
      <c r="C53" s="2" t="s">
        <v>112</v>
      </c>
      <c r="D53" s="2" t="s">
        <v>116</v>
      </c>
      <c r="F53" s="2" t="str">
        <f>TEXT("5826248064519860325","0")</f>
        <v>5826248064519860000</v>
      </c>
    </row>
    <row r="54" spans="1:6" ht="12.5" x14ac:dyDescent="0.25">
      <c r="A54" s="2"/>
      <c r="C54" s="2" t="s">
        <v>117</v>
      </c>
      <c r="D54" s="2" t="s">
        <v>118</v>
      </c>
      <c r="F54" s="2" t="str">
        <f>TEXT("5826278274512635427","0")</f>
        <v>5826278274512630000</v>
      </c>
    </row>
    <row r="55" spans="1:6" ht="12.5" x14ac:dyDescent="0.25">
      <c r="A55" s="2"/>
      <c r="C55" s="2" t="s">
        <v>119</v>
      </c>
      <c r="D55" s="2" t="s">
        <v>103</v>
      </c>
      <c r="E55" s="2" t="s">
        <v>120</v>
      </c>
      <c r="F55" s="2" t="str">
        <f>TEXT("5826279454516437649","0")</f>
        <v>5826279454516430000</v>
      </c>
    </row>
    <row r="56" spans="1:6" ht="12.5" x14ac:dyDescent="0.25">
      <c r="A56" s="2"/>
      <c r="B56" s="2"/>
      <c r="C56" s="2" t="s">
        <v>121</v>
      </c>
      <c r="D56" s="2" t="s">
        <v>122</v>
      </c>
      <c r="F56" s="2" t="str">
        <f>TEXT("5826295594517775024","0")</f>
        <v>5826295594517770000</v>
      </c>
    </row>
    <row r="57" spans="1:6" ht="12.5" x14ac:dyDescent="0.25">
      <c r="A57" s="2"/>
      <c r="B57" s="2"/>
      <c r="C57" s="2" t="s">
        <v>123</v>
      </c>
      <c r="D57" s="2" t="s">
        <v>124</v>
      </c>
      <c r="F57" s="2" t="str">
        <f>TEXT("5826309984517329961","0")</f>
        <v>5826309984517320000</v>
      </c>
    </row>
    <row r="58" spans="1:6" ht="12.5" x14ac:dyDescent="0.25">
      <c r="A58" s="2"/>
      <c r="C58" s="2" t="s">
        <v>125</v>
      </c>
      <c r="D58" s="2" t="s">
        <v>126</v>
      </c>
      <c r="F58" s="2" t="str">
        <f>TEXT("5826337394514842926","0")</f>
        <v>5826337394514840000</v>
      </c>
    </row>
    <row r="59" spans="1:6" ht="12.5" x14ac:dyDescent="0.25">
      <c r="A59" s="2"/>
      <c r="C59" s="2" t="s">
        <v>127</v>
      </c>
      <c r="D59" s="2" t="s">
        <v>128</v>
      </c>
      <c r="F59" s="2" t="str">
        <f>TEXT("5826984834518321326","0")</f>
        <v>5826984834518320000</v>
      </c>
    </row>
    <row r="60" spans="1:6" ht="12.5" x14ac:dyDescent="0.25">
      <c r="A60" s="2"/>
      <c r="B60" s="2"/>
      <c r="C60" s="2" t="s">
        <v>129</v>
      </c>
      <c r="D60" s="2" t="s">
        <v>130</v>
      </c>
      <c r="F60" s="2" t="str">
        <f>TEXT("5827125702133175727","0")</f>
        <v>5827125702133170000</v>
      </c>
    </row>
    <row r="61" spans="1:6" ht="12.5" x14ac:dyDescent="0.25">
      <c r="A61" s="2"/>
      <c r="C61" s="2" t="s">
        <v>131</v>
      </c>
      <c r="D61" s="2" t="s">
        <v>132</v>
      </c>
      <c r="F61" s="2" t="str">
        <f>TEXT("5829537114514900028","0")</f>
        <v>5829537114514900000</v>
      </c>
    </row>
    <row r="62" spans="1:6" ht="12.5" x14ac:dyDescent="0.25">
      <c r="A62" s="2"/>
      <c r="B62" s="2"/>
      <c r="C62" s="2" t="s">
        <v>133</v>
      </c>
      <c r="D62" s="2" t="s">
        <v>134</v>
      </c>
      <c r="F62" s="2" t="str">
        <f>TEXT("5829550645916439864","0")</f>
        <v>5829550645916430000</v>
      </c>
    </row>
    <row r="63" spans="1:6" ht="12.5" x14ac:dyDescent="0.25">
      <c r="A63" s="2"/>
      <c r="C63" s="2" t="s">
        <v>135</v>
      </c>
      <c r="D63" s="2" t="s">
        <v>103</v>
      </c>
      <c r="E63" s="2" t="s">
        <v>136</v>
      </c>
      <c r="F63" s="2" t="str">
        <f>TEXT("5829601334516926099","0")</f>
        <v>5829601334516920000</v>
      </c>
    </row>
    <row r="64" spans="1:6" ht="12.5" x14ac:dyDescent="0.25">
      <c r="A64" s="2"/>
      <c r="C64" s="2" t="s">
        <v>137</v>
      </c>
      <c r="D64" s="2" t="s">
        <v>138</v>
      </c>
      <c r="F64" s="2" t="str">
        <f>TEXT("5829744534519266535","0")</f>
        <v>5829744534519260000</v>
      </c>
    </row>
    <row r="65" spans="1:6" ht="12.5" x14ac:dyDescent="0.25">
      <c r="A65" s="2"/>
      <c r="B65" s="2"/>
      <c r="C65" s="2" t="s">
        <v>139</v>
      </c>
      <c r="D65" s="2" t="s">
        <v>140</v>
      </c>
      <c r="F65" s="2" t="str">
        <f>TEXT("5829868376392924330","0")</f>
        <v>5829868376392920000</v>
      </c>
    </row>
    <row r="66" spans="1:6" ht="12.5" x14ac:dyDescent="0.25">
      <c r="A66" s="2"/>
      <c r="C66" s="2" t="s">
        <v>141</v>
      </c>
      <c r="D66" s="2" t="s">
        <v>132</v>
      </c>
      <c r="F66" s="2" t="str">
        <f>TEXT("5830387196866484149","0")</f>
        <v>5830387196866480000</v>
      </c>
    </row>
    <row r="67" spans="1:6" ht="12.5" x14ac:dyDescent="0.25">
      <c r="A67" s="2"/>
      <c r="B67" s="2"/>
      <c r="C67" s="2" t="s">
        <v>139</v>
      </c>
      <c r="D67" s="2" t="s">
        <v>142</v>
      </c>
      <c r="F67" s="2" t="str">
        <f>TEXT("5830398284516919614","0")</f>
        <v>5830398284516910000</v>
      </c>
    </row>
    <row r="68" spans="1:6" ht="12.5" x14ac:dyDescent="0.25">
      <c r="A68" s="2"/>
      <c r="C68" s="2" t="s">
        <v>143</v>
      </c>
      <c r="D68" s="2" t="s">
        <v>86</v>
      </c>
      <c r="E68" s="2" t="s">
        <v>144</v>
      </c>
      <c r="F68" s="2" t="str">
        <f>TEXT("5830398981699685143","0")</f>
        <v>5830398981699680000</v>
      </c>
    </row>
    <row r="69" spans="1:6" ht="12.5" x14ac:dyDescent="0.25">
      <c r="A69" s="2"/>
      <c r="C69" s="2" t="s">
        <v>145</v>
      </c>
      <c r="D69" s="2" t="s">
        <v>146</v>
      </c>
      <c r="F69" s="2" t="str">
        <f>TEXT("5830400881048960691","0")</f>
        <v>5830400881048960000</v>
      </c>
    </row>
    <row r="70" spans="1:6" ht="12.5" x14ac:dyDescent="0.25">
      <c r="A70" s="2"/>
      <c r="B70" s="2"/>
      <c r="C70" s="2" t="s">
        <v>147</v>
      </c>
      <c r="D70" s="2" t="s">
        <v>148</v>
      </c>
      <c r="E70" s="2" t="s">
        <v>149</v>
      </c>
      <c r="F70" s="2" t="str">
        <f>TEXT("5830408247886662729","0")</f>
        <v>5830408247886660000</v>
      </c>
    </row>
    <row r="71" spans="1:6" ht="12.5" x14ac:dyDescent="0.25">
      <c r="A71" s="2"/>
      <c r="B71" s="2"/>
      <c r="C71" s="2" t="s">
        <v>139</v>
      </c>
      <c r="D71" s="2" t="s">
        <v>83</v>
      </c>
      <c r="E71" s="2" t="s">
        <v>150</v>
      </c>
      <c r="F71" s="2" t="str">
        <f>TEXT("5830409453996566311","0")</f>
        <v>5830409453996560000</v>
      </c>
    </row>
    <row r="72" spans="1:6" ht="12.5" x14ac:dyDescent="0.25">
      <c r="A72" s="2"/>
      <c r="C72" s="2" t="s">
        <v>143</v>
      </c>
      <c r="D72" s="2" t="s">
        <v>113</v>
      </c>
      <c r="E72" s="2" t="s">
        <v>151</v>
      </c>
      <c r="F72" s="2" t="str">
        <f>TEXT("5830413684519117204","0")</f>
        <v>5830413684519110000</v>
      </c>
    </row>
    <row r="73" spans="1:6" ht="12.5" x14ac:dyDescent="0.25">
      <c r="A73" s="2"/>
      <c r="B73" s="2"/>
      <c r="C73" s="2" t="s">
        <v>152</v>
      </c>
      <c r="D73" s="2" t="s">
        <v>153</v>
      </c>
      <c r="F73" s="2" t="str">
        <f>TEXT("5830424142913224819","0")</f>
        <v>5830424142913220000</v>
      </c>
    </row>
    <row r="74" spans="1:6" ht="12.5" x14ac:dyDescent="0.25">
      <c r="A74" s="2"/>
      <c r="B74" s="2"/>
      <c r="C74" s="2" t="s">
        <v>154</v>
      </c>
      <c r="D74" s="2" t="s">
        <v>155</v>
      </c>
      <c r="F74" s="2" t="str">
        <f>TEXT("5830424683413702113","0")</f>
        <v>5830424683413700000</v>
      </c>
    </row>
    <row r="75" spans="1:6" ht="12.5" x14ac:dyDescent="0.25">
      <c r="A75" s="2"/>
      <c r="B75" s="2"/>
      <c r="C75" s="2" t="s">
        <v>156</v>
      </c>
      <c r="D75" s="2" t="s">
        <v>157</v>
      </c>
      <c r="F75" s="2" t="str">
        <f>TEXT("5830427754512037376","0")</f>
        <v>5830427754512030000</v>
      </c>
    </row>
    <row r="76" spans="1:6" ht="12.5" x14ac:dyDescent="0.25">
      <c r="A76" s="2"/>
      <c r="C76" s="2" t="s">
        <v>152</v>
      </c>
      <c r="D76" s="2" t="s">
        <v>158</v>
      </c>
      <c r="F76" s="2" t="str">
        <f>TEXT("5830432264515655767","0")</f>
        <v>5830432264515650000</v>
      </c>
    </row>
    <row r="77" spans="1:6" ht="12.5" x14ac:dyDescent="0.25">
      <c r="A77" s="2"/>
      <c r="B77" s="2"/>
      <c r="C77" s="2" t="s">
        <v>159</v>
      </c>
      <c r="D77" s="2" t="s">
        <v>160</v>
      </c>
      <c r="E77" s="2" t="s">
        <v>161</v>
      </c>
      <c r="F77" s="2" t="str">
        <f>TEXT("5830437988584932895","0")</f>
        <v>5830437988584930000</v>
      </c>
    </row>
    <row r="78" spans="1:6" ht="12.5" x14ac:dyDescent="0.25">
      <c r="A78" s="2"/>
      <c r="B78" s="2"/>
      <c r="C78" s="2" t="s">
        <v>162</v>
      </c>
      <c r="D78" s="2" t="s">
        <v>163</v>
      </c>
      <c r="F78" s="2" t="str">
        <f>TEXT("5830449164518340392","0")</f>
        <v>5830449164518340000</v>
      </c>
    </row>
    <row r="79" spans="1:6" ht="12.5" x14ac:dyDescent="0.25">
      <c r="A79" s="2"/>
      <c r="C79" s="2" t="s">
        <v>164</v>
      </c>
      <c r="D79" s="2" t="s">
        <v>165</v>
      </c>
      <c r="E79" s="2" t="s">
        <v>166</v>
      </c>
      <c r="F79" s="2" t="str">
        <f>TEXT("5830480144518518832","0")</f>
        <v>5830480144518510000</v>
      </c>
    </row>
    <row r="80" spans="1:6" ht="12.5" x14ac:dyDescent="0.25">
      <c r="A80" s="2"/>
      <c r="C80" s="2" t="s">
        <v>167</v>
      </c>
      <c r="D80" s="2" t="s">
        <v>168</v>
      </c>
      <c r="E80" s="2" t="s">
        <v>169</v>
      </c>
      <c r="F80" s="2" t="str">
        <f>TEXT("5830482524515329508","0")</f>
        <v>5830482524515320000</v>
      </c>
    </row>
    <row r="81" spans="1:6" ht="12.5" x14ac:dyDescent="0.25">
      <c r="A81" s="2"/>
      <c r="B81" s="2"/>
      <c r="C81" s="2" t="s">
        <v>170</v>
      </c>
      <c r="D81" s="2" t="s">
        <v>171</v>
      </c>
      <c r="F81" s="2" t="str">
        <f>TEXT("5830500324518718598","0")</f>
        <v>5830500324518710000</v>
      </c>
    </row>
    <row r="82" spans="1:6" ht="12.5" x14ac:dyDescent="0.25">
      <c r="A82" s="2"/>
      <c r="C82" s="2" t="s">
        <v>172</v>
      </c>
      <c r="D82" s="2" t="s">
        <v>173</v>
      </c>
      <c r="F82" s="2" t="str">
        <f>TEXT("5830507077792064401","0")</f>
        <v>5830507077792060000</v>
      </c>
    </row>
    <row r="83" spans="1:6" ht="12.5" x14ac:dyDescent="0.25">
      <c r="A83" s="2"/>
      <c r="C83" s="2" t="s">
        <v>174</v>
      </c>
      <c r="D83" s="2" t="s">
        <v>175</v>
      </c>
      <c r="F83" s="2" t="str">
        <f>TEXT("5830527944514173223","0")</f>
        <v>5830527944514170000</v>
      </c>
    </row>
    <row r="84" spans="1:6" ht="12.5" x14ac:dyDescent="0.25">
      <c r="A84" s="2"/>
      <c r="B84" s="2"/>
      <c r="C84" s="2" t="s">
        <v>174</v>
      </c>
      <c r="D84" s="2" t="s">
        <v>115</v>
      </c>
      <c r="F84" s="2" t="str">
        <f>TEXT("5830538823418433233","0")</f>
        <v>5830538823418430000</v>
      </c>
    </row>
    <row r="85" spans="1:6" ht="12.5" x14ac:dyDescent="0.25">
      <c r="A85" s="2"/>
      <c r="C85" s="2" t="s">
        <v>176</v>
      </c>
      <c r="D85" s="2" t="s">
        <v>177</v>
      </c>
      <c r="F85" s="2" t="str">
        <f>TEXT("5830547161047953045","0")</f>
        <v>5830547161047950000</v>
      </c>
    </row>
    <row r="86" spans="1:6" ht="12.5" x14ac:dyDescent="0.25">
      <c r="A86" s="2"/>
      <c r="B86" s="2"/>
      <c r="C86" s="2" t="s">
        <v>178</v>
      </c>
      <c r="D86" s="2" t="s">
        <v>179</v>
      </c>
      <c r="F86" s="2" t="str">
        <f>TEXT("5830562574518562281","0")</f>
        <v>5830562574518560000</v>
      </c>
    </row>
    <row r="87" spans="1:6" ht="12.5" x14ac:dyDescent="0.25">
      <c r="A87" s="2"/>
      <c r="B87" s="2"/>
      <c r="C87" s="2" t="s">
        <v>180</v>
      </c>
      <c r="D87" s="2" t="s">
        <v>181</v>
      </c>
      <c r="F87" s="2" t="str">
        <f>TEXT("5830568444517667280","0")</f>
        <v>5830568444517660000</v>
      </c>
    </row>
    <row r="88" spans="1:6" ht="12.5" x14ac:dyDescent="0.25">
      <c r="A88" s="2"/>
      <c r="B88" s="2"/>
      <c r="C88" s="2" t="s">
        <v>182</v>
      </c>
      <c r="D88" s="2" t="s">
        <v>153</v>
      </c>
      <c r="F88" s="2" t="str">
        <f>TEXT("5830578416322637751","0")</f>
        <v>5830578416322630000</v>
      </c>
    </row>
    <row r="89" spans="1:6" ht="12.5" x14ac:dyDescent="0.25">
      <c r="A89" s="2"/>
      <c r="B89" s="2"/>
      <c r="C89" s="2" t="s">
        <v>183</v>
      </c>
      <c r="D89" s="2" t="s">
        <v>184</v>
      </c>
      <c r="F89" s="2" t="str">
        <f>TEXT("5830589284519119884","0")</f>
        <v>5830589284519110000</v>
      </c>
    </row>
    <row r="90" spans="1:6" ht="12.5" x14ac:dyDescent="0.25">
      <c r="A90" s="2"/>
      <c r="C90" s="2" t="s">
        <v>185</v>
      </c>
      <c r="D90" s="2" t="s">
        <v>186</v>
      </c>
      <c r="E90" s="2" t="s">
        <v>187</v>
      </c>
      <c r="F90" s="2" t="str">
        <f>TEXT("5831255181041987565","0")</f>
        <v>5831255181041980000</v>
      </c>
    </row>
    <row r="91" spans="1:6" ht="12.5" x14ac:dyDescent="0.25">
      <c r="A91" s="2"/>
      <c r="C91" s="2" t="s">
        <v>188</v>
      </c>
      <c r="D91" s="2" t="s">
        <v>132</v>
      </c>
      <c r="F91" s="2" t="str">
        <f>TEXT("5831262376865736110","0")</f>
        <v>5831262376865730000</v>
      </c>
    </row>
    <row r="92" spans="1:6" ht="12.5" x14ac:dyDescent="0.25">
      <c r="A92" s="2"/>
      <c r="C92" s="2" t="s">
        <v>189</v>
      </c>
      <c r="D92" s="2" t="s">
        <v>86</v>
      </c>
      <c r="E92" s="2" t="s">
        <v>144</v>
      </c>
      <c r="F92" s="2" t="str">
        <f>TEXT("5831263843725969646","0")</f>
        <v>5831263843725960000</v>
      </c>
    </row>
    <row r="93" spans="1:6" ht="12.5" x14ac:dyDescent="0.25">
      <c r="A93" s="2"/>
      <c r="B93" s="2"/>
      <c r="C93" s="2" t="s">
        <v>190</v>
      </c>
      <c r="D93" s="2" t="s">
        <v>191</v>
      </c>
      <c r="F93" s="2" t="str">
        <f>TEXT("5831274644512045235","0")</f>
        <v>5831274644512040000</v>
      </c>
    </row>
    <row r="94" spans="1:6" ht="12.5" x14ac:dyDescent="0.25">
      <c r="A94" s="2"/>
      <c r="B94" s="2"/>
      <c r="C94" s="2" t="s">
        <v>192</v>
      </c>
      <c r="D94" s="2" t="s">
        <v>193</v>
      </c>
      <c r="F94" s="2" t="str">
        <f>TEXT("5831284418779734091","0")</f>
        <v>5831284418779730000</v>
      </c>
    </row>
    <row r="95" spans="1:6" ht="12.5" x14ac:dyDescent="0.25">
      <c r="A95" s="2"/>
      <c r="B95" s="2"/>
      <c r="C95" s="2" t="s">
        <v>194</v>
      </c>
      <c r="D95" s="2" t="s">
        <v>89</v>
      </c>
      <c r="F95" s="2" t="str">
        <f>TEXT("5831286657525497670","0")</f>
        <v>5831286657525490000</v>
      </c>
    </row>
    <row r="96" spans="1:6" ht="12.5" x14ac:dyDescent="0.25">
      <c r="A96" s="2"/>
      <c r="B96" s="2"/>
      <c r="C96" s="2" t="s">
        <v>194</v>
      </c>
      <c r="D96" s="2" t="s">
        <v>195</v>
      </c>
      <c r="F96" s="2" t="str">
        <f>TEXT("5831294814515680452","0")</f>
        <v>5831294814515680000</v>
      </c>
    </row>
    <row r="97" spans="1:6" ht="12.5" x14ac:dyDescent="0.25">
      <c r="A97" s="2"/>
      <c r="C97" s="2" t="s">
        <v>194</v>
      </c>
      <c r="D97" s="2" t="s">
        <v>196</v>
      </c>
      <c r="F97" s="2" t="str">
        <f>TEXT("5831294998595892976","0")</f>
        <v>5831294998595890000</v>
      </c>
    </row>
    <row r="98" spans="1:6" ht="12.5" x14ac:dyDescent="0.25">
      <c r="A98" s="2"/>
      <c r="B98" s="2"/>
      <c r="C98" s="2" t="s">
        <v>197</v>
      </c>
      <c r="D98" s="2" t="s">
        <v>198</v>
      </c>
      <c r="F98" s="2" t="str">
        <f>TEXT("5831297184512466431","0")</f>
        <v>5831297184512460000</v>
      </c>
    </row>
    <row r="99" spans="1:6" ht="12.5" x14ac:dyDescent="0.25">
      <c r="A99" s="2"/>
      <c r="C99" s="2" t="s">
        <v>199</v>
      </c>
      <c r="D99" s="2" t="s">
        <v>200</v>
      </c>
      <c r="E99" s="2" t="s">
        <v>201</v>
      </c>
      <c r="F99" s="2" t="str">
        <f>TEXT("5831321074513059453","0")</f>
        <v>5831321074513050000</v>
      </c>
    </row>
    <row r="100" spans="1:6" ht="12.5" x14ac:dyDescent="0.25">
      <c r="A100" s="2"/>
      <c r="C100" s="2" t="s">
        <v>202</v>
      </c>
      <c r="D100" s="2" t="s">
        <v>203</v>
      </c>
      <c r="E100" s="2" t="s">
        <v>204</v>
      </c>
      <c r="F100" s="2" t="str">
        <f>TEXT("5831428541045321594","0")</f>
        <v>5831428541045320000</v>
      </c>
    </row>
    <row r="101" spans="1:6" ht="12.5" x14ac:dyDescent="0.25">
      <c r="A101" s="2"/>
      <c r="B101" s="2"/>
      <c r="C101" s="2" t="s">
        <v>205</v>
      </c>
      <c r="D101" s="2" t="s">
        <v>206</v>
      </c>
      <c r="F101" s="2" t="str">
        <f>TEXT("5831434984519598131","0")</f>
        <v>5831434984519590000</v>
      </c>
    </row>
    <row r="102" spans="1:6" ht="12.5" x14ac:dyDescent="0.25">
      <c r="A102" s="2"/>
      <c r="B102" s="2"/>
      <c r="C102" s="2" t="s">
        <v>207</v>
      </c>
      <c r="D102" s="2" t="s">
        <v>208</v>
      </c>
      <c r="F102" s="2" t="str">
        <f>TEXT("5831454974511132095","0")</f>
        <v>5831454974511130000</v>
      </c>
    </row>
    <row r="103" spans="1:6" ht="12.5" x14ac:dyDescent="0.25">
      <c r="A103" s="2"/>
      <c r="B103" s="2"/>
      <c r="C103" s="2" t="s">
        <v>209</v>
      </c>
      <c r="D103" s="2" t="s">
        <v>93</v>
      </c>
      <c r="E103" s="2" t="s">
        <v>210</v>
      </c>
      <c r="F103" s="2" t="str">
        <f>TEXT("5831465314519561437","0")</f>
        <v>5831465314519560000</v>
      </c>
    </row>
    <row r="104" spans="1:6" ht="12.5" x14ac:dyDescent="0.25">
      <c r="A104" s="2"/>
      <c r="B104" s="2"/>
      <c r="C104" s="2" t="s">
        <v>211</v>
      </c>
      <c r="D104" s="2" t="s">
        <v>212</v>
      </c>
      <c r="E104" s="2" t="s">
        <v>213</v>
      </c>
      <c r="F104" s="2" t="str">
        <f>TEXT("5831494054517666237","0")</f>
        <v>5831494054517660000</v>
      </c>
    </row>
    <row r="105" spans="1:6" ht="12.5" x14ac:dyDescent="0.25">
      <c r="A105" s="2"/>
      <c r="B105" s="2"/>
      <c r="C105" s="2" t="s">
        <v>214</v>
      </c>
      <c r="D105" s="2" t="s">
        <v>208</v>
      </c>
      <c r="E105" s="2"/>
      <c r="F105" s="2" t="str">
        <f>TEXT("5832139664513224915","0")</f>
        <v>5832139664513220000</v>
      </c>
    </row>
    <row r="106" spans="1:6" ht="12.5" x14ac:dyDescent="0.25">
      <c r="A106" s="2"/>
      <c r="B106" s="2"/>
      <c r="C106" s="2" t="s">
        <v>215</v>
      </c>
      <c r="D106" s="2" t="s">
        <v>216</v>
      </c>
      <c r="E106" s="2"/>
      <c r="F106" s="2" t="str">
        <f>TEXT("5832143256183891470","0")</f>
        <v>5832143256183890000</v>
      </c>
    </row>
    <row r="107" spans="1:6" ht="12.5" x14ac:dyDescent="0.25">
      <c r="A107" s="2"/>
      <c r="B107" s="2"/>
      <c r="C107" s="2" t="s">
        <v>217</v>
      </c>
      <c r="D107" s="2" t="s">
        <v>218</v>
      </c>
      <c r="E107" s="2" t="s">
        <v>219</v>
      </c>
      <c r="F107" s="2" t="str">
        <f>TEXT("5832143960893163369","0")</f>
        <v>5832143960893160000</v>
      </c>
    </row>
    <row r="108" spans="1:6" ht="12.5" x14ac:dyDescent="0.25">
      <c r="A108" s="2"/>
      <c r="B108" s="2"/>
      <c r="C108" s="2" t="s">
        <v>220</v>
      </c>
      <c r="D108" s="2" t="s">
        <v>221</v>
      </c>
      <c r="E108" s="2"/>
      <c r="F108" s="2" t="str">
        <f>TEXT("5832147194518003593","0")</f>
        <v>5832147194518000000</v>
      </c>
    </row>
    <row r="109" spans="1:6" ht="12.5" x14ac:dyDescent="0.25">
      <c r="A109" s="2"/>
      <c r="B109" s="2"/>
      <c r="C109" s="2" t="s">
        <v>222</v>
      </c>
      <c r="D109" s="2" t="s">
        <v>7</v>
      </c>
      <c r="E109" s="2"/>
      <c r="F109" s="2" t="str">
        <f>TEXT("5832155144171790524","0")</f>
        <v>5832155144171790000</v>
      </c>
    </row>
    <row r="110" spans="1:6" ht="12.5" x14ac:dyDescent="0.25">
      <c r="A110" s="2"/>
      <c r="B110" s="2"/>
      <c r="C110" s="2" t="s">
        <v>223</v>
      </c>
      <c r="D110" s="2" t="s">
        <v>224</v>
      </c>
      <c r="E110" s="2"/>
      <c r="F110" s="2" t="str">
        <f>TEXT("5832157550795756059","0")</f>
        <v>5832157550795750000</v>
      </c>
    </row>
    <row r="111" spans="1:6" ht="12.5" x14ac:dyDescent="0.25">
      <c r="A111" s="2"/>
      <c r="B111" s="2"/>
      <c r="C111" s="2" t="s">
        <v>225</v>
      </c>
      <c r="D111" s="2" t="s">
        <v>226</v>
      </c>
      <c r="E111" s="2"/>
      <c r="F111" s="2" t="str">
        <f>TEXT("5832162964519229396","0")</f>
        <v>5832162964519220000</v>
      </c>
    </row>
    <row r="112" spans="1:6" ht="12.5" x14ac:dyDescent="0.25">
      <c r="A112" s="2"/>
      <c r="B112" s="2"/>
      <c r="C112" s="2" t="s">
        <v>227</v>
      </c>
      <c r="D112" s="2" t="s">
        <v>228</v>
      </c>
      <c r="E112" s="2" t="s">
        <v>229</v>
      </c>
      <c r="F112" s="2" t="str">
        <f>TEXT("5832163312425718290","0")</f>
        <v>5832163312425710000</v>
      </c>
    </row>
    <row r="113" spans="1:6" ht="12.5" x14ac:dyDescent="0.25">
      <c r="A113" s="2"/>
      <c r="B113" s="2"/>
      <c r="C113" s="2" t="s">
        <v>230</v>
      </c>
      <c r="D113" s="2" t="s">
        <v>231</v>
      </c>
      <c r="E113" s="2" t="s">
        <v>232</v>
      </c>
      <c r="F113" s="2" t="str">
        <f>TEXT("5832199034519305868","0")</f>
        <v>5832199034519300000</v>
      </c>
    </row>
    <row r="114" spans="1:6" ht="12.5" x14ac:dyDescent="0.25">
      <c r="A114" s="2"/>
      <c r="B114" s="2"/>
      <c r="C114" s="2" t="s">
        <v>233</v>
      </c>
      <c r="D114" s="2" t="s">
        <v>234</v>
      </c>
      <c r="E114" s="2"/>
      <c r="F114" s="2" t="str">
        <f>TEXT("5832246844515682838","0")</f>
        <v>5832246844515680000</v>
      </c>
    </row>
    <row r="115" spans="1:6" ht="12.5" x14ac:dyDescent="0.25">
      <c r="A115" s="2"/>
      <c r="B115" s="2"/>
      <c r="C115" s="2" t="s">
        <v>235</v>
      </c>
      <c r="D115" s="2" t="s">
        <v>236</v>
      </c>
      <c r="E115" s="2"/>
      <c r="F115" s="2" t="str">
        <f>TEXT("5832300214517323033","0")</f>
        <v>5832300214517320000</v>
      </c>
    </row>
    <row r="116" spans="1:6" ht="12.5" x14ac:dyDescent="0.25">
      <c r="A116" s="2"/>
      <c r="B116" s="2"/>
      <c r="C116" s="2" t="s">
        <v>237</v>
      </c>
      <c r="D116" s="2" t="s">
        <v>238</v>
      </c>
      <c r="E116" s="2" t="s">
        <v>239</v>
      </c>
      <c r="F116" s="2" t="str">
        <f>TEXT("5832312594513428724","0")</f>
        <v>5832312594513420000</v>
      </c>
    </row>
    <row r="117" spans="1:6" ht="12.5" x14ac:dyDescent="0.25">
      <c r="A117" s="2"/>
      <c r="B117" s="2"/>
      <c r="C117" s="2" t="s">
        <v>240</v>
      </c>
      <c r="D117" s="2" t="s">
        <v>216</v>
      </c>
      <c r="E117" s="2"/>
      <c r="F117" s="2" t="str">
        <f>TEXT("5832317102925802632","0")</f>
        <v>5832317102925800000</v>
      </c>
    </row>
    <row r="118" spans="1:6" ht="12.5" x14ac:dyDescent="0.25">
      <c r="A118" s="2"/>
      <c r="B118" s="2"/>
      <c r="C118" s="2" t="s">
        <v>241</v>
      </c>
      <c r="D118" s="2" t="s">
        <v>242</v>
      </c>
      <c r="E118" s="2"/>
      <c r="F118" s="2" t="str">
        <f>TEXT("5832329564514299521","0")</f>
        <v>5832329564514290000</v>
      </c>
    </row>
    <row r="119" spans="1:6" ht="12.5" x14ac:dyDescent="0.25">
      <c r="A119" s="2"/>
      <c r="B119" s="2"/>
      <c r="C119" s="2" t="s">
        <v>243</v>
      </c>
      <c r="D119" s="2" t="s">
        <v>244</v>
      </c>
      <c r="E119" s="2"/>
      <c r="F119" s="2" t="str">
        <f>TEXT("5832345084172818274","0")</f>
        <v>5832345084172810000</v>
      </c>
    </row>
    <row r="120" spans="1:6" ht="12.5" x14ac:dyDescent="0.25">
      <c r="A120" s="2"/>
      <c r="B120" s="2"/>
      <c r="C120" s="2" t="s">
        <v>243</v>
      </c>
      <c r="D120" s="2" t="s">
        <v>244</v>
      </c>
      <c r="E120" s="2"/>
      <c r="F120" s="2" t="str">
        <f>TEXT("5832345994175570113","0")</f>
        <v>5832345994175570000</v>
      </c>
    </row>
    <row r="121" spans="1:6" ht="12.5" x14ac:dyDescent="0.25">
      <c r="A121" s="2"/>
      <c r="B121" s="2"/>
      <c r="C121" s="2" t="s">
        <v>245</v>
      </c>
      <c r="D121" s="2" t="s">
        <v>246</v>
      </c>
      <c r="E121" s="2" t="s">
        <v>247</v>
      </c>
      <c r="F121" s="2" t="str">
        <f>TEXT("5832369144517168416","0")</f>
        <v>5832369144517160000</v>
      </c>
    </row>
    <row r="122" spans="1:6" ht="12.5" x14ac:dyDescent="0.25">
      <c r="A122" s="2"/>
      <c r="B122" s="2"/>
      <c r="C122" s="2" t="s">
        <v>248</v>
      </c>
      <c r="D122" s="2" t="s">
        <v>249</v>
      </c>
      <c r="E122" s="2"/>
      <c r="F122" s="2" t="str">
        <f>TEXT("5832388154514876570","0")</f>
        <v>5832388154514870000</v>
      </c>
    </row>
    <row r="123" spans="1:6" ht="12.5" x14ac:dyDescent="0.25">
      <c r="A123" s="2"/>
      <c r="B123" s="2"/>
      <c r="C123" s="2" t="s">
        <v>250</v>
      </c>
      <c r="D123" s="2" t="s">
        <v>251</v>
      </c>
      <c r="E123" s="2" t="s">
        <v>252</v>
      </c>
      <c r="F123" s="2" t="str">
        <f>TEXT("5832394464518552481","0")</f>
        <v>5832394464518550000</v>
      </c>
    </row>
    <row r="124" spans="1:6" ht="12.5" x14ac:dyDescent="0.25">
      <c r="A124" s="2"/>
      <c r="B124" s="2"/>
      <c r="C124" s="2" t="s">
        <v>253</v>
      </c>
      <c r="D124" s="2" t="s">
        <v>254</v>
      </c>
      <c r="E124" s="2"/>
      <c r="F124" s="2" t="str">
        <f>TEXT("5832404665084303697","0")</f>
        <v>5832404665084300000</v>
      </c>
    </row>
    <row r="125" spans="1:6" ht="12.5" x14ac:dyDescent="0.25">
      <c r="A125" s="2"/>
      <c r="B125" s="2"/>
      <c r="C125" s="2" t="s">
        <v>255</v>
      </c>
      <c r="D125" s="2" t="s">
        <v>208</v>
      </c>
      <c r="E125" s="2"/>
      <c r="F125" s="2" t="str">
        <f>TEXT("5833005274512810396","0")</f>
        <v>5833005274512810000</v>
      </c>
    </row>
    <row r="126" spans="1:6" ht="12.5" x14ac:dyDescent="0.25">
      <c r="A126" s="2"/>
      <c r="B126" s="2"/>
      <c r="C126" s="2" t="s">
        <v>256</v>
      </c>
      <c r="D126" s="2" t="s">
        <v>257</v>
      </c>
      <c r="E126" s="2"/>
      <c r="F126" s="2" t="str">
        <f>TEXT("5833112614515639573","0")</f>
        <v>5833112614515630000</v>
      </c>
    </row>
    <row r="127" spans="1:6" ht="12.5" x14ac:dyDescent="0.25">
      <c r="A127" s="2"/>
      <c r="B127" s="2"/>
      <c r="C127" s="2" t="s">
        <v>258</v>
      </c>
      <c r="D127" s="2" t="s">
        <v>259</v>
      </c>
      <c r="E127" s="2"/>
      <c r="F127" s="2" t="str">
        <f>TEXT("5833116224512721776","0")</f>
        <v>5833116224512720000</v>
      </c>
    </row>
    <row r="128" spans="1:6" ht="12.5" x14ac:dyDescent="0.25">
      <c r="A128" s="2"/>
      <c r="B128" s="2"/>
      <c r="C128" s="2" t="s">
        <v>260</v>
      </c>
      <c r="D128" s="2" t="s">
        <v>261</v>
      </c>
      <c r="E128" s="2"/>
      <c r="F128" s="2" t="str">
        <f>TEXT("5835598224511030940","0")</f>
        <v>5835598224511030000</v>
      </c>
    </row>
    <row r="129" spans="1:6" ht="12.5" x14ac:dyDescent="0.25">
      <c r="A129" s="2"/>
      <c r="B129" s="2"/>
      <c r="C129" s="2" t="s">
        <v>262</v>
      </c>
      <c r="D129" s="2" t="s">
        <v>263</v>
      </c>
      <c r="E129" s="2" t="s">
        <v>264</v>
      </c>
      <c r="F129" s="2" t="str">
        <f>TEXT("5835615001047116833","0")</f>
        <v>5835615001047110000</v>
      </c>
    </row>
    <row r="130" spans="1:6" ht="12.5" x14ac:dyDescent="0.25">
      <c r="A130" s="2"/>
      <c r="B130" s="2"/>
      <c r="C130" s="2" t="s">
        <v>265</v>
      </c>
      <c r="D130" s="2" t="s">
        <v>266</v>
      </c>
      <c r="E130" s="2" t="s">
        <v>267</v>
      </c>
      <c r="F130" s="2" t="str">
        <f>TEXT("5835622621347309236","0")</f>
        <v>5835622621347300000</v>
      </c>
    </row>
    <row r="131" spans="1:6" ht="12.5" x14ac:dyDescent="0.25">
      <c r="A131" s="2"/>
      <c r="B131" s="2"/>
      <c r="C131" s="2" t="s">
        <v>268</v>
      </c>
      <c r="D131" s="2" t="s">
        <v>86</v>
      </c>
      <c r="E131" s="2" t="s">
        <v>269</v>
      </c>
      <c r="F131" s="2" t="str">
        <f>TEXT("5835642959511951184","0")</f>
        <v>5835642959511950000</v>
      </c>
    </row>
    <row r="132" spans="1:6" ht="12.5" x14ac:dyDescent="0.25">
      <c r="A132" s="2"/>
      <c r="B132" s="2"/>
      <c r="C132" s="2" t="s">
        <v>270</v>
      </c>
      <c r="D132" s="2" t="s">
        <v>271</v>
      </c>
      <c r="E132" s="2" t="s">
        <v>272</v>
      </c>
      <c r="F132" s="2" t="str">
        <f>TEXT("5835648594519103461","0")</f>
        <v>5835648594519100000</v>
      </c>
    </row>
    <row r="133" spans="1:6" ht="12.5" x14ac:dyDescent="0.25">
      <c r="A133" s="2"/>
      <c r="B133" s="2"/>
      <c r="C133" s="2" t="s">
        <v>273</v>
      </c>
      <c r="D133" s="2" t="s">
        <v>274</v>
      </c>
      <c r="E133" s="2" t="s">
        <v>275</v>
      </c>
      <c r="F133" s="2" t="str">
        <f>TEXT("5835684164511210201","0")</f>
        <v>5835684164511210000</v>
      </c>
    </row>
    <row r="134" spans="1:6" ht="12.5" x14ac:dyDescent="0.25">
      <c r="A134" s="2"/>
      <c r="B134" s="2"/>
      <c r="C134" s="2" t="s">
        <v>276</v>
      </c>
      <c r="D134" s="2" t="s">
        <v>277</v>
      </c>
      <c r="E134" s="2"/>
      <c r="F134" s="2" t="str">
        <f>TEXT("5835779704518831933","0")</f>
        <v>5835779704518830000</v>
      </c>
    </row>
    <row r="135" spans="1:6" ht="12.5" x14ac:dyDescent="0.25">
      <c r="A135" s="2"/>
      <c r="B135" s="2"/>
      <c r="C135" s="2" t="s">
        <v>278</v>
      </c>
      <c r="D135" s="2" t="s">
        <v>279</v>
      </c>
      <c r="E135" s="2"/>
      <c r="F135" s="2" t="str">
        <f>TEXT("5835791029514498978","0")</f>
        <v>5835791029514490000</v>
      </c>
    </row>
    <row r="136" spans="1:6" ht="12.5" x14ac:dyDescent="0.25">
      <c r="A136" s="2"/>
      <c r="B136" s="2"/>
      <c r="C136" s="2" t="s">
        <v>280</v>
      </c>
      <c r="D136" s="2" t="s">
        <v>281</v>
      </c>
      <c r="E136" s="2"/>
      <c r="F136" s="2" t="str">
        <f>TEXT("5835815818484369201","0")</f>
        <v>5835815818484360000</v>
      </c>
    </row>
    <row r="137" spans="1:6" ht="12.5" x14ac:dyDescent="0.25">
      <c r="A137" s="2"/>
      <c r="B137" s="2"/>
      <c r="C137" s="2" t="s">
        <v>282</v>
      </c>
      <c r="D137" s="2" t="s">
        <v>283</v>
      </c>
      <c r="E137" s="2"/>
      <c r="F137" s="2" t="str">
        <f>TEXT("5836444542199041150","0")</f>
        <v>5836444542199040000</v>
      </c>
    </row>
    <row r="138" spans="1:6" ht="12.5" x14ac:dyDescent="0.25">
      <c r="A138" s="2"/>
      <c r="B138" s="2"/>
      <c r="C138" s="2" t="s">
        <v>284</v>
      </c>
      <c r="D138" s="2" t="s">
        <v>285</v>
      </c>
      <c r="E138" s="2" t="s">
        <v>286</v>
      </c>
      <c r="F138" s="2" t="str">
        <f>TEXT("5836451130649326162","0")</f>
        <v>5836451130649320000</v>
      </c>
    </row>
    <row r="139" spans="1:6" ht="12.5" x14ac:dyDescent="0.25">
      <c r="A139" s="2"/>
      <c r="B139" s="2"/>
      <c r="C139" s="2" t="s">
        <v>287</v>
      </c>
      <c r="D139" s="2" t="s">
        <v>288</v>
      </c>
      <c r="E139" s="2"/>
      <c r="F139" s="2" t="str">
        <f>TEXT("5836459034518756502","0")</f>
        <v>5836459034518750000</v>
      </c>
    </row>
    <row r="140" spans="1:6" ht="12.5" x14ac:dyDescent="0.25">
      <c r="A140" s="2"/>
      <c r="B140" s="2"/>
      <c r="C140" s="2" t="s">
        <v>282</v>
      </c>
      <c r="D140" s="2" t="s">
        <v>289</v>
      </c>
      <c r="E140" s="2" t="s">
        <v>290</v>
      </c>
      <c r="F140" s="2" t="str">
        <f>TEXT("5836459681379566510","0")</f>
        <v>5836459681379560000</v>
      </c>
    </row>
    <row r="141" spans="1:6" ht="12.5" x14ac:dyDescent="0.25">
      <c r="A141" s="2"/>
      <c r="B141" s="2"/>
      <c r="C141" s="2" t="s">
        <v>291</v>
      </c>
      <c r="D141" s="2" t="s">
        <v>292</v>
      </c>
      <c r="E141" s="2"/>
      <c r="F141" s="2" t="str">
        <f>TEXT("5836470514514105433","0")</f>
        <v>5836470514514100000</v>
      </c>
    </row>
    <row r="142" spans="1:6" ht="12.5" x14ac:dyDescent="0.25">
      <c r="A142" s="2"/>
      <c r="B142" s="2"/>
      <c r="C142" s="2" t="s">
        <v>293</v>
      </c>
      <c r="D142" s="2" t="s">
        <v>216</v>
      </c>
      <c r="E142" s="2"/>
      <c r="F142" s="2" t="str">
        <f>TEXT("5836473754728653756","0")</f>
        <v>5836473754728650000</v>
      </c>
    </row>
    <row r="143" spans="1:6" ht="12.5" x14ac:dyDescent="0.25">
      <c r="A143" s="2"/>
      <c r="B143" s="2"/>
      <c r="C143" s="2" t="s">
        <v>294</v>
      </c>
      <c r="D143" s="2" t="s">
        <v>295</v>
      </c>
      <c r="E143" s="2"/>
      <c r="F143" s="2" t="str">
        <f>TEXT("5836477834513971044","0")</f>
        <v>5836477834513970000</v>
      </c>
    </row>
    <row r="144" spans="1:6" ht="12.5" x14ac:dyDescent="0.25">
      <c r="A144" s="2"/>
      <c r="B144" s="2"/>
      <c r="C144" s="2" t="s">
        <v>294</v>
      </c>
      <c r="D144" s="2" t="s">
        <v>12</v>
      </c>
      <c r="E144" s="2"/>
      <c r="F144" s="2" t="str">
        <f>TEXT("5836480664516113378","0")</f>
        <v>5836480664516110000</v>
      </c>
    </row>
    <row r="145" spans="1:6" ht="12.5" x14ac:dyDescent="0.25">
      <c r="A145" s="2"/>
      <c r="B145" s="2"/>
      <c r="C145" s="2" t="s">
        <v>296</v>
      </c>
      <c r="D145" s="2" t="s">
        <v>297</v>
      </c>
      <c r="E145" s="2" t="s">
        <v>298</v>
      </c>
      <c r="F145" s="2" t="str">
        <f>TEXT("5836488294512049544","0")</f>
        <v>5836488294512040000</v>
      </c>
    </row>
    <row r="146" spans="1:6" ht="12.5" x14ac:dyDescent="0.25">
      <c r="A146" s="2"/>
      <c r="B146" s="2"/>
      <c r="C146" s="2" t="s">
        <v>299</v>
      </c>
      <c r="D146" s="2" t="s">
        <v>300</v>
      </c>
      <c r="E146" s="2"/>
      <c r="F146" s="2" t="str">
        <f>TEXT("5836488850552570041","0")</f>
        <v>5836488850552570000</v>
      </c>
    </row>
    <row r="147" spans="1:6" ht="12.5" x14ac:dyDescent="0.25">
      <c r="A147" s="2"/>
      <c r="B147" s="2"/>
      <c r="C147" s="2" t="s">
        <v>301</v>
      </c>
      <c r="D147" s="2" t="s">
        <v>277</v>
      </c>
      <c r="E147" s="2"/>
      <c r="F147" s="2" t="str">
        <f>TEXT("5836511554314624811","0")</f>
        <v>5836511554314620000</v>
      </c>
    </row>
    <row r="148" spans="1:6" ht="12.5" x14ac:dyDescent="0.25">
      <c r="A148" s="2"/>
      <c r="B148" s="2"/>
      <c r="C148" s="2" t="s">
        <v>302</v>
      </c>
      <c r="D148" s="2" t="s">
        <v>303</v>
      </c>
      <c r="E148" s="2" t="s">
        <v>304</v>
      </c>
      <c r="F148" s="2" t="str">
        <f>TEXT("5836528594513644378","0")</f>
        <v>5836528594513640000</v>
      </c>
    </row>
    <row r="149" spans="1:6" ht="12.5" x14ac:dyDescent="0.25">
      <c r="A149" s="2"/>
      <c r="B149" s="2"/>
      <c r="C149" s="2" t="s">
        <v>305</v>
      </c>
      <c r="D149" s="2" t="s">
        <v>244</v>
      </c>
      <c r="E149" s="2"/>
      <c r="F149" s="2" t="str">
        <f>TEXT("5836601994512252527","0")</f>
        <v>5836601994512250000</v>
      </c>
    </row>
    <row r="150" spans="1:6" ht="12.5" x14ac:dyDescent="0.25">
      <c r="A150" s="2"/>
      <c r="B150" s="2"/>
      <c r="C150" s="2" t="s">
        <v>306</v>
      </c>
      <c r="D150" s="2" t="s">
        <v>216</v>
      </c>
      <c r="E150" s="2"/>
      <c r="F150" s="2" t="str">
        <f>TEXT("5836618657164503181","0")</f>
        <v>5836618657164500000</v>
      </c>
    </row>
    <row r="151" spans="1:6" ht="12.5" x14ac:dyDescent="0.25">
      <c r="A151" s="2"/>
      <c r="B151" s="2"/>
      <c r="C151" s="2" t="s">
        <v>307</v>
      </c>
      <c r="D151" s="2" t="s">
        <v>308</v>
      </c>
      <c r="E151" s="2"/>
      <c r="F151" s="2" t="str">
        <f>TEXT("5836627479015313143","0")</f>
        <v>5836627479015310000</v>
      </c>
    </row>
    <row r="152" spans="1:6" ht="12.5" x14ac:dyDescent="0.25">
      <c r="A152" s="2"/>
      <c r="B152" s="2"/>
      <c r="C152" s="2" t="s">
        <v>309</v>
      </c>
      <c r="D152" s="2" t="s">
        <v>310</v>
      </c>
      <c r="E152" s="2"/>
      <c r="F152" s="2" t="str">
        <f>TEXT("5836655654518734010","0")</f>
        <v>5836655654518730000</v>
      </c>
    </row>
    <row r="153" spans="1:6" ht="12.5" x14ac:dyDescent="0.25">
      <c r="A153" s="2"/>
      <c r="B153" s="2"/>
      <c r="C153" s="2" t="s">
        <v>311</v>
      </c>
      <c r="D153" s="2" t="s">
        <v>312</v>
      </c>
      <c r="E153" s="2"/>
      <c r="F153" s="2" t="str">
        <f>TEXT("5837260698866735641","0")</f>
        <v>5837260698866730000</v>
      </c>
    </row>
    <row r="154" spans="1:6" ht="12.5" x14ac:dyDescent="0.25">
      <c r="A154" s="2"/>
      <c r="B154" s="2"/>
      <c r="C154" s="2" t="s">
        <v>313</v>
      </c>
      <c r="D154" s="2" t="s">
        <v>242</v>
      </c>
      <c r="E154" s="2" t="s">
        <v>314</v>
      </c>
      <c r="F154" s="2" t="str">
        <f>TEXT("5837284568667457802","0")</f>
        <v>5837284568667450000</v>
      </c>
    </row>
    <row r="155" spans="1:6" ht="12.5" x14ac:dyDescent="0.25">
      <c r="A155" s="2"/>
      <c r="B155" s="2"/>
      <c r="C155" s="2" t="s">
        <v>315</v>
      </c>
      <c r="D155" s="2" t="s">
        <v>316</v>
      </c>
      <c r="E155" s="2"/>
      <c r="F155" s="2" t="str">
        <f>TEXT("5837327084515833106","0")</f>
        <v>5837327084515830000</v>
      </c>
    </row>
    <row r="156" spans="1:6" ht="12.5" x14ac:dyDescent="0.25">
      <c r="A156" s="2"/>
      <c r="B156" s="2"/>
      <c r="C156" s="2" t="s">
        <v>317</v>
      </c>
      <c r="D156" s="2" t="s">
        <v>318</v>
      </c>
      <c r="E156" s="2"/>
      <c r="F156" s="2" t="str">
        <f>TEXT("5837333335216640202","0")</f>
        <v>5837333335216640000</v>
      </c>
    </row>
    <row r="157" spans="1:6" ht="12.5" x14ac:dyDescent="0.25">
      <c r="A157" s="2"/>
      <c r="B157" s="2"/>
      <c r="C157" s="2" t="s">
        <v>317</v>
      </c>
      <c r="D157" s="2" t="s">
        <v>318</v>
      </c>
      <c r="E157" s="2"/>
      <c r="F157" s="2" t="str">
        <f>TEXT("5837334405219724660","0")</f>
        <v>5837334405219720000</v>
      </c>
    </row>
    <row r="158" spans="1:6" ht="12.5" x14ac:dyDescent="0.25">
      <c r="A158" s="2"/>
      <c r="B158" s="2"/>
      <c r="C158" s="2" t="s">
        <v>319</v>
      </c>
      <c r="D158" s="2" t="s">
        <v>320</v>
      </c>
      <c r="E158" s="2"/>
      <c r="F158" s="2" t="str">
        <f>TEXT("5837334522313475744","0")</f>
        <v>5837334522313470000</v>
      </c>
    </row>
    <row r="159" spans="1:6" ht="12.5" x14ac:dyDescent="0.25">
      <c r="A159" s="2"/>
      <c r="B159" s="2"/>
      <c r="C159" s="2" t="s">
        <v>321</v>
      </c>
      <c r="D159" s="2" t="s">
        <v>295</v>
      </c>
      <c r="E159" s="2"/>
      <c r="F159" s="2" t="str">
        <f>TEXT("5837348714517237328","0")</f>
        <v>5837348714517230000</v>
      </c>
    </row>
    <row r="160" spans="1:6" ht="12.5" x14ac:dyDescent="0.25">
      <c r="A160" s="2"/>
      <c r="B160" s="2"/>
      <c r="C160" s="2" t="s">
        <v>322</v>
      </c>
      <c r="D160" s="2" t="s">
        <v>323</v>
      </c>
      <c r="E160" s="2"/>
      <c r="F160" s="2" t="str">
        <f>TEXT("5837350525376438400","0")</f>
        <v>5837350525376430000</v>
      </c>
    </row>
    <row r="161" spans="1:6" ht="12.5" x14ac:dyDescent="0.25">
      <c r="A161" s="2"/>
      <c r="B161" s="2"/>
      <c r="C161" s="2" t="s">
        <v>324</v>
      </c>
      <c r="D161" s="2" t="s">
        <v>221</v>
      </c>
      <c r="E161" s="2"/>
      <c r="F161" s="2" t="str">
        <f>TEXT("5837358224517335084","0")</f>
        <v>5837358224517330000</v>
      </c>
    </row>
    <row r="162" spans="1:6" ht="12.5" x14ac:dyDescent="0.25">
      <c r="A162" s="2"/>
      <c r="B162" s="2"/>
      <c r="C162" s="2" t="s">
        <v>325</v>
      </c>
      <c r="D162" s="2" t="s">
        <v>195</v>
      </c>
      <c r="E162" s="2"/>
      <c r="F162" s="2" t="str">
        <f>TEXT("5837362174515506750","0")</f>
        <v>5837362174515500000</v>
      </c>
    </row>
    <row r="163" spans="1:6" ht="12.5" x14ac:dyDescent="0.25">
      <c r="A163" s="2"/>
      <c r="B163" s="2"/>
      <c r="C163" s="2" t="s">
        <v>326</v>
      </c>
      <c r="D163" s="2" t="s">
        <v>327</v>
      </c>
      <c r="E163" s="2" t="s">
        <v>328</v>
      </c>
      <c r="F163" s="2" t="str">
        <f>TEXT("5837391071139909212","0")</f>
        <v>5837391071139900000</v>
      </c>
    </row>
    <row r="164" spans="1:6" ht="12.5" x14ac:dyDescent="0.25">
      <c r="A164" s="2"/>
      <c r="B164" s="2"/>
      <c r="C164" s="2" t="s">
        <v>329</v>
      </c>
      <c r="D164" s="2" t="s">
        <v>330</v>
      </c>
      <c r="E164" s="2" t="s">
        <v>331</v>
      </c>
      <c r="F164" s="2" t="str">
        <f>TEXT("5837397364513009789","0")</f>
        <v>5837397364513000000</v>
      </c>
    </row>
    <row r="165" spans="1:6" ht="12.5" x14ac:dyDescent="0.25">
      <c r="A165" s="2"/>
      <c r="B165" s="2"/>
      <c r="C165" s="2" t="s">
        <v>332</v>
      </c>
      <c r="D165" s="2" t="s">
        <v>333</v>
      </c>
      <c r="E165" s="2"/>
      <c r="F165" s="2" t="str">
        <f>TEXT("5837451814513798451","0")</f>
        <v>5837451814513790000</v>
      </c>
    </row>
    <row r="166" spans="1:6" ht="12.5" x14ac:dyDescent="0.25">
      <c r="A166" s="2"/>
      <c r="B166" s="2"/>
      <c r="C166" s="2" t="s">
        <v>334</v>
      </c>
      <c r="D166" s="2" t="s">
        <v>335</v>
      </c>
      <c r="E166" s="2" t="s">
        <v>336</v>
      </c>
      <c r="F166" s="2" t="str">
        <f>TEXT("5837478634512242553","0")</f>
        <v>5837478634512240000</v>
      </c>
    </row>
    <row r="167" spans="1:6" ht="12.5" x14ac:dyDescent="0.25">
      <c r="A167" s="2"/>
      <c r="B167" s="2"/>
      <c r="C167" s="2" t="s">
        <v>337</v>
      </c>
      <c r="D167" s="2" t="s">
        <v>338</v>
      </c>
      <c r="E167" s="2" t="s">
        <v>339</v>
      </c>
      <c r="F167" s="2" t="str">
        <f>TEXT("5837486124517193772","0")</f>
        <v>5837486124517190000</v>
      </c>
    </row>
    <row r="168" spans="1:6" ht="12.5" x14ac:dyDescent="0.25">
      <c r="A168" s="2"/>
      <c r="B168" s="2"/>
      <c r="C168" s="2" t="s">
        <v>340</v>
      </c>
      <c r="D168" s="2" t="s">
        <v>18</v>
      </c>
      <c r="E168" s="2"/>
      <c r="F168" s="2" t="str">
        <f>TEXT("5837507774511724471","0")</f>
        <v>5837507774511720000</v>
      </c>
    </row>
    <row r="169" spans="1:6" ht="12.5" x14ac:dyDescent="0.25">
      <c r="A169" s="2"/>
      <c r="B169" s="2"/>
      <c r="C169" s="2" t="s">
        <v>341</v>
      </c>
      <c r="D169" s="2" t="s">
        <v>208</v>
      </c>
      <c r="E169" s="2"/>
      <c r="F169" s="2" t="str">
        <f>TEXT("5837536254516616509","0")</f>
        <v>5837536254516610000</v>
      </c>
    </row>
    <row r="170" spans="1:6" ht="12.5" x14ac:dyDescent="0.25">
      <c r="A170" s="2"/>
      <c r="B170" s="2"/>
      <c r="C170" s="2" t="s">
        <v>342</v>
      </c>
      <c r="D170" s="2" t="s">
        <v>343</v>
      </c>
      <c r="E170" s="3" t="s">
        <v>344</v>
      </c>
      <c r="F170" s="2" t="str">
        <f>TEXT("5837563154512808293","0")</f>
        <v>5837563154512800000</v>
      </c>
    </row>
    <row r="171" spans="1:6" ht="12.5" x14ac:dyDescent="0.25">
      <c r="A171" s="2"/>
      <c r="B171" s="2"/>
      <c r="C171" s="2" t="s">
        <v>345</v>
      </c>
      <c r="D171" s="2" t="s">
        <v>346</v>
      </c>
      <c r="E171" s="2"/>
      <c r="F171" s="2" t="str">
        <f>TEXT("5837576746184532705","0")</f>
        <v>5837576746184530000</v>
      </c>
    </row>
    <row r="172" spans="1:6" ht="12.5" x14ac:dyDescent="0.25">
      <c r="A172" s="2"/>
      <c r="B172" s="2"/>
      <c r="C172" s="2" t="s">
        <v>347</v>
      </c>
      <c r="D172" s="2" t="s">
        <v>348</v>
      </c>
      <c r="E172" s="2"/>
      <c r="F172" s="2" t="str">
        <f>TEXT("5838142451805060997","0")</f>
        <v>5838142451805060000</v>
      </c>
    </row>
    <row r="173" spans="1:6" ht="12.5" x14ac:dyDescent="0.25">
      <c r="A173" s="2"/>
      <c r="B173" s="2"/>
      <c r="C173" s="2" t="s">
        <v>347</v>
      </c>
      <c r="D173" s="2" t="s">
        <v>349</v>
      </c>
      <c r="E173" s="2" t="s">
        <v>350</v>
      </c>
      <c r="F173" s="2" t="str">
        <f>TEXT("5838153601805821821","0")</f>
        <v>5838153601805820000</v>
      </c>
    </row>
    <row r="174" spans="1:6" ht="12.5" x14ac:dyDescent="0.25">
      <c r="A174" s="2"/>
      <c r="B174" s="2"/>
      <c r="C174" s="2" t="s">
        <v>351</v>
      </c>
      <c r="D174" s="2" t="s">
        <v>283</v>
      </c>
      <c r="E174" s="2"/>
      <c r="F174" s="2" t="str">
        <f>TEXT("5838168766322749467","0")</f>
        <v>5838168766322740000</v>
      </c>
    </row>
    <row r="175" spans="1:6" ht="12.5" x14ac:dyDescent="0.25">
      <c r="A175" s="2"/>
      <c r="B175" s="2"/>
      <c r="C175" s="2" t="s">
        <v>347</v>
      </c>
      <c r="D175" s="2" t="s">
        <v>352</v>
      </c>
      <c r="E175" s="2"/>
      <c r="F175" s="2" t="str">
        <f>TEXT("5838175234512070143","0")</f>
        <v>5838175234512070000</v>
      </c>
    </row>
    <row r="176" spans="1:6" ht="12.5" x14ac:dyDescent="0.25">
      <c r="A176" s="2"/>
      <c r="B176" s="2"/>
      <c r="C176" s="2" t="s">
        <v>353</v>
      </c>
      <c r="D176" s="2" t="s">
        <v>354</v>
      </c>
      <c r="E176" s="2"/>
      <c r="F176" s="2" t="str">
        <f>TEXT("5838183666272757549","0")</f>
        <v>5838183666272750000</v>
      </c>
    </row>
    <row r="177" spans="1:6" ht="12.5" x14ac:dyDescent="0.25">
      <c r="A177" s="2"/>
      <c r="B177" s="2"/>
      <c r="C177" s="2" t="s">
        <v>355</v>
      </c>
      <c r="D177" s="2" t="s">
        <v>356</v>
      </c>
      <c r="E177" s="2" t="s">
        <v>357</v>
      </c>
      <c r="F177" s="2" t="str">
        <f>TEXT("5838183982246098671","0")</f>
        <v>5838183982246090000</v>
      </c>
    </row>
    <row r="178" spans="1:6" ht="12.5" x14ac:dyDescent="0.25">
      <c r="A178" s="2"/>
      <c r="B178" s="2"/>
      <c r="C178" s="2" t="s">
        <v>351</v>
      </c>
      <c r="D178" s="2" t="s">
        <v>320</v>
      </c>
      <c r="E178" s="2"/>
      <c r="F178" s="2" t="str">
        <f>TEXT("5838184832319896645","0")</f>
        <v>5838184832319890000</v>
      </c>
    </row>
    <row r="179" spans="1:6" ht="12.5" x14ac:dyDescent="0.25">
      <c r="A179" s="2"/>
      <c r="B179" s="2"/>
      <c r="C179" s="2" t="s">
        <v>355</v>
      </c>
      <c r="D179" s="2" t="s">
        <v>358</v>
      </c>
      <c r="E179" s="2"/>
      <c r="F179" s="2" t="str">
        <f>TEXT("5838190414813045337","0")</f>
        <v>5838190414813040000</v>
      </c>
    </row>
    <row r="180" spans="1:6" ht="12.5" x14ac:dyDescent="0.25">
      <c r="A180" s="2"/>
      <c r="B180" s="2"/>
      <c r="C180" s="2" t="s">
        <v>351</v>
      </c>
      <c r="D180" s="2" t="s">
        <v>359</v>
      </c>
      <c r="E180" s="2" t="s">
        <v>360</v>
      </c>
      <c r="F180" s="2" t="str">
        <f>TEXT("5838192834516370312","0")</f>
        <v>5838192834516370000</v>
      </c>
    </row>
    <row r="181" spans="1:6" ht="12.5" x14ac:dyDescent="0.25">
      <c r="A181" s="2"/>
      <c r="B181" s="2"/>
      <c r="C181" s="2" t="s">
        <v>361</v>
      </c>
      <c r="D181" s="2" t="s">
        <v>362</v>
      </c>
      <c r="E181" s="2"/>
      <c r="F181" s="2" t="str">
        <f>TEXT("5838194374513823642","0")</f>
        <v>5838194374513820000</v>
      </c>
    </row>
    <row r="182" spans="1:6" ht="12.5" x14ac:dyDescent="0.25">
      <c r="A182" s="2"/>
      <c r="B182" s="2"/>
      <c r="C182" s="2" t="s">
        <v>363</v>
      </c>
      <c r="D182" s="2" t="s">
        <v>208</v>
      </c>
      <c r="E182" s="2"/>
      <c r="F182" s="2" t="str">
        <f>TEXT("5838196194519736552","0")</f>
        <v>5838196194519730000</v>
      </c>
    </row>
    <row r="183" spans="1:6" ht="12.5" x14ac:dyDescent="0.25">
      <c r="A183" s="2"/>
      <c r="B183" s="2"/>
      <c r="C183" s="2" t="s">
        <v>364</v>
      </c>
      <c r="D183" s="2" t="s">
        <v>216</v>
      </c>
      <c r="E183" s="2"/>
      <c r="F183" s="2" t="str">
        <f>TEXT("5838200703223542927","0")</f>
        <v>5838200703223540000</v>
      </c>
    </row>
    <row r="184" spans="1:6" ht="12.5" x14ac:dyDescent="0.25">
      <c r="A184" s="2"/>
      <c r="B184" s="2"/>
      <c r="C184" s="2" t="s">
        <v>365</v>
      </c>
      <c r="D184" s="2" t="s">
        <v>366</v>
      </c>
      <c r="E184" s="2" t="s">
        <v>367</v>
      </c>
      <c r="F184" s="2" t="str">
        <f>TEXT("5838210964517409255","0")</f>
        <v>5838210964517400000</v>
      </c>
    </row>
    <row r="185" spans="1:6" ht="12.5" x14ac:dyDescent="0.25">
      <c r="A185" s="2"/>
      <c r="B185" s="2"/>
      <c r="C185" s="2" t="s">
        <v>368</v>
      </c>
      <c r="D185" s="2" t="s">
        <v>369</v>
      </c>
      <c r="E185" s="2"/>
      <c r="F185" s="2" t="str">
        <f>TEXT("5838211071064573634","0")</f>
        <v>5838211071064570000</v>
      </c>
    </row>
    <row r="186" spans="1:6" ht="12.5" x14ac:dyDescent="0.25">
      <c r="A186" s="2"/>
      <c r="B186" s="2"/>
      <c r="C186" s="2" t="s">
        <v>370</v>
      </c>
      <c r="D186" s="2" t="s">
        <v>297</v>
      </c>
      <c r="E186" s="2" t="s">
        <v>371</v>
      </c>
      <c r="F186" s="2" t="str">
        <f>TEXT("5838212384515894725","0")</f>
        <v>5838212384515890000</v>
      </c>
    </row>
    <row r="187" spans="1:6" ht="12.5" x14ac:dyDescent="0.25">
      <c r="A187" s="2"/>
      <c r="B187" s="2"/>
      <c r="C187" s="2" t="s">
        <v>370</v>
      </c>
      <c r="D187" s="2" t="s">
        <v>254</v>
      </c>
      <c r="E187" s="2"/>
      <c r="F187" s="2" t="str">
        <f>TEXT("5838216494513929998","0")</f>
        <v>5838216494513920000</v>
      </c>
    </row>
    <row r="188" spans="1:6" ht="12.5" x14ac:dyDescent="0.25">
      <c r="A188" s="2"/>
      <c r="B188" s="2"/>
      <c r="C188" s="2" t="s">
        <v>372</v>
      </c>
      <c r="D188" s="2" t="s">
        <v>327</v>
      </c>
      <c r="E188" s="2" t="s">
        <v>373</v>
      </c>
      <c r="F188" s="2" t="str">
        <f>TEXT("5838219956043980325","0")</f>
        <v>5838219956043980000</v>
      </c>
    </row>
    <row r="189" spans="1:6" ht="12.5" x14ac:dyDescent="0.25">
      <c r="A189" s="2"/>
      <c r="B189" s="2"/>
      <c r="C189" s="2" t="s">
        <v>374</v>
      </c>
      <c r="D189" s="2" t="s">
        <v>375</v>
      </c>
      <c r="E189" s="2" t="s">
        <v>376</v>
      </c>
      <c r="F189" s="2" t="str">
        <f>TEXT("5838222894511002328","0")</f>
        <v>5838222894511000000</v>
      </c>
    </row>
    <row r="190" spans="1:6" ht="12.5" x14ac:dyDescent="0.25">
      <c r="A190" s="2"/>
      <c r="B190" s="2"/>
      <c r="C190" s="2" t="s">
        <v>377</v>
      </c>
      <c r="D190" s="2" t="s">
        <v>378</v>
      </c>
      <c r="E190" s="2" t="s">
        <v>336</v>
      </c>
      <c r="F190" s="2" t="str">
        <f>TEXT("5838226894513677603","0")</f>
        <v>5838226894513670000</v>
      </c>
    </row>
    <row r="191" spans="1:6" ht="12.5" x14ac:dyDescent="0.25">
      <c r="A191" s="2"/>
      <c r="B191" s="2"/>
      <c r="C191" s="2" t="s">
        <v>379</v>
      </c>
      <c r="D191" s="2" t="s">
        <v>323</v>
      </c>
      <c r="E191" s="2"/>
      <c r="F191" s="2" t="str">
        <f>TEXT("5838231307576746731","0")</f>
        <v>5838231307576740000</v>
      </c>
    </row>
    <row r="192" spans="1:6" ht="12.5" x14ac:dyDescent="0.25">
      <c r="A192" s="2"/>
      <c r="B192" s="2"/>
      <c r="C192" s="2" t="s">
        <v>380</v>
      </c>
      <c r="D192" s="2" t="s">
        <v>381</v>
      </c>
      <c r="E192" s="2"/>
      <c r="F192" s="2" t="str">
        <f>TEXT("5838249454512322599","0")</f>
        <v>5838249454512320000</v>
      </c>
    </row>
    <row r="193" spans="1:6" ht="12.5" x14ac:dyDescent="0.25">
      <c r="A193" s="2"/>
      <c r="B193" s="2"/>
      <c r="C193" s="2" t="s">
        <v>382</v>
      </c>
      <c r="D193" s="2" t="s">
        <v>383</v>
      </c>
      <c r="E193" s="2" t="s">
        <v>384</v>
      </c>
      <c r="F193" s="2" t="str">
        <f>TEXT("5838304544514888091","0")</f>
        <v>5838304544514880000</v>
      </c>
    </row>
    <row r="194" spans="1:6" ht="12.5" x14ac:dyDescent="0.25">
      <c r="A194" s="2"/>
      <c r="B194" s="2"/>
      <c r="C194" s="2" t="s">
        <v>385</v>
      </c>
      <c r="D194" s="2" t="s">
        <v>316</v>
      </c>
      <c r="E194" s="2"/>
      <c r="F194" s="2" t="str">
        <f>TEXT("5838345284516871952","0")</f>
        <v>5838345284516870000</v>
      </c>
    </row>
    <row r="195" spans="1:6" ht="12.5" x14ac:dyDescent="0.25">
      <c r="A195" s="2"/>
      <c r="B195" s="2"/>
      <c r="C195" s="2" t="s">
        <v>386</v>
      </c>
      <c r="D195" s="2" t="s">
        <v>216</v>
      </c>
      <c r="E195" s="2"/>
      <c r="F195" s="2" t="str">
        <f>TEXT("5838371096166095085","0")</f>
        <v>5838371096166090000</v>
      </c>
    </row>
    <row r="196" spans="1:6" ht="12.5" x14ac:dyDescent="0.25">
      <c r="A196" s="2"/>
      <c r="B196" s="2"/>
      <c r="C196" s="2" t="s">
        <v>387</v>
      </c>
      <c r="D196" s="2" t="s">
        <v>388</v>
      </c>
      <c r="E196" s="2" t="s">
        <v>389</v>
      </c>
      <c r="F196" s="2" t="str">
        <f>TEXT("5838410484513823971","0")</f>
        <v>5838410484513820000</v>
      </c>
    </row>
    <row r="197" spans="1:6" ht="12.5" x14ac:dyDescent="0.25">
      <c r="A197" s="2"/>
      <c r="B197" s="2"/>
      <c r="C197" s="2" t="s">
        <v>390</v>
      </c>
      <c r="D197" s="2" t="s">
        <v>391</v>
      </c>
      <c r="E197" s="2"/>
      <c r="F197" s="2" t="str">
        <f>TEXT("5838417814519174183","0")</f>
        <v>5838417814519170000</v>
      </c>
    </row>
    <row r="198" spans="1:6" ht="12.5" x14ac:dyDescent="0.25">
      <c r="A198" s="2"/>
      <c r="B198" s="2"/>
      <c r="C198" s="2" t="s">
        <v>390</v>
      </c>
      <c r="D198" s="2" t="s">
        <v>392</v>
      </c>
      <c r="E198" s="2" t="s">
        <v>393</v>
      </c>
      <c r="F198" s="2" t="str">
        <f>TEXT("5838418284515666388","0")</f>
        <v>5838418284515660000</v>
      </c>
    </row>
    <row r="199" spans="1:6" ht="12.5" x14ac:dyDescent="0.25">
      <c r="A199" s="2"/>
      <c r="B199" s="2"/>
      <c r="C199" s="2" t="s">
        <v>394</v>
      </c>
      <c r="D199" s="2" t="s">
        <v>395</v>
      </c>
      <c r="E199" s="2" t="s">
        <v>396</v>
      </c>
      <c r="F199" s="2" t="str">
        <f>TEXT("5838668131518526924","0")</f>
        <v>5838668131518520000</v>
      </c>
    </row>
    <row r="200" spans="1:6" ht="12.5" x14ac:dyDescent="0.25">
      <c r="A200" s="2"/>
      <c r="B200" s="2"/>
      <c r="C200" s="2" t="s">
        <v>397</v>
      </c>
      <c r="D200" s="2" t="s">
        <v>323</v>
      </c>
      <c r="E200" s="2"/>
      <c r="F200" s="2" t="str">
        <f>TEXT("5839079883918678202","0")</f>
        <v>5839079883918670000</v>
      </c>
    </row>
    <row r="201" spans="1:6" ht="12.5" x14ac:dyDescent="0.25">
      <c r="A201" s="2"/>
      <c r="B201" s="2"/>
      <c r="C201" s="2" t="s">
        <v>398</v>
      </c>
      <c r="D201" s="2" t="s">
        <v>399</v>
      </c>
      <c r="E201" s="2"/>
      <c r="F201" s="2" t="str">
        <f>TEXT("5839189554516812543","0")</f>
        <v>5839189554516810000</v>
      </c>
    </row>
    <row r="202" spans="1:6" ht="12.5" x14ac:dyDescent="0.25">
      <c r="A202" s="2"/>
      <c r="B202" s="2"/>
      <c r="C202" s="2" t="s">
        <v>400</v>
      </c>
      <c r="D202" s="2" t="s">
        <v>349</v>
      </c>
      <c r="E202" s="2"/>
      <c r="F202" s="2" t="str">
        <f>TEXT("5842483187786024992","0")</f>
        <v>5842483187786020000</v>
      </c>
    </row>
    <row r="203" spans="1:6" ht="12.5" x14ac:dyDescent="0.25">
      <c r="A203" s="2"/>
      <c r="B203" s="2"/>
      <c r="C203" s="2" t="s">
        <v>401</v>
      </c>
      <c r="D203" s="2" t="s">
        <v>402</v>
      </c>
      <c r="E203" s="2"/>
      <c r="F203" s="2" t="str">
        <f>TEXT("5842495704511280107","0")</f>
        <v>5842495704511280000</v>
      </c>
    </row>
    <row r="204" spans="1:6" ht="12.5" x14ac:dyDescent="0.25">
      <c r="A204" s="2"/>
      <c r="B204" s="2"/>
      <c r="C204" s="2" t="s">
        <v>403</v>
      </c>
      <c r="D204" s="2" t="s">
        <v>218</v>
      </c>
      <c r="E204" s="2" t="s">
        <v>404</v>
      </c>
      <c r="F204" s="2" t="str">
        <f>TEXT("5842501851413169956","0")</f>
        <v>5842501851413160000</v>
      </c>
    </row>
    <row r="205" spans="1:6" ht="12.5" x14ac:dyDescent="0.25">
      <c r="A205" s="2"/>
      <c r="B205" s="2"/>
      <c r="C205" s="2" t="s">
        <v>401</v>
      </c>
      <c r="D205" s="2" t="s">
        <v>352</v>
      </c>
      <c r="E205" s="2"/>
      <c r="F205" s="2" t="str">
        <f>TEXT("5842507894514136251","0")</f>
        <v>5842507894514130000</v>
      </c>
    </row>
    <row r="206" spans="1:6" ht="12.5" x14ac:dyDescent="0.25">
      <c r="A206" s="2"/>
      <c r="B206" s="2"/>
      <c r="C206" s="2" t="s">
        <v>401</v>
      </c>
      <c r="D206" s="2" t="s">
        <v>358</v>
      </c>
      <c r="E206" s="2"/>
      <c r="F206" s="2" t="str">
        <f>TEXT("5842508366417274402","0")</f>
        <v>5842508366417270000</v>
      </c>
    </row>
    <row r="207" spans="1:6" ht="12.5" x14ac:dyDescent="0.25">
      <c r="A207" s="2"/>
      <c r="B207" s="2"/>
      <c r="C207" s="2" t="s">
        <v>405</v>
      </c>
      <c r="D207" s="2" t="s">
        <v>320</v>
      </c>
      <c r="E207" s="2"/>
      <c r="F207" s="2" t="str">
        <f>TEXT("5842510922313823163","0")</f>
        <v>5842510922313820000</v>
      </c>
    </row>
    <row r="208" spans="1:6" ht="12.5" x14ac:dyDescent="0.25">
      <c r="A208" s="2"/>
      <c r="B208" s="2"/>
      <c r="C208" s="2" t="s">
        <v>406</v>
      </c>
      <c r="D208" s="2" t="s">
        <v>407</v>
      </c>
      <c r="E208" s="2" t="s">
        <v>408</v>
      </c>
      <c r="F208" s="2" t="str">
        <f>TEXT("5842528884511676160","0")</f>
        <v>5842528884511670000</v>
      </c>
    </row>
    <row r="209" spans="1:6" ht="12.5" x14ac:dyDescent="0.25">
      <c r="A209" s="2"/>
      <c r="B209" s="2"/>
      <c r="C209" s="2" t="s">
        <v>406</v>
      </c>
      <c r="D209" s="2" t="s">
        <v>409</v>
      </c>
      <c r="E209" s="2"/>
      <c r="F209" s="2" t="str">
        <f>TEXT("5842530294518018043","0")</f>
        <v>5842530294518010000</v>
      </c>
    </row>
    <row r="210" spans="1:6" ht="12.5" x14ac:dyDescent="0.25">
      <c r="A210" s="2"/>
      <c r="B210" s="2"/>
      <c r="C210" s="2" t="s">
        <v>410</v>
      </c>
      <c r="D210" s="2" t="s">
        <v>327</v>
      </c>
      <c r="E210" s="2" t="s">
        <v>411</v>
      </c>
      <c r="F210" s="2" t="str">
        <f>TEXT("5842530647166622619","0")</f>
        <v>5842530647166620000</v>
      </c>
    </row>
    <row r="211" spans="1:6" ht="12.5" x14ac:dyDescent="0.25">
      <c r="A211" s="2"/>
      <c r="B211" s="2"/>
      <c r="C211" s="2" t="s">
        <v>412</v>
      </c>
      <c r="D211" s="2" t="s">
        <v>323</v>
      </c>
      <c r="E211" s="2"/>
      <c r="F211" s="2" t="str">
        <f>TEXT("5842546636939047739","0")</f>
        <v>5842546636939040000</v>
      </c>
    </row>
    <row r="212" spans="1:6" ht="12.5" x14ac:dyDescent="0.25">
      <c r="A212" s="2"/>
      <c r="B212" s="2"/>
      <c r="C212" s="2" t="s">
        <v>413</v>
      </c>
      <c r="D212" s="2" t="s">
        <v>414</v>
      </c>
      <c r="E212" s="2" t="s">
        <v>415</v>
      </c>
      <c r="F212" s="2" t="str">
        <f>TEXT("5842562064514718974","0")</f>
        <v>5842562064514710000</v>
      </c>
    </row>
    <row r="213" spans="1:6" ht="12.5" x14ac:dyDescent="0.25">
      <c r="A213" s="2"/>
      <c r="B213" s="2"/>
      <c r="C213" s="2" t="s">
        <v>416</v>
      </c>
      <c r="D213" s="2" t="s">
        <v>308</v>
      </c>
      <c r="E213" s="2" t="s">
        <v>417</v>
      </c>
      <c r="F213" s="2" t="str">
        <f>TEXT("5842567489122871477","0")</f>
        <v>5842567489122870000</v>
      </c>
    </row>
    <row r="214" spans="1:6" ht="12.5" x14ac:dyDescent="0.25">
      <c r="A214" s="2"/>
      <c r="B214" s="2"/>
      <c r="C214" s="2" t="s">
        <v>418</v>
      </c>
      <c r="D214" s="2" t="s">
        <v>316</v>
      </c>
      <c r="E214" s="2"/>
      <c r="F214" s="2" t="str">
        <f>TEXT("5842670464513283672","0")</f>
        <v>5842670464513280000</v>
      </c>
    </row>
    <row r="215" spans="1:6" ht="12.5" x14ac:dyDescent="0.25">
      <c r="A215" s="2"/>
      <c r="B215" s="2"/>
      <c r="C215" s="2" t="s">
        <v>419</v>
      </c>
      <c r="D215" s="2" t="s">
        <v>116</v>
      </c>
      <c r="E215" s="2"/>
      <c r="F215" s="2" t="str">
        <f>TEXT("5842693864519908580","0")</f>
        <v>5842693864519900000</v>
      </c>
    </row>
    <row r="216" spans="1:6" ht="12.5" x14ac:dyDescent="0.25">
      <c r="A216" s="2"/>
      <c r="B216" s="2"/>
      <c r="C216" s="2" t="s">
        <v>420</v>
      </c>
      <c r="D216" s="2" t="s">
        <v>244</v>
      </c>
      <c r="E216" s="2"/>
      <c r="F216" s="2" t="str">
        <f>TEXT("5842709284511596344","0")</f>
        <v>5842709284511590000</v>
      </c>
    </row>
    <row r="217" spans="1:6" ht="12.5" x14ac:dyDescent="0.25">
      <c r="A217" s="2"/>
      <c r="B217" s="2"/>
      <c r="C217" s="2" t="s">
        <v>421</v>
      </c>
      <c r="D217" s="2" t="s">
        <v>333</v>
      </c>
      <c r="E217" s="2"/>
      <c r="F217" s="2" t="str">
        <f>TEXT("5843098862974499802","0")</f>
        <v>5843098862974490000</v>
      </c>
    </row>
    <row r="218" spans="1:6" ht="12.5" x14ac:dyDescent="0.25">
      <c r="A218" s="2"/>
      <c r="B218" s="2"/>
      <c r="C218" s="2" t="s">
        <v>422</v>
      </c>
      <c r="D218" s="2" t="s">
        <v>423</v>
      </c>
      <c r="E218" s="2"/>
      <c r="F218" s="2" t="str">
        <f>TEXT("5843312625328003290","0")</f>
        <v>5843312625328000000</v>
      </c>
    </row>
    <row r="219" spans="1:6" ht="12.5" x14ac:dyDescent="0.25">
      <c r="A219" s="2"/>
      <c r="B219" s="2"/>
      <c r="C219" s="2" t="s">
        <v>422</v>
      </c>
      <c r="D219" s="2" t="s">
        <v>424</v>
      </c>
      <c r="E219" s="2" t="s">
        <v>425</v>
      </c>
      <c r="F219" s="2" t="str">
        <f>TEXT("5843363414139730546","0")</f>
        <v>5843363414139730000</v>
      </c>
    </row>
    <row r="220" spans="1:6" ht="12.5" x14ac:dyDescent="0.25">
      <c r="A220" s="2"/>
      <c r="B220" s="2"/>
      <c r="C220" s="2" t="s">
        <v>426</v>
      </c>
      <c r="D220" s="2" t="s">
        <v>320</v>
      </c>
      <c r="E220" s="2"/>
      <c r="F220" s="2" t="str">
        <f>TEXT("5843365062312123912","0")</f>
        <v>5843365062312120000</v>
      </c>
    </row>
    <row r="221" spans="1:6" ht="12.5" x14ac:dyDescent="0.25">
      <c r="A221" s="2"/>
      <c r="B221" s="2"/>
      <c r="C221" s="2" t="s">
        <v>427</v>
      </c>
      <c r="D221" s="2" t="s">
        <v>428</v>
      </c>
      <c r="E221" s="2"/>
      <c r="F221" s="2" t="str">
        <f>TEXT("5843374234517673754","0")</f>
        <v>5843374234517670000</v>
      </c>
    </row>
    <row r="222" spans="1:6" ht="12.5" x14ac:dyDescent="0.25">
      <c r="A222" s="2"/>
      <c r="B222" s="2"/>
      <c r="C222" s="2" t="s">
        <v>429</v>
      </c>
      <c r="D222" s="2" t="s">
        <v>221</v>
      </c>
      <c r="E222" s="2"/>
      <c r="F222" s="2" t="str">
        <f>TEXT("5843375184518054249","0")</f>
        <v>5843375184518050000</v>
      </c>
    </row>
    <row r="223" spans="1:6" ht="12.5" x14ac:dyDescent="0.25">
      <c r="A223" s="2"/>
      <c r="B223" s="2"/>
      <c r="C223" s="2" t="s">
        <v>430</v>
      </c>
      <c r="D223" s="2" t="s">
        <v>407</v>
      </c>
      <c r="E223" s="2" t="s">
        <v>408</v>
      </c>
      <c r="F223" s="2" t="str">
        <f>TEXT("5843394964513951219","0")</f>
        <v>5843394964513950000</v>
      </c>
    </row>
    <row r="224" spans="1:6" ht="12.5" x14ac:dyDescent="0.25">
      <c r="A224" s="2"/>
      <c r="B224" s="2"/>
      <c r="C224" s="2" t="s">
        <v>431</v>
      </c>
      <c r="D224" s="2" t="s">
        <v>432</v>
      </c>
      <c r="E224" s="2" t="s">
        <v>433</v>
      </c>
      <c r="F224" s="2" t="str">
        <f>TEXT("5843402864511645980","0")</f>
        <v>5843402864511640000</v>
      </c>
    </row>
    <row r="225" spans="1:6" ht="12.5" x14ac:dyDescent="0.25">
      <c r="A225" s="2"/>
      <c r="B225" s="2"/>
      <c r="C225" s="2" t="s">
        <v>434</v>
      </c>
      <c r="D225" s="2" t="s">
        <v>435</v>
      </c>
      <c r="E225" s="2"/>
      <c r="F225" s="2" t="str">
        <f>TEXT("5843428692632482291","0")</f>
        <v>5843428692632480000</v>
      </c>
    </row>
    <row r="226" spans="1:6" ht="12.5" x14ac:dyDescent="0.25">
      <c r="A226" s="2"/>
      <c r="B226" s="2"/>
      <c r="C226" s="2" t="s">
        <v>434</v>
      </c>
      <c r="D226" s="2" t="s">
        <v>12</v>
      </c>
      <c r="E226" s="2" t="s">
        <v>436</v>
      </c>
      <c r="F226" s="2" t="str">
        <f>TEXT("5843430264515470799","0")</f>
        <v>5843430264515470000</v>
      </c>
    </row>
    <row r="227" spans="1:6" ht="12.5" x14ac:dyDescent="0.25">
      <c r="A227" s="2"/>
      <c r="B227" s="2"/>
      <c r="C227" s="2" t="s">
        <v>437</v>
      </c>
      <c r="D227" s="2" t="s">
        <v>438</v>
      </c>
      <c r="E227" s="2" t="s">
        <v>439</v>
      </c>
      <c r="F227" s="2" t="str">
        <f>TEXT("5843487934511920144","0")</f>
        <v>5843487934511920000</v>
      </c>
    </row>
    <row r="228" spans="1:6" ht="12.5" x14ac:dyDescent="0.25">
      <c r="A228" s="2"/>
      <c r="B228" s="2"/>
      <c r="C228" s="2" t="s">
        <v>440</v>
      </c>
      <c r="D228" s="2" t="s">
        <v>208</v>
      </c>
      <c r="E228" s="2"/>
      <c r="F228" s="2" t="str">
        <f>TEXT("5843522034516266895","0")</f>
        <v>5843522034516260000</v>
      </c>
    </row>
    <row r="229" spans="1:6" ht="12.5" x14ac:dyDescent="0.25">
      <c r="A229" s="2"/>
      <c r="B229" s="2"/>
      <c r="C229" s="2" t="s">
        <v>441</v>
      </c>
      <c r="D229" s="2" t="s">
        <v>442</v>
      </c>
      <c r="E229" s="2" t="s">
        <v>443</v>
      </c>
      <c r="F229" s="2" t="str">
        <f>TEXT("5843557495465579272","0")</f>
        <v>5843557495465570000</v>
      </c>
    </row>
    <row r="230" spans="1:6" ht="12.5" x14ac:dyDescent="0.25">
      <c r="A230" s="2"/>
      <c r="B230" s="2"/>
      <c r="C230" s="2" t="s">
        <v>444</v>
      </c>
      <c r="D230" s="2" t="s">
        <v>323</v>
      </c>
      <c r="E230" s="2"/>
      <c r="F230" s="2" t="str">
        <f>TEXT("5843584442635910144","0")</f>
        <v>5843584442635910000</v>
      </c>
    </row>
    <row r="231" spans="1:6" ht="12.5" x14ac:dyDescent="0.25">
      <c r="A231" s="2"/>
      <c r="B231" s="2"/>
      <c r="C231" s="2" t="s">
        <v>445</v>
      </c>
      <c r="D231" s="2" t="s">
        <v>310</v>
      </c>
      <c r="E231" s="2"/>
      <c r="F231" s="2" t="str">
        <f>TEXT("5843611454515758966","0")</f>
        <v>5843611454515750000</v>
      </c>
    </row>
    <row r="232" spans="1:6" ht="12.5" x14ac:dyDescent="0.25">
      <c r="A232" s="2"/>
      <c r="B232" s="2"/>
      <c r="C232" s="2" t="s">
        <v>446</v>
      </c>
      <c r="D232" s="2" t="s">
        <v>447</v>
      </c>
      <c r="E232" s="2"/>
      <c r="F232" s="2" t="str">
        <f>TEXT("5844217532238758921","0")</f>
        <v>5844217532238750000</v>
      </c>
    </row>
    <row r="233" spans="1:6" ht="12.5" x14ac:dyDescent="0.25">
      <c r="A233" s="2"/>
      <c r="B233" s="2"/>
      <c r="C233" s="2" t="s">
        <v>448</v>
      </c>
      <c r="D233" s="2" t="s">
        <v>449</v>
      </c>
      <c r="E233" s="2"/>
      <c r="F233" s="2" t="str">
        <f>TEXT("5844223892911577308","0")</f>
        <v>5844223892911570000</v>
      </c>
    </row>
    <row r="234" spans="1:6" ht="12.5" x14ac:dyDescent="0.25">
      <c r="A234" s="2"/>
      <c r="B234" s="2"/>
      <c r="C234" s="2" t="s">
        <v>450</v>
      </c>
      <c r="D234" s="2" t="s">
        <v>451</v>
      </c>
      <c r="E234" s="2"/>
      <c r="F234" s="2" t="str">
        <f>TEXT("5844229549045178742","0")</f>
        <v>5844229549045170000</v>
      </c>
    </row>
    <row r="235" spans="1:6" ht="12.5" x14ac:dyDescent="0.25">
      <c r="A235" s="2"/>
      <c r="B235" s="2"/>
      <c r="C235" s="2" t="s">
        <v>446</v>
      </c>
      <c r="D235" s="2" t="s">
        <v>352</v>
      </c>
      <c r="E235" s="2"/>
      <c r="F235" s="2" t="str">
        <f>TEXT("5844232344515984976","0")</f>
        <v>5844232344515980000</v>
      </c>
    </row>
    <row r="236" spans="1:6" ht="12.5" x14ac:dyDescent="0.25">
      <c r="A236" s="2"/>
      <c r="B236" s="2"/>
      <c r="C236" s="2" t="s">
        <v>452</v>
      </c>
      <c r="D236" s="2" t="s">
        <v>208</v>
      </c>
      <c r="E236" s="2"/>
      <c r="F236" s="2" t="str">
        <f>TEXT("5844238714512163139","0")</f>
        <v>5844238714512160000</v>
      </c>
    </row>
    <row r="237" spans="1:6" ht="12.5" x14ac:dyDescent="0.25">
      <c r="A237" s="2"/>
      <c r="B237" s="2"/>
      <c r="C237" s="2" t="s">
        <v>450</v>
      </c>
      <c r="D237" s="2" t="s">
        <v>453</v>
      </c>
      <c r="E237" s="2"/>
      <c r="F237" s="2" t="str">
        <f>TEXT("5844240404512555035","0")</f>
        <v>5844240404512550000</v>
      </c>
    </row>
    <row r="238" spans="1:6" ht="12.5" x14ac:dyDescent="0.25">
      <c r="A238" s="2"/>
      <c r="B238" s="2"/>
      <c r="C238" s="2" t="s">
        <v>454</v>
      </c>
      <c r="D238" s="2" t="s">
        <v>356</v>
      </c>
      <c r="E238" s="2" t="s">
        <v>149</v>
      </c>
      <c r="F238" s="2" t="str">
        <f>TEXT("5844240973673853340","0")</f>
        <v>5844240973673850000</v>
      </c>
    </row>
    <row r="239" spans="1:6" ht="12.5" x14ac:dyDescent="0.25">
      <c r="A239" s="2"/>
      <c r="B239" s="2"/>
      <c r="C239" s="2" t="s">
        <v>454</v>
      </c>
      <c r="D239" s="2" t="s">
        <v>455</v>
      </c>
      <c r="E239" s="2"/>
      <c r="F239" s="2" t="str">
        <f>TEXT("5844241613678772565","0")</f>
        <v>5844241613678770000</v>
      </c>
    </row>
    <row r="240" spans="1:6" ht="12.5" x14ac:dyDescent="0.25">
      <c r="A240" s="2"/>
      <c r="B240" s="2"/>
      <c r="C240" s="2" t="s">
        <v>456</v>
      </c>
      <c r="D240" s="2" t="s">
        <v>407</v>
      </c>
      <c r="E240" s="2" t="s">
        <v>408</v>
      </c>
      <c r="F240" s="2" t="str">
        <f>TEXT("5844258884515310808","0")</f>
        <v>5844258884515310000</v>
      </c>
    </row>
    <row r="241" spans="1:6" ht="12.5" x14ac:dyDescent="0.25">
      <c r="A241" s="2"/>
      <c r="B241" s="2"/>
      <c r="C241" s="2" t="s">
        <v>457</v>
      </c>
      <c r="D241" s="2" t="s">
        <v>369</v>
      </c>
      <c r="E241" s="2" t="s">
        <v>458</v>
      </c>
      <c r="F241" s="2" t="str">
        <f>TEXT("5844261046681845190","0")</f>
        <v>5844261046681840000</v>
      </c>
    </row>
    <row r="242" spans="1:6" ht="12.5" x14ac:dyDescent="0.25">
      <c r="A242" s="2"/>
      <c r="B242" s="2"/>
      <c r="C242" s="2" t="s">
        <v>459</v>
      </c>
      <c r="D242" s="2" t="s">
        <v>327</v>
      </c>
      <c r="E242" s="2" t="s">
        <v>460</v>
      </c>
      <c r="F242" s="2" t="str">
        <f>TEXT("5844274085273880900","0")</f>
        <v>5844274085273880000</v>
      </c>
    </row>
    <row r="243" spans="1:6" ht="12.5" x14ac:dyDescent="0.25">
      <c r="A243" s="2"/>
      <c r="B243" s="2"/>
      <c r="C243" s="2" t="s">
        <v>459</v>
      </c>
      <c r="D243" s="2" t="s">
        <v>323</v>
      </c>
      <c r="E243" s="2"/>
      <c r="F243" s="2" t="str">
        <f>TEXT("5844275266934898546","0")</f>
        <v>5844275266934890000</v>
      </c>
    </row>
    <row r="244" spans="1:6" ht="12.5" x14ac:dyDescent="0.25">
      <c r="A244" s="2"/>
      <c r="B244" s="2"/>
      <c r="C244" s="2" t="s">
        <v>461</v>
      </c>
      <c r="D244" s="2" t="s">
        <v>462</v>
      </c>
      <c r="E244" s="2"/>
      <c r="F244" s="2" t="str">
        <f>TEXT("5844277484511995611","0")</f>
        <v>5844277484511990000</v>
      </c>
    </row>
    <row r="245" spans="1:6" ht="12.5" x14ac:dyDescent="0.25">
      <c r="A245" s="2"/>
      <c r="B245" s="2"/>
      <c r="C245" s="2" t="s">
        <v>463</v>
      </c>
      <c r="D245" s="2" t="s">
        <v>116</v>
      </c>
      <c r="E245" s="2"/>
      <c r="F245" s="2" t="str">
        <f>TEXT("5844342544519522297","0")</f>
        <v>5844342544519520000</v>
      </c>
    </row>
    <row r="246" spans="1:6" ht="12.5" x14ac:dyDescent="0.25">
      <c r="A246" s="2"/>
      <c r="B246" s="2"/>
      <c r="C246" s="2" t="s">
        <v>464</v>
      </c>
      <c r="D246" s="2" t="s">
        <v>465</v>
      </c>
      <c r="E246" s="2"/>
      <c r="F246" s="2" t="str">
        <f>TEXT("5844386844823996008","0")</f>
        <v>5844386844823990000</v>
      </c>
    </row>
    <row r="247" spans="1:6" ht="12.5" x14ac:dyDescent="0.25">
      <c r="A247" s="2"/>
      <c r="B247" s="2"/>
      <c r="C247" s="2" t="s">
        <v>466</v>
      </c>
      <c r="D247" s="2" t="s">
        <v>467</v>
      </c>
      <c r="E247" s="2"/>
      <c r="F247" s="2" t="str">
        <f>TEXT("5844390212647297199","0")</f>
        <v>5844390212647290000</v>
      </c>
    </row>
    <row r="248" spans="1:6" ht="12.5" x14ac:dyDescent="0.25">
      <c r="A248" s="2"/>
      <c r="B248" s="2"/>
      <c r="C248" s="2" t="s">
        <v>468</v>
      </c>
      <c r="D248" s="2" t="s">
        <v>469</v>
      </c>
      <c r="E248" s="2"/>
      <c r="F248" s="2" t="str">
        <f>TEXT("5844397044519888234","0")</f>
        <v>5844397044519880000</v>
      </c>
    </row>
    <row r="249" spans="1:6" ht="12.5" x14ac:dyDescent="0.25">
      <c r="A249" s="2"/>
      <c r="B249" s="2"/>
      <c r="C249" s="2" t="s">
        <v>470</v>
      </c>
      <c r="D249" s="2" t="s">
        <v>471</v>
      </c>
      <c r="E249" s="2"/>
      <c r="F249" s="2" t="str">
        <f>TEXT("5844422706375856511","0")</f>
        <v>5844422706375850000</v>
      </c>
    </row>
    <row r="250" spans="1:6" ht="12.5" x14ac:dyDescent="0.25">
      <c r="A250" s="2"/>
      <c r="B250" s="2"/>
      <c r="C250" s="2" t="s">
        <v>470</v>
      </c>
      <c r="D250" s="2" t="s">
        <v>115</v>
      </c>
      <c r="E250" s="2"/>
      <c r="F250" s="2" t="str">
        <f>TEXT("5844425434515635968","0")</f>
        <v>5844425434515630000</v>
      </c>
    </row>
    <row r="251" spans="1:6" ht="12.5" x14ac:dyDescent="0.25">
      <c r="A251" s="2"/>
      <c r="B251" s="2"/>
      <c r="C251" s="2" t="s">
        <v>472</v>
      </c>
      <c r="D251" s="2" t="s">
        <v>473</v>
      </c>
      <c r="E251" s="2" t="s">
        <v>474</v>
      </c>
      <c r="F251" s="2" t="str">
        <f>TEXT("5844429894519765574","0")</f>
        <v>5844429894519760000</v>
      </c>
    </row>
    <row r="252" spans="1:6" ht="12.5" x14ac:dyDescent="0.25">
      <c r="A252" s="2"/>
      <c r="B252" s="2"/>
      <c r="C252" s="2" t="s">
        <v>475</v>
      </c>
      <c r="D252" s="2" t="s">
        <v>476</v>
      </c>
      <c r="E252" s="2" t="s">
        <v>477</v>
      </c>
      <c r="F252" s="2" t="str">
        <f>TEXT("5844441774516189015","0")</f>
        <v>5844441774516180000</v>
      </c>
    </row>
    <row r="253" spans="1:6" ht="12.5" x14ac:dyDescent="0.25">
      <c r="A253" s="2"/>
      <c r="B253" s="2"/>
      <c r="C253" s="2" t="s">
        <v>478</v>
      </c>
      <c r="D253" s="2" t="s">
        <v>479</v>
      </c>
      <c r="E253" s="2" t="s">
        <v>480</v>
      </c>
      <c r="F253" s="2" t="str">
        <f>TEXT("5844457874519655877","0")</f>
        <v>5844457874519650000</v>
      </c>
    </row>
    <row r="254" spans="1:6" ht="12.5" x14ac:dyDescent="0.25">
      <c r="A254" s="2"/>
      <c r="B254" s="2"/>
      <c r="C254" s="2" t="s">
        <v>481</v>
      </c>
      <c r="D254" s="2" t="s">
        <v>231</v>
      </c>
      <c r="E254" s="2" t="s">
        <v>482</v>
      </c>
      <c r="F254" s="2" t="str">
        <f>TEXT("5844463154515707196","0")</f>
        <v>5844463154515700000</v>
      </c>
    </row>
    <row r="255" spans="1:6" ht="12.5" x14ac:dyDescent="0.25">
      <c r="A255" s="2"/>
      <c r="B255" s="2"/>
      <c r="C255" s="2" t="s">
        <v>483</v>
      </c>
      <c r="D255" s="2" t="s">
        <v>484</v>
      </c>
      <c r="E255" s="2"/>
      <c r="F255" s="2" t="str">
        <f>TEXT("5845115474511785894","0")</f>
        <v>5845115474511780000</v>
      </c>
    </row>
    <row r="256" spans="1:6" ht="12.5" x14ac:dyDescent="0.25">
      <c r="A256" s="2"/>
      <c r="B256" s="2"/>
      <c r="C256" s="2" t="s">
        <v>485</v>
      </c>
      <c r="D256" s="2" t="s">
        <v>323</v>
      </c>
      <c r="E256" s="2"/>
      <c r="F256" s="2" t="str">
        <f>TEXT("5845129069371108349","0")</f>
        <v>5845129069371100000</v>
      </c>
    </row>
    <row r="257" spans="1:6" ht="12.5" x14ac:dyDescent="0.25">
      <c r="A257" s="2"/>
      <c r="B257" s="2"/>
      <c r="C257" s="2" t="s">
        <v>486</v>
      </c>
      <c r="D257" s="2" t="s">
        <v>487</v>
      </c>
      <c r="E257" s="2"/>
      <c r="F257" s="2" t="str">
        <f>TEXT("5845251924519391112","0")</f>
        <v>5845251924519390000</v>
      </c>
    </row>
    <row r="258" spans="1:6" ht="12.5" x14ac:dyDescent="0.25">
      <c r="A258" s="2"/>
      <c r="B258" s="2"/>
      <c r="C258" s="2" t="s">
        <v>488</v>
      </c>
      <c r="D258" s="2" t="s">
        <v>489</v>
      </c>
      <c r="E258" s="2"/>
      <c r="F258" s="2" t="str">
        <f>TEXT("5845296094518640351","0")</f>
        <v>5845296094518640000</v>
      </c>
    </row>
    <row r="259" spans="1:6" ht="12.5" x14ac:dyDescent="0.25">
      <c r="A259" s="2"/>
      <c r="B259" s="2"/>
      <c r="C259" s="2" t="s">
        <v>490</v>
      </c>
      <c r="D259" s="2" t="s">
        <v>491</v>
      </c>
      <c r="E259" s="2"/>
      <c r="F259" s="2" t="str">
        <f>TEXT("5847694454517399441","0")</f>
        <v>5847694454517390000</v>
      </c>
    </row>
    <row r="260" spans="1:6" ht="12.5" x14ac:dyDescent="0.25">
      <c r="A260" s="2"/>
      <c r="B260" s="2"/>
      <c r="C260" s="2" t="s">
        <v>492</v>
      </c>
      <c r="D260" s="2" t="s">
        <v>493</v>
      </c>
      <c r="E260" s="2" t="s">
        <v>494</v>
      </c>
      <c r="F260" s="2" t="str">
        <f>TEXT("5847715034519208466","0")</f>
        <v>5847715034519200000</v>
      </c>
    </row>
    <row r="261" spans="1:6" ht="12.5" x14ac:dyDescent="0.25">
      <c r="A261" s="2"/>
      <c r="B261" s="2"/>
      <c r="C261" s="2" t="s">
        <v>495</v>
      </c>
      <c r="D261" s="2" t="s">
        <v>496</v>
      </c>
      <c r="E261" s="2"/>
      <c r="F261" s="2" t="str">
        <f>TEXT("5847721104512526725","0")</f>
        <v>5847721104512520000</v>
      </c>
    </row>
    <row r="262" spans="1:6" ht="12.5" x14ac:dyDescent="0.25">
      <c r="A262" s="2"/>
      <c r="B262" s="2"/>
      <c r="C262" s="2" t="s">
        <v>495</v>
      </c>
      <c r="D262" s="2" t="s">
        <v>496</v>
      </c>
      <c r="E262" s="2"/>
      <c r="F262" s="2" t="str">
        <f>TEXT("5847723334512110540","0")</f>
        <v>5847723334512110000</v>
      </c>
    </row>
    <row r="263" spans="1:6" ht="12.5" x14ac:dyDescent="0.25">
      <c r="A263" s="2"/>
      <c r="B263" s="2"/>
      <c r="C263" s="2" t="s">
        <v>497</v>
      </c>
      <c r="D263" s="2" t="s">
        <v>498</v>
      </c>
      <c r="E263" s="2"/>
      <c r="F263" s="2" t="str">
        <f>TEXT("5847725514516514061","0")</f>
        <v>5847725514516510000</v>
      </c>
    </row>
    <row r="264" spans="1:6" ht="12.5" x14ac:dyDescent="0.25">
      <c r="A264" s="2"/>
      <c r="B264" s="2"/>
      <c r="C264" s="2" t="s">
        <v>499</v>
      </c>
      <c r="D264" s="2" t="s">
        <v>323</v>
      </c>
      <c r="E264" s="2"/>
      <c r="F264" s="2" t="str">
        <f>TEXT("5847800835573189149","0")</f>
        <v>5847800835573180000</v>
      </c>
    </row>
    <row r="265" spans="1:6" ht="12.5" x14ac:dyDescent="0.25">
      <c r="A265" s="2"/>
      <c r="B265" s="2"/>
      <c r="C265" s="2" t="s">
        <v>500</v>
      </c>
      <c r="D265" s="2" t="s">
        <v>501</v>
      </c>
      <c r="E265" s="2"/>
      <c r="F265" s="2" t="str">
        <f>TEXT("5847902764511549172","0")</f>
        <v>5847902764511540000</v>
      </c>
    </row>
    <row r="266" spans="1:6" ht="12.5" x14ac:dyDescent="0.25">
      <c r="A266" s="2"/>
      <c r="B266" s="2"/>
      <c r="C266" s="2" t="s">
        <v>502</v>
      </c>
      <c r="D266" s="2" t="s">
        <v>503</v>
      </c>
      <c r="E266" s="2"/>
      <c r="F266" s="2" t="str">
        <f>TEXT("5848497309633747676","0")</f>
        <v>5848497309633740000</v>
      </c>
    </row>
    <row r="267" spans="1:6" ht="12.5" x14ac:dyDescent="0.25">
      <c r="A267" s="2"/>
      <c r="B267" s="2"/>
      <c r="C267" s="2" t="s">
        <v>502</v>
      </c>
      <c r="D267" s="2" t="s">
        <v>359</v>
      </c>
      <c r="E267" s="2" t="s">
        <v>504</v>
      </c>
      <c r="F267" s="2" t="str">
        <f>TEXT("5848544061353714619","0")</f>
        <v>5848544061353710000</v>
      </c>
    </row>
    <row r="268" spans="1:6" ht="12.5" x14ac:dyDescent="0.25">
      <c r="A268" s="2"/>
      <c r="B268" s="2"/>
      <c r="C268" s="2" t="s">
        <v>505</v>
      </c>
      <c r="D268" s="2" t="s">
        <v>506</v>
      </c>
      <c r="E268" s="2"/>
      <c r="F268" s="2" t="str">
        <f>TEXT("5848557664514175693","0")</f>
        <v>5848557664514170000</v>
      </c>
    </row>
    <row r="269" spans="1:6" ht="12.5" x14ac:dyDescent="0.25">
      <c r="A269" s="2"/>
      <c r="B269" s="2"/>
      <c r="C269" s="2" t="s">
        <v>507</v>
      </c>
      <c r="D269" s="2" t="s">
        <v>508</v>
      </c>
      <c r="E269" s="2" t="s">
        <v>509</v>
      </c>
      <c r="F269" s="2" t="str">
        <f>TEXT("5848602404515858732","0")</f>
        <v>5848602404515850000</v>
      </c>
    </row>
    <row r="270" spans="1:6" ht="12.5" x14ac:dyDescent="0.25">
      <c r="A270" s="2"/>
      <c r="B270" s="2"/>
      <c r="C270" s="2" t="s">
        <v>510</v>
      </c>
      <c r="D270" s="2" t="s">
        <v>323</v>
      </c>
      <c r="E270" s="2"/>
      <c r="F270" s="2" t="str">
        <f>TEXT("5848657399653402400","0")</f>
        <v>5848657399653400000</v>
      </c>
    </row>
    <row r="271" spans="1:6" ht="12.5" x14ac:dyDescent="0.25">
      <c r="A271" s="2"/>
      <c r="B271" s="2"/>
      <c r="C271" s="2" t="s">
        <v>511</v>
      </c>
      <c r="D271" s="2" t="s">
        <v>93</v>
      </c>
      <c r="E271" s="2"/>
      <c r="F271" s="2" t="str">
        <f>TEXT("5848687454518215814","0")</f>
        <v>5848687454518210000</v>
      </c>
    </row>
    <row r="272" spans="1:6" ht="12.5" x14ac:dyDescent="0.25">
      <c r="A272" s="2"/>
      <c r="B272" s="2"/>
      <c r="C272" s="2" t="s">
        <v>512</v>
      </c>
      <c r="D272" s="2" t="s">
        <v>513</v>
      </c>
      <c r="E272" s="2" t="s">
        <v>514</v>
      </c>
      <c r="F272" s="2" t="str">
        <f>TEXT("5848756214514028788","0")</f>
        <v>5848756214514020000</v>
      </c>
    </row>
    <row r="273" spans="1:6" ht="12.5" x14ac:dyDescent="0.25">
      <c r="A273" s="2"/>
      <c r="B273" s="2"/>
      <c r="C273" s="2" t="s">
        <v>515</v>
      </c>
      <c r="D273" s="2" t="s">
        <v>333</v>
      </c>
      <c r="E273" s="2"/>
      <c r="F273" s="2" t="str">
        <f>TEXT("5849261762971618112","0")</f>
        <v>5849261762971610000</v>
      </c>
    </row>
    <row r="274" spans="1:6" ht="12.5" x14ac:dyDescent="0.25">
      <c r="A274" s="2"/>
      <c r="B274" s="2"/>
      <c r="C274" s="2" t="s">
        <v>516</v>
      </c>
      <c r="D274" s="2" t="s">
        <v>517</v>
      </c>
      <c r="E274" s="2"/>
      <c r="F274" s="2" t="str">
        <f>TEXT("5849375026165123751","0")</f>
        <v>5849375026165120000</v>
      </c>
    </row>
    <row r="275" spans="1:6" ht="12.5" x14ac:dyDescent="0.25">
      <c r="A275" s="2"/>
      <c r="B275" s="2"/>
      <c r="C275" s="2" t="s">
        <v>518</v>
      </c>
      <c r="D275" s="2" t="s">
        <v>53</v>
      </c>
      <c r="E275" s="2" t="s">
        <v>519</v>
      </c>
      <c r="F275" s="2" t="str">
        <f>TEXT("5849377076163497813","0")</f>
        <v>5849377076163490000</v>
      </c>
    </row>
    <row r="276" spans="1:6" ht="12.5" x14ac:dyDescent="0.25">
      <c r="A276" s="2"/>
      <c r="B276" s="2"/>
      <c r="C276" s="2" t="s">
        <v>516</v>
      </c>
      <c r="D276" s="2" t="s">
        <v>359</v>
      </c>
      <c r="E276" s="2" t="s">
        <v>520</v>
      </c>
      <c r="F276" s="2" t="str">
        <f>TEXT("5849408761351118542","0")</f>
        <v>5849408761351110000</v>
      </c>
    </row>
    <row r="277" spans="1:6" ht="12.5" x14ac:dyDescent="0.25">
      <c r="A277" s="2"/>
      <c r="B277" s="2"/>
      <c r="C277" s="2" t="s">
        <v>521</v>
      </c>
      <c r="D277" s="2" t="s">
        <v>522</v>
      </c>
      <c r="E277" s="2"/>
      <c r="F277" s="2" t="str">
        <f>TEXT("5849430754516040677","0")</f>
        <v>5849430754516040000</v>
      </c>
    </row>
    <row r="278" spans="1:6" ht="12.5" x14ac:dyDescent="0.25">
      <c r="A278" s="2"/>
      <c r="B278" s="2"/>
      <c r="C278" s="2" t="s">
        <v>523</v>
      </c>
      <c r="D278" s="2" t="s">
        <v>524</v>
      </c>
      <c r="E278" s="2"/>
      <c r="F278" s="2" t="str">
        <f>TEXT("5849436624772608136","0")</f>
        <v>5849436624772600000</v>
      </c>
    </row>
    <row r="279" spans="1:6" ht="12.5" x14ac:dyDescent="0.25">
      <c r="A279" s="2"/>
      <c r="B279" s="2"/>
      <c r="C279" s="2" t="s">
        <v>525</v>
      </c>
      <c r="D279" s="2" t="s">
        <v>335</v>
      </c>
      <c r="E279" s="2" t="s">
        <v>526</v>
      </c>
      <c r="F279" s="2" t="str">
        <f>TEXT("5849445094512942100","0")</f>
        <v>5849445094512940000</v>
      </c>
    </row>
    <row r="280" spans="1:6" ht="12.5" x14ac:dyDescent="0.25">
      <c r="A280" s="2"/>
      <c r="B280" s="2"/>
      <c r="C280" s="2" t="s">
        <v>527</v>
      </c>
      <c r="D280" s="2" t="s">
        <v>528</v>
      </c>
      <c r="E280" s="2"/>
      <c r="F280" s="2" t="str">
        <f>TEXT("5849482329133098993","0")</f>
        <v>5849482329133090000</v>
      </c>
    </row>
    <row r="281" spans="1:6" ht="12.5" x14ac:dyDescent="0.25">
      <c r="A281" s="2"/>
      <c r="B281" s="2"/>
      <c r="C281" s="2" t="s">
        <v>529</v>
      </c>
      <c r="D281" s="2" t="s">
        <v>12</v>
      </c>
      <c r="E281" s="2" t="s">
        <v>530</v>
      </c>
      <c r="F281" s="2" t="str">
        <f>TEXT("5849491684516383729","0")</f>
        <v>5849491684516380000</v>
      </c>
    </row>
    <row r="282" spans="1:6" ht="12.5" x14ac:dyDescent="0.25">
      <c r="A282" s="2"/>
      <c r="B282" s="2"/>
      <c r="C282" s="2" t="s">
        <v>531</v>
      </c>
      <c r="D282" s="2" t="s">
        <v>226</v>
      </c>
      <c r="E282" s="2"/>
      <c r="F282" s="2" t="str">
        <f>TEXT("5849523614511730584","0")</f>
        <v>5849523614511730000</v>
      </c>
    </row>
    <row r="283" spans="1:6" ht="12.5" x14ac:dyDescent="0.25">
      <c r="A283" s="2"/>
      <c r="B283" s="2"/>
      <c r="C283" s="2" t="s">
        <v>532</v>
      </c>
      <c r="D283" s="2" t="s">
        <v>533</v>
      </c>
      <c r="E283" s="2"/>
      <c r="F283" s="2" t="str">
        <f>TEXT("5849550304519925858","0")</f>
        <v>5849550304519920000</v>
      </c>
    </row>
    <row r="284" spans="1:6" ht="12.5" x14ac:dyDescent="0.25">
      <c r="A284" s="2"/>
      <c r="B284" s="2"/>
      <c r="C284" s="2" t="s">
        <v>534</v>
      </c>
      <c r="D284" s="2" t="s">
        <v>424</v>
      </c>
      <c r="E284" s="2" t="s">
        <v>535</v>
      </c>
      <c r="F284" s="2" t="str">
        <f>TEXT("5850272588135511880","0")</f>
        <v>5850272588135510000</v>
      </c>
    </row>
    <row r="285" spans="1:6" ht="12.5" x14ac:dyDescent="0.25">
      <c r="A285" s="2"/>
      <c r="B285" s="2"/>
      <c r="C285" s="2" t="s">
        <v>536</v>
      </c>
      <c r="D285" s="2" t="s">
        <v>537</v>
      </c>
      <c r="E285" s="2"/>
      <c r="F285" s="2" t="str">
        <f>TEXT("5850294104516630073","0")</f>
        <v>5850294104516630000</v>
      </c>
    </row>
    <row r="286" spans="1:6" ht="12.5" x14ac:dyDescent="0.25">
      <c r="A286" s="2"/>
      <c r="B286" s="2"/>
      <c r="C286" s="2" t="s">
        <v>538</v>
      </c>
      <c r="D286" s="2" t="s">
        <v>539</v>
      </c>
      <c r="E286" s="2" t="s">
        <v>408</v>
      </c>
      <c r="F286" s="2" t="str">
        <f>TEXT("5850304504513762471","0")</f>
        <v>5850304504513760000</v>
      </c>
    </row>
    <row r="287" spans="1:6" ht="12.5" x14ac:dyDescent="0.25">
      <c r="A287" s="2"/>
      <c r="B287" s="2"/>
      <c r="C287" s="2" t="s">
        <v>540</v>
      </c>
      <c r="D287" s="2" t="s">
        <v>323</v>
      </c>
      <c r="E287" s="2"/>
      <c r="F287" s="2" t="str">
        <f>TEXT("5850353755783233587","0")</f>
        <v>5850353755783230000</v>
      </c>
    </row>
    <row r="288" spans="1:6" ht="12.5" x14ac:dyDescent="0.25">
      <c r="A288" s="2"/>
      <c r="B288" s="2"/>
      <c r="C288" s="2" t="s">
        <v>541</v>
      </c>
      <c r="D288" s="2" t="s">
        <v>352</v>
      </c>
      <c r="E288" s="2"/>
      <c r="F288" s="2" t="str">
        <f>TEXT("5850456504519829930","0")</f>
        <v>5850456504519820000</v>
      </c>
    </row>
    <row r="289" spans="1:6" ht="12.5" x14ac:dyDescent="0.25">
      <c r="A289" s="2"/>
      <c r="B289" s="2"/>
      <c r="C289" s="2" t="s">
        <v>542</v>
      </c>
      <c r="D289" s="2" t="s">
        <v>543</v>
      </c>
      <c r="E289" s="2" t="s">
        <v>544</v>
      </c>
      <c r="F289" s="2" t="str">
        <f>TEXT("5850511174513134576","0")</f>
        <v>5850511174513130000</v>
      </c>
    </row>
    <row r="290" spans="1:6" ht="12.5" x14ac:dyDescent="0.25">
      <c r="A290" s="2"/>
      <c r="B290" s="2"/>
      <c r="C290" s="2" t="s">
        <v>545</v>
      </c>
      <c r="D290" s="2" t="s">
        <v>546</v>
      </c>
      <c r="E290" s="2"/>
      <c r="F290" s="2" t="str">
        <f>TEXT("5850524244514342674","0")</f>
        <v>5850524244514340000</v>
      </c>
    </row>
    <row r="291" spans="1:6" ht="12.5" x14ac:dyDescent="0.25">
      <c r="A291" s="2"/>
      <c r="B291" s="2"/>
      <c r="C291" s="2" t="s">
        <v>547</v>
      </c>
      <c r="D291" s="2" t="s">
        <v>333</v>
      </c>
      <c r="E291" s="2"/>
      <c r="F291" s="2" t="str">
        <f>TEXT("5851204334511276649","0")</f>
        <v>5851204334511270000</v>
      </c>
    </row>
    <row r="292" spans="1:6" ht="12.5" x14ac:dyDescent="0.25">
      <c r="A292" s="2"/>
      <c r="B292" s="2"/>
      <c r="C292" s="2" t="s">
        <v>548</v>
      </c>
      <c r="D292" s="2" t="s">
        <v>414</v>
      </c>
      <c r="E292" s="2" t="s">
        <v>549</v>
      </c>
      <c r="F292" s="2" t="str">
        <f>TEXT("5851207794517078274","0")</f>
        <v>5851207794517070000</v>
      </c>
    </row>
    <row r="293" spans="1:6" ht="12.5" x14ac:dyDescent="0.25">
      <c r="A293" s="2"/>
      <c r="B293" s="2"/>
      <c r="C293" s="2" t="s">
        <v>550</v>
      </c>
      <c r="D293" s="2" t="s">
        <v>551</v>
      </c>
      <c r="E293" s="2" t="s">
        <v>552</v>
      </c>
      <c r="F293" s="2" t="str">
        <f>TEXT("5853741784516747284","0")</f>
        <v>5853741784516740000</v>
      </c>
    </row>
    <row r="294" spans="1:6" ht="12.5" x14ac:dyDescent="0.25">
      <c r="A294" s="2"/>
      <c r="B294" s="2"/>
      <c r="C294" s="2" t="s">
        <v>553</v>
      </c>
      <c r="D294" s="2" t="s">
        <v>554</v>
      </c>
      <c r="E294" s="2" t="s">
        <v>336</v>
      </c>
      <c r="F294" s="2" t="str">
        <f>TEXT("5853773564515780127","0")</f>
        <v>5853773564515780000</v>
      </c>
    </row>
    <row r="295" spans="1:6" ht="12.5" x14ac:dyDescent="0.25">
      <c r="A295" s="2"/>
      <c r="B295" s="2"/>
      <c r="C295" s="2" t="s">
        <v>555</v>
      </c>
      <c r="D295" s="2" t="s">
        <v>556</v>
      </c>
      <c r="E295" s="2"/>
      <c r="F295" s="2" t="str">
        <f>TEXT("5853776257719190991","0")</f>
        <v>5853776257719190000</v>
      </c>
    </row>
    <row r="296" spans="1:6" ht="12.5" x14ac:dyDescent="0.25">
      <c r="A296" s="2"/>
      <c r="B296" s="2"/>
      <c r="C296" s="2" t="s">
        <v>557</v>
      </c>
      <c r="D296" s="2" t="s">
        <v>558</v>
      </c>
      <c r="E296" s="2"/>
      <c r="F296" s="2" t="str">
        <f>TEXT("5853935814518791793","0")</f>
        <v>5853935814518790000</v>
      </c>
    </row>
    <row r="297" spans="1:6" ht="12.5" x14ac:dyDescent="0.25">
      <c r="A297" s="2"/>
      <c r="B297" s="2"/>
      <c r="C297" s="2" t="s">
        <v>559</v>
      </c>
      <c r="D297" s="2" t="s">
        <v>560</v>
      </c>
      <c r="E297" s="2"/>
      <c r="F297" s="2" t="str">
        <f>TEXT("5854585270267436217","0")</f>
        <v>5854585270267430000</v>
      </c>
    </row>
    <row r="298" spans="1:6" ht="12.5" x14ac:dyDescent="0.25">
      <c r="A298" s="2"/>
      <c r="B298" s="2"/>
      <c r="C298" s="2" t="s">
        <v>561</v>
      </c>
      <c r="D298" s="2" t="s">
        <v>424</v>
      </c>
      <c r="E298" s="2" t="s">
        <v>562</v>
      </c>
      <c r="F298" s="2" t="str">
        <f>TEXT("5854594972172052998","0")</f>
        <v>5854594972172050000</v>
      </c>
    </row>
    <row r="299" spans="1:6" ht="12.5" x14ac:dyDescent="0.25">
      <c r="A299" s="2"/>
      <c r="B299" s="2"/>
      <c r="C299" s="2" t="s">
        <v>561</v>
      </c>
      <c r="D299" s="2" t="s">
        <v>563</v>
      </c>
      <c r="E299" s="2" t="s">
        <v>564</v>
      </c>
      <c r="F299" s="2" t="str">
        <f>TEXT("5854596084366159052","0")</f>
        <v>5854596084366150000</v>
      </c>
    </row>
    <row r="300" spans="1:6" ht="12.5" x14ac:dyDescent="0.25">
      <c r="A300" s="2"/>
      <c r="B300" s="2"/>
      <c r="C300" s="2" t="s">
        <v>565</v>
      </c>
      <c r="D300" s="2" t="s">
        <v>356</v>
      </c>
      <c r="E300" s="2" t="s">
        <v>149</v>
      </c>
      <c r="F300" s="2" t="str">
        <f>TEXT("5854605558164336175","0")</f>
        <v>5854605558164330000</v>
      </c>
    </row>
    <row r="301" spans="1:6" ht="12.5" x14ac:dyDescent="0.25">
      <c r="A301" s="2"/>
      <c r="B301" s="2"/>
      <c r="C301" s="2" t="s">
        <v>566</v>
      </c>
      <c r="D301" s="2" t="s">
        <v>567</v>
      </c>
      <c r="E301" s="2" t="s">
        <v>568</v>
      </c>
      <c r="F301" s="2" t="str">
        <f>TEXT("5854607814514155668","0")</f>
        <v>5854607814514150000</v>
      </c>
    </row>
    <row r="302" spans="1:6" ht="12.5" x14ac:dyDescent="0.25">
      <c r="A302" s="2"/>
      <c r="B302" s="2"/>
      <c r="C302" s="2" t="s">
        <v>569</v>
      </c>
      <c r="D302" s="2" t="s">
        <v>570</v>
      </c>
      <c r="E302" s="2" t="s">
        <v>571</v>
      </c>
      <c r="F302" s="2" t="str">
        <f>TEXT("5854622192314653935","0")</f>
        <v>5854622192314650000</v>
      </c>
    </row>
    <row r="303" spans="1:6" ht="12.5" x14ac:dyDescent="0.25">
      <c r="A303" s="2"/>
      <c r="B303" s="2"/>
      <c r="C303" s="2" t="s">
        <v>572</v>
      </c>
      <c r="D303" s="2" t="s">
        <v>195</v>
      </c>
      <c r="E303" s="2"/>
      <c r="F303" s="2" t="str">
        <f>TEXT("5854629294516652639","0")</f>
        <v>5854629294516650000</v>
      </c>
    </row>
    <row r="304" spans="1:6" ht="12.5" x14ac:dyDescent="0.25">
      <c r="A304" s="2"/>
      <c r="B304" s="2"/>
      <c r="C304" s="2" t="s">
        <v>573</v>
      </c>
      <c r="D304" s="2" t="s">
        <v>574</v>
      </c>
      <c r="E304" s="2" t="s">
        <v>575</v>
      </c>
      <c r="F304" s="2" t="str">
        <f>TEXT("5854629873579873064","0")</f>
        <v>5854629873579870000</v>
      </c>
    </row>
    <row r="305" spans="1:6" ht="12.5" x14ac:dyDescent="0.25">
      <c r="A305" s="2"/>
      <c r="B305" s="2"/>
      <c r="C305" s="2" t="s">
        <v>576</v>
      </c>
      <c r="D305" s="2" t="s">
        <v>577</v>
      </c>
      <c r="E305" s="2"/>
      <c r="F305" s="2" t="str">
        <f>TEXT("5854635104515697614","0")</f>
        <v>5854635104515690000</v>
      </c>
    </row>
    <row r="306" spans="1:6" ht="12.5" x14ac:dyDescent="0.25">
      <c r="A306" s="2"/>
      <c r="B306" s="2"/>
      <c r="C306" s="2" t="s">
        <v>578</v>
      </c>
      <c r="D306" s="2" t="s">
        <v>579</v>
      </c>
      <c r="E306" s="2" t="s">
        <v>580</v>
      </c>
      <c r="F306" s="2" t="str">
        <f>TEXT("5854640794519308296","0")</f>
        <v>5854640794519300000</v>
      </c>
    </row>
    <row r="307" spans="1:6" ht="12.5" x14ac:dyDescent="0.25">
      <c r="A307" s="2"/>
      <c r="B307" s="2"/>
      <c r="C307" s="2" t="s">
        <v>581</v>
      </c>
      <c r="D307" s="2" t="s">
        <v>479</v>
      </c>
      <c r="E307" s="2" t="s">
        <v>582</v>
      </c>
      <c r="F307" s="2" t="str">
        <f>TEXT("5854648714516349034","0")</f>
        <v>5854648714516340000</v>
      </c>
    </row>
    <row r="308" spans="1:6" ht="12.5" x14ac:dyDescent="0.25">
      <c r="A308" s="2"/>
      <c r="B308" s="2"/>
      <c r="C308" s="2" t="s">
        <v>583</v>
      </c>
      <c r="D308" s="2" t="s">
        <v>323</v>
      </c>
      <c r="E308" s="2"/>
      <c r="F308" s="2" t="str">
        <f>TEXT("5854655817952929523","0")</f>
        <v>5854655817952920000</v>
      </c>
    </row>
    <row r="309" spans="1:6" ht="12.5" x14ac:dyDescent="0.25">
      <c r="A309" s="2"/>
      <c r="B309" s="2"/>
      <c r="C309" s="2" t="s">
        <v>584</v>
      </c>
      <c r="D309" s="2" t="s">
        <v>116</v>
      </c>
      <c r="E309" s="2"/>
      <c r="F309" s="2" t="str">
        <f>TEXT("5854726975133924134","0")</f>
        <v>5854726975133920000</v>
      </c>
    </row>
    <row r="310" spans="1:6" ht="12.5" x14ac:dyDescent="0.25">
      <c r="A310" s="2"/>
      <c r="B310" s="2"/>
      <c r="C310" s="2" t="s">
        <v>585</v>
      </c>
      <c r="D310" s="2" t="s">
        <v>586</v>
      </c>
      <c r="E310" s="2"/>
      <c r="F310" s="2" t="str">
        <f>TEXT("5854778014512589329","0")</f>
        <v>5854778014512580000</v>
      </c>
    </row>
    <row r="311" spans="1:6" ht="12.5" x14ac:dyDescent="0.25">
      <c r="A311" s="2"/>
      <c r="B311" s="2"/>
      <c r="C311" s="2" t="s">
        <v>587</v>
      </c>
      <c r="D311" s="2" t="s">
        <v>558</v>
      </c>
      <c r="E311" s="2"/>
      <c r="F311" s="2" t="str">
        <f>TEXT("5854779194514039844","0")</f>
        <v>5854779194514030000</v>
      </c>
    </row>
    <row r="312" spans="1:6" ht="12.5" x14ac:dyDescent="0.25">
      <c r="A312" s="2"/>
      <c r="B312" s="2"/>
      <c r="C312" s="2" t="s">
        <v>588</v>
      </c>
      <c r="D312" s="2" t="s">
        <v>277</v>
      </c>
      <c r="E312" s="2"/>
      <c r="F312" s="2" t="str">
        <f>TEXT("5854790324517011111","0")</f>
        <v>5854790324517010000</v>
      </c>
    </row>
    <row r="313" spans="1:6" ht="12.5" x14ac:dyDescent="0.25">
      <c r="A313" s="2"/>
      <c r="B313" s="2"/>
      <c r="C313" s="2" t="s">
        <v>589</v>
      </c>
      <c r="D313" s="2" t="s">
        <v>333</v>
      </c>
      <c r="E313" s="2"/>
      <c r="F313" s="2" t="str">
        <f>TEXT("5855456244519344003","0")</f>
        <v>5855456244519340000</v>
      </c>
    </row>
    <row r="314" spans="1:6" ht="12.5" x14ac:dyDescent="0.25">
      <c r="A314" s="2"/>
      <c r="B314" s="2"/>
      <c r="C314" s="2" t="s">
        <v>590</v>
      </c>
      <c r="D314" s="2" t="s">
        <v>359</v>
      </c>
      <c r="E314" s="2" t="s">
        <v>591</v>
      </c>
      <c r="F314" s="2" t="str">
        <f>TEXT("5855458684615683995","0")</f>
        <v>5855458684615680000</v>
      </c>
    </row>
    <row r="315" spans="1:6" ht="12.5" x14ac:dyDescent="0.25">
      <c r="A315" s="2"/>
      <c r="B315" s="2"/>
      <c r="C315" s="2" t="s">
        <v>592</v>
      </c>
      <c r="D315" s="2" t="s">
        <v>593</v>
      </c>
      <c r="E315" s="2" t="s">
        <v>594</v>
      </c>
      <c r="F315" s="2" t="str">
        <f>TEXT("5855469594511101714","0")</f>
        <v>5855469594511100000</v>
      </c>
    </row>
    <row r="316" spans="1:6" ht="12.5" x14ac:dyDescent="0.25">
      <c r="A316" s="2"/>
      <c r="B316" s="2"/>
      <c r="C316" s="2" t="s">
        <v>595</v>
      </c>
      <c r="D316" s="2" t="s">
        <v>596</v>
      </c>
      <c r="E316" s="2"/>
      <c r="F316" s="2" t="str">
        <f>TEXT("5855490454515416637","0")</f>
        <v>5855490454515410000</v>
      </c>
    </row>
    <row r="317" spans="1:6" ht="12.5" x14ac:dyDescent="0.25">
      <c r="A317" s="2"/>
      <c r="B317" s="2"/>
      <c r="C317" s="2" t="s">
        <v>597</v>
      </c>
      <c r="D317" s="2" t="s">
        <v>195</v>
      </c>
      <c r="E317" s="2"/>
      <c r="F317" s="2" t="str">
        <f>TEXT("5855490754512546413","0")</f>
        <v>5855490754512540000</v>
      </c>
    </row>
    <row r="318" spans="1:6" ht="12.5" x14ac:dyDescent="0.25">
      <c r="A318" s="2"/>
      <c r="B318" s="2"/>
      <c r="C318" s="2" t="s">
        <v>598</v>
      </c>
      <c r="D318" s="2" t="s">
        <v>479</v>
      </c>
      <c r="E318" s="2" t="s">
        <v>582</v>
      </c>
      <c r="F318" s="2" t="str">
        <f>TEXT("5855499624517334806","0")</f>
        <v>5855499624517330000</v>
      </c>
    </row>
    <row r="319" spans="1:6" ht="12.5" x14ac:dyDescent="0.25">
      <c r="A319" s="2"/>
      <c r="B319" s="2"/>
      <c r="C319" s="2" t="s">
        <v>599</v>
      </c>
      <c r="D319" s="2" t="s">
        <v>600</v>
      </c>
      <c r="E319" s="2" t="s">
        <v>601</v>
      </c>
      <c r="F319" s="2" t="str">
        <f>TEXT("5855518037975366069","0")</f>
        <v>5855518037975360000</v>
      </c>
    </row>
    <row r="320" spans="1:6" ht="12.5" x14ac:dyDescent="0.25">
      <c r="A320" s="2"/>
      <c r="B320" s="2"/>
      <c r="C320" s="2" t="s">
        <v>602</v>
      </c>
      <c r="D320" s="2" t="s">
        <v>603</v>
      </c>
      <c r="E320" s="2"/>
      <c r="F320" s="2" t="str">
        <f>TEXT("5855585229511035930","0")</f>
        <v>5855585229511030000</v>
      </c>
    </row>
    <row r="321" spans="1:6" ht="12.5" x14ac:dyDescent="0.25">
      <c r="A321" s="2"/>
      <c r="B321" s="2"/>
      <c r="C321" s="2" t="s">
        <v>602</v>
      </c>
      <c r="D321" s="2" t="s">
        <v>603</v>
      </c>
      <c r="E321" s="2"/>
      <c r="F321" s="2" t="str">
        <f>TEXT("5855586949513180211","0")</f>
        <v>5855586949513180000</v>
      </c>
    </row>
    <row r="322" spans="1:6" ht="12.5" x14ac:dyDescent="0.25">
      <c r="A322" s="2"/>
      <c r="B322" s="2"/>
      <c r="C322" s="2" t="s">
        <v>604</v>
      </c>
      <c r="D322" s="2" t="s">
        <v>327</v>
      </c>
      <c r="E322" s="2" t="s">
        <v>605</v>
      </c>
      <c r="F322" s="2" t="str">
        <f>TEXT("5855639704519436394","0")</f>
        <v>5855639704519430000</v>
      </c>
    </row>
    <row r="323" spans="1:6" ht="12.5" x14ac:dyDescent="0.25">
      <c r="A323" s="2"/>
      <c r="B323" s="2"/>
      <c r="C323" s="2" t="s">
        <v>606</v>
      </c>
      <c r="D323" s="2" t="s">
        <v>533</v>
      </c>
      <c r="E323" s="2"/>
      <c r="F323" s="2" t="str">
        <f>TEXT("5855641254515927518","0")</f>
        <v>5855641254515920000</v>
      </c>
    </row>
    <row r="324" spans="1:6" ht="12.5" x14ac:dyDescent="0.25">
      <c r="A324" s="2"/>
      <c r="B324" s="2"/>
      <c r="C324" s="2" t="s">
        <v>607</v>
      </c>
      <c r="D324" s="2" t="s">
        <v>608</v>
      </c>
      <c r="E324" s="2"/>
      <c r="F324" s="2" t="str">
        <f>TEXT("5856308859214393772","0")</f>
        <v>5856308859214390000</v>
      </c>
    </row>
    <row r="325" spans="1:6" ht="12.5" x14ac:dyDescent="0.25">
      <c r="A325" s="2"/>
      <c r="B325" s="2"/>
      <c r="C325" s="2" t="s">
        <v>607</v>
      </c>
      <c r="D325" s="2" t="s">
        <v>609</v>
      </c>
      <c r="E325" s="2"/>
      <c r="F325" s="2" t="str">
        <f>TEXT("5856311394515142191","0")</f>
        <v>5856311394515140000</v>
      </c>
    </row>
    <row r="326" spans="1:6" ht="12.5" x14ac:dyDescent="0.25">
      <c r="A326" s="2"/>
      <c r="B326" s="2"/>
      <c r="C326" s="2" t="s">
        <v>610</v>
      </c>
      <c r="D326" s="2" t="s">
        <v>424</v>
      </c>
      <c r="E326" s="2" t="s">
        <v>425</v>
      </c>
      <c r="F326" s="2" t="str">
        <f>TEXT("5856314124616983093","0")</f>
        <v>5856314124616980000</v>
      </c>
    </row>
    <row r="327" spans="1:6" ht="12.5" x14ac:dyDescent="0.25">
      <c r="A327" s="2"/>
      <c r="B327" s="2"/>
      <c r="C327" s="2" t="s">
        <v>610</v>
      </c>
      <c r="D327" s="2" t="s">
        <v>244</v>
      </c>
      <c r="E327" s="2" t="s">
        <v>611</v>
      </c>
      <c r="F327" s="2" t="str">
        <f>TEXT("5856314572484110071","0")</f>
        <v>5856314572484110000</v>
      </c>
    </row>
    <row r="328" spans="1:6" ht="12.5" x14ac:dyDescent="0.25">
      <c r="A328" s="2"/>
      <c r="B328" s="2"/>
      <c r="C328" s="2" t="s">
        <v>610</v>
      </c>
      <c r="D328" s="2" t="s">
        <v>356</v>
      </c>
      <c r="E328" s="2" t="s">
        <v>612</v>
      </c>
      <c r="F328" s="2" t="str">
        <f>TEXT("5856320390816747302","0")</f>
        <v>5856320390816740000</v>
      </c>
    </row>
    <row r="329" spans="1:6" ht="12.5" x14ac:dyDescent="0.25">
      <c r="A329" s="2"/>
      <c r="B329" s="2"/>
      <c r="C329" s="2" t="s">
        <v>607</v>
      </c>
      <c r="D329" s="2" t="s">
        <v>320</v>
      </c>
      <c r="E329" s="2"/>
      <c r="F329" s="2" t="str">
        <f>TEXT("5856327447312867229","0")</f>
        <v>5856327447312860000</v>
      </c>
    </row>
    <row r="330" spans="1:6" ht="12.5" x14ac:dyDescent="0.25">
      <c r="A330" s="2"/>
      <c r="B330" s="2"/>
      <c r="C330" s="2" t="s">
        <v>613</v>
      </c>
      <c r="D330" s="2" t="s">
        <v>614</v>
      </c>
      <c r="E330" s="2"/>
      <c r="F330" s="2" t="str">
        <f>TEXT("5856336494516547668","0")</f>
        <v>5856336494516540000</v>
      </c>
    </row>
    <row r="331" spans="1:6" ht="12.5" x14ac:dyDescent="0.25">
      <c r="A331" s="2"/>
      <c r="B331" s="2"/>
      <c r="C331" s="2" t="s">
        <v>613</v>
      </c>
      <c r="D331" s="2" t="s">
        <v>71</v>
      </c>
      <c r="E331" s="2" t="s">
        <v>615</v>
      </c>
      <c r="F331" s="2" t="str">
        <f>TEXT("5856338618551586800","0")</f>
        <v>5856338618551580000</v>
      </c>
    </row>
    <row r="332" spans="1:6" ht="12.5" x14ac:dyDescent="0.25">
      <c r="A332" s="2"/>
      <c r="B332" s="2"/>
      <c r="C332" s="2" t="s">
        <v>613</v>
      </c>
      <c r="D332" s="2" t="s">
        <v>465</v>
      </c>
      <c r="E332" s="2"/>
      <c r="F332" s="2" t="str">
        <f>TEXT("5856338938184272542","0")</f>
        <v>5856338938184270000</v>
      </c>
    </row>
    <row r="333" spans="1:6" ht="12.5" x14ac:dyDescent="0.25">
      <c r="A333" s="2"/>
      <c r="B333" s="2"/>
      <c r="C333" s="2" t="s">
        <v>616</v>
      </c>
      <c r="D333" s="2" t="s">
        <v>617</v>
      </c>
      <c r="E333" s="2"/>
      <c r="F333" s="2" t="str">
        <f>TEXT("5856342456898324398","0")</f>
        <v>5856342456898320000</v>
      </c>
    </row>
    <row r="334" spans="1:6" ht="12.5" x14ac:dyDescent="0.25">
      <c r="A334" s="2"/>
      <c r="B334" s="2"/>
      <c r="C334" s="2" t="s">
        <v>618</v>
      </c>
      <c r="D334" s="2" t="s">
        <v>619</v>
      </c>
      <c r="E334" s="2" t="s">
        <v>620</v>
      </c>
      <c r="F334" s="2" t="str">
        <f>TEXT("5856374575498333159","0")</f>
        <v>5856374575498330000</v>
      </c>
    </row>
    <row r="335" spans="1:6" ht="12.5" x14ac:dyDescent="0.25">
      <c r="A335" s="2"/>
      <c r="B335" s="2"/>
      <c r="C335" s="2" t="s">
        <v>621</v>
      </c>
      <c r="D335" s="2" t="s">
        <v>622</v>
      </c>
      <c r="E335" s="2" t="s">
        <v>623</v>
      </c>
      <c r="F335" s="2" t="str">
        <f>TEXT("5856375652213597627","0")</f>
        <v>5856375652213590000</v>
      </c>
    </row>
    <row r="336" spans="1:6" ht="12.5" x14ac:dyDescent="0.25">
      <c r="A336" s="2"/>
      <c r="B336" s="2"/>
      <c r="C336" s="2" t="s">
        <v>618</v>
      </c>
      <c r="D336" s="2" t="s">
        <v>323</v>
      </c>
      <c r="E336" s="2"/>
      <c r="F336" s="2" t="str">
        <f>TEXT("5856381359514450616","0")</f>
        <v>5856381359514450000</v>
      </c>
    </row>
    <row r="337" spans="1:6" ht="12.5" x14ac:dyDescent="0.25">
      <c r="A337" s="2"/>
      <c r="B337" s="2"/>
      <c r="C337" s="2" t="s">
        <v>624</v>
      </c>
      <c r="D337" s="2" t="s">
        <v>625</v>
      </c>
      <c r="E337" s="2" t="s">
        <v>626</v>
      </c>
      <c r="F337" s="2" t="str">
        <f>TEXT("5856385509248965094","0")</f>
        <v>5856385509248960000</v>
      </c>
    </row>
    <row r="338" spans="1:6" ht="12.5" x14ac:dyDescent="0.25">
      <c r="A338" s="2"/>
      <c r="B338" s="2"/>
      <c r="C338" s="2" t="s">
        <v>627</v>
      </c>
      <c r="D338" s="2" t="s">
        <v>628</v>
      </c>
      <c r="E338" s="2" t="s">
        <v>629</v>
      </c>
      <c r="F338" s="2" t="str">
        <f>TEXT("5856440624506408395","0")</f>
        <v>5856440624506400000</v>
      </c>
    </row>
    <row r="339" spans="1:6" ht="12.5" x14ac:dyDescent="0.25">
      <c r="A339" s="2"/>
      <c r="B339" s="2"/>
      <c r="C339" s="2" t="s">
        <v>630</v>
      </c>
      <c r="D339" s="2" t="s">
        <v>631</v>
      </c>
      <c r="E339" s="2" t="s">
        <v>601</v>
      </c>
      <c r="F339" s="2" t="str">
        <f>TEXT("5856466628559357599","0")</f>
        <v>5856466628559350000</v>
      </c>
    </row>
    <row r="340" spans="1:6" ht="12.5" x14ac:dyDescent="0.25">
      <c r="A340" s="2"/>
      <c r="B340" s="2"/>
      <c r="C340" s="2" t="s">
        <v>632</v>
      </c>
      <c r="D340" s="2" t="s">
        <v>116</v>
      </c>
      <c r="E340" s="2"/>
      <c r="F340" s="2" t="str">
        <f>TEXT("5856470184512376725","0")</f>
        <v>5856470184512370000</v>
      </c>
    </row>
    <row r="341" spans="1:6" ht="12.5" x14ac:dyDescent="0.25">
      <c r="A341" s="2"/>
      <c r="B341" s="2"/>
      <c r="C341" s="2" t="s">
        <v>633</v>
      </c>
      <c r="D341" s="2" t="s">
        <v>453</v>
      </c>
      <c r="E341" s="2"/>
      <c r="F341" s="2" t="str">
        <f>TEXT("5856510430927656397","0")</f>
        <v>5856510430927650000</v>
      </c>
    </row>
    <row r="342" spans="1:6" ht="12.5" x14ac:dyDescent="0.25">
      <c r="A342" s="2"/>
      <c r="B342" s="2"/>
      <c r="C342" s="2" t="s">
        <v>630</v>
      </c>
      <c r="D342" s="2" t="s">
        <v>277</v>
      </c>
      <c r="E342" s="2"/>
      <c r="F342" s="2" t="str">
        <f>TEXT("5856517464513267498","0")</f>
        <v>5856517464513260000</v>
      </c>
    </row>
    <row r="343" spans="1:6" ht="12.5" x14ac:dyDescent="0.25">
      <c r="A343" s="2"/>
      <c r="B343" s="2"/>
      <c r="C343" s="2" t="s">
        <v>634</v>
      </c>
      <c r="D343" s="2" t="s">
        <v>635</v>
      </c>
      <c r="E343" s="2" t="s">
        <v>636</v>
      </c>
      <c r="F343" s="2" t="str">
        <f>TEXT("5856563094513968210","0")</f>
        <v>5856563094513960000</v>
      </c>
    </row>
    <row r="344" spans="1:6" ht="12.5" x14ac:dyDescent="0.25">
      <c r="A344" s="2"/>
      <c r="B344" s="2"/>
      <c r="C344" s="2" t="s">
        <v>637</v>
      </c>
      <c r="D344" s="2" t="s">
        <v>323</v>
      </c>
      <c r="E344" s="2"/>
      <c r="F344" s="2" t="str">
        <f>TEXT("5857241701511756359","0")</f>
        <v>5857241701511750000</v>
      </c>
    </row>
    <row r="345" spans="1:6" ht="12.5" x14ac:dyDescent="0.25">
      <c r="A345" s="2"/>
      <c r="B345" s="2"/>
      <c r="C345" s="2" t="s">
        <v>638</v>
      </c>
      <c r="D345" s="2" t="s">
        <v>323</v>
      </c>
      <c r="E345" s="2"/>
      <c r="F345" s="2" t="str">
        <f>TEXT("5857440911515294045","0")</f>
        <v>5857440911515290000</v>
      </c>
    </row>
    <row r="346" spans="1:6" ht="12.5" x14ac:dyDescent="0.25">
      <c r="A346" s="2"/>
      <c r="B346" s="2"/>
      <c r="C346" s="2" t="s">
        <v>639</v>
      </c>
      <c r="D346" s="2" t="s">
        <v>635</v>
      </c>
      <c r="E346" s="2" t="s">
        <v>636</v>
      </c>
      <c r="F346" s="2" t="str">
        <f>TEXT("5859771844515148694","0")</f>
        <v>5859771844515140000</v>
      </c>
    </row>
    <row r="347" spans="1:6" ht="12.5" x14ac:dyDescent="0.25">
      <c r="A347" s="2"/>
      <c r="B347" s="2"/>
      <c r="C347" s="2" t="s">
        <v>640</v>
      </c>
      <c r="D347" s="2" t="s">
        <v>86</v>
      </c>
      <c r="E347" s="2" t="s">
        <v>641</v>
      </c>
      <c r="F347" s="2" t="str">
        <f>TEXT("5859780915015207806","0")</f>
        <v>5859780915015200000</v>
      </c>
    </row>
    <row r="348" spans="1:6" ht="12.5" x14ac:dyDescent="0.25">
      <c r="A348" s="2"/>
      <c r="B348" s="2"/>
      <c r="C348" s="2" t="s">
        <v>642</v>
      </c>
      <c r="D348" s="2" t="s">
        <v>643</v>
      </c>
      <c r="E348" s="2" t="s">
        <v>644</v>
      </c>
      <c r="F348" s="2" t="str">
        <f>TEXT("5859793992314161316","0")</f>
        <v>5859793992314160000</v>
      </c>
    </row>
    <row r="349" spans="1:6" ht="12.5" x14ac:dyDescent="0.25">
      <c r="A349" s="2"/>
      <c r="B349" s="2"/>
      <c r="C349" s="2" t="s">
        <v>645</v>
      </c>
      <c r="D349" s="2" t="s">
        <v>279</v>
      </c>
      <c r="E349" s="2"/>
      <c r="F349" s="2" t="str">
        <f>TEXT("5859972155013511898","0")</f>
        <v>5859972155013510000</v>
      </c>
    </row>
    <row r="350" spans="1:6" ht="12.5" x14ac:dyDescent="0.25">
      <c r="A350" s="2"/>
      <c r="B350" s="2"/>
      <c r="C350" s="2" t="s">
        <v>646</v>
      </c>
      <c r="D350" s="2" t="s">
        <v>348</v>
      </c>
      <c r="E350" s="2"/>
      <c r="F350" s="2" t="str">
        <f>TEXT("5860592827881984163","0")</f>
        <v>5860592827881980000</v>
      </c>
    </row>
    <row r="351" spans="1:6" ht="12.5" x14ac:dyDescent="0.25">
      <c r="A351" s="2"/>
      <c r="B351" s="2"/>
      <c r="C351" s="2" t="s">
        <v>647</v>
      </c>
      <c r="D351" s="2" t="s">
        <v>359</v>
      </c>
      <c r="E351" s="2" t="s">
        <v>648</v>
      </c>
      <c r="F351" s="2" t="str">
        <f>TEXT("5860617706311323439","0")</f>
        <v>5860617706311320000</v>
      </c>
    </row>
    <row r="352" spans="1:6" ht="12.5" x14ac:dyDescent="0.25">
      <c r="A352" s="2"/>
      <c r="B352" s="2"/>
      <c r="C352" s="2" t="s">
        <v>649</v>
      </c>
      <c r="D352" s="2" t="s">
        <v>395</v>
      </c>
      <c r="E352" s="2"/>
      <c r="F352" s="2" t="str">
        <f>TEXT("5860624722258745572","0")</f>
        <v>5860624722258740000</v>
      </c>
    </row>
    <row r="353" spans="1:6" ht="12.5" x14ac:dyDescent="0.25">
      <c r="A353" s="2"/>
      <c r="B353" s="2"/>
      <c r="C353" s="2" t="s">
        <v>650</v>
      </c>
      <c r="D353" s="2" t="s">
        <v>651</v>
      </c>
      <c r="E353" s="2"/>
      <c r="F353" s="2" t="str">
        <f>TEXT("5860625684514338825","0")</f>
        <v>5860625684514330000</v>
      </c>
    </row>
    <row r="354" spans="1:6" ht="12.5" x14ac:dyDescent="0.25">
      <c r="A354" s="2"/>
      <c r="B354" s="2"/>
      <c r="C354" s="2" t="s">
        <v>652</v>
      </c>
      <c r="D354" s="2" t="s">
        <v>653</v>
      </c>
      <c r="E354" s="2" t="s">
        <v>654</v>
      </c>
      <c r="F354" s="2" t="str">
        <f>TEXT("5860640030418688602","0")</f>
        <v>5860640030418680000</v>
      </c>
    </row>
    <row r="355" spans="1:6" ht="12.5" x14ac:dyDescent="0.25">
      <c r="A355" s="2"/>
      <c r="B355" s="2"/>
      <c r="C355" s="2" t="s">
        <v>652</v>
      </c>
      <c r="D355" s="2" t="s">
        <v>655</v>
      </c>
      <c r="E355" s="2"/>
      <c r="F355" s="2" t="str">
        <f>TEXT("5860642124518904131","0")</f>
        <v>5860642124518900000</v>
      </c>
    </row>
    <row r="356" spans="1:6" ht="12.5" x14ac:dyDescent="0.25">
      <c r="A356" s="2"/>
      <c r="B356" s="2"/>
      <c r="C356" s="2" t="s">
        <v>656</v>
      </c>
      <c r="D356" s="2" t="s">
        <v>657</v>
      </c>
      <c r="E356" s="2" t="s">
        <v>408</v>
      </c>
      <c r="F356" s="2" t="str">
        <f>TEXT("5860645864517325447","0")</f>
        <v>5860645864517320000</v>
      </c>
    </row>
    <row r="357" spans="1:6" ht="12.5" x14ac:dyDescent="0.25">
      <c r="A357" s="2"/>
      <c r="B357" s="2"/>
      <c r="C357" s="2" t="s">
        <v>658</v>
      </c>
      <c r="D357" s="2" t="s">
        <v>659</v>
      </c>
      <c r="E357" s="2"/>
      <c r="F357" s="2" t="str">
        <f>TEXT("5860662344516069138","0")</f>
        <v>5860662344516060000</v>
      </c>
    </row>
    <row r="358" spans="1:6" ht="12.5" x14ac:dyDescent="0.25">
      <c r="A358" s="2"/>
      <c r="B358" s="2"/>
      <c r="C358" s="2" t="s">
        <v>660</v>
      </c>
      <c r="D358" s="2" t="s">
        <v>116</v>
      </c>
      <c r="E358" s="2"/>
      <c r="F358" s="2" t="str">
        <f>TEXT("5860723114511562225","0")</f>
        <v>5860723114511560000</v>
      </c>
    </row>
    <row r="359" spans="1:6" ht="12.5" x14ac:dyDescent="0.25">
      <c r="A359" s="2"/>
      <c r="B359" s="2"/>
      <c r="C359" s="2" t="s">
        <v>661</v>
      </c>
      <c r="D359" s="2" t="s">
        <v>316</v>
      </c>
      <c r="E359" s="2"/>
      <c r="F359" s="2" t="str">
        <f>TEXT("5860735614511643056","0")</f>
        <v>5860735614511640000</v>
      </c>
    </row>
    <row r="360" spans="1:6" ht="12.5" x14ac:dyDescent="0.25">
      <c r="A360" s="2"/>
      <c r="B360" s="2"/>
      <c r="C360" s="2" t="s">
        <v>661</v>
      </c>
      <c r="D360" s="2" t="s">
        <v>308</v>
      </c>
      <c r="E360" s="2"/>
      <c r="F360" s="2" t="str">
        <f>TEXT("5860736140412025838","0")</f>
        <v>5860736140412020000</v>
      </c>
    </row>
    <row r="361" spans="1:6" ht="12.5" x14ac:dyDescent="0.25">
      <c r="A361" s="2"/>
      <c r="B361" s="2"/>
      <c r="C361" s="2" t="s">
        <v>662</v>
      </c>
      <c r="D361" s="2" t="s">
        <v>663</v>
      </c>
      <c r="E361" s="2"/>
      <c r="F361" s="2" t="str">
        <f>TEXT("5860737954518196762","0")</f>
        <v>5860737954518190000</v>
      </c>
    </row>
    <row r="362" spans="1:6" ht="12.5" x14ac:dyDescent="0.25">
      <c r="A362" s="2"/>
      <c r="B362" s="2"/>
      <c r="C362" s="2" t="s">
        <v>664</v>
      </c>
      <c r="D362" s="2" t="s">
        <v>563</v>
      </c>
      <c r="E362" s="2"/>
      <c r="F362" s="2" t="str">
        <f>TEXT("5861423975766252322","0")</f>
        <v>5861423975766250000</v>
      </c>
    </row>
    <row r="363" spans="1:6" ht="12.5" x14ac:dyDescent="0.25">
      <c r="A363" s="2"/>
      <c r="B363" s="2"/>
      <c r="C363" s="2" t="s">
        <v>664</v>
      </c>
      <c r="D363" s="2" t="s">
        <v>359</v>
      </c>
      <c r="E363" s="2" t="s">
        <v>591</v>
      </c>
      <c r="F363" s="2" t="str">
        <f>TEXT("5861471898715474656","0")</f>
        <v>5861471898715470000</v>
      </c>
    </row>
    <row r="364" spans="1:6" ht="12.5" x14ac:dyDescent="0.25">
      <c r="A364" s="2"/>
      <c r="B364" s="2"/>
      <c r="C364" s="2" t="s">
        <v>665</v>
      </c>
      <c r="D364" s="2" t="s">
        <v>666</v>
      </c>
      <c r="E364" s="2"/>
      <c r="F364" s="2" t="str">
        <f>TEXT("5861480426212940244","0")</f>
        <v>5861480426212940000</v>
      </c>
    </row>
    <row r="365" spans="1:6" ht="12.5" x14ac:dyDescent="0.25">
      <c r="A365" s="2"/>
      <c r="B365" s="2"/>
      <c r="C365" s="2" t="s">
        <v>667</v>
      </c>
      <c r="D365" s="2" t="s">
        <v>635</v>
      </c>
      <c r="E365" s="2" t="s">
        <v>668</v>
      </c>
      <c r="F365" s="2" t="str">
        <f>TEXT("5861483804517037594","0")</f>
        <v>5861483804517030000</v>
      </c>
    </row>
    <row r="366" spans="1:6" ht="12.5" x14ac:dyDescent="0.25">
      <c r="A366" s="2"/>
      <c r="B366" s="2"/>
      <c r="C366" s="2" t="s">
        <v>669</v>
      </c>
      <c r="D366" s="2" t="s">
        <v>670</v>
      </c>
      <c r="E366" s="2"/>
      <c r="F366" s="2" t="str">
        <f>TEXT("5861491504518690812","0")</f>
        <v>5861491504518690000</v>
      </c>
    </row>
    <row r="367" spans="1:6" ht="12.5" x14ac:dyDescent="0.25">
      <c r="A367" s="2"/>
      <c r="B367" s="2"/>
      <c r="C367" s="2" t="s">
        <v>671</v>
      </c>
      <c r="D367" s="2" t="s">
        <v>672</v>
      </c>
      <c r="E367" s="2"/>
      <c r="F367" s="2" t="str">
        <f>TEXT("5861510094342545809","0")</f>
        <v>5861510094342540000</v>
      </c>
    </row>
    <row r="368" spans="1:6" ht="12.5" x14ac:dyDescent="0.25">
      <c r="A368" s="2"/>
      <c r="B368" s="2"/>
      <c r="C368" s="2" t="s">
        <v>673</v>
      </c>
      <c r="D368" s="2" t="s">
        <v>674</v>
      </c>
      <c r="E368" s="2"/>
      <c r="F368" s="2" t="str">
        <f>TEXT("5861531744519674062","0")</f>
        <v>5861531744519670000</v>
      </c>
    </row>
    <row r="369" spans="1:6" ht="12.5" x14ac:dyDescent="0.25">
      <c r="A369" s="2"/>
      <c r="B369" s="2"/>
      <c r="C369" s="2" t="s">
        <v>675</v>
      </c>
      <c r="D369" s="2" t="s">
        <v>277</v>
      </c>
      <c r="E369" s="2"/>
      <c r="F369" s="2" t="str">
        <f>TEXT("5861655904513004578","0")</f>
        <v>5861655904513000000</v>
      </c>
    </row>
    <row r="370" spans="1:6" ht="12.5" x14ac:dyDescent="0.25">
      <c r="A370" s="2"/>
      <c r="B370" s="2"/>
      <c r="C370" s="2" t="s">
        <v>676</v>
      </c>
      <c r="D370" s="2" t="s">
        <v>677</v>
      </c>
      <c r="E370" s="2"/>
      <c r="F370" s="2" t="str">
        <f>TEXT("5862313394515101307","0")</f>
        <v>5862313394515100000</v>
      </c>
    </row>
    <row r="371" spans="1:6" ht="12.5" x14ac:dyDescent="0.25">
      <c r="A371" s="2"/>
      <c r="B371" s="2"/>
      <c r="C371" s="2" t="s">
        <v>676</v>
      </c>
      <c r="D371" s="2" t="s">
        <v>563</v>
      </c>
      <c r="E371" s="2"/>
      <c r="F371" s="2" t="str">
        <f>TEXT("5862331139187929047","0")</f>
        <v>5862331139187920000</v>
      </c>
    </row>
    <row r="372" spans="1:6" ht="12.5" x14ac:dyDescent="0.25">
      <c r="A372" s="2"/>
      <c r="B372" s="2"/>
      <c r="C372" s="2" t="s">
        <v>676</v>
      </c>
      <c r="D372" s="2" t="s">
        <v>678</v>
      </c>
      <c r="E372" s="2"/>
      <c r="F372" s="2" t="str">
        <f>TEXT("5862335674511659170","0")</f>
        <v>5862335674511650000</v>
      </c>
    </row>
    <row r="373" spans="1:6" ht="12.5" x14ac:dyDescent="0.25">
      <c r="A373" s="2"/>
      <c r="B373" s="2"/>
      <c r="C373" s="2" t="s">
        <v>679</v>
      </c>
      <c r="D373" s="2" t="s">
        <v>680</v>
      </c>
      <c r="E373" s="2"/>
      <c r="F373" s="2" t="str">
        <f>TEXT("5862340524512286462","0")</f>
        <v>5862340524512280000</v>
      </c>
    </row>
    <row r="374" spans="1:6" ht="12.5" x14ac:dyDescent="0.25">
      <c r="A374" s="2"/>
      <c r="B374" s="2"/>
      <c r="C374" s="2" t="s">
        <v>679</v>
      </c>
      <c r="D374" s="2" t="s">
        <v>681</v>
      </c>
      <c r="E374" s="2"/>
      <c r="F374" s="2" t="str">
        <f>TEXT("5862341621127922991","0")</f>
        <v>5862341621127920000</v>
      </c>
    </row>
    <row r="375" spans="1:6" ht="12.5" x14ac:dyDescent="0.25">
      <c r="A375" s="2"/>
      <c r="B375" s="2"/>
      <c r="C375" s="2" t="s">
        <v>679</v>
      </c>
      <c r="D375" s="2" t="s">
        <v>359</v>
      </c>
      <c r="E375" s="2" t="s">
        <v>591</v>
      </c>
      <c r="F375" s="2" t="str">
        <f>TEXT("5862341813116584181","0")</f>
        <v>5862341813116580000</v>
      </c>
    </row>
    <row r="376" spans="1:6" ht="12.5" x14ac:dyDescent="0.25">
      <c r="A376" s="2"/>
      <c r="B376" s="2"/>
      <c r="C376" s="2" t="s">
        <v>682</v>
      </c>
      <c r="D376" s="2" t="s">
        <v>683</v>
      </c>
      <c r="E376" s="2"/>
      <c r="F376" s="2" t="str">
        <f>TEXT("5862342465995018576","0")</f>
        <v>5862342465995010000</v>
      </c>
    </row>
    <row r="377" spans="1:6" ht="12.5" x14ac:dyDescent="0.25">
      <c r="A377" s="2"/>
      <c r="B377" s="2"/>
      <c r="C377" s="2" t="s">
        <v>682</v>
      </c>
      <c r="D377" s="2" t="s">
        <v>684</v>
      </c>
      <c r="E377" s="2" t="s">
        <v>685</v>
      </c>
      <c r="F377" s="2" t="str">
        <f>TEXT("5862342682317768145","0")</f>
        <v>5862342682317760000</v>
      </c>
    </row>
    <row r="378" spans="1:6" ht="12.5" x14ac:dyDescent="0.25">
      <c r="A378" s="2"/>
      <c r="B378" s="2"/>
      <c r="C378" s="2" t="s">
        <v>686</v>
      </c>
      <c r="D378" s="2" t="s">
        <v>216</v>
      </c>
      <c r="E378" s="2"/>
      <c r="F378" s="2" t="str">
        <f>TEXT("5862348903903697066","0")</f>
        <v>5862348903903690000</v>
      </c>
    </row>
    <row r="379" spans="1:6" ht="12.5" x14ac:dyDescent="0.25">
      <c r="A379" s="2"/>
      <c r="B379" s="2"/>
      <c r="C379" s="2" t="s">
        <v>686</v>
      </c>
      <c r="D379" s="2" t="s">
        <v>687</v>
      </c>
      <c r="E379" s="2"/>
      <c r="F379" s="2" t="str">
        <f>TEXT("5862350069215624954","0")</f>
        <v>5862350069215620000</v>
      </c>
    </row>
    <row r="380" spans="1:6" ht="12.5" x14ac:dyDescent="0.25">
      <c r="A380" s="2"/>
      <c r="B380" s="2"/>
      <c r="C380" s="2" t="s">
        <v>686</v>
      </c>
      <c r="D380" s="2" t="s">
        <v>493</v>
      </c>
      <c r="E380" s="2" t="s">
        <v>688</v>
      </c>
      <c r="F380" s="2" t="str">
        <f>TEXT("5862350284518257753","0")</f>
        <v>5862350284518250000</v>
      </c>
    </row>
    <row r="381" spans="1:6" ht="12.5" x14ac:dyDescent="0.25">
      <c r="A381" s="2"/>
      <c r="B381" s="2"/>
      <c r="C381" s="2" t="s">
        <v>689</v>
      </c>
      <c r="D381" s="2" t="s">
        <v>690</v>
      </c>
      <c r="E381" s="2" t="s">
        <v>336</v>
      </c>
      <c r="F381" s="2" t="str">
        <f>TEXT("5862350305832146084","0")</f>
        <v>5862350305832140000</v>
      </c>
    </row>
    <row r="382" spans="1:6" ht="12.5" x14ac:dyDescent="0.25">
      <c r="A382" s="2"/>
      <c r="B382" s="2"/>
      <c r="C382" s="2" t="s">
        <v>691</v>
      </c>
      <c r="D382" s="2" t="s">
        <v>692</v>
      </c>
      <c r="E382" s="2"/>
      <c r="F382" s="2" t="str">
        <f>TEXT("5862368034515518092","0")</f>
        <v>5862368034515510000</v>
      </c>
    </row>
    <row r="383" spans="1:6" ht="12.5" x14ac:dyDescent="0.25">
      <c r="A383" s="2"/>
      <c r="B383" s="2"/>
      <c r="C383" s="2" t="s">
        <v>693</v>
      </c>
      <c r="D383" s="2" t="s">
        <v>694</v>
      </c>
      <c r="E383" s="2"/>
      <c r="F383" s="2" t="str">
        <f>TEXT("5862370484512386821","0")</f>
        <v>5862370484512380000</v>
      </c>
    </row>
    <row r="384" spans="1:6" ht="12.5" x14ac:dyDescent="0.25">
      <c r="A384" s="2"/>
      <c r="B384" s="2"/>
      <c r="C384" s="2" t="s">
        <v>695</v>
      </c>
      <c r="D384" s="2" t="s">
        <v>696</v>
      </c>
      <c r="E384" s="2"/>
      <c r="F384" s="2" t="str">
        <f>TEXT("5862384579213299580","0")</f>
        <v>5862384579213290000</v>
      </c>
    </row>
    <row r="385" spans="1:6" ht="12.5" x14ac:dyDescent="0.25">
      <c r="A385" s="2"/>
      <c r="B385" s="2"/>
      <c r="C385" s="2" t="s">
        <v>697</v>
      </c>
      <c r="D385" s="2" t="s">
        <v>195</v>
      </c>
      <c r="E385" s="2"/>
      <c r="F385" s="2" t="str">
        <f>TEXT("5862502044518586413","0")</f>
        <v>5862502044518580000</v>
      </c>
    </row>
    <row r="386" spans="1:6" ht="12.5" x14ac:dyDescent="0.25">
      <c r="A386" s="2"/>
      <c r="B386" s="2"/>
      <c r="C386" s="2" t="s">
        <v>698</v>
      </c>
      <c r="D386" s="2" t="s">
        <v>231</v>
      </c>
      <c r="E386" s="2" t="s">
        <v>699</v>
      </c>
      <c r="F386" s="2" t="str">
        <f>TEXT("5862541384511476748","0")</f>
        <v>5862541384511470000</v>
      </c>
    </row>
    <row r="387" spans="1:6" ht="12.5" x14ac:dyDescent="0.25">
      <c r="A387" s="2"/>
      <c r="B387" s="2"/>
      <c r="C387" s="2" t="s">
        <v>700</v>
      </c>
      <c r="D387" s="2" t="s">
        <v>672</v>
      </c>
      <c r="E387" s="2" t="s">
        <v>701</v>
      </c>
      <c r="F387" s="2" t="str">
        <f>TEXT("5862574254513743884","0")</f>
        <v>5862574254513740000</v>
      </c>
    </row>
    <row r="388" spans="1:6" ht="12.5" x14ac:dyDescent="0.25">
      <c r="A388" s="2"/>
      <c r="B388" s="2"/>
      <c r="C388" s="2" t="s">
        <v>702</v>
      </c>
      <c r="D388" s="2" t="s">
        <v>352</v>
      </c>
      <c r="E388" s="2"/>
      <c r="F388" s="2" t="str">
        <f>TEXT("5862576334518394647","0")</f>
        <v>5862576334518390000</v>
      </c>
    </row>
    <row r="389" spans="1:6" ht="12.5" x14ac:dyDescent="0.25">
      <c r="A389" s="2"/>
      <c r="B389" s="2"/>
      <c r="C389" s="2" t="s">
        <v>703</v>
      </c>
      <c r="D389" s="2" t="s">
        <v>704</v>
      </c>
      <c r="E389" s="2" t="s">
        <v>705</v>
      </c>
      <c r="F389" s="2" t="str">
        <f>TEXT("5862578984513789412","0")</f>
        <v>5862578984513780000</v>
      </c>
    </row>
    <row r="390" spans="1:6" ht="12.5" x14ac:dyDescent="0.25">
      <c r="A390" s="2"/>
      <c r="B390" s="2"/>
      <c r="C390" s="2" t="s">
        <v>706</v>
      </c>
      <c r="D390" s="2" t="s">
        <v>707</v>
      </c>
      <c r="E390" s="2" t="s">
        <v>708</v>
      </c>
      <c r="F390" s="2" t="str">
        <f>TEXT("5862583264515545080","0")</f>
        <v>5862583264515540000</v>
      </c>
    </row>
    <row r="391" spans="1:6" ht="12.5" x14ac:dyDescent="0.25">
      <c r="A391" s="2"/>
      <c r="B391" s="2"/>
      <c r="C391" s="2" t="s">
        <v>709</v>
      </c>
      <c r="D391" s="2" t="s">
        <v>710</v>
      </c>
      <c r="E391" s="2"/>
      <c r="F391" s="2" t="str">
        <f>TEXT("5863204621842213035","0")</f>
        <v>5863204621842210000</v>
      </c>
    </row>
    <row r="392" spans="1:6" ht="12.5" x14ac:dyDescent="0.25">
      <c r="A392" s="2"/>
      <c r="B392" s="2"/>
      <c r="C392" s="2" t="s">
        <v>711</v>
      </c>
      <c r="D392" s="2" t="s">
        <v>86</v>
      </c>
      <c r="E392" s="2" t="s">
        <v>641</v>
      </c>
      <c r="F392" s="2" t="str">
        <f>TEXT("5863268722111876906","0")</f>
        <v>5863268722111870000</v>
      </c>
    </row>
    <row r="393" spans="1:6" ht="12.5" x14ac:dyDescent="0.25">
      <c r="A393" s="2"/>
      <c r="B393" s="2"/>
      <c r="C393" s="2" t="s">
        <v>712</v>
      </c>
      <c r="D393" s="2" t="s">
        <v>713</v>
      </c>
      <c r="E393" s="2"/>
      <c r="F393" s="2" t="str">
        <f>TEXT("5865809127291532296","0")</f>
        <v>5865809127291530000</v>
      </c>
    </row>
    <row r="394" spans="1:6" ht="12.5" x14ac:dyDescent="0.25">
      <c r="A394" s="2"/>
      <c r="B394" s="2"/>
      <c r="C394" s="2" t="s">
        <v>714</v>
      </c>
      <c r="D394" s="2" t="s">
        <v>116</v>
      </c>
      <c r="E394" s="2"/>
      <c r="F394" s="2" t="str">
        <f>TEXT("5865937254517153303","0")</f>
        <v>5865937254517150000</v>
      </c>
    </row>
    <row r="395" spans="1:6" ht="12.5" x14ac:dyDescent="0.25">
      <c r="A395" s="2"/>
      <c r="B395" s="2"/>
      <c r="C395" s="2" t="s">
        <v>715</v>
      </c>
      <c r="D395" s="2" t="s">
        <v>435</v>
      </c>
      <c r="E395" s="2"/>
      <c r="F395" s="2" t="str">
        <f>TEXT("5866059867296796518","0")</f>
        <v>5866059867296790000</v>
      </c>
    </row>
    <row r="396" spans="1:6" ht="12.5" x14ac:dyDescent="0.25">
      <c r="A396" s="2"/>
      <c r="B396" s="2"/>
      <c r="C396" s="2" t="s">
        <v>716</v>
      </c>
      <c r="D396" s="2" t="s">
        <v>563</v>
      </c>
      <c r="E396" s="2" t="s">
        <v>601</v>
      </c>
      <c r="F396" s="2" t="str">
        <f>TEXT("5866627268497200437","0")</f>
        <v>5866627268497200000</v>
      </c>
    </row>
    <row r="397" spans="1:6" ht="12.5" x14ac:dyDescent="0.25">
      <c r="A397" s="2"/>
      <c r="B397" s="2"/>
      <c r="C397" s="2" t="s">
        <v>716</v>
      </c>
      <c r="D397" s="2" t="s">
        <v>86</v>
      </c>
      <c r="E397" s="2" t="s">
        <v>641</v>
      </c>
      <c r="F397" s="2" t="str">
        <f>TEXT("5866651536171293297","0")</f>
        <v>5866651536171290000</v>
      </c>
    </row>
    <row r="398" spans="1:6" ht="12.5" x14ac:dyDescent="0.25">
      <c r="A398" s="2"/>
      <c r="B398" s="2"/>
      <c r="C398" s="2" t="s">
        <v>717</v>
      </c>
      <c r="D398" s="2" t="s">
        <v>718</v>
      </c>
      <c r="E398" s="2" t="s">
        <v>719</v>
      </c>
      <c r="F398" s="2" t="str">
        <f>TEXT("5866655800166624258","0")</f>
        <v>5866655800166620000</v>
      </c>
    </row>
    <row r="399" spans="1:6" ht="12.5" x14ac:dyDescent="0.25">
      <c r="A399" s="2"/>
      <c r="B399" s="2"/>
      <c r="C399" s="2" t="s">
        <v>716</v>
      </c>
      <c r="D399" s="2" t="s">
        <v>720</v>
      </c>
      <c r="E399" s="2"/>
      <c r="F399" s="2" t="str">
        <f>TEXT("5866660544515956734","0")</f>
        <v>5866660544515950000</v>
      </c>
    </row>
    <row r="400" spans="1:6" ht="12.5" x14ac:dyDescent="0.25">
      <c r="A400" s="2"/>
      <c r="B400" s="2"/>
      <c r="C400" s="2" t="s">
        <v>721</v>
      </c>
      <c r="D400" s="2" t="s">
        <v>722</v>
      </c>
      <c r="E400" s="2"/>
      <c r="F400" s="2" t="str">
        <f>TEXT("5866669224517332801","0")</f>
        <v>5866669224517330000</v>
      </c>
    </row>
    <row r="401" spans="1:6" ht="12.5" x14ac:dyDescent="0.25">
      <c r="A401" s="2"/>
      <c r="B401" s="2"/>
      <c r="C401" s="2" t="s">
        <v>723</v>
      </c>
      <c r="D401" s="2" t="s">
        <v>724</v>
      </c>
      <c r="E401" s="2" t="s">
        <v>725</v>
      </c>
      <c r="F401" s="2" t="str">
        <f>TEXT("5866673274515212259","0")</f>
        <v>5866673274515210000</v>
      </c>
    </row>
    <row r="402" spans="1:6" ht="12.5" x14ac:dyDescent="0.25">
      <c r="A402" s="2"/>
      <c r="B402" s="2"/>
      <c r="C402" s="2" t="s">
        <v>726</v>
      </c>
      <c r="D402" s="2" t="s">
        <v>617</v>
      </c>
      <c r="E402" s="2"/>
      <c r="F402" s="2" t="str">
        <f>TEXT("5866675606736000099","0")</f>
        <v>5866675606736000000</v>
      </c>
    </row>
    <row r="403" spans="1:6" ht="12.5" x14ac:dyDescent="0.25">
      <c r="A403" s="2"/>
      <c r="B403" s="2"/>
      <c r="C403" s="2" t="s">
        <v>727</v>
      </c>
      <c r="D403" s="2" t="s">
        <v>657</v>
      </c>
      <c r="E403" s="2" t="s">
        <v>728</v>
      </c>
      <c r="F403" s="2" t="str">
        <f>TEXT("5866681135517604557","0")</f>
        <v>5866681135517600000</v>
      </c>
    </row>
    <row r="404" spans="1:6" ht="12.5" x14ac:dyDescent="0.25">
      <c r="A404" s="2"/>
      <c r="B404" s="2"/>
      <c r="C404" s="2" t="s">
        <v>729</v>
      </c>
      <c r="D404" s="2" t="s">
        <v>730</v>
      </c>
      <c r="E404" s="2" t="s">
        <v>731</v>
      </c>
      <c r="F404" s="2" t="str">
        <f>TEXT("5866688393707346321","0")</f>
        <v>5866688393707340000</v>
      </c>
    </row>
    <row r="405" spans="1:6" ht="12.5" x14ac:dyDescent="0.25">
      <c r="A405" s="2"/>
      <c r="B405" s="2"/>
      <c r="C405" s="2" t="s">
        <v>732</v>
      </c>
      <c r="D405" s="2" t="s">
        <v>168</v>
      </c>
      <c r="E405" s="2" t="s">
        <v>169</v>
      </c>
      <c r="F405" s="2" t="str">
        <f>TEXT("5866701564512480427","0")</f>
        <v>5866701564512480000</v>
      </c>
    </row>
    <row r="406" spans="1:6" ht="12.5" x14ac:dyDescent="0.25">
      <c r="A406" s="2"/>
      <c r="B406" s="2"/>
      <c r="C406" s="2" t="s">
        <v>733</v>
      </c>
      <c r="D406" s="2" t="s">
        <v>316</v>
      </c>
      <c r="E406" s="2"/>
      <c r="F406" s="2" t="str">
        <f>TEXT("5866708134511219123","0")</f>
        <v>5866708134511210000</v>
      </c>
    </row>
    <row r="407" spans="1:6" ht="12.5" x14ac:dyDescent="0.25">
      <c r="A407" s="2"/>
      <c r="B407" s="2"/>
      <c r="C407" s="2" t="s">
        <v>734</v>
      </c>
      <c r="D407" s="2" t="s">
        <v>366</v>
      </c>
      <c r="E407" s="2" t="s">
        <v>735</v>
      </c>
      <c r="F407" s="2" t="str">
        <f>TEXT("5866714724517232134","0")</f>
        <v>5866714724517230000</v>
      </c>
    </row>
    <row r="408" spans="1:6" ht="12.5" x14ac:dyDescent="0.25">
      <c r="A408" s="2"/>
      <c r="B408" s="2"/>
      <c r="C408" s="2" t="s">
        <v>736</v>
      </c>
      <c r="D408" s="2" t="s">
        <v>737</v>
      </c>
      <c r="E408" s="2" t="s">
        <v>738</v>
      </c>
      <c r="F408" s="2" t="str">
        <f>TEXT("5866768834518478545","0")</f>
        <v>5866768834518470000</v>
      </c>
    </row>
    <row r="409" spans="1:6" ht="12.5" x14ac:dyDescent="0.25">
      <c r="A409" s="2"/>
      <c r="B409" s="2"/>
      <c r="C409" s="2" t="s">
        <v>739</v>
      </c>
      <c r="D409" s="2" t="s">
        <v>579</v>
      </c>
      <c r="E409" s="2" t="s">
        <v>740</v>
      </c>
      <c r="F409" s="2" t="str">
        <f>TEXT("5866817573705372154","0")</f>
        <v>5866817573705370000</v>
      </c>
    </row>
    <row r="410" spans="1:6" ht="12.5" x14ac:dyDescent="0.25">
      <c r="A410" s="2"/>
      <c r="B410" s="2"/>
      <c r="C410" s="2" t="s">
        <v>741</v>
      </c>
      <c r="D410" s="2" t="s">
        <v>323</v>
      </c>
      <c r="E410" s="2"/>
      <c r="F410" s="2" t="str">
        <f>TEXT("5866818797298758189","0")</f>
        <v>5866818797298750000</v>
      </c>
    </row>
    <row r="411" spans="1:6" ht="12.5" x14ac:dyDescent="0.25">
      <c r="A411" s="2"/>
      <c r="B411" s="2"/>
      <c r="C411" s="2" t="s">
        <v>742</v>
      </c>
      <c r="D411" s="2" t="s">
        <v>479</v>
      </c>
      <c r="E411" s="2" t="s">
        <v>743</v>
      </c>
      <c r="F411" s="2" t="str">
        <f>TEXT("5866899394517492572","0")</f>
        <v>5866899394517490000</v>
      </c>
    </row>
    <row r="412" spans="1:6" ht="12.5" x14ac:dyDescent="0.25">
      <c r="A412" s="2"/>
      <c r="B412" s="2"/>
      <c r="C412" s="2" t="s">
        <v>744</v>
      </c>
      <c r="D412" s="2" t="s">
        <v>745</v>
      </c>
      <c r="E412" s="2"/>
      <c r="F412" s="2" t="str">
        <f>TEXT("5867528314518178234","0")</f>
        <v>5867528314518170000</v>
      </c>
    </row>
    <row r="413" spans="1:6" ht="12.5" x14ac:dyDescent="0.25">
      <c r="A413" s="2"/>
      <c r="B413" s="2"/>
      <c r="C413" s="2" t="s">
        <v>746</v>
      </c>
      <c r="D413" s="2" t="s">
        <v>195</v>
      </c>
      <c r="E413" s="2"/>
      <c r="F413" s="2" t="str">
        <f>TEXT("5867549854512225497","0")</f>
        <v>5867549854512220000</v>
      </c>
    </row>
    <row r="414" spans="1:6" ht="12.5" x14ac:dyDescent="0.25">
      <c r="A414" s="2"/>
      <c r="B414" s="2"/>
      <c r="C414" s="2" t="s">
        <v>747</v>
      </c>
      <c r="D414" s="2" t="s">
        <v>323</v>
      </c>
      <c r="E414" s="2"/>
      <c r="F414" s="2" t="str">
        <f>TEXT("5867569870992056952","0")</f>
        <v>5867569870992050000</v>
      </c>
    </row>
    <row r="415" spans="1:6" ht="12.5" x14ac:dyDescent="0.25">
      <c r="A415" s="2"/>
      <c r="B415" s="2"/>
      <c r="C415" s="2" t="s">
        <v>748</v>
      </c>
      <c r="D415" s="2" t="s">
        <v>316</v>
      </c>
      <c r="E415" s="2"/>
      <c r="F415" s="2" t="str">
        <f>TEXT("5867576344516667493","0")</f>
        <v>5867576344516660000</v>
      </c>
    </row>
    <row r="416" spans="1:6" ht="12.5" x14ac:dyDescent="0.25">
      <c r="A416" s="2"/>
      <c r="B416" s="2"/>
      <c r="C416" s="2" t="s">
        <v>749</v>
      </c>
      <c r="D416" s="2" t="s">
        <v>674</v>
      </c>
      <c r="E416" s="2"/>
      <c r="F416" s="2" t="str">
        <f>TEXT("5867590214515108983","0")</f>
        <v>5867590214515100000</v>
      </c>
    </row>
    <row r="417" spans="1:6" ht="12.5" x14ac:dyDescent="0.25">
      <c r="A417" s="2"/>
      <c r="B417" s="2"/>
      <c r="C417" s="2" t="s">
        <v>750</v>
      </c>
      <c r="D417" s="2" t="s">
        <v>751</v>
      </c>
      <c r="E417" s="2"/>
      <c r="F417" s="2" t="str">
        <f>TEXT("5867690984176004033","0")</f>
        <v>5867690984176000000</v>
      </c>
    </row>
    <row r="418" spans="1:6" ht="12.5" x14ac:dyDescent="0.25">
      <c r="A418" s="2"/>
      <c r="B418" s="2"/>
      <c r="C418" s="2" t="s">
        <v>752</v>
      </c>
      <c r="D418" s="2" t="s">
        <v>231</v>
      </c>
      <c r="E418" s="2" t="s">
        <v>753</v>
      </c>
      <c r="F418" s="2" t="str">
        <f>TEXT("5867758144518811085","0")</f>
        <v>5867758144518810000</v>
      </c>
    </row>
    <row r="419" spans="1:6" ht="12.5" x14ac:dyDescent="0.25">
      <c r="A419" s="2"/>
      <c r="B419" s="2"/>
      <c r="C419" s="2" t="s">
        <v>754</v>
      </c>
      <c r="D419" s="2" t="s">
        <v>755</v>
      </c>
      <c r="E419" s="2" t="s">
        <v>601</v>
      </c>
      <c r="F419" s="2" t="str">
        <f>TEXT("5868347930416776876","0")</f>
        <v>5868347930416770000</v>
      </c>
    </row>
    <row r="420" spans="1:6" ht="12.5" x14ac:dyDescent="0.25">
      <c r="A420" s="2"/>
      <c r="B420" s="2"/>
      <c r="C420" s="2" t="s">
        <v>756</v>
      </c>
      <c r="D420" s="2" t="s">
        <v>704</v>
      </c>
      <c r="E420" s="2"/>
      <c r="F420" s="2" t="str">
        <f>TEXT("5868368396866928911","0")</f>
        <v>5868368396866920000</v>
      </c>
    </row>
    <row r="421" spans="1:6" ht="12.5" x14ac:dyDescent="0.25">
      <c r="A421" s="2"/>
      <c r="B421" s="2"/>
      <c r="C421" s="2" t="s">
        <v>756</v>
      </c>
      <c r="D421" s="2" t="s">
        <v>757</v>
      </c>
      <c r="E421" s="2"/>
      <c r="F421" s="2" t="str">
        <f>TEXT("5868388306177673278","0")</f>
        <v>5868388306177670000</v>
      </c>
    </row>
    <row r="422" spans="1:6" ht="12.5" x14ac:dyDescent="0.25">
      <c r="A422" s="2"/>
      <c r="B422" s="2"/>
      <c r="C422" s="2" t="s">
        <v>758</v>
      </c>
      <c r="D422" s="2" t="s">
        <v>218</v>
      </c>
      <c r="E422" s="2" t="s">
        <v>149</v>
      </c>
      <c r="F422" s="2" t="str">
        <f>TEXT("5868402303016339550","0")</f>
        <v>5868402303016330000</v>
      </c>
    </row>
    <row r="423" spans="1:6" ht="12.5" x14ac:dyDescent="0.25">
      <c r="A423" s="2"/>
      <c r="B423" s="2"/>
      <c r="C423" s="2" t="s">
        <v>759</v>
      </c>
      <c r="D423" s="2" t="s">
        <v>86</v>
      </c>
      <c r="E423" s="2" t="s">
        <v>760</v>
      </c>
      <c r="F423" s="2" t="str">
        <f>TEXT("5868410778319297693","0")</f>
        <v>5868410778319290000</v>
      </c>
    </row>
    <row r="424" spans="1:6" ht="12.5" x14ac:dyDescent="0.25">
      <c r="A424" s="2"/>
      <c r="B424" s="2"/>
      <c r="C424" s="2" t="s">
        <v>761</v>
      </c>
      <c r="D424" s="2" t="s">
        <v>762</v>
      </c>
      <c r="E424" s="2" t="s">
        <v>763</v>
      </c>
      <c r="F424" s="2" t="str">
        <f>TEXT("5868411114519581114","0")</f>
        <v>5868411114519580000</v>
      </c>
    </row>
    <row r="425" spans="1:6" ht="12.5" x14ac:dyDescent="0.25">
      <c r="A425" s="2"/>
      <c r="B425" s="2"/>
      <c r="C425" s="2" t="s">
        <v>761</v>
      </c>
      <c r="D425" s="2" t="s">
        <v>764</v>
      </c>
      <c r="E425" s="2"/>
      <c r="F425" s="2" t="str">
        <f>TEXT("5868416070982335210","0")</f>
        <v>5868416070982330000</v>
      </c>
    </row>
    <row r="426" spans="1:6" ht="12.5" x14ac:dyDescent="0.25">
      <c r="A426" s="2"/>
      <c r="B426" s="2"/>
      <c r="C426" s="2" t="s">
        <v>765</v>
      </c>
      <c r="D426" s="2" t="s">
        <v>766</v>
      </c>
      <c r="E426" s="2"/>
      <c r="F426" s="2" t="str">
        <f>TEXT("5868423209258697203","0")</f>
        <v>5868423209258690000</v>
      </c>
    </row>
    <row r="427" spans="1:6" ht="12.5" x14ac:dyDescent="0.25">
      <c r="A427" s="2"/>
      <c r="B427" s="2"/>
      <c r="C427" s="2" t="s">
        <v>767</v>
      </c>
      <c r="D427" s="2" t="s">
        <v>768</v>
      </c>
      <c r="E427" s="2" t="s">
        <v>769</v>
      </c>
      <c r="F427" s="2" t="str">
        <f>TEXT("5868427989649064011","0")</f>
        <v>5868427989649060000</v>
      </c>
    </row>
    <row r="428" spans="1:6" ht="12.5" x14ac:dyDescent="0.25">
      <c r="A428" s="2"/>
      <c r="B428" s="2"/>
      <c r="C428" s="2" t="s">
        <v>770</v>
      </c>
      <c r="D428" s="2" t="s">
        <v>323</v>
      </c>
      <c r="E428" s="2"/>
      <c r="F428" s="2" t="str">
        <f>TEXT("5868444186296623645","0")</f>
        <v>5868444186296620000</v>
      </c>
    </row>
    <row r="429" spans="1:6" ht="12.5" x14ac:dyDescent="0.25">
      <c r="A429" s="2"/>
      <c r="B429" s="2"/>
      <c r="C429" s="2" t="s">
        <v>771</v>
      </c>
      <c r="D429" s="2" t="s">
        <v>772</v>
      </c>
      <c r="E429" s="2" t="s">
        <v>773</v>
      </c>
      <c r="F429" s="2" t="str">
        <f>TEXT("5868538399257000970","0")</f>
        <v>5868538399257000000</v>
      </c>
    </row>
    <row r="430" spans="1:6" ht="12.5" x14ac:dyDescent="0.25">
      <c r="A430" s="2"/>
      <c r="B430" s="2"/>
      <c r="C430" s="2" t="s">
        <v>774</v>
      </c>
      <c r="D430" s="2" t="s">
        <v>338</v>
      </c>
      <c r="E430" s="2" t="s">
        <v>775</v>
      </c>
      <c r="F430" s="2" t="str">
        <f>TEXT("5868561724515315729","0")</f>
        <v>5868561724515310000</v>
      </c>
    </row>
    <row r="431" spans="1:6" ht="12.5" x14ac:dyDescent="0.25">
      <c r="A431" s="2"/>
      <c r="B431" s="2"/>
      <c r="C431" s="2" t="s">
        <v>776</v>
      </c>
      <c r="D431" s="2" t="s">
        <v>777</v>
      </c>
      <c r="E431" s="2" t="s">
        <v>778</v>
      </c>
      <c r="F431" s="2" t="str">
        <f>TEXT("5869257225555504335","0")</f>
        <v>5869257225555500000</v>
      </c>
    </row>
    <row r="432" spans="1:6" ht="12.5" x14ac:dyDescent="0.25">
      <c r="A432" s="2"/>
      <c r="B432" s="2"/>
      <c r="C432" s="2" t="s">
        <v>779</v>
      </c>
      <c r="D432" s="2" t="s">
        <v>780</v>
      </c>
      <c r="E432" s="2" t="s">
        <v>781</v>
      </c>
      <c r="F432" s="2" t="str">
        <f>TEXT("5869279163629460831","0")</f>
        <v>5869279163629460000</v>
      </c>
    </row>
    <row r="433" spans="1:6" ht="12.5" x14ac:dyDescent="0.25">
      <c r="A433" s="2"/>
      <c r="B433" s="2"/>
      <c r="C433" s="2" t="s">
        <v>782</v>
      </c>
      <c r="D433" s="2" t="s">
        <v>783</v>
      </c>
      <c r="E433" s="2"/>
      <c r="F433" s="2" t="str">
        <f>TEXT("5869282764519243483","0")</f>
        <v>5869282764519240000</v>
      </c>
    </row>
    <row r="434" spans="1:6" ht="12.5" x14ac:dyDescent="0.25">
      <c r="A434" s="2"/>
      <c r="B434" s="2"/>
      <c r="C434" s="2" t="s">
        <v>784</v>
      </c>
      <c r="D434" s="2" t="s">
        <v>359</v>
      </c>
      <c r="E434" s="2" t="s">
        <v>591</v>
      </c>
      <c r="F434" s="2" t="str">
        <f>TEXT("5871833721112437176","0")</f>
        <v>5871833721112430000</v>
      </c>
    </row>
    <row r="435" spans="1:6" ht="12.5" x14ac:dyDescent="0.25">
      <c r="A435" s="2"/>
      <c r="B435" s="2"/>
      <c r="C435" s="2" t="s">
        <v>785</v>
      </c>
      <c r="D435" s="2" t="s">
        <v>757</v>
      </c>
      <c r="E435" s="2"/>
      <c r="F435" s="2" t="str">
        <f>TEXT("5871843486172040508","0")</f>
        <v>5871843486172040000</v>
      </c>
    </row>
    <row r="436" spans="1:6" ht="12.5" x14ac:dyDescent="0.25">
      <c r="A436" s="2"/>
      <c r="B436" s="2"/>
      <c r="C436" s="2" t="s">
        <v>786</v>
      </c>
      <c r="D436" s="2" t="s">
        <v>737</v>
      </c>
      <c r="E436" s="2"/>
      <c r="F436" s="2" t="str">
        <f>TEXT("5871852824515706135","0")</f>
        <v>5871852824515700000</v>
      </c>
    </row>
    <row r="437" spans="1:6" ht="12.5" x14ac:dyDescent="0.25">
      <c r="A437" s="2"/>
      <c r="B437" s="2"/>
      <c r="C437" s="2" t="s">
        <v>787</v>
      </c>
      <c r="D437" s="2" t="s">
        <v>366</v>
      </c>
      <c r="E437" s="2" t="s">
        <v>788</v>
      </c>
      <c r="F437" s="2" t="str">
        <f>TEXT("5871873664518663177","0")</f>
        <v>5871873664518660000</v>
      </c>
    </row>
    <row r="438" spans="1:6" ht="12.5" x14ac:dyDescent="0.25">
      <c r="A438" s="2"/>
      <c r="B438" s="2"/>
      <c r="C438" s="2" t="s">
        <v>787</v>
      </c>
      <c r="D438" s="2" t="s">
        <v>789</v>
      </c>
      <c r="E438" s="2"/>
      <c r="F438" s="2" t="str">
        <f>TEXT("5871876661822750278","0")</f>
        <v>5871876661822750000</v>
      </c>
    </row>
    <row r="439" spans="1:6" ht="12.5" x14ac:dyDescent="0.25">
      <c r="A439" s="2"/>
      <c r="B439" s="2"/>
      <c r="C439" s="2" t="s">
        <v>790</v>
      </c>
      <c r="D439" s="2" t="s">
        <v>116</v>
      </c>
      <c r="E439" s="2" t="s">
        <v>791</v>
      </c>
      <c r="F439" s="2" t="str">
        <f>TEXT("5871878774514376046","0")</f>
        <v>5871878774514370000</v>
      </c>
    </row>
    <row r="440" spans="1:6" ht="12.5" x14ac:dyDescent="0.25">
      <c r="A440" s="2"/>
      <c r="B440" s="2"/>
      <c r="C440" s="2" t="s">
        <v>792</v>
      </c>
      <c r="D440" s="2" t="s">
        <v>218</v>
      </c>
      <c r="E440" s="2" t="s">
        <v>793</v>
      </c>
      <c r="F440" s="2" t="str">
        <f>TEXT("5871880560511942256","0")</f>
        <v>5871880560511940000</v>
      </c>
    </row>
    <row r="441" spans="1:6" ht="12.5" x14ac:dyDescent="0.25">
      <c r="A441" s="2"/>
      <c r="B441" s="2"/>
      <c r="C441" s="2" t="s">
        <v>790</v>
      </c>
      <c r="D441" s="2" t="s">
        <v>308</v>
      </c>
      <c r="E441" s="2" t="s">
        <v>794</v>
      </c>
      <c r="F441" s="2" t="str">
        <f>TEXT("5871881839788372158","0")</f>
        <v>5871881839788370000</v>
      </c>
    </row>
    <row r="442" spans="1:6" ht="12.5" x14ac:dyDescent="0.25">
      <c r="A442" s="2"/>
      <c r="B442" s="2"/>
      <c r="C442" s="2" t="s">
        <v>795</v>
      </c>
      <c r="D442" s="2" t="s">
        <v>796</v>
      </c>
      <c r="E442" s="2"/>
      <c r="F442" s="2" t="str">
        <f>TEXT("5871931874512794109","0")</f>
        <v>5871931874512790000</v>
      </c>
    </row>
    <row r="443" spans="1:6" ht="12.5" x14ac:dyDescent="0.25">
      <c r="A443" s="2"/>
      <c r="B443" s="2"/>
      <c r="C443" s="2" t="s">
        <v>797</v>
      </c>
      <c r="D443" s="2" t="s">
        <v>798</v>
      </c>
      <c r="E443" s="2"/>
      <c r="F443" s="2" t="str">
        <f>TEXT("5872012561114245836","0")</f>
        <v>5872012561114240000</v>
      </c>
    </row>
    <row r="444" spans="1:6" ht="12.5" x14ac:dyDescent="0.25">
      <c r="A444" s="2"/>
      <c r="B444" s="2"/>
      <c r="C444" s="2" t="s">
        <v>799</v>
      </c>
      <c r="D444" s="2" t="s">
        <v>563</v>
      </c>
      <c r="E444" s="2" t="s">
        <v>800</v>
      </c>
      <c r="F444" s="2" t="str">
        <f>TEXT("5872663979612131848","0")</f>
        <v>5872663979612130000</v>
      </c>
    </row>
    <row r="445" spans="1:6" ht="12.5" x14ac:dyDescent="0.25">
      <c r="A445" s="2"/>
      <c r="B445" s="2"/>
      <c r="C445" s="2" t="s">
        <v>799</v>
      </c>
      <c r="D445" s="2" t="s">
        <v>359</v>
      </c>
      <c r="E445" s="2" t="s">
        <v>591</v>
      </c>
      <c r="F445" s="2" t="str">
        <f>TEXT("5872695331119044321","0")</f>
        <v>5872695331119040000</v>
      </c>
    </row>
    <row r="446" spans="1:6" ht="12.5" x14ac:dyDescent="0.25">
      <c r="A446" s="2"/>
      <c r="B446" s="2"/>
      <c r="C446" s="2" t="s">
        <v>801</v>
      </c>
      <c r="D446" s="2" t="s">
        <v>757</v>
      </c>
      <c r="E446" s="2"/>
      <c r="F446" s="2" t="str">
        <f>TEXT("5872700896172202071","0")</f>
        <v>5872700896172200000</v>
      </c>
    </row>
    <row r="447" spans="1:6" ht="12.5" x14ac:dyDescent="0.25">
      <c r="A447" s="2"/>
      <c r="B447" s="2"/>
      <c r="C447" s="2" t="s">
        <v>802</v>
      </c>
      <c r="D447" s="2" t="s">
        <v>608</v>
      </c>
      <c r="E447" s="2"/>
      <c r="F447" s="2" t="str">
        <f>TEXT("5872704053829758133","0")</f>
        <v>5872704053829750000</v>
      </c>
    </row>
    <row r="448" spans="1:6" ht="12.5" x14ac:dyDescent="0.25">
      <c r="A448" s="2"/>
      <c r="B448" s="2"/>
      <c r="C448" s="2" t="s">
        <v>803</v>
      </c>
      <c r="D448" s="2" t="s">
        <v>804</v>
      </c>
      <c r="E448" s="2" t="s">
        <v>805</v>
      </c>
      <c r="F448" s="2" t="str">
        <f>TEXT("5872708093825236096","0")</f>
        <v>5872708093825230000</v>
      </c>
    </row>
    <row r="449" spans="1:6" ht="12.5" x14ac:dyDescent="0.25">
      <c r="A449" s="2"/>
      <c r="B449" s="2"/>
      <c r="C449" s="2" t="s">
        <v>799</v>
      </c>
      <c r="D449" s="2" t="s">
        <v>366</v>
      </c>
      <c r="E449" s="2"/>
      <c r="F449" s="2" t="str">
        <f>TEXT("5872709234357533307","0")</f>
        <v>5872709234357530000</v>
      </c>
    </row>
    <row r="450" spans="1:6" ht="12.5" x14ac:dyDescent="0.25">
      <c r="A450" s="2"/>
      <c r="B450" s="2"/>
      <c r="C450" s="2" t="s">
        <v>806</v>
      </c>
      <c r="D450" s="2" t="s">
        <v>807</v>
      </c>
      <c r="E450" s="2"/>
      <c r="F450" s="2" t="str">
        <f>TEXT("5872716051823665996","0")</f>
        <v>5872716051823660000</v>
      </c>
    </row>
    <row r="451" spans="1:6" ht="12.5" x14ac:dyDescent="0.25">
      <c r="A451" s="2"/>
      <c r="B451" s="2"/>
      <c r="C451" s="2" t="s">
        <v>802</v>
      </c>
      <c r="D451" s="2" t="s">
        <v>737</v>
      </c>
      <c r="E451" s="2"/>
      <c r="F451" s="2" t="str">
        <f>TEXT("5872718624511991670","0")</f>
        <v>5872718624511990000</v>
      </c>
    </row>
    <row r="452" spans="1:6" ht="12.5" x14ac:dyDescent="0.25">
      <c r="A452" s="2"/>
      <c r="B452" s="2"/>
      <c r="C452" s="2" t="s">
        <v>803</v>
      </c>
      <c r="D452" s="2" t="s">
        <v>808</v>
      </c>
      <c r="E452" s="2" t="s">
        <v>809</v>
      </c>
      <c r="F452" s="2" t="str">
        <f>TEXT("5872725254519724762","0")</f>
        <v>5872725254519720000</v>
      </c>
    </row>
    <row r="453" spans="1:6" ht="12.5" x14ac:dyDescent="0.25">
      <c r="A453" s="2"/>
      <c r="B453" s="2"/>
      <c r="C453" s="2" t="s">
        <v>810</v>
      </c>
      <c r="D453" s="2" t="s">
        <v>811</v>
      </c>
      <c r="E453" s="2"/>
      <c r="F453" s="2" t="str">
        <f>TEXT("5872736611412991104","0")</f>
        <v>5872736611412990000</v>
      </c>
    </row>
    <row r="454" spans="1:6" ht="12.5" x14ac:dyDescent="0.25">
      <c r="A454" s="2"/>
      <c r="B454" s="2"/>
      <c r="C454" s="2" t="s">
        <v>812</v>
      </c>
      <c r="D454" s="2" t="s">
        <v>316</v>
      </c>
      <c r="E454" s="2"/>
      <c r="F454" s="2" t="str">
        <f>TEXT("5872745784513207738","0")</f>
        <v>5872745784513200000</v>
      </c>
    </row>
    <row r="455" spans="1:6" ht="12.5" x14ac:dyDescent="0.25">
      <c r="A455" s="2"/>
      <c r="B455" s="2"/>
      <c r="C455" s="2" t="s">
        <v>812</v>
      </c>
      <c r="D455" s="2" t="s">
        <v>99</v>
      </c>
      <c r="E455" s="2" t="s">
        <v>813</v>
      </c>
      <c r="F455" s="2" t="str">
        <f>TEXT("5872746441419757368","0")</f>
        <v>5872746441419750000</v>
      </c>
    </row>
    <row r="456" spans="1:6" ht="12.5" x14ac:dyDescent="0.25">
      <c r="A456" s="2"/>
      <c r="B456" s="2"/>
      <c r="C456" s="2" t="s">
        <v>814</v>
      </c>
      <c r="D456" s="2" t="s">
        <v>327</v>
      </c>
      <c r="E456" s="2" t="s">
        <v>815</v>
      </c>
      <c r="F456" s="2" t="str">
        <f>TEXT("5872749364519762540","0")</f>
        <v>5872749364519760000</v>
      </c>
    </row>
    <row r="457" spans="1:6" ht="12.5" x14ac:dyDescent="0.25">
      <c r="A457" s="2"/>
      <c r="B457" s="2"/>
      <c r="C457" s="2" t="s">
        <v>816</v>
      </c>
      <c r="D457" s="2" t="s">
        <v>579</v>
      </c>
      <c r="E457" s="2" t="s">
        <v>817</v>
      </c>
      <c r="F457" s="2" t="str">
        <f>TEXT("5872755246866142449","0")</f>
        <v>5872755246866140000</v>
      </c>
    </row>
    <row r="458" spans="1:6" ht="12.5" x14ac:dyDescent="0.25">
      <c r="A458" s="2"/>
      <c r="B458" s="2"/>
      <c r="C458" s="2" t="s">
        <v>818</v>
      </c>
      <c r="D458" s="2" t="s">
        <v>414</v>
      </c>
      <c r="E458" s="2" t="s">
        <v>549</v>
      </c>
      <c r="F458" s="2" t="str">
        <f>TEXT("5872771924517786625","0")</f>
        <v>5872771924517780000</v>
      </c>
    </row>
    <row r="459" spans="1:6" ht="12.5" x14ac:dyDescent="0.25">
      <c r="A459" s="2"/>
      <c r="B459" s="2"/>
      <c r="C459" s="2" t="s">
        <v>819</v>
      </c>
      <c r="D459" s="2" t="s">
        <v>820</v>
      </c>
      <c r="E459" s="2"/>
      <c r="F459" s="2" t="str">
        <f>TEXT("5872789281733801953","0")</f>
        <v>5872789281733800000</v>
      </c>
    </row>
    <row r="460" spans="1:6" ht="12.5" x14ac:dyDescent="0.25">
      <c r="A460" s="2"/>
      <c r="B460" s="2"/>
      <c r="C460" s="2" t="s">
        <v>821</v>
      </c>
      <c r="D460" s="2" t="s">
        <v>323</v>
      </c>
      <c r="E460" s="2"/>
      <c r="F460" s="2" t="str">
        <f>TEXT("5872809510995805631","0")</f>
        <v>5872809510995800000</v>
      </c>
    </row>
    <row r="461" spans="1:6" ht="12.5" x14ac:dyDescent="0.25">
      <c r="A461" s="2"/>
      <c r="B461" s="2"/>
      <c r="C461" s="2" t="s">
        <v>822</v>
      </c>
      <c r="D461" s="2" t="s">
        <v>823</v>
      </c>
      <c r="E461" s="2"/>
      <c r="F461" s="2" t="str">
        <f>TEXT("5872812823578118450","0")</f>
        <v>5872812823578110000</v>
      </c>
    </row>
    <row r="462" spans="1:6" ht="12.5" x14ac:dyDescent="0.25">
      <c r="A462" s="2"/>
      <c r="B462" s="2"/>
      <c r="C462" s="2" t="s">
        <v>824</v>
      </c>
      <c r="D462" s="2" t="s">
        <v>825</v>
      </c>
      <c r="E462" s="2"/>
      <c r="F462" s="2" t="str">
        <f>TEXT("5872841246229143501","0")</f>
        <v>5872841246229140000</v>
      </c>
    </row>
    <row r="463" spans="1:6" ht="12.5" x14ac:dyDescent="0.25">
      <c r="A463" s="2"/>
      <c r="B463" s="2"/>
      <c r="C463" s="2" t="s">
        <v>826</v>
      </c>
      <c r="D463" s="2" t="s">
        <v>71</v>
      </c>
      <c r="E463" s="2"/>
      <c r="F463" s="2" t="str">
        <f>TEXT("5872872184512412618","0")</f>
        <v>5872872184512410000</v>
      </c>
    </row>
    <row r="464" spans="1:6" ht="12.5" x14ac:dyDescent="0.25">
      <c r="A464" s="2"/>
      <c r="B464" s="2"/>
      <c r="C464" s="2" t="s">
        <v>827</v>
      </c>
      <c r="D464" s="2" t="s">
        <v>366</v>
      </c>
      <c r="E464" s="2"/>
      <c r="F464" s="2" t="str">
        <f>TEXT("5872888144518452574","0")</f>
        <v>5872888144518450000</v>
      </c>
    </row>
    <row r="465" spans="1:6" ht="12.5" x14ac:dyDescent="0.25">
      <c r="A465" s="2"/>
      <c r="B465" s="2"/>
      <c r="C465" s="2" t="s">
        <v>827</v>
      </c>
      <c r="D465" s="2" t="s">
        <v>359</v>
      </c>
      <c r="E465" s="2" t="s">
        <v>828</v>
      </c>
      <c r="F465" s="2" t="str">
        <f>TEXT("5872889834519752537","0")</f>
        <v>5872889834519750000</v>
      </c>
    </row>
    <row r="466" spans="1:6" ht="12.5" x14ac:dyDescent="0.25">
      <c r="A466" s="2"/>
      <c r="B466" s="2"/>
      <c r="C466" s="2" t="s">
        <v>827</v>
      </c>
      <c r="D466" s="2" t="s">
        <v>86</v>
      </c>
      <c r="E466" s="2" t="s">
        <v>829</v>
      </c>
      <c r="F466" s="2" t="str">
        <f>TEXT("5872890084516060172","0")</f>
        <v>5872890084516060000</v>
      </c>
    </row>
    <row r="467" spans="1:6" ht="12.5" x14ac:dyDescent="0.25">
      <c r="A467" s="2"/>
      <c r="B467" s="2"/>
      <c r="C467" s="2" t="s">
        <v>830</v>
      </c>
      <c r="D467" s="2" t="s">
        <v>831</v>
      </c>
      <c r="E467" s="2"/>
      <c r="F467" s="2" t="str">
        <f>TEXT("5872937804516281866","0")</f>
        <v>5872937804516280000</v>
      </c>
    </row>
    <row r="468" spans="1:6" ht="12.5" x14ac:dyDescent="0.25">
      <c r="A468" s="2"/>
      <c r="B468" s="2"/>
      <c r="C468" s="2" t="s">
        <v>832</v>
      </c>
      <c r="D468" s="2" t="s">
        <v>783</v>
      </c>
      <c r="E468" s="2"/>
      <c r="F468" s="2" t="str">
        <f>TEXT("5873016032975935234","0")</f>
        <v>5873016032975930000</v>
      </c>
    </row>
    <row r="469" spans="1:6" ht="12.5" x14ac:dyDescent="0.25">
      <c r="A469" s="2"/>
      <c r="B469" s="2"/>
      <c r="C469" s="2" t="s">
        <v>833</v>
      </c>
      <c r="D469" s="2" t="s">
        <v>359</v>
      </c>
      <c r="E469" s="2" t="s">
        <v>425</v>
      </c>
      <c r="F469" s="2" t="str">
        <f>TEXT("5873566931119775179","0")</f>
        <v>5873566931119770000</v>
      </c>
    </row>
    <row r="470" spans="1:6" ht="12.5" x14ac:dyDescent="0.25">
      <c r="A470" s="2"/>
      <c r="B470" s="2"/>
      <c r="C470" s="2" t="s">
        <v>833</v>
      </c>
      <c r="D470" s="2" t="s">
        <v>366</v>
      </c>
      <c r="E470" s="2"/>
      <c r="F470" s="2" t="str">
        <f>TEXT("5873569099258629527","0")</f>
        <v>5873569099258620000</v>
      </c>
    </row>
    <row r="471" spans="1:6" ht="12.5" x14ac:dyDescent="0.25">
      <c r="A471" s="2"/>
      <c r="B471" s="2"/>
      <c r="C471" s="2" t="s">
        <v>834</v>
      </c>
      <c r="D471" s="2" t="s">
        <v>807</v>
      </c>
      <c r="E471" s="2"/>
      <c r="F471" s="2" t="str">
        <f>TEXT("5873600674514046803","0")</f>
        <v>5873600674514040000</v>
      </c>
    </row>
    <row r="472" spans="1:6" ht="12.5" x14ac:dyDescent="0.25">
      <c r="A472" s="2"/>
      <c r="B472" s="2"/>
      <c r="C472" s="2" t="s">
        <v>835</v>
      </c>
      <c r="D472" s="2" t="s">
        <v>414</v>
      </c>
      <c r="E472" s="2" t="s">
        <v>549</v>
      </c>
      <c r="F472" s="2" t="str">
        <f>TEXT("5873603254518527792","0")</f>
        <v>5873603254518520000</v>
      </c>
    </row>
    <row r="473" spans="1:6" ht="12.5" x14ac:dyDescent="0.25">
      <c r="A473" s="2"/>
      <c r="B473" s="2"/>
      <c r="C473" s="2" t="s">
        <v>836</v>
      </c>
      <c r="D473" s="2" t="s">
        <v>86</v>
      </c>
      <c r="E473" s="2" t="s">
        <v>837</v>
      </c>
      <c r="F473" s="2" t="str">
        <f>TEXT("5873610204517673455","0")</f>
        <v>5873610204517670000</v>
      </c>
    </row>
    <row r="474" spans="1:6" ht="12.5" x14ac:dyDescent="0.25">
      <c r="A474" s="2"/>
      <c r="B474" s="2"/>
      <c r="C474" s="2" t="s">
        <v>838</v>
      </c>
      <c r="D474" s="2" t="s">
        <v>839</v>
      </c>
      <c r="E474" s="2" t="s">
        <v>840</v>
      </c>
      <c r="F474" s="2" t="str">
        <f>TEXT("5873650484518469201","0")</f>
        <v>5873650484518460000</v>
      </c>
    </row>
    <row r="475" spans="1:6" ht="12.5" x14ac:dyDescent="0.25">
      <c r="A475" s="2"/>
      <c r="B475" s="2"/>
      <c r="C475" s="2" t="s">
        <v>841</v>
      </c>
      <c r="D475" s="2" t="s">
        <v>116</v>
      </c>
      <c r="E475" s="2"/>
      <c r="F475" s="2" t="str">
        <f>TEXT("5873716433573186029","0")</f>
        <v>5873716433573180000</v>
      </c>
    </row>
    <row r="476" spans="1:6" ht="12.5" x14ac:dyDescent="0.25">
      <c r="A476" s="2"/>
      <c r="B476" s="2"/>
      <c r="C476" s="2" t="s">
        <v>842</v>
      </c>
      <c r="D476" s="2" t="s">
        <v>843</v>
      </c>
      <c r="E476" s="2"/>
      <c r="F476" s="2" t="str">
        <f>TEXT("5873780084512429489","0")</f>
        <v>5873780084512420000</v>
      </c>
    </row>
    <row r="477" spans="1:6" ht="12.5" x14ac:dyDescent="0.25">
      <c r="A477" s="2"/>
      <c r="B477" s="2"/>
      <c r="C477" s="2" t="s">
        <v>844</v>
      </c>
      <c r="D477" s="2" t="s">
        <v>845</v>
      </c>
      <c r="E477" s="2" t="s">
        <v>846</v>
      </c>
      <c r="F477" s="2" t="str">
        <f>TEXT("5874426527193161414","0")</f>
        <v>5874426527193160000</v>
      </c>
    </row>
    <row r="478" spans="1:6" ht="12.5" x14ac:dyDescent="0.25">
      <c r="A478" s="2"/>
      <c r="B478" s="2"/>
      <c r="C478" s="2" t="s">
        <v>844</v>
      </c>
      <c r="D478" s="2" t="s">
        <v>359</v>
      </c>
      <c r="E478" s="2" t="s">
        <v>591</v>
      </c>
      <c r="F478" s="2" t="str">
        <f>TEXT("5874427803814755893","0")</f>
        <v>5874427803814750000</v>
      </c>
    </row>
    <row r="479" spans="1:6" ht="12.5" x14ac:dyDescent="0.25">
      <c r="A479" s="2"/>
      <c r="B479" s="2"/>
      <c r="C479" s="2" t="s">
        <v>844</v>
      </c>
      <c r="D479" s="2" t="s">
        <v>847</v>
      </c>
      <c r="E479" s="2"/>
      <c r="F479" s="2" t="str">
        <f>TEXT("5874428285787804204","0")</f>
        <v>5874428285787800000</v>
      </c>
    </row>
    <row r="480" spans="1:6" ht="12.5" x14ac:dyDescent="0.25">
      <c r="A480" s="2"/>
      <c r="B480" s="2"/>
      <c r="C480" s="2" t="s">
        <v>848</v>
      </c>
      <c r="D480" s="2" t="s">
        <v>849</v>
      </c>
      <c r="E480" s="2"/>
      <c r="F480" s="2" t="str">
        <f>TEXT("5874433284519416415","0")</f>
        <v>5874433284519410000</v>
      </c>
    </row>
    <row r="481" spans="1:6" ht="12.5" x14ac:dyDescent="0.25">
      <c r="A481" s="2"/>
      <c r="B481" s="2"/>
      <c r="C481" s="2" t="s">
        <v>848</v>
      </c>
      <c r="D481" s="2" t="s">
        <v>737</v>
      </c>
      <c r="E481" s="2"/>
      <c r="F481" s="2" t="str">
        <f>TEXT("5874437784514406513","0")</f>
        <v>5874437784514400000</v>
      </c>
    </row>
    <row r="482" spans="1:6" ht="12.5" x14ac:dyDescent="0.25">
      <c r="A482" s="2"/>
      <c r="B482" s="2"/>
      <c r="C482" s="2" t="s">
        <v>850</v>
      </c>
      <c r="D482" s="2" t="s">
        <v>316</v>
      </c>
      <c r="E482" s="2"/>
      <c r="F482" s="2" t="str">
        <f>TEXT("5874456822146186447","0")</f>
        <v>5874456822146180000</v>
      </c>
    </row>
    <row r="483" spans="1:6" ht="12.5" x14ac:dyDescent="0.25">
      <c r="A483" s="2"/>
      <c r="B483" s="2"/>
      <c r="C483" s="2" t="s">
        <v>851</v>
      </c>
      <c r="D483" s="2" t="s">
        <v>195</v>
      </c>
      <c r="E483" s="2"/>
      <c r="F483" s="2" t="str">
        <f>TEXT("5874460304511508147","0")</f>
        <v>5874460304511500000</v>
      </c>
    </row>
    <row r="484" spans="1:6" ht="12.5" x14ac:dyDescent="0.25">
      <c r="A484" s="2"/>
      <c r="B484" s="2"/>
      <c r="C484" s="2" t="s">
        <v>852</v>
      </c>
      <c r="D484" s="2" t="s">
        <v>853</v>
      </c>
      <c r="E484" s="2" t="s">
        <v>854</v>
      </c>
      <c r="F484" s="2" t="str">
        <f>TEXT("5874477644514083054","0")</f>
        <v>5874477644514080000</v>
      </c>
    </row>
    <row r="485" spans="1:6" ht="12.5" x14ac:dyDescent="0.25">
      <c r="A485" s="2"/>
      <c r="B485" s="2"/>
      <c r="C485" s="2" t="s">
        <v>855</v>
      </c>
      <c r="D485" s="2" t="s">
        <v>856</v>
      </c>
      <c r="E485" s="2" t="s">
        <v>857</v>
      </c>
      <c r="F485" s="2" t="str">
        <f>TEXT("5874479258403551265","0")</f>
        <v>5874479258403550000</v>
      </c>
    </row>
    <row r="486" spans="1:6" ht="12.5" x14ac:dyDescent="0.25">
      <c r="A486" s="2"/>
      <c r="B486" s="2"/>
      <c r="C486" s="2" t="s">
        <v>858</v>
      </c>
      <c r="D486" s="2" t="s">
        <v>242</v>
      </c>
      <c r="E486" s="2"/>
      <c r="F486" s="2" t="str">
        <f>TEXT("5874493992318380996","0")</f>
        <v>5874493992318380000</v>
      </c>
    </row>
    <row r="487" spans="1:6" ht="12.5" x14ac:dyDescent="0.25">
      <c r="A487" s="2"/>
      <c r="B487" s="2"/>
      <c r="C487" s="2" t="s">
        <v>859</v>
      </c>
      <c r="D487" s="2" t="s">
        <v>327</v>
      </c>
      <c r="E487" s="2" t="s">
        <v>860</v>
      </c>
      <c r="F487" s="2" t="str">
        <f>TEXT("5874494324514710900","0")</f>
        <v>5874494324514710000</v>
      </c>
    </row>
    <row r="488" spans="1:6" ht="12.5" x14ac:dyDescent="0.25">
      <c r="A488" s="2"/>
      <c r="B488" s="2"/>
      <c r="C488" s="2" t="s">
        <v>861</v>
      </c>
      <c r="D488" s="2" t="s">
        <v>764</v>
      </c>
      <c r="E488" s="2" t="s">
        <v>862</v>
      </c>
      <c r="F488" s="2" t="str">
        <f>TEXT("5874620701364294753","0")</f>
        <v>5874620701364290000</v>
      </c>
    </row>
    <row r="489" spans="1:6" ht="12.5" x14ac:dyDescent="0.25">
      <c r="A489" s="2"/>
      <c r="B489" s="2"/>
      <c r="C489" s="2" t="s">
        <v>863</v>
      </c>
      <c r="D489" s="2" t="s">
        <v>86</v>
      </c>
      <c r="E489" s="2" t="s">
        <v>864</v>
      </c>
      <c r="F489" s="2" t="str">
        <f>TEXT("5874636862314936892","0")</f>
        <v>5874636862314930000</v>
      </c>
    </row>
    <row r="490" spans="1:6" ht="12.5" x14ac:dyDescent="0.25">
      <c r="A490" s="2"/>
      <c r="B490" s="2"/>
      <c r="C490" s="2" t="s">
        <v>865</v>
      </c>
      <c r="D490" s="2" t="s">
        <v>866</v>
      </c>
      <c r="E490" s="2" t="s">
        <v>867</v>
      </c>
      <c r="F490" s="2" t="str">
        <f>TEXT("5874636924511407078","0")</f>
        <v>5874636924511400000</v>
      </c>
    </row>
    <row r="491" spans="1:6" ht="12.5" x14ac:dyDescent="0.25">
      <c r="A491" s="2"/>
      <c r="B491" s="2"/>
      <c r="C491" s="2" t="s">
        <v>863</v>
      </c>
      <c r="D491" s="2" t="s">
        <v>670</v>
      </c>
      <c r="E491" s="2"/>
      <c r="F491" s="2" t="str">
        <f>TEXT("5874637094519351618","0")</f>
        <v>5874637094519350000</v>
      </c>
    </row>
    <row r="492" spans="1:6" ht="12.5" x14ac:dyDescent="0.25">
      <c r="A492" s="2"/>
      <c r="B492" s="2"/>
      <c r="C492" s="2" t="s">
        <v>868</v>
      </c>
      <c r="D492" s="2" t="s">
        <v>71</v>
      </c>
      <c r="E492" s="2" t="s">
        <v>869</v>
      </c>
      <c r="F492" s="2" t="str">
        <f>TEXT("5875303845864581625","0")</f>
        <v>5875303845864580000</v>
      </c>
    </row>
    <row r="493" spans="1:6" ht="12.5" x14ac:dyDescent="0.25">
      <c r="A493" s="2"/>
      <c r="B493" s="2"/>
      <c r="C493" s="2" t="s">
        <v>870</v>
      </c>
      <c r="D493" s="2" t="s">
        <v>789</v>
      </c>
      <c r="E493" s="2"/>
      <c r="F493" s="2" t="str">
        <f>TEXT("5875501826188890189","0")</f>
        <v>5875501826188890000</v>
      </c>
    </row>
    <row r="494" spans="1:6" ht="12.5" x14ac:dyDescent="0.25">
      <c r="A494" s="2"/>
      <c r="B494" s="2"/>
      <c r="C494" s="2" t="s">
        <v>871</v>
      </c>
      <c r="D494" s="2" t="s">
        <v>872</v>
      </c>
      <c r="E494" s="2"/>
      <c r="F494" s="2" t="str">
        <f>TEXT("5877911794513151736","0")</f>
        <v>5877911794513150000</v>
      </c>
    </row>
    <row r="495" spans="1:6" ht="12.5" x14ac:dyDescent="0.25">
      <c r="A495" s="2"/>
      <c r="B495" s="2"/>
      <c r="C495" s="2" t="s">
        <v>873</v>
      </c>
      <c r="D495" s="2" t="s">
        <v>308</v>
      </c>
      <c r="E495" s="2" t="s">
        <v>874</v>
      </c>
      <c r="F495" s="2" t="str">
        <f>TEXT("5877980448408099068","0")</f>
        <v>5877980448408090000</v>
      </c>
    </row>
    <row r="496" spans="1:6" ht="12.5" x14ac:dyDescent="0.25">
      <c r="A496" s="2"/>
      <c r="B496" s="2"/>
      <c r="C496" s="2" t="s">
        <v>875</v>
      </c>
      <c r="D496" s="2" t="s">
        <v>635</v>
      </c>
      <c r="E496" s="2" t="s">
        <v>876</v>
      </c>
      <c r="F496" s="2" t="str">
        <f>TEXT("5878161894513047687","0")</f>
        <v>5878161894513040000</v>
      </c>
    </row>
    <row r="497" spans="1:6" ht="12.5" x14ac:dyDescent="0.25">
      <c r="A497" s="2"/>
      <c r="B497" s="2"/>
      <c r="C497" s="2" t="s">
        <v>877</v>
      </c>
      <c r="D497" s="2" t="s">
        <v>563</v>
      </c>
      <c r="E497" s="2" t="s">
        <v>878</v>
      </c>
      <c r="F497" s="2" t="str">
        <f>TEXT("5878729460615941838","0")</f>
        <v>5878729460615940000</v>
      </c>
    </row>
    <row r="498" spans="1:6" ht="12.5" x14ac:dyDescent="0.25">
      <c r="A498" s="2"/>
      <c r="B498" s="2"/>
      <c r="C498" s="2" t="s">
        <v>879</v>
      </c>
      <c r="D498" s="2" t="s">
        <v>880</v>
      </c>
      <c r="E498" s="2"/>
      <c r="F498" s="2" t="str">
        <f>TEXT("5878738697319282946","0")</f>
        <v>5878738697319280000</v>
      </c>
    </row>
    <row r="499" spans="1:6" ht="12.5" x14ac:dyDescent="0.25">
      <c r="A499" s="2"/>
      <c r="B499" s="2"/>
      <c r="C499" s="2" t="s">
        <v>877</v>
      </c>
      <c r="D499" s="2" t="s">
        <v>847</v>
      </c>
      <c r="E499" s="2"/>
      <c r="F499" s="2" t="str">
        <f>TEXT("5878744324517717819","0")</f>
        <v>5878744324517710000</v>
      </c>
    </row>
    <row r="500" spans="1:6" ht="12.5" x14ac:dyDescent="0.25">
      <c r="A500" s="2"/>
      <c r="B500" s="2"/>
      <c r="C500" s="2" t="s">
        <v>877</v>
      </c>
      <c r="D500" s="2" t="s">
        <v>359</v>
      </c>
      <c r="E500" s="2" t="s">
        <v>425</v>
      </c>
      <c r="F500" s="2" t="str">
        <f>TEXT("5878755404415499064","0")</f>
        <v>5878755404415490000</v>
      </c>
    </row>
    <row r="501" spans="1:6" ht="12.5" x14ac:dyDescent="0.25">
      <c r="A501" s="2"/>
      <c r="B501" s="2"/>
      <c r="C501" s="2" t="s">
        <v>881</v>
      </c>
      <c r="D501" s="2" t="s">
        <v>882</v>
      </c>
      <c r="E501" s="2"/>
      <c r="F501" s="2" t="str">
        <f>TEXT("5878761862315956365","0")</f>
        <v>5878761862315950000</v>
      </c>
    </row>
    <row r="502" spans="1:6" ht="12.5" x14ac:dyDescent="0.25">
      <c r="A502" s="2"/>
      <c r="B502" s="2"/>
      <c r="C502" s="2" t="s">
        <v>883</v>
      </c>
      <c r="D502" s="2" t="s">
        <v>737</v>
      </c>
      <c r="E502" s="2"/>
      <c r="F502" s="2" t="str">
        <f>TEXT("5878765024511470697","0")</f>
        <v>5878765024511470000</v>
      </c>
    </row>
    <row r="503" spans="1:6" ht="12.5" x14ac:dyDescent="0.25">
      <c r="A503" s="2"/>
      <c r="B503" s="2"/>
      <c r="C503" s="2" t="s">
        <v>884</v>
      </c>
      <c r="D503" s="2" t="s">
        <v>762</v>
      </c>
      <c r="E503" s="2" t="s">
        <v>885</v>
      </c>
      <c r="F503" s="2" t="str">
        <f>TEXT("5878766734517926265","0")</f>
        <v>5878766734517920000</v>
      </c>
    </row>
    <row r="504" spans="1:6" ht="12.5" x14ac:dyDescent="0.25">
      <c r="A504" s="2"/>
      <c r="B504" s="2"/>
      <c r="C504" s="2" t="s">
        <v>886</v>
      </c>
      <c r="D504" s="2" t="s">
        <v>887</v>
      </c>
      <c r="E504" s="2"/>
      <c r="F504" s="2" t="str">
        <f>TEXT("5878797346367372647","0")</f>
        <v>5878797346367370000</v>
      </c>
    </row>
    <row r="505" spans="1:6" ht="12.5" x14ac:dyDescent="0.25">
      <c r="A505" s="2"/>
      <c r="B505" s="2"/>
      <c r="C505" s="2" t="s">
        <v>888</v>
      </c>
      <c r="D505" s="2" t="s">
        <v>218</v>
      </c>
      <c r="E505" s="2" t="s">
        <v>889</v>
      </c>
      <c r="F505" s="2" t="str">
        <f>TEXT("5878798309081249463","0")</f>
        <v>5878798309081240000</v>
      </c>
    </row>
    <row r="506" spans="1:6" ht="12.5" x14ac:dyDescent="0.25">
      <c r="A506" s="2"/>
      <c r="B506" s="2"/>
      <c r="C506" s="2" t="s">
        <v>888</v>
      </c>
      <c r="D506" s="2" t="s">
        <v>890</v>
      </c>
      <c r="E506" s="2"/>
      <c r="F506" s="2" t="str">
        <f>TEXT("5878809764512902657","0")</f>
        <v>5878809764512900000</v>
      </c>
    </row>
    <row r="507" spans="1:6" ht="12.5" x14ac:dyDescent="0.25">
      <c r="A507" s="2"/>
      <c r="B507" s="2"/>
      <c r="C507" s="2" t="s">
        <v>891</v>
      </c>
      <c r="D507" s="2" t="s">
        <v>622</v>
      </c>
      <c r="E507" s="2" t="s">
        <v>892</v>
      </c>
      <c r="F507" s="2" t="str">
        <f>TEXT("5878817794513294415","0")</f>
        <v>5878817794513290000</v>
      </c>
    </row>
    <row r="508" spans="1:6" ht="12.5" x14ac:dyDescent="0.25">
      <c r="A508" s="2"/>
      <c r="B508" s="2"/>
      <c r="C508" s="2" t="s">
        <v>893</v>
      </c>
      <c r="D508" s="2" t="s">
        <v>338</v>
      </c>
      <c r="E508" s="2" t="s">
        <v>894</v>
      </c>
      <c r="F508" s="2" t="str">
        <f>TEXT("5878894194514717734","0")</f>
        <v>5878894194514710000</v>
      </c>
    </row>
    <row r="509" spans="1:6" ht="12.5" x14ac:dyDescent="0.25">
      <c r="A509" s="2"/>
      <c r="B509" s="2"/>
      <c r="C509" s="2" t="s">
        <v>895</v>
      </c>
      <c r="D509" s="2" t="s">
        <v>896</v>
      </c>
      <c r="E509" s="2"/>
      <c r="F509" s="2" t="str">
        <f>TEXT("5878910464515410784","0")</f>
        <v>5878910464515410000</v>
      </c>
    </row>
    <row r="510" spans="1:6" ht="12.5" x14ac:dyDescent="0.25">
      <c r="A510" s="2"/>
      <c r="B510" s="2"/>
      <c r="C510" s="2" t="s">
        <v>897</v>
      </c>
      <c r="D510" s="2" t="s">
        <v>242</v>
      </c>
      <c r="E510" s="2" t="s">
        <v>898</v>
      </c>
      <c r="F510" s="2" t="str">
        <f>TEXT("5878939457218653289","0")</f>
        <v>5878939457218650000</v>
      </c>
    </row>
    <row r="511" spans="1:6" ht="12.5" x14ac:dyDescent="0.25">
      <c r="A511" s="2"/>
      <c r="B511" s="2"/>
      <c r="C511" s="2" t="s">
        <v>897</v>
      </c>
      <c r="D511" s="2" t="s">
        <v>366</v>
      </c>
      <c r="E511" s="2"/>
      <c r="F511" s="2" t="str">
        <f>TEXT("5878939494515821819","0")</f>
        <v>5878939494515820000</v>
      </c>
    </row>
    <row r="512" spans="1:6" ht="12.5" x14ac:dyDescent="0.25">
      <c r="A512" s="2"/>
      <c r="B512" s="2"/>
      <c r="C512" s="2" t="s">
        <v>899</v>
      </c>
      <c r="D512" s="2" t="s">
        <v>839</v>
      </c>
      <c r="E512" s="2" t="s">
        <v>840</v>
      </c>
      <c r="F512" s="2" t="str">
        <f>TEXT("5878982674518457481","0")</f>
        <v>5878982674518450000</v>
      </c>
    </row>
    <row r="513" spans="1:6" ht="12.5" x14ac:dyDescent="0.25">
      <c r="A513" s="2"/>
      <c r="B513" s="2"/>
      <c r="C513" s="2" t="s">
        <v>900</v>
      </c>
      <c r="D513" s="2" t="s">
        <v>845</v>
      </c>
      <c r="E513" s="2"/>
      <c r="F513" s="2" t="str">
        <f>TEXT("5879599170844250948","0")</f>
        <v>5879599170844250000</v>
      </c>
    </row>
    <row r="514" spans="1:6" ht="12.5" x14ac:dyDescent="0.25">
      <c r="A514" s="2"/>
      <c r="B514" s="2"/>
      <c r="C514" s="2" t="s">
        <v>900</v>
      </c>
      <c r="D514" s="2" t="s">
        <v>359</v>
      </c>
      <c r="E514" s="2" t="s">
        <v>901</v>
      </c>
      <c r="F514" s="2" t="str">
        <f>TEXT("5879616134415800083","0")</f>
        <v>5879616134415800000</v>
      </c>
    </row>
    <row r="515" spans="1:6" ht="12.5" x14ac:dyDescent="0.25">
      <c r="A515" s="2"/>
      <c r="B515" s="2"/>
      <c r="C515" s="2" t="s">
        <v>900</v>
      </c>
      <c r="D515" s="2" t="s">
        <v>847</v>
      </c>
      <c r="E515" s="2"/>
      <c r="F515" s="2" t="str">
        <f>TEXT("5879617244517122766","0")</f>
        <v>5879617244517120000</v>
      </c>
    </row>
    <row r="516" spans="1:6" ht="12.5" x14ac:dyDescent="0.25">
      <c r="A516" s="2"/>
      <c r="B516" s="2"/>
      <c r="C516" s="2" t="s">
        <v>902</v>
      </c>
      <c r="D516" s="2" t="s">
        <v>783</v>
      </c>
      <c r="E516" s="2"/>
      <c r="F516" s="2" t="str">
        <f>TEXT("5879619274515113650","0")</f>
        <v>5879619274515110000</v>
      </c>
    </row>
    <row r="517" spans="1:6" ht="12.5" x14ac:dyDescent="0.25">
      <c r="A517" s="2"/>
      <c r="B517" s="2"/>
      <c r="C517" s="2" t="s">
        <v>903</v>
      </c>
      <c r="D517" s="2" t="s">
        <v>904</v>
      </c>
      <c r="E517" s="2"/>
      <c r="F517" s="2" t="str">
        <f>TEXT("5879619704517343887","0")</f>
        <v>5879619704517340000</v>
      </c>
    </row>
    <row r="518" spans="1:6" ht="12.5" x14ac:dyDescent="0.25">
      <c r="A518" s="2"/>
      <c r="B518" s="2"/>
      <c r="C518" s="2" t="s">
        <v>905</v>
      </c>
      <c r="D518" s="2" t="s">
        <v>906</v>
      </c>
      <c r="E518" s="2" t="s">
        <v>907</v>
      </c>
      <c r="F518" s="2" t="str">
        <f>TEXT("5879627344513407669","0")</f>
        <v>5879627344513400000</v>
      </c>
    </row>
    <row r="519" spans="1:6" ht="12.5" x14ac:dyDescent="0.25">
      <c r="A519" s="2"/>
      <c r="B519" s="2"/>
      <c r="C519" s="2" t="s">
        <v>908</v>
      </c>
      <c r="D519" s="2" t="s">
        <v>551</v>
      </c>
      <c r="E519" s="2" t="s">
        <v>909</v>
      </c>
      <c r="F519" s="2" t="str">
        <f>TEXT("5879633714519154071","0")</f>
        <v>5879633714519150000</v>
      </c>
    </row>
    <row r="520" spans="1:6" ht="12.5" x14ac:dyDescent="0.25">
      <c r="A520" s="2"/>
      <c r="B520" s="2"/>
      <c r="C520" s="2" t="s">
        <v>910</v>
      </c>
      <c r="D520" s="2" t="s">
        <v>882</v>
      </c>
      <c r="E520" s="2"/>
      <c r="F520" s="2" t="str">
        <f>TEXT("5879636502316350002","0")</f>
        <v>5879636502316350000</v>
      </c>
    </row>
    <row r="521" spans="1:6" ht="12.5" x14ac:dyDescent="0.25">
      <c r="A521" s="2"/>
      <c r="B521" s="2"/>
      <c r="C521" s="2" t="s">
        <v>911</v>
      </c>
      <c r="D521" s="2" t="s">
        <v>768</v>
      </c>
      <c r="E521" s="2" t="s">
        <v>912</v>
      </c>
      <c r="F521" s="2" t="str">
        <f>TEXT("5879658493723321738","0")</f>
        <v>5879658493723320000</v>
      </c>
    </row>
    <row r="522" spans="1:6" ht="12.5" x14ac:dyDescent="0.25">
      <c r="A522" s="2"/>
      <c r="B522" s="2"/>
      <c r="C522" s="2" t="s">
        <v>913</v>
      </c>
      <c r="D522" s="2" t="s">
        <v>622</v>
      </c>
      <c r="E522" s="2" t="s">
        <v>914</v>
      </c>
      <c r="F522" s="2" t="str">
        <f>TEXT("5879682924517573648","0")</f>
        <v>5879682924517570000</v>
      </c>
    </row>
    <row r="523" spans="1:6" ht="12.5" x14ac:dyDescent="0.25">
      <c r="A523" s="2"/>
      <c r="B523" s="2"/>
      <c r="C523" s="2" t="s">
        <v>915</v>
      </c>
      <c r="D523" s="2" t="s">
        <v>916</v>
      </c>
      <c r="E523" s="2"/>
      <c r="F523" s="2" t="str">
        <f>TEXT("5879809794513480995","0")</f>
        <v>5879809794513480000</v>
      </c>
    </row>
    <row r="524" spans="1:6" ht="12.5" x14ac:dyDescent="0.25">
      <c r="A524" s="2"/>
      <c r="B524" s="2"/>
      <c r="C524" s="2" t="s">
        <v>917</v>
      </c>
      <c r="D524" s="2" t="s">
        <v>918</v>
      </c>
      <c r="E524" s="2"/>
      <c r="F524" s="2" t="str">
        <f>TEXT("5879844281221265143","0")</f>
        <v>5879844281221260000</v>
      </c>
    </row>
    <row r="525" spans="1:6" ht="12.5" x14ac:dyDescent="0.25">
      <c r="A525" s="2"/>
      <c r="B525" s="2"/>
      <c r="C525" s="2" t="s">
        <v>919</v>
      </c>
      <c r="D525" s="2" t="s">
        <v>920</v>
      </c>
      <c r="E525" s="2" t="s">
        <v>921</v>
      </c>
      <c r="F525" s="2" t="str">
        <f>TEXT("5880471784519495843","0")</f>
        <v>5880471784519490000</v>
      </c>
    </row>
    <row r="526" spans="1:6" ht="12.5" x14ac:dyDescent="0.25">
      <c r="A526" s="2"/>
      <c r="B526" s="2"/>
      <c r="C526" s="2" t="s">
        <v>919</v>
      </c>
      <c r="D526" s="2" t="s">
        <v>751</v>
      </c>
      <c r="E526" s="2"/>
      <c r="F526" s="2" t="str">
        <f>TEXT("5880476446169500171","0")</f>
        <v>5880476446169500000</v>
      </c>
    </row>
    <row r="527" spans="1:6" ht="12.5" x14ac:dyDescent="0.25">
      <c r="A527" s="2"/>
      <c r="B527" s="2"/>
      <c r="C527" s="2" t="s">
        <v>919</v>
      </c>
      <c r="D527" s="2" t="s">
        <v>86</v>
      </c>
      <c r="E527" s="2"/>
      <c r="F527" s="2" t="str">
        <f>TEXT("5880480854512145138","0")</f>
        <v>5880480854512140000</v>
      </c>
    </row>
    <row r="528" spans="1:6" ht="12.5" x14ac:dyDescent="0.25">
      <c r="A528" s="2"/>
      <c r="B528" s="2"/>
      <c r="C528" s="2" t="s">
        <v>922</v>
      </c>
      <c r="D528" s="2" t="s">
        <v>880</v>
      </c>
      <c r="E528" s="2"/>
      <c r="F528" s="2" t="str">
        <f>TEXT("5880483054519009506","0")</f>
        <v>5880483054519000000</v>
      </c>
    </row>
    <row r="529" spans="1:6" ht="12.5" x14ac:dyDescent="0.25">
      <c r="A529" s="2"/>
      <c r="B529" s="2"/>
      <c r="C529" s="2" t="s">
        <v>923</v>
      </c>
      <c r="D529" s="2" t="s">
        <v>359</v>
      </c>
      <c r="E529" s="2" t="s">
        <v>591</v>
      </c>
      <c r="F529" s="2" t="str">
        <f>TEXT("5880483109512208216","0")</f>
        <v>5880483109512200000</v>
      </c>
    </row>
    <row r="530" spans="1:6" ht="12.5" x14ac:dyDescent="0.25">
      <c r="A530" s="2"/>
      <c r="B530" s="2"/>
      <c r="C530" s="2" t="s">
        <v>923</v>
      </c>
      <c r="D530" s="2" t="s">
        <v>924</v>
      </c>
      <c r="E530" s="2" t="s">
        <v>925</v>
      </c>
      <c r="F530" s="2" t="str">
        <f>TEXT("5880488224511030244","0")</f>
        <v>5880488224511030000</v>
      </c>
    </row>
    <row r="531" spans="1:6" ht="12.5" x14ac:dyDescent="0.25">
      <c r="A531" s="2"/>
      <c r="B531" s="2"/>
      <c r="C531" s="2" t="s">
        <v>926</v>
      </c>
      <c r="D531" s="2" t="s">
        <v>927</v>
      </c>
      <c r="E531" s="2"/>
      <c r="F531" s="2" t="str">
        <f>TEXT("5880492924517293771","0")</f>
        <v>5880492924517290000</v>
      </c>
    </row>
    <row r="532" spans="1:6" ht="12.5" x14ac:dyDescent="0.25">
      <c r="A532" s="2"/>
      <c r="B532" s="2"/>
      <c r="C532" s="2" t="s">
        <v>928</v>
      </c>
      <c r="D532" s="2" t="s">
        <v>218</v>
      </c>
      <c r="E532" s="2" t="s">
        <v>929</v>
      </c>
      <c r="F532" s="2" t="str">
        <f>TEXT("5880496099208508454","0")</f>
        <v>5880496099208500000</v>
      </c>
    </row>
    <row r="533" spans="1:6" ht="12.5" x14ac:dyDescent="0.25">
      <c r="A533" s="2"/>
      <c r="B533" s="2"/>
      <c r="C533" s="2" t="s">
        <v>926</v>
      </c>
      <c r="D533" s="2" t="s">
        <v>930</v>
      </c>
      <c r="E533" s="2"/>
      <c r="F533" s="2" t="str">
        <f>TEXT("5880498614514300944","0")</f>
        <v>5880498614514300000</v>
      </c>
    </row>
    <row r="534" spans="1:6" ht="12.5" x14ac:dyDescent="0.25">
      <c r="A534" s="2"/>
      <c r="B534" s="2"/>
      <c r="C534" s="2" t="s">
        <v>931</v>
      </c>
      <c r="D534" s="2" t="s">
        <v>932</v>
      </c>
      <c r="E534" s="2" t="s">
        <v>933</v>
      </c>
      <c r="F534" s="2" t="str">
        <f>TEXT("5880506244516360002","0")</f>
        <v>5880506244516360000</v>
      </c>
    </row>
    <row r="535" spans="1:6" ht="12.5" x14ac:dyDescent="0.25">
      <c r="A535" s="2"/>
      <c r="B535" s="2"/>
      <c r="C535" s="2" t="s">
        <v>934</v>
      </c>
      <c r="D535" s="2" t="s">
        <v>195</v>
      </c>
      <c r="E535" s="2"/>
      <c r="F535" s="2" t="str">
        <f>TEXT("5880511184513308276","0")</f>
        <v>5880511184513300000</v>
      </c>
    </row>
    <row r="536" spans="1:6" ht="12.5" x14ac:dyDescent="0.25">
      <c r="A536" s="2"/>
      <c r="B536" s="2"/>
      <c r="C536" s="2" t="s">
        <v>935</v>
      </c>
      <c r="D536" s="2" t="s">
        <v>936</v>
      </c>
      <c r="E536" s="2"/>
      <c r="F536" s="2" t="str">
        <f>TEXT("5880534724515145315","0")</f>
        <v>5880534724515140000</v>
      </c>
    </row>
    <row r="537" spans="1:6" ht="12.5" x14ac:dyDescent="0.25">
      <c r="A537" s="2"/>
      <c r="B537" s="2"/>
      <c r="C537" s="2" t="s">
        <v>937</v>
      </c>
      <c r="D537" s="2" t="s">
        <v>768</v>
      </c>
      <c r="E537" s="2" t="s">
        <v>938</v>
      </c>
      <c r="F537" s="2" t="str">
        <f>TEXT("5880536474064254496","0")</f>
        <v>5880536474064250000</v>
      </c>
    </row>
    <row r="538" spans="1:6" ht="12.5" x14ac:dyDescent="0.25">
      <c r="A538" s="2"/>
      <c r="B538" s="2"/>
      <c r="C538" s="2" t="s">
        <v>939</v>
      </c>
      <c r="D538" s="2" t="s">
        <v>622</v>
      </c>
      <c r="E538" s="2" t="s">
        <v>940</v>
      </c>
      <c r="F538" s="2" t="str">
        <f>TEXT("5880549839498444910","0")</f>
        <v>5880549839498440000</v>
      </c>
    </row>
    <row r="539" spans="1:6" ht="12.5" x14ac:dyDescent="0.25">
      <c r="A539" s="2"/>
      <c r="B539" s="2"/>
      <c r="C539" s="2" t="s">
        <v>941</v>
      </c>
      <c r="D539" s="2" t="s">
        <v>942</v>
      </c>
      <c r="E539" s="2" t="s">
        <v>943</v>
      </c>
      <c r="F539" s="2" t="str">
        <f>TEXT("5880636759236390836","0")</f>
        <v>5880636759236390000</v>
      </c>
    </row>
    <row r="540" spans="1:6" ht="12.5" x14ac:dyDescent="0.25">
      <c r="A540" s="2"/>
      <c r="B540" s="2"/>
      <c r="C540" s="2" t="s">
        <v>944</v>
      </c>
      <c r="D540" s="2" t="s">
        <v>847</v>
      </c>
      <c r="E540" s="2"/>
      <c r="F540" s="2" t="str">
        <f>TEXT("5880660754517618837","0")</f>
        <v>5880660754517610000</v>
      </c>
    </row>
    <row r="541" spans="1:6" ht="12.5" x14ac:dyDescent="0.25">
      <c r="A541" s="2"/>
      <c r="B541" s="2"/>
      <c r="C541" s="2" t="s">
        <v>944</v>
      </c>
      <c r="D541" s="2" t="s">
        <v>945</v>
      </c>
      <c r="E541" s="2"/>
      <c r="F541" s="2" t="str">
        <f>TEXT("5880661083136445093","0")</f>
        <v>5880661083136440000</v>
      </c>
    </row>
    <row r="542" spans="1:6" ht="12.5" x14ac:dyDescent="0.25">
      <c r="A542" s="2"/>
      <c r="B542" s="2"/>
      <c r="C542" s="2" t="s">
        <v>946</v>
      </c>
      <c r="D542" s="2" t="s">
        <v>947</v>
      </c>
      <c r="E542" s="2"/>
      <c r="F542" s="2" t="str">
        <f>TEXT("5880689314511723251","0")</f>
        <v>5880689314511720000</v>
      </c>
    </row>
    <row r="543" spans="1:6" ht="12.5" x14ac:dyDescent="0.25">
      <c r="A543" s="2"/>
      <c r="B543" s="2"/>
      <c r="C543" s="2" t="s">
        <v>948</v>
      </c>
      <c r="D543" s="2" t="s">
        <v>783</v>
      </c>
      <c r="E543" s="2"/>
      <c r="F543" s="2" t="str">
        <f>TEXT("5881346384519999964","0")</f>
        <v>5881346384519990000</v>
      </c>
    </row>
    <row r="544" spans="1:6" ht="12.5" x14ac:dyDescent="0.25">
      <c r="A544" s="2"/>
      <c r="B544" s="2"/>
      <c r="C544" s="2" t="s">
        <v>949</v>
      </c>
      <c r="D544" s="2" t="s">
        <v>780</v>
      </c>
      <c r="E544" s="2" t="s">
        <v>950</v>
      </c>
      <c r="F544" s="2" t="str">
        <f>TEXT("5881376844064164226","0")</f>
        <v>5881376844064160000</v>
      </c>
    </row>
    <row r="545" spans="1:6" ht="12.5" x14ac:dyDescent="0.25">
      <c r="A545" s="2"/>
      <c r="B545" s="2"/>
      <c r="C545" s="2" t="s">
        <v>951</v>
      </c>
      <c r="D545" s="2" t="s">
        <v>952</v>
      </c>
      <c r="E545" s="2" t="s">
        <v>953</v>
      </c>
      <c r="F545" s="2" t="str">
        <f>TEXT("5883943614518079336","0")</f>
        <v>5883943614518070000</v>
      </c>
    </row>
    <row r="546" spans="1:6" ht="12.5" x14ac:dyDescent="0.25">
      <c r="A546" s="2"/>
      <c r="B546" s="2"/>
      <c r="C546" s="2" t="s">
        <v>954</v>
      </c>
      <c r="D546" s="2" t="s">
        <v>847</v>
      </c>
      <c r="E546" s="2" t="s">
        <v>955</v>
      </c>
      <c r="F546" s="2" t="str">
        <f>TEXT("5883954251057035671","0")</f>
        <v>5883954251057030000</v>
      </c>
    </row>
    <row r="547" spans="1:6" ht="12.5" x14ac:dyDescent="0.25">
      <c r="A547" s="2"/>
      <c r="B547" s="2"/>
      <c r="C547" s="2" t="s">
        <v>956</v>
      </c>
      <c r="D547" s="2" t="s">
        <v>957</v>
      </c>
      <c r="E547" s="2" t="s">
        <v>958</v>
      </c>
      <c r="F547" s="2" t="str">
        <f>TEXT("5883957864519064211","0")</f>
        <v>5883957864519060000</v>
      </c>
    </row>
    <row r="548" spans="1:6" ht="12.5" x14ac:dyDescent="0.25">
      <c r="A548" s="2"/>
      <c r="B548" s="2"/>
      <c r="C548" s="2" t="s">
        <v>959</v>
      </c>
      <c r="D548" s="2" t="s">
        <v>789</v>
      </c>
      <c r="E548" s="2"/>
      <c r="F548" s="2" t="str">
        <f>TEXT("5884024090424278821","0")</f>
        <v>5884024090424270000</v>
      </c>
    </row>
    <row r="549" spans="1:6" ht="12.5" x14ac:dyDescent="0.25">
      <c r="A549" s="2"/>
      <c r="B549" s="2"/>
      <c r="C549" s="2" t="s">
        <v>960</v>
      </c>
      <c r="D549" s="2" t="s">
        <v>961</v>
      </c>
      <c r="E549" s="2"/>
      <c r="F549" s="2" t="str">
        <f>TEXT("5884791964514481812","0")</f>
        <v>5884791964514480000</v>
      </c>
    </row>
    <row r="550" spans="1:6" ht="12.5" x14ac:dyDescent="0.25">
      <c r="A550" s="2"/>
      <c r="B550" s="2"/>
      <c r="C550" s="2" t="s">
        <v>962</v>
      </c>
      <c r="D550" s="2" t="s">
        <v>359</v>
      </c>
      <c r="E550" s="2" t="s">
        <v>591</v>
      </c>
      <c r="F550" s="2" t="str">
        <f>TEXT("5884804375313237197","0")</f>
        <v>5884804375313230000</v>
      </c>
    </row>
    <row r="551" spans="1:6" ht="12.5" x14ac:dyDescent="0.25">
      <c r="A551" s="2"/>
      <c r="B551" s="2"/>
      <c r="C551" s="2" t="s">
        <v>963</v>
      </c>
      <c r="D551" s="2" t="s">
        <v>730</v>
      </c>
      <c r="E551" s="2" t="s">
        <v>964</v>
      </c>
      <c r="F551" s="2" t="str">
        <f>TEXT("5884814248498764146","0")</f>
        <v>5884814248498760000</v>
      </c>
    </row>
    <row r="552" spans="1:6" ht="12.5" x14ac:dyDescent="0.25">
      <c r="A552" s="2"/>
      <c r="B552" s="2"/>
      <c r="C552" s="2" t="s">
        <v>963</v>
      </c>
      <c r="D552" s="2" t="s">
        <v>965</v>
      </c>
      <c r="E552" s="2"/>
      <c r="F552" s="2" t="str">
        <f>TEXT("5884814464516288925","0")</f>
        <v>5884814464516280000</v>
      </c>
    </row>
    <row r="553" spans="1:6" ht="12.5" x14ac:dyDescent="0.25">
      <c r="A553" s="2"/>
      <c r="B553" s="2"/>
      <c r="C553" s="2" t="s">
        <v>966</v>
      </c>
      <c r="D553" s="2" t="s">
        <v>99</v>
      </c>
      <c r="E553" s="2"/>
      <c r="F553" s="2" t="str">
        <f>TEXT("5884817509343173775","0")</f>
        <v>5884817509343170000</v>
      </c>
    </row>
    <row r="554" spans="1:6" ht="12.5" x14ac:dyDescent="0.25">
      <c r="A554" s="2"/>
      <c r="B554" s="2"/>
      <c r="C554" s="2" t="s">
        <v>967</v>
      </c>
      <c r="D554" s="2" t="s">
        <v>968</v>
      </c>
      <c r="E554" s="2"/>
      <c r="F554" s="2" t="str">
        <f>TEXT("5884822824519609087","0")</f>
        <v>5884822824519600000</v>
      </c>
    </row>
    <row r="555" spans="1:6" ht="12.5" x14ac:dyDescent="0.25">
      <c r="A555" s="2"/>
      <c r="B555" s="2"/>
      <c r="C555" s="2" t="s">
        <v>969</v>
      </c>
      <c r="D555" s="2" t="s">
        <v>970</v>
      </c>
      <c r="E555" s="2"/>
      <c r="F555" s="2" t="str">
        <f>TEXT("5884827486861082767","0")</f>
        <v>5884827486861080000</v>
      </c>
    </row>
    <row r="556" spans="1:6" ht="12.5" x14ac:dyDescent="0.25">
      <c r="A556" s="2"/>
      <c r="B556" s="2"/>
      <c r="C556" s="2" t="s">
        <v>971</v>
      </c>
      <c r="D556" s="2" t="s">
        <v>218</v>
      </c>
      <c r="E556" s="2" t="s">
        <v>972</v>
      </c>
      <c r="F556" s="2" t="str">
        <f>TEXT("5884831197141764016","0")</f>
        <v>5884831197141760000</v>
      </c>
    </row>
    <row r="557" spans="1:6" ht="12.5" x14ac:dyDescent="0.25">
      <c r="A557" s="2"/>
      <c r="B557" s="2"/>
      <c r="C557" s="2" t="s">
        <v>969</v>
      </c>
      <c r="D557" s="2" t="s">
        <v>849</v>
      </c>
      <c r="E557" s="2"/>
      <c r="F557" s="2" t="str">
        <f>TEXT("5884833084514825872","0")</f>
        <v>5884833084514820000</v>
      </c>
    </row>
    <row r="558" spans="1:6" ht="12.5" x14ac:dyDescent="0.25">
      <c r="A558" s="2"/>
      <c r="B558" s="2"/>
      <c r="C558" s="2" t="s">
        <v>973</v>
      </c>
      <c r="D558" s="2" t="s">
        <v>622</v>
      </c>
      <c r="E558" s="2" t="s">
        <v>974</v>
      </c>
      <c r="F558" s="2" t="str">
        <f>TEXT("5884856196311960364","0")</f>
        <v>5884856196311960000</v>
      </c>
    </row>
    <row r="559" spans="1:6" ht="12.5" x14ac:dyDescent="0.25">
      <c r="A559" s="2"/>
      <c r="B559" s="2"/>
      <c r="C559" s="2" t="s">
        <v>975</v>
      </c>
      <c r="D559" s="2" t="s">
        <v>168</v>
      </c>
      <c r="E559" s="2" t="s">
        <v>976</v>
      </c>
      <c r="F559" s="2" t="str">
        <f>TEXT("5884866214512898342","0")</f>
        <v>5884866214512890000</v>
      </c>
    </row>
    <row r="560" spans="1:6" ht="12.5" x14ac:dyDescent="0.25">
      <c r="A560" s="2"/>
      <c r="B560" s="2"/>
      <c r="C560" s="2" t="s">
        <v>977</v>
      </c>
      <c r="D560" s="2" t="s">
        <v>563</v>
      </c>
      <c r="E560" s="2"/>
      <c r="F560" s="2" t="str">
        <f>TEXT("5884876394519958634","0")</f>
        <v>5884876394519950000</v>
      </c>
    </row>
    <row r="561" spans="1:6" ht="12.5" x14ac:dyDescent="0.25">
      <c r="A561" s="2"/>
      <c r="B561" s="2"/>
      <c r="C561" s="2" t="s">
        <v>978</v>
      </c>
      <c r="D561" s="2" t="s">
        <v>979</v>
      </c>
      <c r="E561" s="2" t="s">
        <v>980</v>
      </c>
      <c r="F561" s="2" t="str">
        <f>TEXT("5884877014518557971","0")</f>
        <v>5884877014518550000</v>
      </c>
    </row>
    <row r="562" spans="1:6" ht="12.5" x14ac:dyDescent="0.25">
      <c r="A562" s="2"/>
      <c r="B562" s="2"/>
      <c r="C562" s="2" t="s">
        <v>981</v>
      </c>
      <c r="D562" s="2" t="s">
        <v>789</v>
      </c>
      <c r="E562" s="2"/>
      <c r="F562" s="2" t="str">
        <f>TEXT("5885023480233420169","0")</f>
        <v>5885023480233420000</v>
      </c>
    </row>
    <row r="563" spans="1:6" ht="12.5" x14ac:dyDescent="0.25">
      <c r="A563" s="2"/>
      <c r="B563" s="2"/>
      <c r="C563" s="2" t="s">
        <v>982</v>
      </c>
      <c r="D563" s="2" t="s">
        <v>704</v>
      </c>
      <c r="E563" s="2" t="s">
        <v>983</v>
      </c>
      <c r="F563" s="2" t="str">
        <f>TEXT("5885030794519893840","0")</f>
        <v>5885030794519890000</v>
      </c>
    </row>
    <row r="564" spans="1:6" ht="12.5" x14ac:dyDescent="0.25">
      <c r="A564" s="2"/>
      <c r="B564" s="2"/>
      <c r="C564" s="2" t="s">
        <v>984</v>
      </c>
      <c r="D564" s="2" t="s">
        <v>359</v>
      </c>
      <c r="E564" s="2" t="s">
        <v>591</v>
      </c>
      <c r="F564" s="2" t="str">
        <f>TEXT("5885663356135060941","0")</f>
        <v>5885663356135060000</v>
      </c>
    </row>
    <row r="565" spans="1:6" ht="12.5" x14ac:dyDescent="0.25">
      <c r="A565" s="2"/>
      <c r="B565" s="2"/>
      <c r="C565" s="2" t="s">
        <v>984</v>
      </c>
      <c r="D565" s="2" t="s">
        <v>985</v>
      </c>
      <c r="E565" s="2" t="s">
        <v>986</v>
      </c>
      <c r="F565" s="2" t="str">
        <f>TEXT("5885665769162467658","0")</f>
        <v>5885665769162460000</v>
      </c>
    </row>
    <row r="566" spans="1:6" ht="12.5" x14ac:dyDescent="0.25">
      <c r="A566" s="2"/>
      <c r="B566" s="2"/>
      <c r="C566" s="2" t="s">
        <v>987</v>
      </c>
      <c r="D566" s="2" t="s">
        <v>593</v>
      </c>
      <c r="E566" s="2" t="s">
        <v>953</v>
      </c>
      <c r="F566" s="2" t="str">
        <f>TEXT("5885683724513532587","0")</f>
        <v>5885683724513530000</v>
      </c>
    </row>
    <row r="567" spans="1:6" ht="12.5" x14ac:dyDescent="0.25">
      <c r="A567" s="2"/>
      <c r="B567" s="2"/>
      <c r="C567" s="2" t="s">
        <v>988</v>
      </c>
      <c r="D567" s="2" t="s">
        <v>768</v>
      </c>
      <c r="E567" s="2" t="s">
        <v>989</v>
      </c>
      <c r="F567" s="2" t="str">
        <f>TEXT("5885703016214352597","0")</f>
        <v>5885703016214350000</v>
      </c>
    </row>
    <row r="568" spans="1:6" ht="12.5" x14ac:dyDescent="0.25">
      <c r="A568" s="2"/>
      <c r="B568" s="2"/>
      <c r="C568" s="2" t="s">
        <v>990</v>
      </c>
      <c r="D568" s="2" t="s">
        <v>991</v>
      </c>
      <c r="E568" s="2"/>
      <c r="F568" s="2" t="str">
        <f>TEXT("5885712482363295146","0")</f>
        <v>5885712482363290000</v>
      </c>
    </row>
    <row r="569" spans="1:6" ht="12.5" x14ac:dyDescent="0.25">
      <c r="A569" s="2"/>
      <c r="B569" s="2"/>
      <c r="C569" s="2" t="s">
        <v>992</v>
      </c>
      <c r="D569" s="2" t="s">
        <v>622</v>
      </c>
      <c r="E569" s="2" t="s">
        <v>993</v>
      </c>
      <c r="F569" s="2" t="str">
        <f>TEXT("5885731054518082913","0")</f>
        <v>5885731054518080000</v>
      </c>
    </row>
    <row r="570" spans="1:6" ht="12.5" x14ac:dyDescent="0.25">
      <c r="A570" s="2"/>
      <c r="B570" s="2"/>
      <c r="C570" s="2" t="s">
        <v>994</v>
      </c>
      <c r="D570" s="2" t="s">
        <v>995</v>
      </c>
      <c r="E570" s="2" t="s">
        <v>996</v>
      </c>
      <c r="F570" s="2" t="str">
        <f>TEXT("5885734654678975656","0")</f>
        <v>5885734654678970000</v>
      </c>
    </row>
    <row r="571" spans="1:6" ht="12.5" x14ac:dyDescent="0.25">
      <c r="A571" s="2"/>
      <c r="B571" s="2"/>
      <c r="C571" s="2" t="s">
        <v>997</v>
      </c>
      <c r="D571" s="2" t="s">
        <v>783</v>
      </c>
      <c r="E571" s="2"/>
      <c r="F571" s="2" t="str">
        <f>TEXT("5885775734516344097","0")</f>
        <v>5885775734516340000</v>
      </c>
    </row>
    <row r="572" spans="1:6" ht="12.5" x14ac:dyDescent="0.25">
      <c r="A572" s="2"/>
      <c r="B572" s="2"/>
      <c r="C572" s="2" t="s">
        <v>998</v>
      </c>
      <c r="D572" s="2" t="s">
        <v>999</v>
      </c>
      <c r="E572" s="2"/>
      <c r="F572" s="2" t="str">
        <f>TEXT("5885834914512223176","0")</f>
        <v>5885834914512220000</v>
      </c>
    </row>
    <row r="573" spans="1:6" ht="12.5" x14ac:dyDescent="0.25">
      <c r="A573" s="2"/>
      <c r="B573" s="2"/>
      <c r="C573" s="2" t="s">
        <v>1000</v>
      </c>
      <c r="D573" s="2" t="s">
        <v>1001</v>
      </c>
      <c r="E573" s="2"/>
      <c r="F573" s="2" t="str">
        <f>TEXT("5886526194518489878","0")</f>
        <v>5886526194518480000</v>
      </c>
    </row>
    <row r="574" spans="1:6" ht="12.5" x14ac:dyDescent="0.25">
      <c r="A574" s="2"/>
      <c r="B574" s="2"/>
      <c r="C574" s="2" t="s">
        <v>1002</v>
      </c>
      <c r="D574" s="2" t="s">
        <v>1003</v>
      </c>
      <c r="E574" s="2" t="s">
        <v>1004</v>
      </c>
      <c r="F574" s="2" t="str">
        <f>TEXT("5886537424512064542","0")</f>
        <v>5886537424512060000</v>
      </c>
    </row>
    <row r="575" spans="1:6" ht="12.5" x14ac:dyDescent="0.25">
      <c r="A575" s="2"/>
      <c r="B575" s="2"/>
      <c r="C575" s="2" t="s">
        <v>1002</v>
      </c>
      <c r="D575" s="2" t="s">
        <v>359</v>
      </c>
      <c r="E575" s="2" t="s">
        <v>1005</v>
      </c>
      <c r="F575" s="2" t="str">
        <f>TEXT("5886539091216742799","0")</f>
        <v>5886539091216740000</v>
      </c>
    </row>
    <row r="576" spans="1:6" ht="12.5" x14ac:dyDescent="0.25">
      <c r="A576" s="2"/>
      <c r="B576" s="2"/>
      <c r="C576" s="2" t="s">
        <v>1006</v>
      </c>
      <c r="D576" s="2" t="s">
        <v>1007</v>
      </c>
      <c r="E576" s="2"/>
      <c r="F576" s="2" t="str">
        <f>TEXT("5886539152625585754","0")</f>
        <v>5886539152625580000</v>
      </c>
    </row>
    <row r="577" spans="1:6" ht="12.5" x14ac:dyDescent="0.25">
      <c r="A577" s="2"/>
      <c r="B577" s="2"/>
      <c r="C577" s="2" t="s">
        <v>1008</v>
      </c>
      <c r="D577" s="2" t="s">
        <v>218</v>
      </c>
      <c r="E577" s="2" t="s">
        <v>1009</v>
      </c>
      <c r="F577" s="2" t="str">
        <f>TEXT("5886544978394231374","0")</f>
        <v>5886544978394230000</v>
      </c>
    </row>
    <row r="578" spans="1:6" ht="12.5" x14ac:dyDescent="0.25">
      <c r="A578" s="2"/>
      <c r="B578" s="2"/>
      <c r="C578" s="2" t="s">
        <v>1008</v>
      </c>
      <c r="D578" s="2" t="s">
        <v>195</v>
      </c>
      <c r="E578" s="2"/>
      <c r="F578" s="2" t="str">
        <f>TEXT("5886549824518701752","0")</f>
        <v>5886549824518700000</v>
      </c>
    </row>
    <row r="579" spans="1:6" ht="12.5" x14ac:dyDescent="0.25">
      <c r="A579" s="2"/>
      <c r="B579" s="2"/>
      <c r="C579" s="2" t="s">
        <v>1010</v>
      </c>
      <c r="D579" s="2" t="s">
        <v>1011</v>
      </c>
      <c r="E579" s="2" t="s">
        <v>1012</v>
      </c>
      <c r="F579" s="2" t="str">
        <f>TEXT("5886710974511975966","0")</f>
        <v>5886710974511970000</v>
      </c>
    </row>
    <row r="580" spans="1:6" ht="12.5" x14ac:dyDescent="0.25">
      <c r="A580" s="2"/>
      <c r="B580" s="2"/>
      <c r="C580" s="2" t="s">
        <v>1013</v>
      </c>
      <c r="D580" s="2" t="s">
        <v>1014</v>
      </c>
      <c r="E580" s="2"/>
      <c r="F580" s="2" t="str">
        <f>TEXT("5890002843075458622","0")</f>
        <v>5890002843075450000</v>
      </c>
    </row>
    <row r="581" spans="1:6" ht="12.5" x14ac:dyDescent="0.25">
      <c r="A581" s="2"/>
      <c r="B581" s="2"/>
      <c r="C581" s="2" t="s">
        <v>1015</v>
      </c>
      <c r="D581" s="2" t="s">
        <v>316</v>
      </c>
      <c r="E581" s="2" t="s">
        <v>1016</v>
      </c>
      <c r="F581" s="2" t="str">
        <f>TEXT("5890003744516795715","0")</f>
        <v>5890003744516790000</v>
      </c>
    </row>
    <row r="582" spans="1:6" ht="12.5" x14ac:dyDescent="0.25">
      <c r="A582" s="2"/>
      <c r="B582" s="2"/>
      <c r="C582" s="2" t="s">
        <v>1017</v>
      </c>
      <c r="D582" s="2" t="s">
        <v>1018</v>
      </c>
      <c r="E582" s="2"/>
      <c r="F582" s="2" t="str">
        <f>TEXT("5890841002236371272","0")</f>
        <v>5890841002236370000</v>
      </c>
    </row>
    <row r="583" spans="1:6" ht="12.5" x14ac:dyDescent="0.25">
      <c r="A583" s="2"/>
      <c r="B583" s="2"/>
      <c r="C583" s="2" t="s">
        <v>1019</v>
      </c>
      <c r="D583" s="2" t="s">
        <v>226</v>
      </c>
      <c r="E583" s="2"/>
      <c r="F583" s="2" t="str">
        <f>TEXT("5890877694519790112","0")</f>
        <v>5890877694519790000</v>
      </c>
    </row>
    <row r="584" spans="1:6" ht="12.5" x14ac:dyDescent="0.25">
      <c r="A584" s="2"/>
      <c r="B584" s="2"/>
      <c r="C584" s="2" t="s">
        <v>1020</v>
      </c>
      <c r="D584" s="2" t="s">
        <v>1021</v>
      </c>
      <c r="E584" s="2" t="s">
        <v>1022</v>
      </c>
      <c r="F584" s="2" t="str">
        <f>TEXT("5890891572363392253","0")</f>
        <v>5890891572363390000</v>
      </c>
    </row>
    <row r="585" spans="1:6" ht="12.5" x14ac:dyDescent="0.25">
      <c r="A585" s="2"/>
      <c r="B585" s="2"/>
      <c r="C585" s="2" t="s">
        <v>1023</v>
      </c>
      <c r="D585" s="2" t="s">
        <v>414</v>
      </c>
      <c r="E585" s="2" t="s">
        <v>1024</v>
      </c>
      <c r="F585" s="2" t="str">
        <f>TEXT("5890904244515558844","0")</f>
        <v>5890904244515550000</v>
      </c>
    </row>
    <row r="586" spans="1:6" ht="12.5" x14ac:dyDescent="0.25">
      <c r="A586" s="2"/>
      <c r="B586" s="2"/>
      <c r="C586" s="2" t="s">
        <v>1025</v>
      </c>
      <c r="D586" s="2" t="s">
        <v>323</v>
      </c>
      <c r="E586" s="2"/>
      <c r="F586" s="2" t="str">
        <f>TEXT("5890921154951604048","0")</f>
        <v>5890921154951600000</v>
      </c>
    </row>
    <row r="587" spans="1:6" ht="12.5" x14ac:dyDescent="0.25">
      <c r="A587" s="2"/>
      <c r="B587" s="2"/>
      <c r="C587" s="2" t="s">
        <v>1026</v>
      </c>
      <c r="D587" s="2" t="s">
        <v>1027</v>
      </c>
      <c r="E587" s="2" t="s">
        <v>1028</v>
      </c>
      <c r="F587" s="2" t="str">
        <f>TEXT("5890937474512770530","0")</f>
        <v>5890937474512770000</v>
      </c>
    </row>
    <row r="588" spans="1:6" ht="12.5" x14ac:dyDescent="0.25">
      <c r="A588" s="2"/>
      <c r="B588" s="2"/>
      <c r="C588" s="2" t="s">
        <v>1029</v>
      </c>
      <c r="D588" s="2" t="s">
        <v>704</v>
      </c>
      <c r="E588" s="2"/>
      <c r="F588" s="2" t="str">
        <f>TEXT("5891027904514705573","0")</f>
        <v>5891027904514700000</v>
      </c>
    </row>
    <row r="589" spans="1:6" ht="12.5" x14ac:dyDescent="0.25">
      <c r="A589" s="2"/>
      <c r="B589" s="2"/>
      <c r="C589" s="2" t="s">
        <v>1029</v>
      </c>
      <c r="D589" s="2" t="s">
        <v>704</v>
      </c>
      <c r="E589" s="2"/>
      <c r="F589" s="2" t="str">
        <f>TEXT("5891028594512245365","0")</f>
        <v>5891028594512240000</v>
      </c>
    </row>
    <row r="590" spans="1:6" ht="12.5" x14ac:dyDescent="0.25">
      <c r="A590" s="2"/>
      <c r="B590" s="2"/>
      <c r="C590" s="2" t="s">
        <v>1030</v>
      </c>
      <c r="D590" s="2" t="s">
        <v>1031</v>
      </c>
      <c r="E590" s="2"/>
      <c r="F590" s="2" t="str">
        <f>TEXT("5891072434511467268","0")</f>
        <v>5891072434511460000</v>
      </c>
    </row>
    <row r="591" spans="1:6" ht="12.5" x14ac:dyDescent="0.25">
      <c r="A591" s="2"/>
      <c r="B591" s="2"/>
      <c r="C591" s="2" t="s">
        <v>1032</v>
      </c>
      <c r="D591" s="2" t="s">
        <v>1018</v>
      </c>
      <c r="E591" s="2"/>
      <c r="F591" s="2" t="str">
        <f>TEXT("5891707684512122856","0")</f>
        <v>5891707684512120000</v>
      </c>
    </row>
    <row r="592" spans="1:6" ht="12.5" x14ac:dyDescent="0.25">
      <c r="A592" s="2"/>
      <c r="B592" s="2"/>
      <c r="C592" s="2" t="s">
        <v>1033</v>
      </c>
      <c r="D592" s="2" t="s">
        <v>551</v>
      </c>
      <c r="E592" s="2" t="s">
        <v>1034</v>
      </c>
      <c r="F592" s="2" t="str">
        <f>TEXT("5891721994513384299","0")</f>
        <v>5891721994513380000</v>
      </c>
    </row>
    <row r="593" spans="1:6" ht="12.5" x14ac:dyDescent="0.25">
      <c r="A593" s="2"/>
      <c r="B593" s="2"/>
      <c r="C593" s="2" t="s">
        <v>1035</v>
      </c>
      <c r="D593" s="2" t="s">
        <v>737</v>
      </c>
      <c r="E593" s="2" t="s">
        <v>1036</v>
      </c>
      <c r="F593" s="2" t="str">
        <f>TEXT("5891742364514296744","0")</f>
        <v>5891742364514290000</v>
      </c>
    </row>
    <row r="594" spans="1:6" ht="12.5" x14ac:dyDescent="0.25">
      <c r="A594" s="2"/>
      <c r="B594" s="2"/>
      <c r="C594" s="2" t="s">
        <v>1035</v>
      </c>
      <c r="D594" s="2" t="s">
        <v>657</v>
      </c>
      <c r="E594" s="2" t="s">
        <v>1037</v>
      </c>
      <c r="F594" s="2" t="str">
        <f>TEXT("5891743344514946690","0")</f>
        <v>5891743344514940000</v>
      </c>
    </row>
    <row r="595" spans="1:6" ht="12.5" x14ac:dyDescent="0.25">
      <c r="A595" s="2"/>
      <c r="B595" s="2"/>
      <c r="C595" s="2" t="s">
        <v>1038</v>
      </c>
      <c r="D595" s="2" t="s">
        <v>672</v>
      </c>
      <c r="E595" s="2"/>
      <c r="F595" s="2" t="str">
        <f>TEXT("5891766494513545254","0")</f>
        <v>5891766494513540000</v>
      </c>
    </row>
    <row r="596" spans="1:6" ht="12.5" x14ac:dyDescent="0.25">
      <c r="A596" s="2"/>
      <c r="B596" s="2"/>
      <c r="C596" s="2" t="s">
        <v>1039</v>
      </c>
      <c r="D596" s="2" t="s">
        <v>563</v>
      </c>
      <c r="E596" s="2"/>
      <c r="F596" s="2" t="str">
        <f>TEXT("5892552904514647128","0")</f>
        <v>5892552904514640000</v>
      </c>
    </row>
    <row r="597" spans="1:6" ht="12.5" x14ac:dyDescent="0.25">
      <c r="A597" s="2"/>
      <c r="B597" s="2"/>
      <c r="C597" s="2" t="s">
        <v>1039</v>
      </c>
      <c r="D597" s="2" t="s">
        <v>359</v>
      </c>
      <c r="E597" s="2" t="s">
        <v>591</v>
      </c>
      <c r="F597" s="2" t="str">
        <f>TEXT("5892574726813868998","0")</f>
        <v>5892574726813860000</v>
      </c>
    </row>
    <row r="598" spans="1:6" ht="12.5" x14ac:dyDescent="0.25">
      <c r="A598" s="2"/>
      <c r="B598" s="2"/>
      <c r="C598" s="2" t="s">
        <v>1040</v>
      </c>
      <c r="D598" s="2" t="s">
        <v>1041</v>
      </c>
      <c r="E598" s="2" t="s">
        <v>1036</v>
      </c>
      <c r="F598" s="2" t="str">
        <f>TEXT("5892597244512180615","0")</f>
        <v>5892597244512180000</v>
      </c>
    </row>
    <row r="599" spans="1:6" ht="12.5" x14ac:dyDescent="0.25">
      <c r="A599" s="2"/>
      <c r="B599" s="2"/>
      <c r="C599" s="2" t="s">
        <v>1042</v>
      </c>
      <c r="D599" s="2" t="s">
        <v>890</v>
      </c>
      <c r="E599" s="2"/>
      <c r="F599" s="2" t="str">
        <f>TEXT("5892615374514442779","0")</f>
        <v>5892615374514440000</v>
      </c>
    </row>
    <row r="600" spans="1:6" ht="12.5" x14ac:dyDescent="0.25">
      <c r="A600" s="2"/>
      <c r="B600" s="2"/>
      <c r="C600" s="2" t="s">
        <v>1043</v>
      </c>
      <c r="D600" s="2" t="s">
        <v>780</v>
      </c>
      <c r="E600" s="2" t="s">
        <v>781</v>
      </c>
      <c r="F600" s="2" t="str">
        <f>TEXT("5892624416291439761","0")</f>
        <v>5892624416291430000</v>
      </c>
    </row>
    <row r="601" spans="1:6" ht="12.5" x14ac:dyDescent="0.25">
      <c r="A601" s="2"/>
      <c r="B601" s="2"/>
      <c r="C601" s="2" t="s">
        <v>1044</v>
      </c>
      <c r="D601" s="2" t="s">
        <v>672</v>
      </c>
      <c r="E601" s="2"/>
      <c r="F601" s="2" t="str">
        <f>TEXT("5892633674511113154","0")</f>
        <v>5892633674511110000</v>
      </c>
    </row>
    <row r="602" spans="1:6" ht="12.5" x14ac:dyDescent="0.25">
      <c r="A602" s="2"/>
      <c r="B602" s="2"/>
      <c r="C602" s="2" t="s">
        <v>1045</v>
      </c>
      <c r="D602" s="2" t="s">
        <v>327</v>
      </c>
      <c r="E602" s="2" t="s">
        <v>1046</v>
      </c>
      <c r="F602" s="2" t="str">
        <f>TEXT("5892636416072354601","0")</f>
        <v>5892636416072350000</v>
      </c>
    </row>
    <row r="603" spans="1:6" ht="12.5" x14ac:dyDescent="0.25">
      <c r="A603" s="2"/>
      <c r="B603" s="2"/>
      <c r="C603" s="2" t="s">
        <v>1047</v>
      </c>
      <c r="D603" s="2" t="s">
        <v>1048</v>
      </c>
      <c r="E603" s="2"/>
      <c r="F603" s="2" t="str">
        <f>TEXT("5892751604511816117","0")</f>
        <v>5892751604511810000</v>
      </c>
    </row>
    <row r="604" spans="1:6" ht="12.5" x14ac:dyDescent="0.25">
      <c r="A604" s="2"/>
      <c r="B604" s="2"/>
      <c r="C604" s="2" t="s">
        <v>1049</v>
      </c>
      <c r="D604" s="2" t="s">
        <v>142</v>
      </c>
      <c r="E604" s="2"/>
      <c r="F604" s="2" t="str">
        <f>TEXT("5893452477758544405","0")</f>
        <v>5893452477758540000</v>
      </c>
    </row>
    <row r="605" spans="1:6" ht="12.5" x14ac:dyDescent="0.25">
      <c r="A605" s="2"/>
      <c r="B605" s="2"/>
      <c r="C605" s="2" t="s">
        <v>1050</v>
      </c>
      <c r="D605" s="2" t="s">
        <v>333</v>
      </c>
      <c r="E605" s="2"/>
      <c r="F605" s="2" t="str">
        <f>TEXT("5893462264518885655","0")</f>
        <v>5893462264518880000</v>
      </c>
    </row>
    <row r="606" spans="1:6" ht="12.5" x14ac:dyDescent="0.25">
      <c r="A606" s="2"/>
      <c r="B606" s="2"/>
      <c r="C606" s="2" t="s">
        <v>1051</v>
      </c>
      <c r="D606" s="2" t="s">
        <v>1052</v>
      </c>
      <c r="E606" s="2" t="s">
        <v>1053</v>
      </c>
      <c r="F606" s="2" t="str">
        <f>TEXT("5893486517357929795","0")</f>
        <v>5893486517357920000</v>
      </c>
    </row>
    <row r="607" spans="1:6" ht="12.5" x14ac:dyDescent="0.25">
      <c r="A607" s="2"/>
      <c r="B607" s="2"/>
      <c r="C607" s="2" t="s">
        <v>1054</v>
      </c>
      <c r="D607" s="2" t="s">
        <v>1055</v>
      </c>
      <c r="E607" s="2" t="s">
        <v>1036</v>
      </c>
      <c r="F607" s="2" t="str">
        <f>TEXT("5896048074519693314","0")</f>
        <v>5896048074519690000</v>
      </c>
    </row>
    <row r="608" spans="1:6" ht="12.5" x14ac:dyDescent="0.25">
      <c r="A608" s="2"/>
      <c r="B608" s="2"/>
      <c r="C608" s="2" t="s">
        <v>1056</v>
      </c>
      <c r="D608" s="2" t="s">
        <v>323</v>
      </c>
      <c r="E608" s="2"/>
      <c r="F608" s="2" t="str">
        <f>TEXT("5896060465376059689","0")</f>
        <v>5896060465376050000</v>
      </c>
    </row>
    <row r="609" spans="1:6" ht="12.5" x14ac:dyDescent="0.25">
      <c r="A609" s="2"/>
      <c r="B609" s="2"/>
      <c r="C609" s="2" t="s">
        <v>1057</v>
      </c>
      <c r="D609" s="2" t="s">
        <v>1058</v>
      </c>
      <c r="E609" s="2" t="s">
        <v>1059</v>
      </c>
      <c r="F609" s="2" t="str">
        <f>TEXT("5896852514519509327","0")</f>
        <v>5896852514519500000</v>
      </c>
    </row>
    <row r="610" spans="1:6" ht="12.5" x14ac:dyDescent="0.25">
      <c r="A610" s="2"/>
      <c r="B610" s="2"/>
      <c r="C610" s="2" t="s">
        <v>1060</v>
      </c>
      <c r="D610" s="2" t="s">
        <v>1061</v>
      </c>
      <c r="E610" s="2"/>
      <c r="F610" s="2" t="str">
        <f>TEXT("5896938064517952065","0")</f>
        <v>5896938064517950000</v>
      </c>
    </row>
    <row r="611" spans="1:6" ht="12.5" x14ac:dyDescent="0.25">
      <c r="A611" s="2"/>
      <c r="B611" s="2"/>
      <c r="C611" s="2" t="s">
        <v>1062</v>
      </c>
      <c r="D611" s="2" t="s">
        <v>218</v>
      </c>
      <c r="E611" s="2" t="s">
        <v>1063</v>
      </c>
      <c r="F611" s="2" t="str">
        <f>TEXT("5896943425277471925","0")</f>
        <v>5896943425277470000</v>
      </c>
    </row>
    <row r="612" spans="1:6" ht="12.5" x14ac:dyDescent="0.25">
      <c r="A612" s="2"/>
      <c r="B612" s="2"/>
      <c r="C612" s="2" t="s">
        <v>1064</v>
      </c>
      <c r="D612" s="2" t="s">
        <v>308</v>
      </c>
      <c r="E612" s="2" t="s">
        <v>1065</v>
      </c>
      <c r="F612" s="2" t="str">
        <f>TEXT("5896986094518128764","0")</f>
        <v>5896986094518120000</v>
      </c>
    </row>
    <row r="613" spans="1:6" ht="12.5" x14ac:dyDescent="0.25">
      <c r="A613" s="2"/>
      <c r="B613" s="2"/>
      <c r="C613" s="2" t="s">
        <v>1066</v>
      </c>
      <c r="D613" s="2" t="s">
        <v>1067</v>
      </c>
      <c r="E613" s="2"/>
      <c r="F613" s="2" t="str">
        <f>TEXT("5897010871834136176","0")</f>
        <v>5897010871834130000</v>
      </c>
    </row>
    <row r="614" spans="1:6" ht="12.5" x14ac:dyDescent="0.25">
      <c r="A614" s="2"/>
      <c r="B614" s="2"/>
      <c r="C614" s="2" t="s">
        <v>1068</v>
      </c>
      <c r="D614" s="2" t="s">
        <v>1069</v>
      </c>
      <c r="E614" s="2"/>
      <c r="F614" s="2" t="str">
        <f>TEXT("5897753764511135964","0")</f>
        <v>5897753764511130000</v>
      </c>
    </row>
    <row r="615" spans="1:6" ht="12.5" x14ac:dyDescent="0.25">
      <c r="A615" s="2"/>
      <c r="B615" s="2"/>
      <c r="C615" s="2" t="s">
        <v>1068</v>
      </c>
      <c r="D615" s="2" t="s">
        <v>359</v>
      </c>
      <c r="E615" s="2" t="s">
        <v>591</v>
      </c>
      <c r="F615" s="2" t="str">
        <f>TEXT("5897757095155930096","0")</f>
        <v>5897757095155930000</v>
      </c>
    </row>
    <row r="616" spans="1:6" ht="12.5" x14ac:dyDescent="0.25">
      <c r="A616" s="2"/>
      <c r="B616" s="2"/>
      <c r="C616" s="2" t="s">
        <v>1070</v>
      </c>
      <c r="D616" s="2" t="s">
        <v>596</v>
      </c>
      <c r="E616" s="2" t="s">
        <v>1071</v>
      </c>
      <c r="F616" s="2" t="str">
        <f>TEXT("5897769174513091545","0")</f>
        <v>5897769174513090000</v>
      </c>
    </row>
    <row r="617" spans="1:6" ht="12.5" x14ac:dyDescent="0.25">
      <c r="A617" s="2"/>
      <c r="B617" s="2"/>
      <c r="C617" s="2" t="s">
        <v>1072</v>
      </c>
      <c r="D617" s="2" t="s">
        <v>228</v>
      </c>
      <c r="E617" s="2" t="s">
        <v>1073</v>
      </c>
      <c r="F617" s="2" t="str">
        <f>TEXT("5897793204518990480","0")</f>
        <v>5897793204518990000</v>
      </c>
    </row>
    <row r="618" spans="1:6" ht="12.5" x14ac:dyDescent="0.25">
      <c r="A618" s="2"/>
      <c r="B618" s="2"/>
      <c r="C618" s="2" t="s">
        <v>1074</v>
      </c>
      <c r="D618" s="2" t="s">
        <v>887</v>
      </c>
      <c r="E618" s="2"/>
      <c r="F618" s="2" t="str">
        <f>TEXT("5897797833636604553","0")</f>
        <v>5897797833636600000</v>
      </c>
    </row>
    <row r="619" spans="1:6" ht="12.5" x14ac:dyDescent="0.25">
      <c r="A619" s="2"/>
      <c r="B619" s="2"/>
      <c r="C619" s="2" t="s">
        <v>1074</v>
      </c>
      <c r="D619" s="2" t="s">
        <v>1075</v>
      </c>
      <c r="E619" s="2"/>
      <c r="F619" s="2" t="str">
        <f>TEXT("5897799606355160651","0")</f>
        <v>5897799606355160000</v>
      </c>
    </row>
    <row r="620" spans="1:6" ht="12.5" x14ac:dyDescent="0.25">
      <c r="A620" s="2"/>
      <c r="B620" s="2"/>
      <c r="C620" s="2" t="s">
        <v>1076</v>
      </c>
      <c r="D620" s="2" t="s">
        <v>1077</v>
      </c>
      <c r="E620" s="2" t="s">
        <v>1078</v>
      </c>
      <c r="F620" s="2" t="str">
        <f>TEXT("5897806719292275981","0")</f>
        <v>5897806719292270000</v>
      </c>
    </row>
    <row r="621" spans="1:6" ht="12.5" x14ac:dyDescent="0.25">
      <c r="A621" s="2"/>
      <c r="B621" s="2"/>
      <c r="C621" s="2" t="s">
        <v>1079</v>
      </c>
      <c r="D621" s="2" t="s">
        <v>1080</v>
      </c>
      <c r="E621" s="2"/>
      <c r="F621" s="2" t="str">
        <f>TEXT("5897856594512263116","0")</f>
        <v>5897856594512260000</v>
      </c>
    </row>
    <row r="622" spans="1:6" ht="12.5" x14ac:dyDescent="0.25">
      <c r="A622" s="2"/>
      <c r="B622" s="2"/>
      <c r="C622" s="2" t="s">
        <v>1081</v>
      </c>
      <c r="D622" s="2" t="s">
        <v>1048</v>
      </c>
      <c r="E622" s="2" t="s">
        <v>1082</v>
      </c>
      <c r="F622" s="2" t="str">
        <f>TEXT("5898001004512328665","0")</f>
        <v>5898001004512320000</v>
      </c>
    </row>
    <row r="623" spans="1:6" ht="12.5" x14ac:dyDescent="0.25">
      <c r="A623" s="2"/>
      <c r="B623" s="2"/>
      <c r="C623" s="2" t="s">
        <v>1083</v>
      </c>
      <c r="D623" s="2" t="s">
        <v>625</v>
      </c>
      <c r="E623" s="2" t="s">
        <v>1084</v>
      </c>
      <c r="F623" s="2" t="str">
        <f>TEXT("5898005524363535541","0")</f>
        <v>5898005524363530000</v>
      </c>
    </row>
    <row r="624" spans="1:6" ht="12.5" x14ac:dyDescent="0.25">
      <c r="A624" s="2"/>
      <c r="B624" s="2"/>
      <c r="C624" s="2" t="s">
        <v>1085</v>
      </c>
      <c r="D624" s="2" t="s">
        <v>1086</v>
      </c>
      <c r="E624" s="2" t="s">
        <v>1087</v>
      </c>
      <c r="F624" s="2" t="str">
        <f>TEXT("5898033084511353812","0")</f>
        <v>5898033084511350000</v>
      </c>
    </row>
    <row r="625" spans="1:6" ht="12.5" x14ac:dyDescent="0.25">
      <c r="A625" s="2"/>
      <c r="B625" s="2"/>
      <c r="C625" s="2" t="s">
        <v>1088</v>
      </c>
      <c r="D625" s="2" t="s">
        <v>1069</v>
      </c>
      <c r="E625" s="2"/>
      <c r="F625" s="2" t="str">
        <f>TEXT("5898613940683781417","0")</f>
        <v>5898613940683780000</v>
      </c>
    </row>
    <row r="626" spans="1:6" ht="12.5" x14ac:dyDescent="0.25">
      <c r="A626" s="2"/>
      <c r="B626" s="2"/>
      <c r="C626" s="2" t="s">
        <v>1089</v>
      </c>
      <c r="D626" s="2" t="s">
        <v>783</v>
      </c>
      <c r="E626" s="2"/>
      <c r="F626" s="2" t="str">
        <f>TEXT("5898621664519357575","0")</f>
        <v>5898621664519350000</v>
      </c>
    </row>
    <row r="627" spans="1:6" ht="12.5" x14ac:dyDescent="0.25">
      <c r="A627" s="2"/>
      <c r="B627" s="2"/>
      <c r="C627" s="2" t="s">
        <v>1090</v>
      </c>
      <c r="D627" s="2" t="s">
        <v>674</v>
      </c>
      <c r="E627" s="2" t="s">
        <v>1091</v>
      </c>
      <c r="F627" s="2" t="str">
        <f>TEXT("5898628874517689383","0")</f>
        <v>5898628874517680000</v>
      </c>
    </row>
    <row r="628" spans="1:6" ht="12.5" x14ac:dyDescent="0.25">
      <c r="A628" s="2"/>
      <c r="B628" s="2"/>
      <c r="C628" s="2" t="s">
        <v>1092</v>
      </c>
      <c r="D628" s="2" t="s">
        <v>730</v>
      </c>
      <c r="E628" s="2" t="s">
        <v>1093</v>
      </c>
      <c r="F628" s="2" t="str">
        <f>TEXT("5898650588921198173","0")</f>
        <v>5898650588921190000</v>
      </c>
    </row>
    <row r="629" spans="1:6" ht="12.5" x14ac:dyDescent="0.25">
      <c r="A629" s="2"/>
      <c r="B629" s="2"/>
      <c r="C629" s="2" t="s">
        <v>1094</v>
      </c>
      <c r="D629" s="2" t="s">
        <v>218</v>
      </c>
      <c r="E629" s="2" t="s">
        <v>1095</v>
      </c>
      <c r="F629" s="2" t="str">
        <f>TEXT("5898652054517821661","0")</f>
        <v>5898652054517820000</v>
      </c>
    </row>
    <row r="630" spans="1:6" ht="12.5" x14ac:dyDescent="0.25">
      <c r="A630" s="2"/>
      <c r="B630" s="2"/>
      <c r="C630" s="2" t="s">
        <v>1096</v>
      </c>
      <c r="D630" s="2" t="s">
        <v>1097</v>
      </c>
      <c r="E630" s="2" t="s">
        <v>1098</v>
      </c>
      <c r="F630" s="2" t="str">
        <f>TEXT("5898654633633800745","0")</f>
        <v>5898654633633800000</v>
      </c>
    </row>
    <row r="631" spans="1:6" ht="12.5" x14ac:dyDescent="0.25">
      <c r="A631" s="2"/>
      <c r="B631" s="2"/>
      <c r="C631" s="2" t="s">
        <v>1096</v>
      </c>
      <c r="D631" s="2" t="s">
        <v>1099</v>
      </c>
      <c r="E631" s="2"/>
      <c r="F631" s="2" t="str">
        <f>TEXT("5898654784517766963","0")</f>
        <v>5898654784517760000</v>
      </c>
    </row>
    <row r="632" spans="1:6" ht="12.5" x14ac:dyDescent="0.25">
      <c r="A632" s="2"/>
      <c r="B632" s="2"/>
      <c r="C632" s="2" t="s">
        <v>1100</v>
      </c>
      <c r="D632" s="2" t="s">
        <v>1101</v>
      </c>
      <c r="E632" s="2"/>
      <c r="F632" s="2" t="str">
        <f>TEXT("5898659853223364123","0")</f>
        <v>5898659853223360000</v>
      </c>
    </row>
    <row r="633" spans="1:6" ht="12.5" x14ac:dyDescent="0.25">
      <c r="A633" s="2"/>
      <c r="B633" s="2"/>
      <c r="C633" s="2" t="s">
        <v>1100</v>
      </c>
      <c r="D633" s="2" t="s">
        <v>195</v>
      </c>
      <c r="E633" s="2"/>
      <c r="F633" s="2" t="str">
        <f>TEXT("5898660404513822176","0")</f>
        <v>5898660404513820000</v>
      </c>
    </row>
    <row r="634" spans="1:6" ht="12.5" x14ac:dyDescent="0.25">
      <c r="A634" s="2"/>
      <c r="B634" s="2"/>
      <c r="C634" s="2" t="s">
        <v>1102</v>
      </c>
      <c r="D634" s="2" t="s">
        <v>327</v>
      </c>
      <c r="E634" s="2" t="s">
        <v>1103</v>
      </c>
      <c r="F634" s="2" t="str">
        <f>TEXT("5898671904511216587","0")</f>
        <v>5898671904511210000</v>
      </c>
    </row>
    <row r="635" spans="1:6" ht="12.5" x14ac:dyDescent="0.25">
      <c r="A635" s="2"/>
      <c r="B635" s="2"/>
      <c r="C635" s="2" t="s">
        <v>1104</v>
      </c>
      <c r="D635" s="2" t="s">
        <v>1075</v>
      </c>
      <c r="E635" s="2"/>
      <c r="F635" s="2" t="str">
        <f>TEXT("5898699029911930263","0")</f>
        <v>5898699029911930000</v>
      </c>
    </row>
    <row r="636" spans="1:6" ht="12.5" x14ac:dyDescent="0.25">
      <c r="A636" s="2"/>
      <c r="B636" s="2"/>
      <c r="C636" s="2" t="s">
        <v>1105</v>
      </c>
      <c r="D636" s="2" t="s">
        <v>316</v>
      </c>
      <c r="E636" s="2"/>
      <c r="F636" s="2" t="str">
        <f>TEXT("5898849774516787567","0")</f>
        <v>5898849774516780000</v>
      </c>
    </row>
    <row r="637" spans="1:6" ht="12.5" x14ac:dyDescent="0.25">
      <c r="A637" s="2"/>
      <c r="B637" s="2"/>
      <c r="C637" s="2" t="s">
        <v>1106</v>
      </c>
      <c r="D637" s="2" t="s">
        <v>1107</v>
      </c>
      <c r="E637" s="2"/>
      <c r="F637" s="2" t="str">
        <f>TEXT("5898872754118331740","0")</f>
        <v>5898872754118330000</v>
      </c>
    </row>
    <row r="638" spans="1:6" ht="12.5" x14ac:dyDescent="0.25">
      <c r="A638" s="2"/>
      <c r="B638" s="2"/>
      <c r="C638" s="2" t="s">
        <v>1108</v>
      </c>
      <c r="D638" s="2" t="s">
        <v>1069</v>
      </c>
      <c r="E638" s="2"/>
      <c r="F638" s="2" t="str">
        <f>TEXT("5902085446862805144","0")</f>
        <v>5902085446862800000</v>
      </c>
    </row>
    <row r="639" spans="1:6" ht="12.5" x14ac:dyDescent="0.25">
      <c r="A639" s="2"/>
      <c r="B639" s="2"/>
      <c r="C639" s="2" t="s">
        <v>1108</v>
      </c>
      <c r="D639" s="2" t="s">
        <v>635</v>
      </c>
      <c r="E639" s="2" t="s">
        <v>1109</v>
      </c>
      <c r="F639" s="2" t="str">
        <f>TEXT("5902101024515350528","0")</f>
        <v>5902101024515350000</v>
      </c>
    </row>
    <row r="640" spans="1:6" ht="12.5" x14ac:dyDescent="0.25">
      <c r="A640" s="2"/>
      <c r="B640" s="2"/>
      <c r="C640" s="2" t="s">
        <v>1110</v>
      </c>
      <c r="D640" s="2" t="s">
        <v>1097</v>
      </c>
      <c r="E640" s="2" t="s">
        <v>1111</v>
      </c>
      <c r="F640" s="2" t="str">
        <f>TEXT("5902108771731024100","0")</f>
        <v>5902108771731020000</v>
      </c>
    </row>
    <row r="641" spans="1:6" ht="12.5" x14ac:dyDescent="0.25">
      <c r="A641" s="2"/>
      <c r="B641" s="2"/>
      <c r="C641" s="2" t="s">
        <v>1112</v>
      </c>
      <c r="D641" s="2" t="s">
        <v>1075</v>
      </c>
      <c r="E641" s="2"/>
      <c r="F641" s="2" t="str">
        <f>TEXT("5902120418499175677","0")</f>
        <v>5902120418499170000</v>
      </c>
    </row>
    <row r="642" spans="1:6" ht="12.5" x14ac:dyDescent="0.25">
      <c r="A642" s="2"/>
      <c r="B642" s="2"/>
      <c r="C642" s="2" t="s">
        <v>1113</v>
      </c>
      <c r="D642" s="2" t="s">
        <v>845</v>
      </c>
      <c r="E642" s="2" t="s">
        <v>1114</v>
      </c>
      <c r="F642" s="2" t="str">
        <f>TEXT("5902923144517869691","0")</f>
        <v>5902923144517860000</v>
      </c>
    </row>
    <row r="643" spans="1:6" ht="12.5" x14ac:dyDescent="0.25">
      <c r="A643" s="2"/>
      <c r="B643" s="2"/>
      <c r="C643" s="2" t="s">
        <v>1113</v>
      </c>
      <c r="D643" s="2" t="s">
        <v>359</v>
      </c>
      <c r="E643" s="2" t="s">
        <v>591</v>
      </c>
      <c r="F643" s="2" t="str">
        <f>TEXT("5902936445158463914","0")</f>
        <v>5902936445158460000</v>
      </c>
    </row>
    <row r="644" spans="1:6" ht="12.5" x14ac:dyDescent="0.25">
      <c r="A644" s="2"/>
      <c r="B644" s="2"/>
      <c r="C644" s="2" t="s">
        <v>1115</v>
      </c>
      <c r="D644" s="2" t="s">
        <v>887</v>
      </c>
      <c r="E644" s="2"/>
      <c r="F644" s="2" t="str">
        <f>TEXT("5902948411738269284","0")</f>
        <v>5902948411738260000</v>
      </c>
    </row>
    <row r="645" spans="1:6" ht="12.5" x14ac:dyDescent="0.25">
      <c r="A645" s="2"/>
      <c r="B645" s="2"/>
      <c r="C645" s="2" t="s">
        <v>1116</v>
      </c>
      <c r="D645" s="2" t="s">
        <v>1117</v>
      </c>
      <c r="E645" s="2" t="s">
        <v>1118</v>
      </c>
      <c r="F645" s="2" t="str">
        <f>TEXT("5902954645737798827","0")</f>
        <v>5902954645737790000</v>
      </c>
    </row>
    <row r="646" spans="1:6" ht="12.5" x14ac:dyDescent="0.25">
      <c r="A646" s="2"/>
      <c r="B646" s="2"/>
      <c r="C646" s="2" t="s">
        <v>1119</v>
      </c>
      <c r="D646" s="2" t="s">
        <v>218</v>
      </c>
      <c r="E646" s="2" t="s">
        <v>1120</v>
      </c>
      <c r="F646" s="2" t="str">
        <f>TEXT("5902957414526899244","0")</f>
        <v>5902957414526890000</v>
      </c>
    </row>
    <row r="647" spans="1:6" ht="12.5" x14ac:dyDescent="0.25">
      <c r="A647" s="2"/>
      <c r="B647" s="2"/>
      <c r="C647" s="2" t="s">
        <v>1121</v>
      </c>
      <c r="D647" s="2" t="s">
        <v>1018</v>
      </c>
      <c r="E647" s="2"/>
      <c r="F647" s="2" t="str">
        <f>TEXT("5902963564971623300","0")</f>
        <v>5902963564971620000</v>
      </c>
    </row>
    <row r="648" spans="1:6" ht="12.5" x14ac:dyDescent="0.25">
      <c r="A648" s="2"/>
      <c r="B648" s="2"/>
      <c r="C648" s="2" t="s">
        <v>1121</v>
      </c>
      <c r="D648" s="2" t="s">
        <v>1099</v>
      </c>
      <c r="E648" s="2" t="s">
        <v>1122</v>
      </c>
      <c r="F648" s="2" t="str">
        <f>TEXT("5902964581646003401","0")</f>
        <v>5902964581646000000</v>
      </c>
    </row>
    <row r="649" spans="1:6" ht="12.5" x14ac:dyDescent="0.25">
      <c r="A649" s="2"/>
      <c r="B649" s="2"/>
      <c r="C649" s="2" t="s">
        <v>1121</v>
      </c>
      <c r="D649" s="2" t="s">
        <v>308</v>
      </c>
      <c r="E649" s="2"/>
      <c r="F649" s="2" t="str">
        <f>TEXT("5902971324511453121","0")</f>
        <v>5902971324511450000</v>
      </c>
    </row>
    <row r="650" spans="1:6" ht="12.5" x14ac:dyDescent="0.25">
      <c r="A650" s="2"/>
      <c r="B650" s="2"/>
      <c r="C650" s="2" t="s">
        <v>1123</v>
      </c>
      <c r="D650" s="2" t="s">
        <v>226</v>
      </c>
      <c r="E650" s="2"/>
      <c r="F650" s="2" t="str">
        <f>TEXT("5902977324512916104","0")</f>
        <v>5902977324512910000</v>
      </c>
    </row>
    <row r="651" spans="1:6" ht="12.5" x14ac:dyDescent="0.25">
      <c r="A651" s="2"/>
      <c r="B651" s="2"/>
      <c r="C651" s="2" t="s">
        <v>1124</v>
      </c>
      <c r="D651" s="2" t="s">
        <v>327</v>
      </c>
      <c r="E651" s="2" t="s">
        <v>1125</v>
      </c>
      <c r="F651" s="2" t="str">
        <f>TEXT("5902978321824224300","0")</f>
        <v>5902978321824220000</v>
      </c>
    </row>
    <row r="652" spans="1:6" ht="12.5" x14ac:dyDescent="0.25">
      <c r="A652" s="2"/>
      <c r="B652" s="2"/>
      <c r="C652" s="2" t="s">
        <v>1126</v>
      </c>
      <c r="D652" s="2" t="s">
        <v>625</v>
      </c>
      <c r="E652" s="2"/>
      <c r="F652" s="2" t="str">
        <f>TEXT("5903169354517509020","0")</f>
        <v>5903169354517500000</v>
      </c>
    </row>
    <row r="653" spans="1:6" ht="12.5" x14ac:dyDescent="0.25">
      <c r="A653" s="2"/>
      <c r="B653" s="2"/>
      <c r="C653" s="2" t="s">
        <v>1127</v>
      </c>
      <c r="D653" s="2" t="s">
        <v>277</v>
      </c>
      <c r="E653" s="2"/>
      <c r="F653" s="2" t="str">
        <f>TEXT("5903188484513656750","0")</f>
        <v>5903188484513650000</v>
      </c>
    </row>
    <row r="654" spans="1:6" ht="12.5" x14ac:dyDescent="0.25">
      <c r="A654" s="2"/>
      <c r="B654" s="2"/>
      <c r="C654" s="2" t="s">
        <v>1128</v>
      </c>
      <c r="D654" s="2" t="s">
        <v>783</v>
      </c>
      <c r="E654" s="2"/>
      <c r="F654" s="2" t="str">
        <f>TEXT("5903649732973922291","0")</f>
        <v>5903649732973920000</v>
      </c>
    </row>
    <row r="655" spans="1:6" ht="12.5" x14ac:dyDescent="0.25">
      <c r="A655" s="2"/>
      <c r="B655" s="2"/>
      <c r="C655" s="2" t="s">
        <v>1129</v>
      </c>
      <c r="D655" s="2" t="s">
        <v>359</v>
      </c>
      <c r="E655" s="2" t="s">
        <v>1130</v>
      </c>
      <c r="F655" s="2" t="str">
        <f>TEXT("5903800358019317931","0")</f>
        <v>5903800358019310000</v>
      </c>
    </row>
    <row r="656" spans="1:6" ht="12.5" x14ac:dyDescent="0.25">
      <c r="A656" s="2"/>
      <c r="B656" s="2"/>
      <c r="C656" s="2" t="s">
        <v>1131</v>
      </c>
      <c r="D656" s="2" t="s">
        <v>1132</v>
      </c>
      <c r="E656" s="2"/>
      <c r="F656" s="2" t="str">
        <f>TEXT("5903815882151523522","0")</f>
        <v>5903815882151520000</v>
      </c>
    </row>
    <row r="657" spans="1:6" ht="12.5" x14ac:dyDescent="0.25">
      <c r="A657" s="2"/>
      <c r="B657" s="2"/>
      <c r="C657" s="2" t="s">
        <v>1133</v>
      </c>
      <c r="D657" s="2" t="s">
        <v>1134</v>
      </c>
      <c r="E657" s="2" t="s">
        <v>1037</v>
      </c>
      <c r="F657" s="2" t="str">
        <f>TEXT("5903821397851290318","0")</f>
        <v>5903821397851290000</v>
      </c>
    </row>
    <row r="658" spans="1:6" ht="12.5" x14ac:dyDescent="0.25">
      <c r="A658" s="2"/>
      <c r="B658" s="2"/>
      <c r="C658" s="2" t="s">
        <v>1135</v>
      </c>
      <c r="D658" s="2" t="s">
        <v>1136</v>
      </c>
      <c r="E658" s="2" t="s">
        <v>1137</v>
      </c>
      <c r="F658" s="2" t="str">
        <f>TEXT("5903823924511642188","0")</f>
        <v>5903823924511640000</v>
      </c>
    </row>
    <row r="659" spans="1:6" ht="12.5" x14ac:dyDescent="0.25">
      <c r="A659" s="2"/>
      <c r="B659" s="2"/>
      <c r="C659" s="2" t="s">
        <v>1138</v>
      </c>
      <c r="D659" s="2" t="s">
        <v>995</v>
      </c>
      <c r="E659" s="2"/>
      <c r="F659" s="2" t="str">
        <f>TEXT("5903834961735021985","0")</f>
        <v>5903834961735020000</v>
      </c>
    </row>
    <row r="660" spans="1:6" ht="12.5" x14ac:dyDescent="0.25">
      <c r="A660" s="2"/>
      <c r="B660" s="2"/>
      <c r="C660" s="2" t="s">
        <v>1139</v>
      </c>
      <c r="D660" s="2" t="s">
        <v>1140</v>
      </c>
      <c r="E660" s="2"/>
      <c r="F660" s="2" t="str">
        <f>TEXT("5903837814518716060","0")</f>
        <v>5903837814518710000</v>
      </c>
    </row>
    <row r="661" spans="1:6" ht="12.5" x14ac:dyDescent="0.25">
      <c r="A661" s="2"/>
      <c r="B661" s="2"/>
      <c r="C661" s="2" t="s">
        <v>1141</v>
      </c>
      <c r="D661" s="2" t="s">
        <v>720</v>
      </c>
      <c r="E661" s="2" t="s">
        <v>1142</v>
      </c>
      <c r="F661" s="2" t="str">
        <f>TEXT("5903852184516875903","0")</f>
        <v>5903852184516870000</v>
      </c>
    </row>
    <row r="662" spans="1:6" ht="12.5" x14ac:dyDescent="0.25">
      <c r="A662" s="2"/>
      <c r="B662" s="2"/>
      <c r="C662" s="2" t="s">
        <v>1143</v>
      </c>
      <c r="D662" s="2" t="s">
        <v>1144</v>
      </c>
      <c r="E662" s="2"/>
      <c r="F662" s="2" t="str">
        <f>TEXT("5903885784572556805","0")</f>
        <v>5903885784572550000</v>
      </c>
    </row>
    <row r="663" spans="1:6" ht="12.5" x14ac:dyDescent="0.25">
      <c r="A663" s="2"/>
      <c r="B663" s="2"/>
      <c r="C663" s="2" t="s">
        <v>1145</v>
      </c>
      <c r="D663" s="2" t="s">
        <v>1146</v>
      </c>
      <c r="E663" s="2" t="s">
        <v>1147</v>
      </c>
      <c r="F663" s="2" t="str">
        <f>TEXT("5904034494513728757","0")</f>
        <v>5904034494513720000</v>
      </c>
    </row>
    <row r="664" spans="1:6" ht="12.5" x14ac:dyDescent="0.25">
      <c r="A664" s="2"/>
      <c r="B664" s="2"/>
      <c r="C664" s="2" t="s">
        <v>1148</v>
      </c>
      <c r="D664" s="2" t="s">
        <v>1018</v>
      </c>
      <c r="E664" s="2"/>
      <c r="F664" s="2" t="str">
        <f>TEXT("5904658159762828569","0")</f>
        <v>5904658159762820000</v>
      </c>
    </row>
    <row r="665" spans="1:6" ht="12.5" x14ac:dyDescent="0.25">
      <c r="A665" s="2"/>
      <c r="B665" s="2"/>
      <c r="C665" s="2" t="s">
        <v>1149</v>
      </c>
      <c r="D665" s="2" t="s">
        <v>277</v>
      </c>
      <c r="E665" s="2"/>
      <c r="F665" s="2" t="str">
        <f>TEXT("5904667278016589700","0")</f>
        <v>5904667278016580000</v>
      </c>
    </row>
    <row r="666" spans="1:6" ht="12.5" x14ac:dyDescent="0.25">
      <c r="A666" s="2"/>
      <c r="B666" s="2"/>
      <c r="C666" s="2" t="s">
        <v>1149</v>
      </c>
      <c r="D666" s="2" t="s">
        <v>1150</v>
      </c>
      <c r="E666" s="2"/>
      <c r="F666" s="2" t="str">
        <f>TEXT("5904667964512869758","0")</f>
        <v>5904667964512860000</v>
      </c>
    </row>
    <row r="667" spans="1:6" ht="12.5" x14ac:dyDescent="0.25">
      <c r="A667" s="2"/>
      <c r="B667" s="2"/>
      <c r="C667" s="2" t="s">
        <v>1148</v>
      </c>
      <c r="D667" s="2" t="s">
        <v>195</v>
      </c>
      <c r="E667" s="2"/>
      <c r="F667" s="2" t="str">
        <f>TEXT("5904674369696716453","0")</f>
        <v>5904674369696710000</v>
      </c>
    </row>
    <row r="668" spans="1:6" ht="12.5" x14ac:dyDescent="0.25">
      <c r="A668" s="2"/>
      <c r="B668" s="2"/>
      <c r="C668" s="2" t="s">
        <v>1149</v>
      </c>
      <c r="D668" s="2" t="s">
        <v>1061</v>
      </c>
      <c r="E668" s="2"/>
      <c r="F668" s="2" t="str">
        <f>TEXT("5904677004515141863","0")</f>
        <v>5904677004515140000</v>
      </c>
    </row>
    <row r="669" spans="1:6" ht="12.5" x14ac:dyDescent="0.25">
      <c r="A669" s="2"/>
      <c r="B669" s="2"/>
      <c r="C669" s="2" t="s">
        <v>1151</v>
      </c>
      <c r="D669" s="2" t="s">
        <v>1152</v>
      </c>
      <c r="E669" s="2" t="s">
        <v>1153</v>
      </c>
      <c r="F669" s="2" t="str">
        <f>TEXT("5904677503086683692","0")</f>
        <v>5904677503086680000</v>
      </c>
    </row>
    <row r="670" spans="1:6" ht="12.5" x14ac:dyDescent="0.25">
      <c r="A670" s="2"/>
      <c r="B670" s="2"/>
      <c r="C670" s="2" t="s">
        <v>1154</v>
      </c>
      <c r="D670" s="2" t="s">
        <v>271</v>
      </c>
      <c r="E670" s="2" t="s">
        <v>1155</v>
      </c>
      <c r="F670" s="2" t="str">
        <f>TEXT("5904682246162881912","0")</f>
        <v>5904682246162880000</v>
      </c>
    </row>
    <row r="671" spans="1:6" ht="12.5" x14ac:dyDescent="0.25">
      <c r="A671" s="2"/>
      <c r="B671" s="2"/>
      <c r="C671" s="2" t="s">
        <v>1156</v>
      </c>
      <c r="D671" s="2" t="s">
        <v>1099</v>
      </c>
      <c r="E671" s="2" t="s">
        <v>1157</v>
      </c>
      <c r="F671" s="2" t="str">
        <f>TEXT("5904690532066773124","0")</f>
        <v>5904690532066770000</v>
      </c>
    </row>
    <row r="672" spans="1:6" ht="12.5" x14ac:dyDescent="0.25">
      <c r="A672" s="2"/>
      <c r="B672" s="2"/>
      <c r="C672" s="2" t="s">
        <v>1158</v>
      </c>
      <c r="D672" s="2" t="s">
        <v>216</v>
      </c>
      <c r="E672" s="2"/>
      <c r="F672" s="2" t="str">
        <f>TEXT("5904690577832413746","0")</f>
        <v>5904690577832410000</v>
      </c>
    </row>
    <row r="673" spans="1:6" ht="12.5" x14ac:dyDescent="0.25">
      <c r="A673" s="2"/>
      <c r="B673" s="2"/>
      <c r="C673" s="2" t="s">
        <v>1156</v>
      </c>
      <c r="D673" s="2" t="s">
        <v>579</v>
      </c>
      <c r="E673" s="2" t="s">
        <v>1159</v>
      </c>
      <c r="F673" s="2" t="str">
        <f>TEXT("5904696794515919286","0")</f>
        <v>5904696794515910000</v>
      </c>
    </row>
    <row r="674" spans="1:6" ht="12.5" x14ac:dyDescent="0.25">
      <c r="A674" s="2"/>
      <c r="B674" s="2"/>
      <c r="C674" s="2" t="s">
        <v>1160</v>
      </c>
      <c r="D674" s="2" t="s">
        <v>789</v>
      </c>
      <c r="E674" s="2"/>
      <c r="F674" s="2" t="str">
        <f>TEXT("5904733044223933189","0")</f>
        <v>5904733044223930000</v>
      </c>
    </row>
    <row r="675" spans="1:6" ht="12.5" x14ac:dyDescent="0.25">
      <c r="A675" s="2"/>
      <c r="B675" s="2"/>
      <c r="C675" s="2" t="s">
        <v>1161</v>
      </c>
      <c r="D675" s="2" t="s">
        <v>1075</v>
      </c>
      <c r="E675" s="2"/>
      <c r="F675" s="2" t="str">
        <f>TEXT("5904749967123747651","0")</f>
        <v>5904749967123740000</v>
      </c>
    </row>
    <row r="676" spans="1:6" ht="12.5" x14ac:dyDescent="0.25">
      <c r="A676" s="2"/>
      <c r="B676" s="2"/>
      <c r="C676" s="2" t="s">
        <v>1162</v>
      </c>
      <c r="D676" s="2" t="s">
        <v>1048</v>
      </c>
      <c r="E676" s="2" t="s">
        <v>1163</v>
      </c>
      <c r="F676" s="2" t="str">
        <f>TEXT("5904844374519166112","0")</f>
        <v>5904844374519160000</v>
      </c>
    </row>
    <row r="677" spans="1:6" ht="12.5" x14ac:dyDescent="0.25">
      <c r="A677" s="2"/>
      <c r="B677" s="2"/>
      <c r="C677" s="2" t="s">
        <v>1164</v>
      </c>
      <c r="D677" s="2" t="s">
        <v>1165</v>
      </c>
      <c r="E677" s="2"/>
      <c r="F677" s="2" t="str">
        <f>TEXT("5908147374627920850","0")</f>
        <v>5908147374627920000</v>
      </c>
    </row>
    <row r="678" spans="1:6" ht="12.5" x14ac:dyDescent="0.25">
      <c r="A678" s="2"/>
      <c r="B678" s="2"/>
      <c r="C678" s="2" t="s">
        <v>1166</v>
      </c>
      <c r="D678" s="2" t="s">
        <v>887</v>
      </c>
      <c r="E678" s="2"/>
      <c r="F678" s="2" t="str">
        <f>TEXT("5908173321481107489","0")</f>
        <v>5908173321481100000</v>
      </c>
    </row>
    <row r="679" spans="1:6" ht="12.5" x14ac:dyDescent="0.25">
      <c r="A679" s="2"/>
      <c r="B679" s="2"/>
      <c r="C679" s="2" t="s">
        <v>1167</v>
      </c>
      <c r="D679" s="2" t="s">
        <v>1168</v>
      </c>
      <c r="E679" s="2" t="s">
        <v>1169</v>
      </c>
      <c r="F679" s="2" t="str">
        <f>TEXT("5908245494512450109","0")</f>
        <v>5908245494512450000</v>
      </c>
    </row>
    <row r="680" spans="1:6" ht="12.5" x14ac:dyDescent="0.25">
      <c r="A680" s="2"/>
      <c r="B680" s="2"/>
      <c r="C680" s="2" t="s">
        <v>1170</v>
      </c>
      <c r="D680" s="2" t="s">
        <v>359</v>
      </c>
      <c r="E680" s="2" t="s">
        <v>1171</v>
      </c>
      <c r="F680" s="2" t="str">
        <f>TEXT("5908987791715371481","0")</f>
        <v>5908987791715370000</v>
      </c>
    </row>
    <row r="681" spans="1:6" ht="12.5" x14ac:dyDescent="0.25">
      <c r="A681" s="2"/>
      <c r="B681" s="2"/>
      <c r="C681" s="2" t="s">
        <v>1172</v>
      </c>
      <c r="D681" s="2" t="s">
        <v>1165</v>
      </c>
      <c r="E681" s="2"/>
      <c r="F681" s="2" t="str">
        <f>TEXT("5909015008621026957","0")</f>
        <v>5909015008621020000</v>
      </c>
    </row>
    <row r="682" spans="1:6" ht="12.5" x14ac:dyDescent="0.25">
      <c r="A682" s="2"/>
      <c r="B682" s="2"/>
      <c r="C682" s="2" t="s">
        <v>1173</v>
      </c>
      <c r="D682" s="2" t="s">
        <v>1174</v>
      </c>
      <c r="E682" s="2"/>
      <c r="F682" s="2" t="str">
        <f>TEXT("5909024874519777598","0")</f>
        <v>5909024874519770000</v>
      </c>
    </row>
    <row r="683" spans="1:6" ht="12.5" x14ac:dyDescent="0.25">
      <c r="A683" s="2"/>
      <c r="B683" s="2"/>
      <c r="C683" s="2" t="s">
        <v>1175</v>
      </c>
      <c r="D683" s="2" t="s">
        <v>1097</v>
      </c>
      <c r="E683" s="2" t="s">
        <v>1176</v>
      </c>
      <c r="F683" s="2" t="str">
        <f>TEXT("5909027810285706938","0")</f>
        <v>5909027810285700000</v>
      </c>
    </row>
    <row r="684" spans="1:6" ht="12.5" x14ac:dyDescent="0.25">
      <c r="A684" s="2"/>
      <c r="B684" s="2"/>
      <c r="C684" s="2" t="s">
        <v>1177</v>
      </c>
      <c r="D684" s="2" t="s">
        <v>1178</v>
      </c>
      <c r="E684" s="2" t="s">
        <v>1179</v>
      </c>
      <c r="F684" s="2" t="str">
        <f>TEXT("5909047004515339702","0")</f>
        <v>5909047004515330000</v>
      </c>
    </row>
    <row r="685" spans="1:6" ht="12.5" x14ac:dyDescent="0.25">
      <c r="A685" s="2"/>
      <c r="B685" s="2"/>
      <c r="C685" s="2" t="s">
        <v>1180</v>
      </c>
      <c r="D685" s="2" t="s">
        <v>323</v>
      </c>
      <c r="E685" s="2"/>
      <c r="F685" s="2" t="str">
        <f>TEXT("5909072980513361465","0")</f>
        <v>5909072980513360000</v>
      </c>
    </row>
    <row r="686" spans="1:6" ht="12.5" x14ac:dyDescent="0.25">
      <c r="A686" s="2"/>
      <c r="B686" s="2"/>
      <c r="C686" s="2" t="s">
        <v>1181</v>
      </c>
      <c r="D686" s="2" t="s">
        <v>254</v>
      </c>
      <c r="E686" s="2"/>
      <c r="F686" s="2" t="str">
        <f>TEXT("5909075901721047366","0")</f>
        <v>5909075901721040000</v>
      </c>
    </row>
    <row r="687" spans="1:6" ht="12.5" x14ac:dyDescent="0.25">
      <c r="A687" s="2"/>
      <c r="B687" s="2"/>
      <c r="C687" s="2" t="s">
        <v>1182</v>
      </c>
      <c r="D687" s="2" t="s">
        <v>116</v>
      </c>
      <c r="E687" s="2"/>
      <c r="F687" s="2" t="str">
        <f>TEXT("5909100302222805260","0")</f>
        <v>5909100302222800000</v>
      </c>
    </row>
    <row r="688" spans="1:6" ht="12.5" x14ac:dyDescent="0.25">
      <c r="A688" s="2"/>
      <c r="B688" s="2"/>
      <c r="C688" s="2" t="s">
        <v>1183</v>
      </c>
      <c r="D688" s="2" t="s">
        <v>356</v>
      </c>
      <c r="E688" s="2" t="s">
        <v>1184</v>
      </c>
      <c r="F688" s="2" t="str">
        <f>TEXT("5909169154517110497","0")</f>
        <v>5909169154517110000</v>
      </c>
    </row>
    <row r="689" spans="1:6" ht="12.5" x14ac:dyDescent="0.25">
      <c r="A689" s="2"/>
      <c r="B689" s="2"/>
      <c r="C689" s="2" t="s">
        <v>1185</v>
      </c>
      <c r="D689" s="2" t="s">
        <v>310</v>
      </c>
      <c r="E689" s="2" t="s">
        <v>1186</v>
      </c>
      <c r="F689" s="2" t="str">
        <f>TEXT("5909214964516718661","0")</f>
        <v>5909214964516710000</v>
      </c>
    </row>
    <row r="690" spans="1:6" ht="12.5" x14ac:dyDescent="0.25">
      <c r="A690" s="2"/>
      <c r="B690" s="2"/>
      <c r="C690" s="2" t="s">
        <v>1187</v>
      </c>
      <c r="D690" s="2" t="s">
        <v>672</v>
      </c>
      <c r="E690" s="2"/>
      <c r="F690" s="2" t="str">
        <f>TEXT("5909667182976151710","0")</f>
        <v>5909667182976150000</v>
      </c>
    </row>
    <row r="691" spans="1:6" ht="12.5" x14ac:dyDescent="0.25">
      <c r="A691" s="2"/>
      <c r="B691" s="2"/>
      <c r="C691" s="2" t="s">
        <v>1188</v>
      </c>
      <c r="D691" s="2" t="s">
        <v>424</v>
      </c>
      <c r="E691" s="2" t="s">
        <v>1189</v>
      </c>
      <c r="F691" s="2" t="str">
        <f>TEXT("5909848088177675624","0")</f>
        <v>5909848088177670000</v>
      </c>
    </row>
    <row r="692" spans="1:6" ht="12.5" x14ac:dyDescent="0.25">
      <c r="A692" s="2"/>
      <c r="B692" s="2"/>
      <c r="C692" s="2" t="s">
        <v>1190</v>
      </c>
      <c r="D692" s="2" t="s">
        <v>1018</v>
      </c>
      <c r="E692" s="2"/>
      <c r="F692" s="2" t="str">
        <f>TEXT("5909852612113230476","0")</f>
        <v>5909852612113230000</v>
      </c>
    </row>
    <row r="693" spans="1:6" ht="12.5" x14ac:dyDescent="0.25">
      <c r="A693" s="2"/>
      <c r="B693" s="2"/>
      <c r="C693" s="2" t="s">
        <v>1191</v>
      </c>
      <c r="D693" s="2" t="s">
        <v>1152</v>
      </c>
      <c r="E693" s="2" t="s">
        <v>1192</v>
      </c>
      <c r="F693" s="2" t="str">
        <f>TEXT("5909863855161651420","0")</f>
        <v>5909863855161650000</v>
      </c>
    </row>
    <row r="694" spans="1:6" ht="12.5" x14ac:dyDescent="0.25">
      <c r="A694" s="2"/>
      <c r="B694" s="2"/>
      <c r="C694" s="2" t="s">
        <v>1190</v>
      </c>
      <c r="D694" s="2" t="s">
        <v>1193</v>
      </c>
      <c r="E694" s="2" t="s">
        <v>1194</v>
      </c>
      <c r="F694" s="2" t="str">
        <f>TEXT("5909864192443418248","0")</f>
        <v>5909864192443410000</v>
      </c>
    </row>
    <row r="695" spans="1:6" ht="12.5" x14ac:dyDescent="0.25">
      <c r="A695" s="2"/>
      <c r="B695" s="2"/>
      <c r="C695" s="2" t="s">
        <v>1191</v>
      </c>
      <c r="D695" s="2" t="s">
        <v>995</v>
      </c>
      <c r="E695" s="2" t="s">
        <v>1176</v>
      </c>
      <c r="F695" s="2" t="str">
        <f>TEXT("5909870280285335010","0")</f>
        <v>5909870280285330000</v>
      </c>
    </row>
    <row r="696" spans="1:6" ht="12.5" x14ac:dyDescent="0.25">
      <c r="A696" s="2"/>
      <c r="B696" s="2"/>
      <c r="C696" s="2" t="s">
        <v>1195</v>
      </c>
      <c r="D696" s="2" t="s">
        <v>1196</v>
      </c>
      <c r="E696" s="2"/>
      <c r="F696" s="2" t="str">
        <f>TEXT("5909870974518635164","0")</f>
        <v>5909870974518630000</v>
      </c>
    </row>
    <row r="697" spans="1:6" ht="12.5" x14ac:dyDescent="0.25">
      <c r="A697" s="2"/>
      <c r="B697" s="2"/>
      <c r="C697" s="2" t="s">
        <v>1197</v>
      </c>
      <c r="D697" s="2" t="s">
        <v>469</v>
      </c>
      <c r="E697" s="2"/>
      <c r="F697" s="2" t="str">
        <f>TEXT("5909875504517399455","0")</f>
        <v>5909875504517390000</v>
      </c>
    </row>
    <row r="698" spans="1:6" ht="12.5" x14ac:dyDescent="0.25">
      <c r="A698" s="2"/>
      <c r="B698" s="2"/>
      <c r="C698" s="2" t="s">
        <v>1198</v>
      </c>
      <c r="D698" s="2" t="s">
        <v>845</v>
      </c>
      <c r="E698" s="2" t="s">
        <v>1199</v>
      </c>
      <c r="F698" s="2" t="str">
        <f>TEXT("5909883124512765517","0")</f>
        <v>5909883124512760000</v>
      </c>
    </row>
    <row r="699" spans="1:6" ht="12.5" x14ac:dyDescent="0.25">
      <c r="A699" s="2"/>
      <c r="B699" s="2"/>
      <c r="C699" s="2" t="s">
        <v>1200</v>
      </c>
      <c r="D699" s="2" t="s">
        <v>1165</v>
      </c>
      <c r="E699" s="2"/>
      <c r="F699" s="2" t="str">
        <f>TEXT("5909884001423127804","0")</f>
        <v>5909884001423120000</v>
      </c>
    </row>
    <row r="700" spans="1:6" ht="12.5" x14ac:dyDescent="0.25">
      <c r="A700" s="2"/>
      <c r="B700" s="2"/>
      <c r="C700" s="2" t="s">
        <v>1201</v>
      </c>
      <c r="D700" s="2" t="s">
        <v>195</v>
      </c>
      <c r="E700" s="2"/>
      <c r="F700" s="2" t="str">
        <f>TEXT("5909893570012857482","0")</f>
        <v>5909893570012850000</v>
      </c>
    </row>
    <row r="701" spans="1:6" ht="12.5" x14ac:dyDescent="0.25">
      <c r="A701" s="2"/>
      <c r="B701" s="2"/>
      <c r="C701" s="2" t="s">
        <v>1202</v>
      </c>
      <c r="D701" s="2" t="s">
        <v>316</v>
      </c>
      <c r="E701" s="2"/>
      <c r="F701" s="2" t="str">
        <f>TEXT("5909917804512586633","0")</f>
        <v>5909917804512580000</v>
      </c>
    </row>
    <row r="702" spans="1:6" ht="12.5" x14ac:dyDescent="0.25">
      <c r="A702" s="2"/>
      <c r="B702" s="2"/>
      <c r="C702" s="2" t="s">
        <v>1187</v>
      </c>
      <c r="D702" s="2" t="s">
        <v>1075</v>
      </c>
      <c r="E702" s="2"/>
      <c r="F702" s="2" t="str">
        <f>TEXT("5909929595956168490","0")</f>
        <v>5909929595956160000</v>
      </c>
    </row>
    <row r="703" spans="1:6" ht="12.5" x14ac:dyDescent="0.25">
      <c r="A703" s="2"/>
      <c r="B703" s="2"/>
      <c r="C703" s="2" t="s">
        <v>1203</v>
      </c>
      <c r="D703" s="2" t="s">
        <v>1204</v>
      </c>
      <c r="E703" s="2"/>
      <c r="F703" s="2" t="str">
        <f>TEXT("5910719008192028196","0")</f>
        <v>5910719008192020000</v>
      </c>
    </row>
    <row r="704" spans="1:6" ht="12.5" x14ac:dyDescent="0.25">
      <c r="A704" s="2"/>
      <c r="B704" s="2"/>
      <c r="C704" s="2" t="s">
        <v>1203</v>
      </c>
      <c r="D704" s="2" t="s">
        <v>424</v>
      </c>
      <c r="E704" s="2" t="s">
        <v>1205</v>
      </c>
      <c r="F704" s="2" t="str">
        <f>TEXT("5910719938417223981","0")</f>
        <v>5910719938417220000</v>
      </c>
    </row>
    <row r="705" spans="1:6" ht="12.5" x14ac:dyDescent="0.25">
      <c r="A705" s="2"/>
      <c r="B705" s="2"/>
      <c r="C705" s="2" t="s">
        <v>1203</v>
      </c>
      <c r="D705" s="2" t="s">
        <v>1174</v>
      </c>
      <c r="E705" s="2"/>
      <c r="F705" s="2" t="str">
        <f>TEXT("5910722724511760932","0")</f>
        <v>5910722724511760000</v>
      </c>
    </row>
    <row r="706" spans="1:6" ht="12.5" x14ac:dyDescent="0.25">
      <c r="A706" s="2"/>
      <c r="B706" s="2"/>
      <c r="C706" s="2" t="s">
        <v>1206</v>
      </c>
      <c r="D706" s="2" t="s">
        <v>1207</v>
      </c>
      <c r="E706" s="2"/>
      <c r="F706" s="2" t="str">
        <f>TEXT("5910724453111326571","0")</f>
        <v>5910724453111320000</v>
      </c>
    </row>
    <row r="707" spans="1:6" ht="12.5" x14ac:dyDescent="0.25">
      <c r="A707" s="2"/>
      <c r="B707" s="2"/>
      <c r="C707" s="2" t="s">
        <v>1208</v>
      </c>
      <c r="D707" s="2" t="s">
        <v>1134</v>
      </c>
      <c r="E707" s="2" t="s">
        <v>1037</v>
      </c>
      <c r="F707" s="2" t="str">
        <f>TEXT("5910751164511003614","0")</f>
        <v>5910751164511000000</v>
      </c>
    </row>
    <row r="708" spans="1:6" ht="12.5" x14ac:dyDescent="0.25">
      <c r="A708" s="2"/>
      <c r="B708" s="2"/>
      <c r="C708" s="2" t="s">
        <v>1209</v>
      </c>
      <c r="D708" s="2" t="s">
        <v>622</v>
      </c>
      <c r="E708" s="2" t="s">
        <v>1210</v>
      </c>
      <c r="F708" s="2" t="str">
        <f>TEXT("5910779187225591931","0")</f>
        <v>5910779187225590000</v>
      </c>
    </row>
    <row r="709" spans="1:6" ht="12.5" x14ac:dyDescent="0.25">
      <c r="A709" s="2"/>
      <c r="B709" s="2"/>
      <c r="C709" s="2" t="s">
        <v>1211</v>
      </c>
      <c r="D709" s="2" t="s">
        <v>1075</v>
      </c>
      <c r="E709" s="2"/>
      <c r="F709" s="2" t="str">
        <f>TEXT("5910794012654922470","0")</f>
        <v>5910794012654920000</v>
      </c>
    </row>
    <row r="710" spans="1:6" ht="12.5" x14ac:dyDescent="0.25">
      <c r="A710" s="2"/>
      <c r="B710" s="2"/>
      <c r="C710" s="2" t="s">
        <v>1212</v>
      </c>
      <c r="D710" s="2" t="s">
        <v>428</v>
      </c>
      <c r="E710" s="2"/>
      <c r="F710" s="2" t="str">
        <f>TEXT("5910867088415253088","0")</f>
        <v>5910867088415250000</v>
      </c>
    </row>
    <row r="711" spans="1:6" ht="12.5" x14ac:dyDescent="0.25">
      <c r="A711" s="2"/>
      <c r="B711" s="2"/>
      <c r="C711" s="2" t="s">
        <v>1213</v>
      </c>
      <c r="D711" s="2" t="s">
        <v>469</v>
      </c>
      <c r="E711" s="2"/>
      <c r="F711" s="2" t="str">
        <f>TEXT("5910887144513416944","0")</f>
        <v>5910887144513410000</v>
      </c>
    </row>
    <row r="712" spans="1:6" ht="12.5" x14ac:dyDescent="0.25">
      <c r="A712" s="2"/>
      <c r="B712" s="2"/>
      <c r="C712" s="2" t="s">
        <v>1214</v>
      </c>
      <c r="D712" s="2" t="s">
        <v>277</v>
      </c>
      <c r="E712" s="2"/>
      <c r="F712" s="2" t="str">
        <f>TEXT("5910944814513035934","0")</f>
        <v>5910944814513030000</v>
      </c>
    </row>
    <row r="713" spans="1:6" ht="12.5" x14ac:dyDescent="0.25">
      <c r="A713" s="2"/>
      <c r="B713" s="2"/>
      <c r="C713" s="2" t="s">
        <v>1215</v>
      </c>
      <c r="D713" s="2" t="s">
        <v>1216</v>
      </c>
      <c r="E713" s="2"/>
      <c r="F713" s="2" t="str">
        <f>TEXT("5910953208193478434","0")</f>
        <v>5910953208193470000</v>
      </c>
    </row>
    <row r="714" spans="1:6" ht="12.5" x14ac:dyDescent="0.25">
      <c r="A714" s="2"/>
      <c r="B714" s="2"/>
      <c r="C714" s="2" t="s">
        <v>1217</v>
      </c>
      <c r="D714" s="2" t="s">
        <v>1218</v>
      </c>
      <c r="E714" s="2"/>
      <c r="F714" s="2" t="str">
        <f>TEXT("5911550784514217332","0")</f>
        <v>5911550784514210000</v>
      </c>
    </row>
    <row r="715" spans="1:6" ht="12.5" x14ac:dyDescent="0.25">
      <c r="A715" s="2"/>
      <c r="B715" s="2"/>
      <c r="C715" s="2" t="s">
        <v>1219</v>
      </c>
      <c r="D715" s="2" t="s">
        <v>216</v>
      </c>
      <c r="E715" s="2" t="s">
        <v>1220</v>
      </c>
      <c r="F715" s="2" t="str">
        <f>TEXT("5911608037571807593","0")</f>
        <v>5911608037571800000</v>
      </c>
    </row>
    <row r="716" spans="1:6" ht="12.5" x14ac:dyDescent="0.25">
      <c r="A716" s="2"/>
      <c r="B716" s="2"/>
      <c r="C716" s="2" t="s">
        <v>1221</v>
      </c>
      <c r="D716" s="2" t="s">
        <v>672</v>
      </c>
      <c r="E716" s="2"/>
      <c r="F716" s="2" t="str">
        <f>TEXT("5911617174516170925","0")</f>
        <v>5911617174516170000</v>
      </c>
    </row>
    <row r="717" spans="1:6" ht="12.5" x14ac:dyDescent="0.25">
      <c r="A717" s="2"/>
      <c r="B717" s="2"/>
      <c r="C717" s="2" t="s">
        <v>1222</v>
      </c>
      <c r="D717" s="2" t="s">
        <v>216</v>
      </c>
      <c r="E717" s="2"/>
      <c r="F717" s="2" t="str">
        <f>TEXT("5914187016783243069","0")</f>
        <v>5914187016783240000</v>
      </c>
    </row>
    <row r="718" spans="1:6" ht="12.5" x14ac:dyDescent="0.25">
      <c r="A718" s="2"/>
      <c r="B718" s="2"/>
      <c r="C718" s="2" t="s">
        <v>1223</v>
      </c>
      <c r="D718" s="2" t="s">
        <v>1224</v>
      </c>
      <c r="E718" s="2"/>
      <c r="F718" s="2" t="str">
        <f>TEXT("5914191787184850187","0")</f>
        <v>5914191787184850000</v>
      </c>
    </row>
    <row r="719" spans="1:6" ht="12.5" x14ac:dyDescent="0.25">
      <c r="A719" s="2"/>
      <c r="B719" s="2"/>
      <c r="C719" s="2" t="s">
        <v>1222</v>
      </c>
      <c r="D719" s="2" t="s">
        <v>469</v>
      </c>
      <c r="E719" s="2"/>
      <c r="F719" s="2" t="str">
        <f>TEXT("5914195514516798239","0")</f>
        <v>5914195514516790000</v>
      </c>
    </row>
    <row r="720" spans="1:6" ht="12.5" x14ac:dyDescent="0.25">
      <c r="A720" s="2"/>
      <c r="B720" s="2"/>
      <c r="C720" s="2" t="s">
        <v>1225</v>
      </c>
      <c r="D720" s="2" t="s">
        <v>218</v>
      </c>
      <c r="E720" s="2" t="s">
        <v>1226</v>
      </c>
      <c r="F720" s="2" t="str">
        <f>TEXT("5914223727917002491","0")</f>
        <v>5914223727917000000</v>
      </c>
    </row>
    <row r="721" spans="1:6" ht="12.5" x14ac:dyDescent="0.25">
      <c r="A721" s="2"/>
      <c r="B721" s="2"/>
      <c r="C721" s="2" t="s">
        <v>1227</v>
      </c>
      <c r="D721" s="2" t="s">
        <v>1018</v>
      </c>
      <c r="E721" s="2"/>
      <c r="F721" s="2" t="str">
        <f>TEXT("5915029306116712920","0")</f>
        <v>5915029306116710000</v>
      </c>
    </row>
    <row r="722" spans="1:6" ht="12.5" x14ac:dyDescent="0.25">
      <c r="A722" s="2"/>
      <c r="B722" s="2"/>
      <c r="C722" s="2" t="s">
        <v>1228</v>
      </c>
      <c r="D722" s="2" t="s">
        <v>1150</v>
      </c>
      <c r="E722" s="2" t="s">
        <v>1229</v>
      </c>
      <c r="F722" s="2" t="str">
        <f>TEXT("5915044458294762260","0")</f>
        <v>5915044458294760000</v>
      </c>
    </row>
    <row r="723" spans="1:6" ht="12.5" x14ac:dyDescent="0.25">
      <c r="A723" s="2"/>
      <c r="B723" s="2"/>
      <c r="C723" s="2" t="s">
        <v>1228</v>
      </c>
      <c r="D723" s="2" t="s">
        <v>1230</v>
      </c>
      <c r="E723" s="2"/>
      <c r="F723" s="2" t="str">
        <f>TEXT("5915051284152217262","0")</f>
        <v>5915051284152210000</v>
      </c>
    </row>
    <row r="724" spans="1:6" ht="12.5" x14ac:dyDescent="0.25">
      <c r="A724" s="2"/>
      <c r="B724" s="2"/>
      <c r="C724" s="2" t="s">
        <v>1231</v>
      </c>
      <c r="D724" s="2" t="s">
        <v>1232</v>
      </c>
      <c r="E724" s="2"/>
      <c r="F724" s="2" t="str">
        <f>TEXT("5915057604513241110","0")</f>
        <v>5915057604513240000</v>
      </c>
    </row>
    <row r="725" spans="1:6" ht="12.5" x14ac:dyDescent="0.25">
      <c r="A725" s="2"/>
      <c r="B725" s="2"/>
      <c r="C725" s="2" t="s">
        <v>1233</v>
      </c>
      <c r="D725" s="2" t="s">
        <v>1234</v>
      </c>
      <c r="E725" s="2" t="s">
        <v>1235</v>
      </c>
      <c r="F725" s="2" t="str">
        <f>TEXT("5915057802817724829","0")</f>
        <v>5915057802817720000</v>
      </c>
    </row>
    <row r="726" spans="1:6" ht="12.5" x14ac:dyDescent="0.25">
      <c r="A726" s="2"/>
      <c r="B726" s="2"/>
      <c r="C726" s="2" t="s">
        <v>1236</v>
      </c>
      <c r="D726" s="2" t="s">
        <v>1237</v>
      </c>
      <c r="E726" s="2"/>
      <c r="F726" s="2" t="str">
        <f>TEXT("5915071975984524046","0")</f>
        <v>5915071975984520000</v>
      </c>
    </row>
    <row r="727" spans="1:6" ht="12.5" x14ac:dyDescent="0.25">
      <c r="A727" s="2"/>
      <c r="B727" s="2"/>
      <c r="C727" s="2" t="s">
        <v>1238</v>
      </c>
      <c r="D727" s="2" t="s">
        <v>1134</v>
      </c>
      <c r="E727" s="2" t="s">
        <v>1037</v>
      </c>
      <c r="F727" s="2" t="str">
        <f>TEXT("5915073874512797369","0")</f>
        <v>5915073874512790000</v>
      </c>
    </row>
    <row r="728" spans="1:6" ht="12.5" x14ac:dyDescent="0.25">
      <c r="A728" s="2"/>
      <c r="B728" s="2"/>
      <c r="C728" s="2" t="s">
        <v>1238</v>
      </c>
      <c r="D728" s="2" t="s">
        <v>316</v>
      </c>
      <c r="E728" s="2"/>
      <c r="F728" s="2" t="str">
        <f>TEXT("5915074944513416724","0")</f>
        <v>5915074944513410000</v>
      </c>
    </row>
    <row r="729" spans="1:6" ht="12.5" x14ac:dyDescent="0.25">
      <c r="A729" s="2"/>
      <c r="B729" s="2"/>
      <c r="C729" s="2" t="s">
        <v>1239</v>
      </c>
      <c r="D729" s="2" t="s">
        <v>1240</v>
      </c>
      <c r="E729" s="2"/>
      <c r="F729" s="2" t="str">
        <f>TEXT("5915100376075957914","0")</f>
        <v>5915100376075950000</v>
      </c>
    </row>
    <row r="730" spans="1:6" ht="12.5" x14ac:dyDescent="0.25">
      <c r="A730" s="2"/>
      <c r="B730" s="2"/>
      <c r="C730" s="2" t="s">
        <v>1241</v>
      </c>
      <c r="D730" s="2" t="s">
        <v>1075</v>
      </c>
      <c r="E730" s="2"/>
      <c r="F730" s="2" t="str">
        <f>TEXT("5915100672777371399","0")</f>
        <v>5915100672777370000</v>
      </c>
    </row>
    <row r="731" spans="1:6" ht="12.5" x14ac:dyDescent="0.25">
      <c r="A731" s="2"/>
      <c r="B731" s="2"/>
      <c r="C731" s="2" t="s">
        <v>1242</v>
      </c>
      <c r="D731" s="2" t="s">
        <v>1243</v>
      </c>
      <c r="E731" s="2"/>
      <c r="F731" s="2" t="str">
        <f>TEXT("5915187404155190608","0")</f>
        <v>5915187404155190000</v>
      </c>
    </row>
    <row r="732" spans="1:6" ht="12.5" x14ac:dyDescent="0.25">
      <c r="A732" s="2"/>
      <c r="B732" s="2"/>
      <c r="C732" s="2" t="s">
        <v>1244</v>
      </c>
      <c r="D732" s="2" t="s">
        <v>1245</v>
      </c>
      <c r="E732" s="2"/>
      <c r="F732" s="2" t="str">
        <f>TEXT("5915280844513113874","0")</f>
        <v>5915280844513110000</v>
      </c>
    </row>
    <row r="733" spans="1:6" ht="12.5" x14ac:dyDescent="0.25">
      <c r="A733" s="2"/>
      <c r="B733" s="2"/>
      <c r="C733" s="2" t="s">
        <v>1246</v>
      </c>
      <c r="D733" s="2" t="s">
        <v>1193</v>
      </c>
      <c r="E733" s="2"/>
      <c r="F733" s="2" t="str">
        <f>TEXT("5915899499425019815","0")</f>
        <v>5915899499425010000</v>
      </c>
    </row>
    <row r="734" spans="1:6" ht="12.5" x14ac:dyDescent="0.25">
      <c r="A734" s="2"/>
      <c r="B734" s="2"/>
      <c r="C734" s="2" t="s">
        <v>1247</v>
      </c>
      <c r="D734" s="2" t="s">
        <v>1018</v>
      </c>
      <c r="E734" s="2"/>
      <c r="F734" s="2" t="str">
        <f>TEXT("5915910863735530708","0")</f>
        <v>5915910863735530000</v>
      </c>
    </row>
    <row r="735" spans="1:6" ht="12.5" x14ac:dyDescent="0.25">
      <c r="A735" s="2"/>
      <c r="B735" s="2"/>
      <c r="C735" s="2" t="s">
        <v>1248</v>
      </c>
      <c r="D735" s="2" t="s">
        <v>1249</v>
      </c>
      <c r="E735" s="2"/>
      <c r="F735" s="2" t="str">
        <f>TEXT("5915920078776231581","0")</f>
        <v>5915920078776230000</v>
      </c>
    </row>
    <row r="736" spans="1:6" ht="12.5" x14ac:dyDescent="0.25">
      <c r="A736" s="2"/>
      <c r="B736" s="2"/>
      <c r="C736" s="2" t="s">
        <v>1248</v>
      </c>
      <c r="D736" s="2" t="s">
        <v>1250</v>
      </c>
      <c r="E736" s="2"/>
      <c r="F736" s="2" t="str">
        <f>TEXT("5915922132466042847","0")</f>
        <v>5915922132466040000</v>
      </c>
    </row>
    <row r="737" spans="1:6" ht="12.5" x14ac:dyDescent="0.25">
      <c r="A737" s="2"/>
      <c r="B737" s="2"/>
      <c r="C737" s="2" t="s">
        <v>1248</v>
      </c>
      <c r="D737" s="2" t="s">
        <v>718</v>
      </c>
      <c r="E737" s="2" t="s">
        <v>1251</v>
      </c>
      <c r="F737" s="2" t="str">
        <f>TEXT("5915924104519318029","0")</f>
        <v>5915924104519310000</v>
      </c>
    </row>
    <row r="738" spans="1:6" ht="12.5" x14ac:dyDescent="0.25">
      <c r="A738" s="2"/>
      <c r="B738" s="2"/>
      <c r="C738" s="2" t="s">
        <v>1252</v>
      </c>
      <c r="D738" s="2" t="s">
        <v>1253</v>
      </c>
      <c r="E738" s="2"/>
      <c r="F738" s="2" t="str">
        <f>TEXT("5915926104511402745","0")</f>
        <v>5915926104511400000</v>
      </c>
    </row>
    <row r="739" spans="1:6" ht="12.5" x14ac:dyDescent="0.25">
      <c r="A739" s="2"/>
      <c r="B739" s="2"/>
      <c r="C739" s="2" t="s">
        <v>1254</v>
      </c>
      <c r="D739" s="2" t="s">
        <v>1255</v>
      </c>
      <c r="E739" s="2"/>
      <c r="F739" s="2" t="str">
        <f>TEXT("5915928604514512720","0")</f>
        <v>5915928604514510000</v>
      </c>
    </row>
    <row r="740" spans="1:6" ht="12.5" x14ac:dyDescent="0.25">
      <c r="A740" s="2"/>
      <c r="B740" s="2"/>
      <c r="C740" s="2" t="s">
        <v>1256</v>
      </c>
      <c r="D740" s="2" t="s">
        <v>316</v>
      </c>
      <c r="E740" s="2"/>
      <c r="F740" s="2" t="str">
        <f>TEXT("5915942544518195419","0")</f>
        <v>5915942544518190000</v>
      </c>
    </row>
    <row r="741" spans="1:6" ht="12.5" x14ac:dyDescent="0.25">
      <c r="A741" s="2"/>
      <c r="B741" s="2"/>
      <c r="C741" s="2" t="s">
        <v>1257</v>
      </c>
      <c r="D741" s="2" t="s">
        <v>228</v>
      </c>
      <c r="E741" s="2" t="s">
        <v>1258</v>
      </c>
      <c r="F741" s="2" t="str">
        <f>TEXT("5915946184517851746","0")</f>
        <v>5915946184517850000</v>
      </c>
    </row>
    <row r="742" spans="1:6" ht="12.5" x14ac:dyDescent="0.25">
      <c r="A742" s="2"/>
      <c r="B742" s="2"/>
      <c r="C742" s="2" t="s">
        <v>1259</v>
      </c>
      <c r="D742" s="2" t="s">
        <v>887</v>
      </c>
      <c r="E742" s="2"/>
      <c r="F742" s="2" t="str">
        <f>TEXT("5915948929306318637","0")</f>
        <v>5915948929306310000</v>
      </c>
    </row>
    <row r="743" spans="1:6" ht="12.5" x14ac:dyDescent="0.25">
      <c r="A743" s="2"/>
      <c r="B743" s="2"/>
      <c r="C743" s="2" t="s">
        <v>1260</v>
      </c>
      <c r="D743" s="2" t="s">
        <v>783</v>
      </c>
      <c r="E743" s="2"/>
      <c r="F743" s="2" t="str">
        <f>TEXT("5915960764511575641","0")</f>
        <v>5915960764511570000</v>
      </c>
    </row>
    <row r="744" spans="1:6" ht="12.5" x14ac:dyDescent="0.25">
      <c r="A744" s="2"/>
      <c r="B744" s="2"/>
      <c r="C744" s="2" t="s">
        <v>1261</v>
      </c>
      <c r="D744" s="2" t="s">
        <v>672</v>
      </c>
      <c r="E744" s="2" t="s">
        <v>1262</v>
      </c>
      <c r="F744" s="2" t="str">
        <f>TEXT("5916004292219593603","0")</f>
        <v>5916004292219590000</v>
      </c>
    </row>
    <row r="745" spans="1:6" ht="12.5" x14ac:dyDescent="0.25">
      <c r="A745" s="2"/>
      <c r="B745" s="2"/>
      <c r="C745" s="2" t="s">
        <v>1263</v>
      </c>
      <c r="D745" s="2" t="s">
        <v>1216</v>
      </c>
      <c r="E745" s="2"/>
      <c r="F745" s="2" t="str">
        <f>TEXT("5916051004665119367","0")</f>
        <v>5916051004665110000</v>
      </c>
    </row>
    <row r="746" spans="1:6" ht="12.5" x14ac:dyDescent="0.25">
      <c r="A746" s="2"/>
      <c r="B746" s="2"/>
      <c r="C746" s="2" t="s">
        <v>1264</v>
      </c>
      <c r="D746" s="2" t="s">
        <v>395</v>
      </c>
      <c r="E746" s="2"/>
      <c r="F746" s="2" t="str">
        <f>TEXT("5916790234516730669","0")</f>
        <v>5916790234516730000</v>
      </c>
    </row>
    <row r="747" spans="1:6" ht="12.5" x14ac:dyDescent="0.25">
      <c r="A747" s="2"/>
      <c r="B747" s="2"/>
      <c r="C747" s="2" t="s">
        <v>1265</v>
      </c>
      <c r="D747" s="2" t="s">
        <v>603</v>
      </c>
      <c r="E747" s="2" t="s">
        <v>1266</v>
      </c>
      <c r="F747" s="2" t="str">
        <f>TEXT("5916815414513894673","0")</f>
        <v>5916815414513890000</v>
      </c>
    </row>
    <row r="748" spans="1:6" ht="12.5" x14ac:dyDescent="0.25">
      <c r="A748" s="2"/>
      <c r="B748" s="2"/>
      <c r="C748" s="2" t="s">
        <v>1267</v>
      </c>
      <c r="D748" s="2" t="s">
        <v>1268</v>
      </c>
      <c r="E748" s="2" t="s">
        <v>1269</v>
      </c>
      <c r="F748" s="2" t="str">
        <f>TEXT("5916827431811164042","0")</f>
        <v>5916827431811160000</v>
      </c>
    </row>
    <row r="749" spans="1:6" ht="12.5" x14ac:dyDescent="0.25">
      <c r="A749" s="2"/>
      <c r="B749" s="2"/>
      <c r="C749" s="2" t="s">
        <v>1270</v>
      </c>
      <c r="D749" s="2" t="s">
        <v>1271</v>
      </c>
      <c r="E749" s="2"/>
      <c r="F749" s="2" t="str">
        <f>TEXT("5916915314518987681","0")</f>
        <v>5916915314518980000</v>
      </c>
    </row>
    <row r="750" spans="1:6" ht="12.5" x14ac:dyDescent="0.25">
      <c r="A750" s="2"/>
      <c r="B750" s="2"/>
      <c r="C750" s="2" t="s">
        <v>1272</v>
      </c>
      <c r="D750" s="2" t="s">
        <v>242</v>
      </c>
      <c r="E750" s="2"/>
      <c r="F750" s="2" t="str">
        <f>TEXT("5917009971811522764","0")</f>
        <v>5917009971811520000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Order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Schaper</cp:lastModifiedBy>
  <dcterms:modified xsi:type="dcterms:W3CDTF">2024-05-20T18:25:24Z</dcterms:modified>
</cp:coreProperties>
</file>