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Google Drive\STEMN\Zipline UAV\"/>
    </mc:Choice>
  </mc:AlternateContent>
  <bookViews>
    <workbookView xWindow="0" yWindow="0" windowWidth="24000" windowHeight="11175"/>
  </bookViews>
  <sheets>
    <sheet name="Sheet1" sheetId="1" r:id="rId1"/>
    <sheet name="Constraint anaysis" sheetId="2" r:id="rId2"/>
    <sheet name="TURN" sheetId="3" r:id="rId3"/>
    <sheet name="Climb" sheetId="5" r:id="rId4"/>
    <sheet name="V-n diagram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3" i="3"/>
  <c r="O6" i="6"/>
  <c r="O5" i="6"/>
  <c r="O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4" i="6"/>
  <c r="K37" i="6"/>
  <c r="K38" i="6"/>
  <c r="K41" i="6"/>
  <c r="K4" i="6"/>
  <c r="K7" i="6"/>
  <c r="K8" i="6"/>
  <c r="K12" i="6"/>
  <c r="K15" i="6"/>
  <c r="K16" i="6"/>
  <c r="K20" i="6"/>
  <c r="K23" i="6"/>
  <c r="K24" i="6"/>
  <c r="K28" i="6"/>
  <c r="K31" i="6"/>
  <c r="K32" i="6"/>
  <c r="J50" i="6"/>
  <c r="J66" i="6"/>
  <c r="D7" i="6"/>
  <c r="I33" i="6" s="1"/>
  <c r="K33" i="6" s="1"/>
  <c r="D6" i="6"/>
  <c r="E32" i="1"/>
  <c r="G4" i="6"/>
  <c r="K35" i="6" s="1"/>
  <c r="G3" i="6"/>
  <c r="J18" i="6" s="1"/>
  <c r="D4" i="6"/>
  <c r="D3" i="6"/>
  <c r="I80" i="6" s="1"/>
  <c r="C3" i="5"/>
  <c r="I4" i="2"/>
  <c r="I2" i="2"/>
  <c r="G4" i="2"/>
  <c r="N1" i="2"/>
  <c r="M2" i="2" s="1"/>
  <c r="N2" i="2" s="1"/>
  <c r="E9" i="1"/>
  <c r="E6" i="2"/>
  <c r="D6" i="2"/>
  <c r="C6" i="2"/>
  <c r="E5" i="2"/>
  <c r="D5" i="2"/>
  <c r="C5" i="2"/>
  <c r="D4" i="2"/>
  <c r="C4" i="2"/>
  <c r="E29" i="1"/>
  <c r="E4" i="2"/>
  <c r="E3" i="2"/>
  <c r="D3" i="2"/>
  <c r="C3" i="2"/>
  <c r="E2" i="2"/>
  <c r="D2" i="2"/>
  <c r="C2" i="2"/>
  <c r="C29" i="2"/>
  <c r="D29" i="2"/>
  <c r="J29" i="2" s="1"/>
  <c r="E29" i="2"/>
  <c r="F29" i="2"/>
  <c r="L29" i="2" s="1"/>
  <c r="G29" i="2"/>
  <c r="I29" i="2"/>
  <c r="K29" i="2"/>
  <c r="B29" i="2"/>
  <c r="J34" i="6" l="1"/>
  <c r="J81" i="6"/>
  <c r="K27" i="6"/>
  <c r="K19" i="6"/>
  <c r="K11" i="6"/>
  <c r="K42" i="6"/>
  <c r="K34" i="6"/>
  <c r="J7" i="6"/>
  <c r="J11" i="6"/>
  <c r="J15" i="6"/>
  <c r="J19" i="6"/>
  <c r="J23" i="6"/>
  <c r="J27" i="6"/>
  <c r="J31" i="6"/>
  <c r="J35" i="6"/>
  <c r="J39" i="6"/>
  <c r="J43" i="6"/>
  <c r="J47" i="6"/>
  <c r="J51" i="6"/>
  <c r="J55" i="6"/>
  <c r="J59" i="6"/>
  <c r="J63" i="6"/>
  <c r="J67" i="6"/>
  <c r="J71" i="6"/>
  <c r="J75" i="6"/>
  <c r="J79" i="6"/>
  <c r="J83" i="6"/>
  <c r="J4" i="6"/>
  <c r="J8" i="6"/>
  <c r="J12" i="6"/>
  <c r="J16" i="6"/>
  <c r="J20" i="6"/>
  <c r="J24" i="6"/>
  <c r="J28" i="6"/>
  <c r="J32" i="6"/>
  <c r="J36" i="6"/>
  <c r="J40" i="6"/>
  <c r="J44" i="6"/>
  <c r="J48" i="6"/>
  <c r="J52" i="6"/>
  <c r="J56" i="6"/>
  <c r="J60" i="6"/>
  <c r="J64" i="6"/>
  <c r="J68" i="6"/>
  <c r="J72" i="6"/>
  <c r="J76" i="6"/>
  <c r="J80" i="6"/>
  <c r="J3" i="6"/>
  <c r="J5" i="6"/>
  <c r="J9" i="6"/>
  <c r="J13" i="6"/>
  <c r="J17" i="6"/>
  <c r="J21" i="6"/>
  <c r="J25" i="6"/>
  <c r="J29" i="6"/>
  <c r="J33" i="6"/>
  <c r="J37" i="6"/>
  <c r="J41" i="6"/>
  <c r="J49" i="6"/>
  <c r="J53" i="6"/>
  <c r="J57" i="6"/>
  <c r="J61" i="6"/>
  <c r="J65" i="6"/>
  <c r="J69" i="6"/>
  <c r="J73" i="6"/>
  <c r="J77" i="6"/>
  <c r="J78" i="6"/>
  <c r="J62" i="6"/>
  <c r="J46" i="6"/>
  <c r="J30" i="6"/>
  <c r="J14" i="6"/>
  <c r="D5" i="6"/>
  <c r="I45" i="6" s="1"/>
  <c r="K45" i="6" s="1"/>
  <c r="J74" i="6"/>
  <c r="J58" i="6"/>
  <c r="J42" i="6"/>
  <c r="J26" i="6"/>
  <c r="J10" i="6"/>
  <c r="J82" i="6"/>
  <c r="J70" i="6"/>
  <c r="J54" i="6"/>
  <c r="J38" i="6"/>
  <c r="J22" i="6"/>
  <c r="J6" i="6"/>
  <c r="K30" i="6"/>
  <c r="K26" i="6"/>
  <c r="K22" i="6"/>
  <c r="K18" i="6"/>
  <c r="K14" i="6"/>
  <c r="K10" i="6"/>
  <c r="K6" i="6"/>
  <c r="K44" i="6"/>
  <c r="K40" i="6"/>
  <c r="K36" i="6"/>
  <c r="K3" i="6"/>
  <c r="K29" i="6"/>
  <c r="K25" i="6"/>
  <c r="K21" i="6"/>
  <c r="K17" i="6"/>
  <c r="K13" i="6"/>
  <c r="K9" i="6"/>
  <c r="K5" i="6"/>
  <c r="K43" i="6"/>
  <c r="K39" i="6"/>
  <c r="M3" i="2"/>
  <c r="N3" i="2" s="1"/>
  <c r="F3" i="2"/>
  <c r="F4" i="2"/>
  <c r="F5" i="2"/>
  <c r="I3" i="2" s="1"/>
  <c r="F2" i="2"/>
  <c r="J45" i="6" l="1"/>
  <c r="M4" i="2"/>
  <c r="N4" i="2" s="1"/>
  <c r="M5" i="2" l="1"/>
  <c r="N5" i="2" l="1"/>
  <c r="M6" i="2" s="1"/>
  <c r="N6" i="2" s="1"/>
  <c r="M7" i="2" s="1"/>
  <c r="N7" i="2" s="1"/>
  <c r="M8" i="2" l="1"/>
  <c r="N8" i="2" s="1"/>
  <c r="M9" i="2" l="1"/>
  <c r="N9" i="2" l="1"/>
  <c r="E5" i="1" l="1"/>
  <c r="G11" i="2" l="1"/>
  <c r="G13" i="2"/>
  <c r="G14" i="2"/>
  <c r="G15" i="2"/>
  <c r="G16" i="2"/>
  <c r="G23" i="2"/>
  <c r="G24" i="2"/>
  <c r="G25" i="2"/>
  <c r="G26" i="2"/>
  <c r="G27" i="2"/>
  <c r="G28" i="2"/>
  <c r="G30" i="2"/>
  <c r="H11" i="1"/>
  <c r="E27" i="1"/>
  <c r="H10" i="1"/>
  <c r="C34" i="2"/>
  <c r="I34" i="2" s="1"/>
  <c r="C50" i="2"/>
  <c r="I50" i="2" s="1"/>
  <c r="C16" i="2"/>
  <c r="I16" i="2" s="1"/>
  <c r="C20" i="2"/>
  <c r="I20" i="2" s="1"/>
  <c r="C11" i="2"/>
  <c r="I11" i="2" s="1"/>
  <c r="H9" i="1"/>
  <c r="E23" i="1"/>
  <c r="C38" i="2" s="1"/>
  <c r="I38" i="2" s="1"/>
  <c r="C27" i="2" l="1"/>
  <c r="I27" i="2" s="1"/>
  <c r="C19" i="2"/>
  <c r="I19" i="2" s="1"/>
  <c r="C62" i="2"/>
  <c r="I62" i="2" s="1"/>
  <c r="C46" i="2"/>
  <c r="I46" i="2" s="1"/>
  <c r="C30" i="2"/>
  <c r="I30" i="2" s="1"/>
  <c r="G22" i="2"/>
  <c r="C24" i="2"/>
  <c r="I24" i="2" s="1"/>
  <c r="C15" i="2"/>
  <c r="I15" i="2" s="1"/>
  <c r="C58" i="2"/>
  <c r="I58" i="2" s="1"/>
  <c r="C42" i="2"/>
  <c r="I42" i="2" s="1"/>
  <c r="C28" i="2"/>
  <c r="I28" i="2" s="1"/>
  <c r="C23" i="2"/>
  <c r="I23" i="2" s="1"/>
  <c r="C14" i="2"/>
  <c r="I14" i="2" s="1"/>
  <c r="C54" i="2"/>
  <c r="I54" i="2" s="1"/>
  <c r="C63" i="2"/>
  <c r="I63" i="2" s="1"/>
  <c r="C59" i="2"/>
  <c r="I59" i="2" s="1"/>
  <c r="C55" i="2"/>
  <c r="I55" i="2" s="1"/>
  <c r="C51" i="2"/>
  <c r="I51" i="2" s="1"/>
  <c r="C47" i="2"/>
  <c r="I47" i="2" s="1"/>
  <c r="C43" i="2"/>
  <c r="I43" i="2" s="1"/>
  <c r="C39" i="2"/>
  <c r="I39" i="2" s="1"/>
  <c r="C35" i="2"/>
  <c r="I35" i="2" s="1"/>
  <c r="C31" i="2"/>
  <c r="I31" i="2" s="1"/>
  <c r="C10" i="2"/>
  <c r="I10" i="2" s="1"/>
  <c r="C26" i="2"/>
  <c r="I26" i="2" s="1"/>
  <c r="C22" i="2"/>
  <c r="I22" i="2" s="1"/>
  <c r="C18" i="2"/>
  <c r="I18" i="2" s="1"/>
  <c r="C13" i="2"/>
  <c r="I13" i="2" s="1"/>
  <c r="C64" i="2"/>
  <c r="I64" i="2" s="1"/>
  <c r="C60" i="2"/>
  <c r="I60" i="2" s="1"/>
  <c r="C56" i="2"/>
  <c r="I56" i="2" s="1"/>
  <c r="C52" i="2"/>
  <c r="I52" i="2" s="1"/>
  <c r="C48" i="2"/>
  <c r="I48" i="2" s="1"/>
  <c r="C44" i="2"/>
  <c r="I44" i="2" s="1"/>
  <c r="C40" i="2"/>
  <c r="I40" i="2" s="1"/>
  <c r="C36" i="2"/>
  <c r="I36" i="2" s="1"/>
  <c r="C32" i="2"/>
  <c r="I32" i="2" s="1"/>
  <c r="C12" i="2"/>
  <c r="I12" i="2" s="1"/>
  <c r="C25" i="2"/>
  <c r="I25" i="2" s="1"/>
  <c r="C21" i="2"/>
  <c r="I21" i="2" s="1"/>
  <c r="C17" i="2"/>
  <c r="I17" i="2" s="1"/>
  <c r="C65" i="2"/>
  <c r="I65" i="2" s="1"/>
  <c r="C61" i="2"/>
  <c r="I61" i="2" s="1"/>
  <c r="C57" i="2"/>
  <c r="I57" i="2" s="1"/>
  <c r="C53" i="2"/>
  <c r="I53" i="2" s="1"/>
  <c r="C49" i="2"/>
  <c r="I49" i="2" s="1"/>
  <c r="C45" i="2"/>
  <c r="I45" i="2" s="1"/>
  <c r="C41" i="2"/>
  <c r="I41" i="2" s="1"/>
  <c r="C37" i="2"/>
  <c r="I37" i="2" s="1"/>
  <c r="C33" i="2"/>
  <c r="I33" i="2" s="1"/>
  <c r="E2" i="1" l="1"/>
  <c r="C15" i="1"/>
  <c r="E15" i="1"/>
  <c r="C23" i="1"/>
  <c r="C3" i="1"/>
  <c r="C20" i="1"/>
  <c r="F10" i="2" l="1"/>
  <c r="L10" i="2" s="1"/>
  <c r="F14" i="2"/>
  <c r="L14" i="2" s="1"/>
  <c r="F18" i="2"/>
  <c r="L18" i="2" s="1"/>
  <c r="F22" i="2"/>
  <c r="L22" i="2" s="1"/>
  <c r="F63" i="2"/>
  <c r="L63" i="2" s="1"/>
  <c r="F59" i="2"/>
  <c r="L59" i="2" s="1"/>
  <c r="F55" i="2"/>
  <c r="L55" i="2" s="1"/>
  <c r="F51" i="2"/>
  <c r="L51" i="2" s="1"/>
  <c r="F47" i="2"/>
  <c r="L47" i="2" s="1"/>
  <c r="F43" i="2"/>
  <c r="L43" i="2" s="1"/>
  <c r="F39" i="2"/>
  <c r="L39" i="2" s="1"/>
  <c r="F35" i="2"/>
  <c r="L35" i="2" s="1"/>
  <c r="F31" i="2"/>
  <c r="L31" i="2" s="1"/>
  <c r="F26" i="2"/>
  <c r="L26" i="2" s="1"/>
  <c r="E12" i="2"/>
  <c r="K12" i="2" s="1"/>
  <c r="E16" i="2"/>
  <c r="K16" i="2" s="1"/>
  <c r="E20" i="2"/>
  <c r="K20" i="2" s="1"/>
  <c r="E24" i="2"/>
  <c r="K24" i="2" s="1"/>
  <c r="E28" i="2"/>
  <c r="K28" i="2" s="1"/>
  <c r="E33" i="2"/>
  <c r="K33" i="2" s="1"/>
  <c r="E37" i="2"/>
  <c r="K37" i="2" s="1"/>
  <c r="E41" i="2"/>
  <c r="K41" i="2" s="1"/>
  <c r="E45" i="2"/>
  <c r="K45" i="2" s="1"/>
  <c r="E49" i="2"/>
  <c r="K49" i="2" s="1"/>
  <c r="E53" i="2"/>
  <c r="K53" i="2" s="1"/>
  <c r="E57" i="2"/>
  <c r="K57" i="2" s="1"/>
  <c r="E61" i="2"/>
  <c r="K61" i="2" s="1"/>
  <c r="E65" i="2"/>
  <c r="K65" i="2" s="1"/>
  <c r="D16" i="2"/>
  <c r="J16" i="2" s="1"/>
  <c r="D20" i="2"/>
  <c r="J20" i="2" s="1"/>
  <c r="D24" i="2"/>
  <c r="J24" i="2" s="1"/>
  <c r="D28" i="2"/>
  <c r="J28" i="2" s="1"/>
  <c r="D33" i="2"/>
  <c r="J33" i="2" s="1"/>
  <c r="D37" i="2"/>
  <c r="J37" i="2" s="1"/>
  <c r="D41" i="2"/>
  <c r="J41" i="2" s="1"/>
  <c r="D45" i="2"/>
  <c r="J45" i="2" s="1"/>
  <c r="D49" i="2"/>
  <c r="J49" i="2" s="1"/>
  <c r="D53" i="2"/>
  <c r="J53" i="2" s="1"/>
  <c r="D57" i="2"/>
  <c r="J57" i="2" s="1"/>
  <c r="D61" i="2"/>
  <c r="J61" i="2" s="1"/>
  <c r="D65" i="2"/>
  <c r="J65" i="2" s="1"/>
  <c r="D10" i="2"/>
  <c r="J10" i="2" s="1"/>
  <c r="F16" i="2"/>
  <c r="L16" i="2" s="1"/>
  <c r="F65" i="2"/>
  <c r="L65" i="2" s="1"/>
  <c r="F61" i="2"/>
  <c r="L61" i="2" s="1"/>
  <c r="F53" i="2"/>
  <c r="L53" i="2" s="1"/>
  <c r="F45" i="2"/>
  <c r="L45" i="2" s="1"/>
  <c r="F37" i="2"/>
  <c r="L37" i="2" s="1"/>
  <c r="F28" i="2"/>
  <c r="L28" i="2" s="1"/>
  <c r="E14" i="2"/>
  <c r="K14" i="2" s="1"/>
  <c r="E22" i="2"/>
  <c r="K22" i="2" s="1"/>
  <c r="E31" i="2"/>
  <c r="K31" i="2" s="1"/>
  <c r="E39" i="2"/>
  <c r="K39" i="2" s="1"/>
  <c r="E47" i="2"/>
  <c r="K47" i="2" s="1"/>
  <c r="E55" i="2"/>
  <c r="K55" i="2" s="1"/>
  <c r="E63" i="2"/>
  <c r="K63" i="2" s="1"/>
  <c r="D18" i="2"/>
  <c r="J18" i="2" s="1"/>
  <c r="D26" i="2"/>
  <c r="J26" i="2" s="1"/>
  <c r="D35" i="2"/>
  <c r="J35" i="2" s="1"/>
  <c r="D43" i="2"/>
  <c r="J43" i="2" s="1"/>
  <c r="D51" i="2"/>
  <c r="J51" i="2" s="1"/>
  <c r="D59" i="2"/>
  <c r="J59" i="2" s="1"/>
  <c r="D12" i="2"/>
  <c r="J12" i="2" s="1"/>
  <c r="F13" i="2"/>
  <c r="L13" i="2" s="1"/>
  <c r="F21" i="2"/>
  <c r="L21" i="2" s="1"/>
  <c r="F11" i="2"/>
  <c r="L11" i="2" s="1"/>
  <c r="F15" i="2"/>
  <c r="L15" i="2" s="1"/>
  <c r="F19" i="2"/>
  <c r="L19" i="2" s="1"/>
  <c r="F23" i="2"/>
  <c r="L23" i="2" s="1"/>
  <c r="F62" i="2"/>
  <c r="L62" i="2" s="1"/>
  <c r="F58" i="2"/>
  <c r="L58" i="2" s="1"/>
  <c r="F54" i="2"/>
  <c r="L54" i="2" s="1"/>
  <c r="F50" i="2"/>
  <c r="L50" i="2" s="1"/>
  <c r="F46" i="2"/>
  <c r="L46" i="2" s="1"/>
  <c r="F42" i="2"/>
  <c r="L42" i="2" s="1"/>
  <c r="F38" i="2"/>
  <c r="L38" i="2" s="1"/>
  <c r="F34" i="2"/>
  <c r="L34" i="2" s="1"/>
  <c r="F30" i="2"/>
  <c r="L30" i="2" s="1"/>
  <c r="F25" i="2"/>
  <c r="L25" i="2" s="1"/>
  <c r="E13" i="2"/>
  <c r="K13" i="2" s="1"/>
  <c r="E17" i="2"/>
  <c r="K17" i="2" s="1"/>
  <c r="E21" i="2"/>
  <c r="K21" i="2" s="1"/>
  <c r="E25" i="2"/>
  <c r="K25" i="2" s="1"/>
  <c r="E30" i="2"/>
  <c r="K30" i="2" s="1"/>
  <c r="E34" i="2"/>
  <c r="K34" i="2" s="1"/>
  <c r="E38" i="2"/>
  <c r="K38" i="2" s="1"/>
  <c r="E42" i="2"/>
  <c r="K42" i="2" s="1"/>
  <c r="E46" i="2"/>
  <c r="K46" i="2" s="1"/>
  <c r="E50" i="2"/>
  <c r="K50" i="2" s="1"/>
  <c r="E54" i="2"/>
  <c r="K54" i="2" s="1"/>
  <c r="E58" i="2"/>
  <c r="K58" i="2" s="1"/>
  <c r="E62" i="2"/>
  <c r="K62" i="2" s="1"/>
  <c r="E10" i="2"/>
  <c r="K10" i="2" s="1"/>
  <c r="D17" i="2"/>
  <c r="J17" i="2" s="1"/>
  <c r="D21" i="2"/>
  <c r="J21" i="2" s="1"/>
  <c r="D25" i="2"/>
  <c r="J25" i="2" s="1"/>
  <c r="D30" i="2"/>
  <c r="J30" i="2" s="1"/>
  <c r="D34" i="2"/>
  <c r="J34" i="2" s="1"/>
  <c r="D38" i="2"/>
  <c r="J38" i="2" s="1"/>
  <c r="D42" i="2"/>
  <c r="J42" i="2" s="1"/>
  <c r="D46" i="2"/>
  <c r="J46" i="2" s="1"/>
  <c r="D50" i="2"/>
  <c r="J50" i="2" s="1"/>
  <c r="D54" i="2"/>
  <c r="J54" i="2" s="1"/>
  <c r="D58" i="2"/>
  <c r="J58" i="2" s="1"/>
  <c r="D62" i="2"/>
  <c r="J62" i="2" s="1"/>
  <c r="D11" i="2"/>
  <c r="J11" i="2" s="1"/>
  <c r="F12" i="2"/>
  <c r="L12" i="2" s="1"/>
  <c r="F20" i="2"/>
  <c r="L20" i="2" s="1"/>
  <c r="F57" i="2"/>
  <c r="L57" i="2" s="1"/>
  <c r="F49" i="2"/>
  <c r="L49" i="2" s="1"/>
  <c r="F41" i="2"/>
  <c r="L41" i="2" s="1"/>
  <c r="F33" i="2"/>
  <c r="L33" i="2" s="1"/>
  <c r="F24" i="2"/>
  <c r="L24" i="2" s="1"/>
  <c r="E18" i="2"/>
  <c r="K18" i="2" s="1"/>
  <c r="E26" i="2"/>
  <c r="K26" i="2" s="1"/>
  <c r="E35" i="2"/>
  <c r="K35" i="2" s="1"/>
  <c r="E43" i="2"/>
  <c r="K43" i="2" s="1"/>
  <c r="E51" i="2"/>
  <c r="K51" i="2" s="1"/>
  <c r="E59" i="2"/>
  <c r="K59" i="2" s="1"/>
  <c r="D14" i="2"/>
  <c r="J14" i="2" s="1"/>
  <c r="D22" i="2"/>
  <c r="J22" i="2" s="1"/>
  <c r="D31" i="2"/>
  <c r="J31" i="2" s="1"/>
  <c r="D39" i="2"/>
  <c r="J39" i="2" s="1"/>
  <c r="D47" i="2"/>
  <c r="J47" i="2" s="1"/>
  <c r="D55" i="2"/>
  <c r="J55" i="2" s="1"/>
  <c r="D63" i="2"/>
  <c r="J63" i="2" s="1"/>
  <c r="F17" i="2"/>
  <c r="L17" i="2" s="1"/>
  <c r="F64" i="2"/>
  <c r="L64" i="2" s="1"/>
  <c r="F60" i="2"/>
  <c r="L60" i="2" s="1"/>
  <c r="F44" i="2"/>
  <c r="L44" i="2" s="1"/>
  <c r="F27" i="2"/>
  <c r="L27" i="2" s="1"/>
  <c r="E23" i="2"/>
  <c r="K23" i="2" s="1"/>
  <c r="E40" i="2"/>
  <c r="K40" i="2" s="1"/>
  <c r="E56" i="2"/>
  <c r="K56" i="2" s="1"/>
  <c r="D19" i="2"/>
  <c r="J19" i="2" s="1"/>
  <c r="D36" i="2"/>
  <c r="J36" i="2" s="1"/>
  <c r="D52" i="2"/>
  <c r="J52" i="2" s="1"/>
  <c r="D13" i="2"/>
  <c r="J13" i="2" s="1"/>
  <c r="D23" i="2"/>
  <c r="J23" i="2" s="1"/>
  <c r="F52" i="2"/>
  <c r="L52" i="2" s="1"/>
  <c r="E15" i="2"/>
  <c r="K15" i="2" s="1"/>
  <c r="E48" i="2"/>
  <c r="K48" i="2" s="1"/>
  <c r="D27" i="2"/>
  <c r="J27" i="2" s="1"/>
  <c r="D60" i="2"/>
  <c r="J60" i="2" s="1"/>
  <c r="F48" i="2"/>
  <c r="L48" i="2" s="1"/>
  <c r="E19" i="2"/>
  <c r="K19" i="2" s="1"/>
  <c r="E52" i="2"/>
  <c r="K52" i="2" s="1"/>
  <c r="D32" i="2"/>
  <c r="J32" i="2" s="1"/>
  <c r="D64" i="2"/>
  <c r="J64" i="2" s="1"/>
  <c r="F56" i="2"/>
  <c r="L56" i="2" s="1"/>
  <c r="F40" i="2"/>
  <c r="L40" i="2" s="1"/>
  <c r="E11" i="2"/>
  <c r="K11" i="2" s="1"/>
  <c r="E27" i="2"/>
  <c r="K27" i="2" s="1"/>
  <c r="E44" i="2"/>
  <c r="K44" i="2" s="1"/>
  <c r="E60" i="2"/>
  <c r="K60" i="2" s="1"/>
  <c r="D40" i="2"/>
  <c r="J40" i="2" s="1"/>
  <c r="D56" i="2"/>
  <c r="J56" i="2" s="1"/>
  <c r="F36" i="2"/>
  <c r="L36" i="2" s="1"/>
  <c r="E32" i="2"/>
  <c r="K32" i="2" s="1"/>
  <c r="E64" i="2"/>
  <c r="K64" i="2" s="1"/>
  <c r="D44" i="2"/>
  <c r="J44" i="2" s="1"/>
  <c r="F32" i="2"/>
  <c r="L32" i="2" s="1"/>
  <c r="E36" i="2"/>
  <c r="K36" i="2" s="1"/>
  <c r="D15" i="2"/>
  <c r="J15" i="2" s="1"/>
  <c r="D48" i="2"/>
  <c r="J48" i="2" s="1"/>
  <c r="E22" i="1"/>
  <c r="E21" i="1"/>
  <c r="E20" i="1"/>
  <c r="E13" i="1"/>
  <c r="G21" i="2" l="1"/>
  <c r="C3" i="3"/>
  <c r="C4" i="3" s="1"/>
  <c r="G10" i="2"/>
  <c r="G12" i="2"/>
  <c r="G17" i="2"/>
  <c r="G19" i="2"/>
  <c r="G20" i="2"/>
  <c r="G18" i="2"/>
</calcChain>
</file>

<file path=xl/sharedStrings.xml><?xml version="1.0" encoding="utf-8"?>
<sst xmlns="http://schemas.openxmlformats.org/spreadsheetml/2006/main" count="109" uniqueCount="89">
  <si>
    <t>MTOW</t>
  </si>
  <si>
    <t>S</t>
  </si>
  <si>
    <t>AR</t>
  </si>
  <si>
    <t>b</t>
  </si>
  <si>
    <t xml:space="preserve">length </t>
  </si>
  <si>
    <t>Swet</t>
  </si>
  <si>
    <t>n</t>
  </si>
  <si>
    <t>payload</t>
  </si>
  <si>
    <t>Vcruise</t>
  </si>
  <si>
    <t>Cl</t>
  </si>
  <si>
    <t>e</t>
  </si>
  <si>
    <t>Vstall</t>
  </si>
  <si>
    <t>Prop D</t>
  </si>
  <si>
    <t>Prop A</t>
  </si>
  <si>
    <t>range</t>
  </si>
  <si>
    <t>metric</t>
  </si>
  <si>
    <t>m</t>
  </si>
  <si>
    <t>m^2</t>
  </si>
  <si>
    <t>feet^2</t>
  </si>
  <si>
    <t>in^2</t>
  </si>
  <si>
    <t>miles</t>
  </si>
  <si>
    <t xml:space="preserve">pounds </t>
  </si>
  <si>
    <t>kg</t>
  </si>
  <si>
    <t>g</t>
  </si>
  <si>
    <t>props</t>
  </si>
  <si>
    <t>2 blade</t>
  </si>
  <si>
    <t>cruising alt</t>
  </si>
  <si>
    <t>300-400</t>
  </si>
  <si>
    <t>feet</t>
  </si>
  <si>
    <t>meters</t>
  </si>
  <si>
    <t>m/s</t>
  </si>
  <si>
    <t>imperail</t>
  </si>
  <si>
    <t>meters^2</t>
  </si>
  <si>
    <t>climb</t>
  </si>
  <si>
    <t>cruise</t>
  </si>
  <si>
    <t>loiter</t>
  </si>
  <si>
    <t>Stall</t>
  </si>
  <si>
    <t>w/s</t>
  </si>
  <si>
    <t>smallest R</t>
  </si>
  <si>
    <t xml:space="preserve">turn rate </t>
  </si>
  <si>
    <t>W/S</t>
  </si>
  <si>
    <t>P/W</t>
  </si>
  <si>
    <t>w/p</t>
  </si>
  <si>
    <t>power</t>
  </si>
  <si>
    <t>watts</t>
  </si>
  <si>
    <t>power fraction</t>
  </si>
  <si>
    <t>eff</t>
  </si>
  <si>
    <t>beta</t>
  </si>
  <si>
    <t>alpha</t>
  </si>
  <si>
    <t>k</t>
  </si>
  <si>
    <t>density</t>
  </si>
  <si>
    <t>Vclimb'</t>
  </si>
  <si>
    <t>Cd0</t>
  </si>
  <si>
    <t>RC</t>
  </si>
  <si>
    <t>qclimb</t>
  </si>
  <si>
    <t>qcruis</t>
  </si>
  <si>
    <t>qloiter</t>
  </si>
  <si>
    <t>vloiter</t>
  </si>
  <si>
    <t>turn</t>
  </si>
  <si>
    <t>Total</t>
  </si>
  <si>
    <t>power of avoinics</t>
  </si>
  <si>
    <t>battery weight</t>
  </si>
  <si>
    <t>p/w</t>
  </si>
  <si>
    <t>energy</t>
  </si>
  <si>
    <t>e/w</t>
  </si>
  <si>
    <t xml:space="preserve">thrust </t>
  </si>
  <si>
    <t xml:space="preserve">ceiling </t>
  </si>
  <si>
    <t xml:space="preserve">loiter </t>
  </si>
  <si>
    <t>a</t>
  </si>
  <si>
    <t>c</t>
  </si>
  <si>
    <t>Clmax</t>
  </si>
  <si>
    <t>R/Cmax</t>
  </si>
  <si>
    <t>-n</t>
  </si>
  <si>
    <t>Vd</t>
  </si>
  <si>
    <t>Va</t>
  </si>
  <si>
    <t>Vb</t>
  </si>
  <si>
    <t>-CL</t>
  </si>
  <si>
    <t>Vstall-</t>
  </si>
  <si>
    <t>Vk</t>
  </si>
  <si>
    <t>Vj</t>
  </si>
  <si>
    <t>velocity</t>
  </si>
  <si>
    <t>load factor</t>
  </si>
  <si>
    <t>stall phi</t>
  </si>
  <si>
    <t>load factor phi</t>
  </si>
  <si>
    <t xml:space="preserve">stall </t>
  </si>
  <si>
    <t>stall</t>
  </si>
  <si>
    <t>bank angle</t>
  </si>
  <si>
    <t>turn radius</t>
  </si>
  <si>
    <t>turn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</si>
</sst>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'Constraint anaysis'!$C$9</c:f>
              <c:strCache>
                <c:ptCount val="1"/>
                <c:pt idx="0">
                  <c:v>climb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'Constraint anaysis'!$B$10:$B$65</c:f>
              <c:numCache>
                <c:formatCode>General</c:formatCode>
                <c:ptCount val="5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10.454545454545453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</c:numCache>
            </c:numRef>
          </c:xVal>
          <c:yVal>
            <c:numRef>
              <c:f>'Constraint anaysis'!$C$10:$C$65</c:f>
              <c:numCache>
                <c:formatCode>General</c:formatCode>
                <c:ptCount val="56"/>
                <c:pt idx="0">
                  <c:v>0.48152613102936059</c:v>
                </c:pt>
                <c:pt idx="1">
                  <c:v>0.48007433244316827</c:v>
                </c:pt>
                <c:pt idx="2">
                  <c:v>0.47875553906180351</c:v>
                </c:pt>
                <c:pt idx="3">
                  <c:v>0.47756510306215055</c:v>
                </c:pt>
                <c:pt idx="4">
                  <c:v>0.4764985906831834</c:v>
                </c:pt>
                <c:pt idx="5">
                  <c:v>0.47555177004257915</c:v>
                </c:pt>
                <c:pt idx="6">
                  <c:v>0.47472059977607112</c:v>
                </c:pt>
                <c:pt idx="7">
                  <c:v>0.47400121843544235</c:v>
                </c:pt>
                <c:pt idx="8">
                  <c:v>0.47338993458670681</c:v>
                </c:pt>
                <c:pt idx="9">
                  <c:v>0.47288321755511564</c:v>
                </c:pt>
                <c:pt idx="10">
                  <c:v>0.47247768876822499</c:v>
                </c:pt>
                <c:pt idx="11">
                  <c:v>0.4721701136524159</c:v>
                </c:pt>
                <c:pt idx="12">
                  <c:v>0.47195739404202447</c:v>
                </c:pt>
                <c:pt idx="13">
                  <c:v>0.47183656106364169</c:v>
                </c:pt>
                <c:pt idx="14">
                  <c:v>0.47180476846124247</c:v>
                </c:pt>
                <c:pt idx="15">
                  <c:v>0.47185928633060648</c:v>
                </c:pt>
                <c:pt idx="16">
                  <c:v>0.4719974952340476</c:v>
                </c:pt>
                <c:pt idx="17">
                  <c:v>0.47221688066878931</c:v>
                </c:pt>
                <c:pt idx="18">
                  <c:v>0.47251502786444077</c:v>
                </c:pt>
                <c:pt idx="19">
                  <c:v>0.47285246384729196</c:v>
                </c:pt>
                <c:pt idx="20">
                  <c:v>0.47288961688695474</c:v>
                </c:pt>
                <c:pt idx="21">
                  <c:v>0.47333841802820686</c:v>
                </c:pt>
                <c:pt idx="22">
                  <c:v>0.47385928746194544</c:v>
                </c:pt>
                <c:pt idx="23">
                  <c:v>0.47445016314832855</c:v>
                </c:pt>
                <c:pt idx="24">
                  <c:v>0.47510906097060657</c:v>
                </c:pt>
                <c:pt idx="25">
                  <c:v>0.47583407108874509</c:v>
                </c:pt>
                <c:pt idx="26">
                  <c:v>0.47662335449590498</c:v>
                </c:pt>
                <c:pt idx="27">
                  <c:v>0.47747513976473616</c:v>
                </c:pt>
                <c:pt idx="28">
                  <c:v>0.47838771997138785</c:v>
                </c:pt>
                <c:pt idx="29">
                  <c:v>0.47935944978601375</c:v>
                </c:pt>
                <c:pt idx="30">
                  <c:v>0.48038874271935206</c:v>
                </c:pt>
                <c:pt idx="31">
                  <c:v>0.4814740685156994</c:v>
                </c:pt>
                <c:pt idx="32">
                  <c:v>0.48261395068327689</c:v>
                </c:pt>
                <c:pt idx="33">
                  <c:v>0.48380696415361524</c:v>
                </c:pt>
                <c:pt idx="34">
                  <c:v>0.48505173306216309</c:v>
                </c:pt>
                <c:pt idx="35">
                  <c:v>0.48634692864285589</c:v>
                </c:pt>
                <c:pt idx="36">
                  <c:v>0.4876912672298776</c:v>
                </c:pt>
                <c:pt idx="37">
                  <c:v>0.48908350836030012</c:v>
                </c:pt>
                <c:pt idx="38">
                  <c:v>0.4905224529717106</c:v>
                </c:pt>
                <c:pt idx="39">
                  <c:v>0.49200694168932246</c:v>
                </c:pt>
                <c:pt idx="40">
                  <c:v>0.49353585319743082</c:v>
                </c:pt>
                <c:pt idx="41">
                  <c:v>0.49510810269040717</c:v>
                </c:pt>
                <c:pt idx="42">
                  <c:v>0.49672264039873509</c:v>
                </c:pt>
                <c:pt idx="43">
                  <c:v>0.49837845018588217</c:v>
                </c:pt>
                <c:pt idx="44">
                  <c:v>0.50007454821206754</c:v>
                </c:pt>
                <c:pt idx="45">
                  <c:v>0.5018099816612317</c:v>
                </c:pt>
                <c:pt idx="46">
                  <c:v>0.50358382752775144</c:v>
                </c:pt>
                <c:pt idx="47">
                  <c:v>0.50539519145965117</c:v>
                </c:pt>
                <c:pt idx="48">
                  <c:v>0.50724320665526623</c:v>
                </c:pt>
                <c:pt idx="49">
                  <c:v>0.50912703281049931</c:v>
                </c:pt>
                <c:pt idx="50">
                  <c:v>0.51104585511398259</c:v>
                </c:pt>
                <c:pt idx="51">
                  <c:v>0.512998883287622</c:v>
                </c:pt>
                <c:pt idx="52">
                  <c:v>0.51498535067015183</c:v>
                </c:pt>
                <c:pt idx="53">
                  <c:v>0.51700451334146325</c:v>
                </c:pt>
                <c:pt idx="54">
                  <c:v>0.51905564928560954</c:v>
                </c:pt>
                <c:pt idx="55">
                  <c:v>0.5211380575905078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'Constraint anaysis'!$D$9</c:f>
              <c:strCache>
                <c:ptCount val="1"/>
                <c:pt idx="0">
                  <c:v>cruise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'Constraint anaysis'!$B$10:$B$65</c:f>
              <c:numCache>
                <c:formatCode>General</c:formatCode>
                <c:ptCount val="5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10.454545454545453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</c:numCache>
            </c:numRef>
          </c:xVal>
          <c:yVal>
            <c:numRef>
              <c:f>'Constraint anaysis'!$D$10:$D$65</c:f>
              <c:numCache>
                <c:formatCode>General</c:formatCode>
                <c:ptCount val="56"/>
                <c:pt idx="0">
                  <c:v>52.513531334895859</c:v>
                </c:pt>
                <c:pt idx="1">
                  <c:v>35.013970453376402</c:v>
                </c:pt>
                <c:pt idx="2">
                  <c:v>26.26567488165043</c:v>
                </c:pt>
                <c:pt idx="3">
                  <c:v>21.017885433841844</c:v>
                </c:pt>
                <c:pt idx="4">
                  <c:v>17.520349047991953</c:v>
                </c:pt>
                <c:pt idx="5">
                  <c:v>15.022957268975604</c:v>
                </c:pt>
                <c:pt idx="6">
                  <c:v>13.150655869230215</c:v>
                </c:pt>
                <c:pt idx="7">
                  <c:v>11.695081388998805</c:v>
                </c:pt>
                <c:pt idx="8">
                  <c:v>10.531215752427173</c:v>
                </c:pt>
                <c:pt idx="9">
                  <c:v>9.5795020021535677</c:v>
                </c:pt>
                <c:pt idx="10">
                  <c:v>8.7869021666034772</c:v>
                </c:pt>
                <c:pt idx="11">
                  <c:v>8.1166976500714796</c:v>
                </c:pt>
                <c:pt idx="12">
                  <c:v>7.542660884196553</c:v>
                </c:pt>
                <c:pt idx="13">
                  <c:v>7.0455583188472826</c:v>
                </c:pt>
                <c:pt idx="14">
                  <c:v>6.6109647914251086</c:v>
                </c:pt>
                <c:pt idx="15">
                  <c:v>6.2278492952370144</c:v>
                </c:pt>
                <c:pt idx="16">
                  <c:v>5.8876321584106535</c:v>
                </c:pt>
                <c:pt idx="17">
                  <c:v>5.5835399557836451</c:v>
                </c:pt>
                <c:pt idx="18">
                  <c:v>5.3101539472260875</c:v>
                </c:pt>
                <c:pt idx="19">
                  <c:v>5.0845598314588472</c:v>
                </c:pt>
                <c:pt idx="20">
                  <c:v>5.063087533585203</c:v>
                </c:pt>
                <c:pt idx="21">
                  <c:v>4.8387516791905352</c:v>
                </c:pt>
                <c:pt idx="22">
                  <c:v>4.6341815284882282</c:v>
                </c:pt>
                <c:pt idx="23">
                  <c:v>4.44690636851674</c:v>
                </c:pt>
                <c:pt idx="24">
                  <c:v>4.2748508003883705</c:v>
                </c:pt>
                <c:pt idx="25">
                  <c:v>4.1162587173519913</c:v>
                </c:pt>
                <c:pt idx="26">
                  <c:v>3.969634176619603</c:v>
                </c:pt>
                <c:pt idx="27">
                  <c:v>3.8336949415157782</c:v>
                </c:pt>
                <c:pt idx="28">
                  <c:v>3.7073356355961828</c:v>
                </c:pt>
                <c:pt idx="29">
                  <c:v>3.5895982659423935</c:v>
                </c:pt>
                <c:pt idx="30">
                  <c:v>3.4796484516254615</c:v>
                </c:pt>
                <c:pt idx="31">
                  <c:v>3.3767561093325567</c:v>
                </c:pt>
                <c:pt idx="32">
                  <c:v>3.2802796506978584</c:v>
                </c:pt>
                <c:pt idx="33">
                  <c:v>3.1896529683397596</c:v>
                </c:pt>
                <c:pt idx="34">
                  <c:v>3.104374652863124</c:v>
                </c:pt>
                <c:pt idx="35">
                  <c:v>3.0239990070278289</c:v>
                </c:pt>
                <c:pt idx="36">
                  <c:v>2.948128517079172</c:v>
                </c:pt>
                <c:pt idx="37">
                  <c:v>2.8764075128155748</c:v>
                </c:pt>
                <c:pt idx="38">
                  <c:v>2.8085168030304968</c:v>
                </c:pt>
                <c:pt idx="39">
                  <c:v>2.7441691156380466</c:v>
                </c:pt>
                <c:pt idx="40">
                  <c:v>2.6831052050973021</c:v>
                </c:pt>
                <c:pt idx="41">
                  <c:v>2.6250905159188545</c:v>
                </c:pt>
                <c:pt idx="42">
                  <c:v>2.5699123117285905</c:v>
                </c:pt>
                <c:pt idx="43">
                  <c:v>2.5173771958227702</c:v>
                </c:pt>
                <c:pt idx="44">
                  <c:v>2.4673089623157645</c:v>
                </c:pt>
                <c:pt idx="45">
                  <c:v>2.4195467275728677</c:v>
                </c:pt>
                <c:pt idx="46">
                  <c:v>2.3739433001836048</c:v>
                </c:pt>
                <c:pt idx="47">
                  <c:v>2.3303637546883733</c:v>
                </c:pt>
                <c:pt idx="48">
                  <c:v>2.2886841799508044</c:v>
                </c:pt>
                <c:pt idx="49">
                  <c:v>2.2487905777254387</c:v>
                </c:pt>
                <c:pt idx="50">
                  <c:v>2.2105778908056757</c:v>
                </c:pt>
                <c:pt idx="51">
                  <c:v>2.1739491433084988</c:v>
                </c:pt>
                <c:pt idx="52">
                  <c:v>2.1388146782854616</c:v>
                </c:pt>
                <c:pt idx="53">
                  <c:v>2.105091480043555</c:v>
                </c:pt>
                <c:pt idx="54">
                  <c:v>2.0727025703947177</c:v>
                </c:pt>
                <c:pt idx="55">
                  <c:v>2.0415764695928931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'Constraint anaysis'!$E$9</c:f>
              <c:strCache>
                <c:ptCount val="1"/>
                <c:pt idx="0">
                  <c:v>loiter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'Constraint anaysis'!$B$10:$B$65</c:f>
              <c:numCache>
                <c:formatCode>General</c:formatCode>
                <c:ptCount val="5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10.454545454545453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</c:numCache>
            </c:numRef>
          </c:xVal>
          <c:yVal>
            <c:numRef>
              <c:f>'Constraint anaysis'!$E$10:$E$65</c:f>
              <c:numCache>
                <c:formatCode>General</c:formatCode>
                <c:ptCount val="56"/>
                <c:pt idx="0">
                  <c:v>42.538482092182711</c:v>
                </c:pt>
                <c:pt idx="1">
                  <c:v>28.365098633610494</c:v>
                </c:pt>
                <c:pt idx="2">
                  <c:v>21.280240075970987</c:v>
                </c:pt>
                <c:pt idx="3">
                  <c:v>17.030791478704568</c:v>
                </c:pt>
                <c:pt idx="4">
                  <c:v>14.199047861624694</c:v>
                </c:pt>
                <c:pt idx="5">
                  <c:v>12.177421376079984</c:v>
                </c:pt>
                <c:pt idx="6">
                  <c:v>10.662118097744754</c:v>
                </c:pt>
                <c:pt idx="7">
                  <c:v>9.4843636242158453</c:v>
                </c:pt>
                <c:pt idx="8">
                  <c:v>8.5428933140513603</c:v>
                </c:pt>
                <c:pt idx="9">
                  <c:v>7.7732660317882729</c:v>
                </c:pt>
                <c:pt idx="10">
                  <c:v>7.1325210204512368</c:v>
                </c:pt>
                <c:pt idx="11">
                  <c:v>6.5909162175188536</c:v>
                </c:pt>
                <c:pt idx="12">
                  <c:v>6.1272072926186967</c:v>
                </c:pt>
                <c:pt idx="13">
                  <c:v>5.7258150701443231</c:v>
                </c:pt>
                <c:pt idx="14">
                  <c:v>5.3750551683908974</c:v>
                </c:pt>
                <c:pt idx="15">
                  <c:v>5.0659924719370757</c:v>
                </c:pt>
                <c:pt idx="16">
                  <c:v>4.7916774465662577</c:v>
                </c:pt>
                <c:pt idx="17">
                  <c:v>4.5466236178969162</c:v>
                </c:pt>
                <c:pt idx="18">
                  <c:v>4.326441806423829</c:v>
                </c:pt>
                <c:pt idx="19">
                  <c:v>4.1448568048873966</c:v>
                </c:pt>
                <c:pt idx="20">
                  <c:v>4.1275788668332476</c:v>
                </c:pt>
                <c:pt idx="21">
                  <c:v>3.9471276802321014</c:v>
                </c:pt>
                <c:pt idx="22">
                  <c:v>3.7826867136217688</c:v>
                </c:pt>
                <c:pt idx="23">
                  <c:v>3.632254689503398</c:v>
                </c:pt>
                <c:pt idx="24">
                  <c:v>3.4941505347779538</c:v>
                </c:pt>
                <c:pt idx="25">
                  <c:v>3.3669518029770216</c:v>
                </c:pt>
                <c:pt idx="26">
                  <c:v>3.2494467804423213</c:v>
                </c:pt>
                <c:pt idx="27">
                  <c:v>3.1405968554667583</c:v>
                </c:pt>
                <c:pt idx="28">
                  <c:v>3.039506673130421</c:v>
                </c:pt>
                <c:pt idx="29">
                  <c:v>2.9454002591693857</c:v>
                </c:pt>
                <c:pt idx="30">
                  <c:v>2.8576017650312067</c:v>
                </c:pt>
                <c:pt idx="31">
                  <c:v>2.775519823232488</c:v>
                </c:pt>
                <c:pt idx="32">
                  <c:v>2.6986347471969174</c:v>
                </c:pt>
                <c:pt idx="33">
                  <c:v>2.6264879899453923</c:v>
                </c:pt>
                <c:pt idx="34">
                  <c:v>2.5586734098678523</c:v>
                </c:pt>
                <c:pt idx="35">
                  <c:v>2.4948299921997981</c:v>
                </c:pt>
                <c:pt idx="36">
                  <c:v>2.434635750799921</c:v>
                </c:pt>
                <c:pt idx="37">
                  <c:v>2.3778025928049429</c:v>
                </c:pt>
                <c:pt idx="38">
                  <c:v>2.3240719733375639</c:v>
                </c:pt>
                <c:pt idx="39">
                  <c:v>2.2732112020082145</c:v>
                </c:pt>
                <c:pt idx="40">
                  <c:v>2.2250102899287461</c:v>
                </c:pt>
                <c:pt idx="41">
                  <c:v>2.1792792471527385</c:v>
                </c:pt>
                <c:pt idx="42">
                  <c:v>2.1358457572171599</c:v>
                </c:pt>
                <c:pt idx="43">
                  <c:v>2.0945531687919798</c:v>
                </c:pt>
                <c:pt idx="44">
                  <c:v>2.0552587551098402</c:v>
                </c:pt>
                <c:pt idx="45">
                  <c:v>2.0178322004266289</c:v>
                </c:pt>
                <c:pt idx="46">
                  <c:v>1.9821542796998608</c:v>
                </c:pt>
                <c:pt idx="47">
                  <c:v>1.9481157033072585</c:v>
                </c:pt>
                <c:pt idx="48">
                  <c:v>1.915616103228363</c:v>
                </c:pt>
                <c:pt idx="49">
                  <c:v>1.8845631408843513</c:v>
                </c:pt>
                <c:pt idx="50">
                  <c:v>1.8548717199378777</c:v>
                </c:pt>
                <c:pt idx="51">
                  <c:v>1.8264632899237001</c:v>
                </c:pt>
                <c:pt idx="52">
                  <c:v>1.7992652287135742</c:v>
                </c:pt>
                <c:pt idx="53">
                  <c:v>1.7732102935961649</c:v>
                </c:pt>
                <c:pt idx="54">
                  <c:v>1.748236132239142</c:v>
                </c:pt>
                <c:pt idx="55">
                  <c:v>1.7242848460481983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29952"/>
        <c:axId val="450327992"/>
      </c:scatterChart>
      <c:valAx>
        <c:axId val="4503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7992"/>
        <c:crosses val="autoZero"/>
        <c:crossBetween val="midCat"/>
      </c:valAx>
      <c:valAx>
        <c:axId val="4503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'Constraint anaysis'!$H$10:$H$65</c:f>
              <c:numCache>
                <c:formatCode>General</c:formatCode>
                <c:ptCount val="5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11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</c:numCache>
            </c:numRef>
          </c:xVal>
          <c:yVal>
            <c:numRef>
              <c:f>'Constraint anaysis'!$I$10:$I$65</c:f>
              <c:numCache>
                <c:formatCode>General</c:formatCode>
                <c:ptCount val="56"/>
                <c:pt idx="0">
                  <c:v>2.0767304940695439</c:v>
                </c:pt>
                <c:pt idx="1">
                  <c:v>2.0830107598355743</c:v>
                </c:pt>
                <c:pt idx="2">
                  <c:v>2.0887486794610393</c:v>
                </c:pt>
                <c:pt idx="3">
                  <c:v>2.0939553447016825</c:v>
                </c:pt>
                <c:pt idx="4">
                  <c:v>2.098642093707439</c:v>
                </c:pt>
                <c:pt idx="5">
                  <c:v>2.102820477170054</c:v>
                </c:pt>
                <c:pt idx="6">
                  <c:v>2.1065022256706505</c:v>
                </c:pt>
                <c:pt idx="7">
                  <c:v>2.1096992182862864</c:v>
                </c:pt>
                <c:pt idx="8">
                  <c:v>2.1124234525033789</c:v>
                </c:pt>
                <c:pt idx="9">
                  <c:v>2.114687015475333</c:v>
                </c:pt>
                <c:pt idx="10">
                  <c:v>2.1165020566517212</c:v>
                </c:pt>
                <c:pt idx="11">
                  <c:v>2.1178807617970961</c:v>
                </c:pt>
                <c:pt idx="12">
                  <c:v>2.1188353284088119</c:v>
                </c:pt>
                <c:pt idx="13">
                  <c:v>2.1193779425353161</c:v>
                </c:pt>
                <c:pt idx="14">
                  <c:v>2.119520756989016</c:v>
                </c:pt>
                <c:pt idx="15">
                  <c:v>2.1192758709412232</c:v>
                </c:pt>
                <c:pt idx="16">
                  <c:v>2.118655310880694</c:v>
                </c:pt>
                <c:pt idx="17">
                  <c:v>2.1176710129119574</c:v>
                </c:pt>
                <c:pt idx="18">
                  <c:v>2.116334806364907</c:v>
                </c:pt>
                <c:pt idx="19">
                  <c:v>2.1148245519620485</c:v>
                </c:pt>
                <c:pt idx="20">
                  <c:v>2.1146583986830314</c:v>
                </c:pt>
                <c:pt idx="21">
                  <c:v>2.112653361554119</c:v>
                </c:pt>
                <c:pt idx="22">
                  <c:v>2.1103311182442694</c:v>
                </c:pt>
                <c:pt idx="23">
                  <c:v>2.1077029320935599</c:v>
                </c:pt>
                <c:pt idx="24">
                  <c:v>2.1047798961297155</c:v>
                </c:pt>
                <c:pt idx="25">
                  <c:v>2.1015729237545409</c:v>
                </c:pt>
                <c:pt idx="26">
                  <c:v>2.0980927404567451</c:v>
                </c:pt>
                <c:pt idx="27">
                  <c:v>2.0943498765039887</c:v>
                </c:pt>
                <c:pt idx="28">
                  <c:v>2.0903546605665579</c:v>
                </c:pt>
                <c:pt idx="29">
                  <c:v>2.086117214224942</c:v>
                </c:pt>
                <c:pt idx="30">
                  <c:v>2.0816474473137481</c:v>
                </c:pt>
                <c:pt idx="31">
                  <c:v>2.0769550540547814</c:v>
                </c:pt>
                <c:pt idx="32">
                  <c:v>2.072049509932766</c:v>
                </c:pt>
                <c:pt idx="33">
                  <c:v>2.0669400692679707</c:v>
                </c:pt>
                <c:pt idx="34">
                  <c:v>2.0616357634410147</c:v>
                </c:pt>
                <c:pt idx="35">
                  <c:v>2.0561453997262524</c:v>
                </c:pt>
                <c:pt idx="36">
                  <c:v>2.0504775606913648</c:v>
                </c:pt>
                <c:pt idx="37">
                  <c:v>2.0446406041221814</c:v>
                </c:pt>
                <c:pt idx="38">
                  <c:v>2.0386426634331292</c:v>
                </c:pt>
                <c:pt idx="39">
                  <c:v>2.0324916485252551</c:v>
                </c:pt>
                <c:pt idx="40">
                  <c:v>2.0261952470552664</c:v>
                </c:pt>
                <c:pt idx="41">
                  <c:v>2.0197609260806293</c:v>
                </c:pt>
                <c:pt idx="42">
                  <c:v>2.0131959340473551</c:v>
                </c:pt>
                <c:pt idx="43">
                  <c:v>2.0065073030886991</c:v>
                </c:pt>
                <c:pt idx="44">
                  <c:v>1.9997018516045895</c:v>
                </c:pt>
                <c:pt idx="45">
                  <c:v>1.9927861870932109</c:v>
                </c:pt>
                <c:pt idx="46">
                  <c:v>1.985766709207698</c:v>
                </c:pt>
                <c:pt idx="47">
                  <c:v>1.978649613012466</c:v>
                </c:pt>
                <c:pt idx="48">
                  <c:v>1.9714408924151887</c:v>
                </c:pt>
                <c:pt idx="49">
                  <c:v>1.9641463437519082</c:v>
                </c:pt>
                <c:pt idx="50">
                  <c:v>1.9567715695041927</c:v>
                </c:pt>
                <c:pt idx="51">
                  <c:v>1.9493219821286281</c:v>
                </c:pt>
                <c:pt idx="52">
                  <c:v>1.9418028079802605</c:v>
                </c:pt>
                <c:pt idx="53">
                  <c:v>1.9342190913129134</c:v>
                </c:pt>
                <c:pt idx="54">
                  <c:v>1.9265756983404907</c:v>
                </c:pt>
                <c:pt idx="55">
                  <c:v>1.9188773213445971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'Constraint anaysis'!$H$10:$H$65</c:f>
              <c:numCache>
                <c:formatCode>General</c:formatCode>
                <c:ptCount val="5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11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</c:numCache>
            </c:numRef>
          </c:xVal>
          <c:yVal>
            <c:numRef>
              <c:f>'Constraint anaysis'!$J$10:$J$65</c:f>
              <c:numCache>
                <c:formatCode>General</c:formatCode>
                <c:ptCount val="56"/>
                <c:pt idx="0">
                  <c:v>1.9042710984768382E-2</c:v>
                </c:pt>
                <c:pt idx="1">
                  <c:v>2.856002867002962E-2</c:v>
                </c:pt>
                <c:pt idx="2">
                  <c:v>3.8072503543345619E-2</c:v>
                </c:pt>
                <c:pt idx="3">
                  <c:v>4.7578525591820714E-2</c:v>
                </c:pt>
                <c:pt idx="4">
                  <c:v>5.7076488445566231E-2</c:v>
                </c:pt>
                <c:pt idx="5">
                  <c:v>6.6564790280348618E-2</c:v>
                </c:pt>
                <c:pt idx="6">
                  <c:v>7.6041834714859424E-2</c:v>
                </c:pt>
                <c:pt idx="7">
                  <c:v>8.5506031701555199E-2</c:v>
                </c:pt>
                <c:pt idx="8">
                  <c:v>9.4955798410029338E-2</c:v>
                </c:pt>
                <c:pt idx="9">
                  <c:v>0.10438956010189152</c:v>
                </c:pt>
                <c:pt idx="10">
                  <c:v>0.11380575099614929</c:v>
                </c:pt>
                <c:pt idx="11">
                  <c:v>0.12320281512410328</c:v>
                </c:pt>
                <c:pt idx="12">
                  <c:v>0.13257920717279076</c:v>
                </c:pt>
                <c:pt idx="13">
                  <c:v>0.14193339331603305</c:v>
                </c:pt>
                <c:pt idx="14">
                  <c:v>0.15126385203216799</c:v>
                </c:pt>
                <c:pt idx="15">
                  <c:v>0.16056907490757494</c:v>
                </c:pt>
                <c:pt idx="16">
                  <c:v>0.16984756742512708</c:v>
                </c:pt>
                <c:pt idx="17">
                  <c:v>0.17909784973673584</c:v>
                </c:pt>
                <c:pt idx="18">
                  <c:v>0.18831845741918254</c:v>
                </c:pt>
                <c:pt idx="19">
                  <c:v>0.1966738583373269</c:v>
                </c:pt>
                <c:pt idx="20">
                  <c:v>0.19750794221246534</c:v>
                </c:pt>
                <c:pt idx="21">
                  <c:v>0.20666487273992287</c:v>
                </c:pt>
                <c:pt idx="22">
                  <c:v>0.21578783520942951</c:v>
                </c:pt>
                <c:pt idx="23">
                  <c:v>0.22487543409499505</c:v>
                </c:pt>
                <c:pt idx="24">
                  <c:v>0.23392629279813693</c:v>
                </c:pt>
                <c:pt idx="25">
                  <c:v>0.24293905428843032</c:v>
                </c:pt>
                <c:pt idx="26">
                  <c:v>0.25191238172268154</c:v>
                </c:pt>
                <c:pt idx="27">
                  <c:v>0.26084495904220717</c:v>
                </c:pt>
                <c:pt idx="28">
                  <c:v>0.26973549154774284</c:v>
                </c:pt>
                <c:pt idx="29">
                  <c:v>0.27858270645154365</c:v>
                </c:pt>
                <c:pt idx="30">
                  <c:v>0.28738535340628052</c:v>
                </c:pt>
                <c:pt idx="31">
                  <c:v>0.29614220501037553</c:v>
                </c:pt>
                <c:pt idx="32">
                  <c:v>0.30485205728946202</c:v>
                </c:pt>
                <c:pt idx="33">
                  <c:v>0.31351373015369383</c:v>
                </c:pt>
                <c:pt idx="34">
                  <c:v>0.32212606783067022</c:v>
                </c:pt>
                <c:pt idx="35">
                  <c:v>0.33068793927378343</c:v>
                </c:pt>
                <c:pt idx="36">
                  <c:v>0.33919823854583508</c:v>
                </c:pt>
                <c:pt idx="37">
                  <c:v>0.34765588517780949</c:v>
                </c:pt>
                <c:pt idx="38">
                  <c:v>0.3560598245027275</c:v>
                </c:pt>
                <c:pt idx="39">
                  <c:v>0.36440902796455021</c:v>
                </c:pt>
                <c:pt idx="40">
                  <c:v>0.3727024934021308</c:v>
                </c:pt>
                <c:pt idx="41">
                  <c:v>0.38093924530826029</c:v>
                </c:pt>
                <c:pt idx="42">
                  <c:v>0.38911833506388149</c:v>
                </c:pt>
                <c:pt idx="43">
                  <c:v>0.39723884114758723</c:v>
                </c:pt>
                <c:pt idx="44">
                  <c:v>0.40529986932054951</c:v>
                </c:pt>
                <c:pt idx="45">
                  <c:v>0.41330055278706485</c:v>
                </c:pt>
                <c:pt idx="46">
                  <c:v>0.42124005233092904</c:v>
                </c:pt>
                <c:pt idx="47">
                  <c:v>0.42911755642789101</c:v>
                </c:pt>
                <c:pt idx="48">
                  <c:v>0.43693228133446316</c:v>
                </c:pt>
                <c:pt idx="49">
                  <c:v>0.44468347115339651</c:v>
                </c:pt>
                <c:pt idx="50">
                  <c:v>0.45237039787615724</c:v>
                </c:pt>
                <c:pt idx="51">
                  <c:v>0.45999236140276761</c:v>
                </c:pt>
                <c:pt idx="52">
                  <c:v>0.46754868953939954</c:v>
                </c:pt>
                <c:pt idx="53">
                  <c:v>0.4750387379741377</c:v>
                </c:pt>
                <c:pt idx="54">
                  <c:v>0.48246189023134356</c:v>
                </c:pt>
                <c:pt idx="55">
                  <c:v>0.48981755760508355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'Constraint anaysis'!$H$10:$H$65</c:f>
              <c:numCache>
                <c:formatCode>General</c:formatCode>
                <c:ptCount val="5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11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</c:numCache>
            </c:numRef>
          </c:xVal>
          <c:yVal>
            <c:numRef>
              <c:f>'Constraint anaysis'!$K$10:$K$65</c:f>
              <c:numCache>
                <c:formatCode>General</c:formatCode>
                <c:ptCount val="56"/>
                <c:pt idx="0">
                  <c:v>2.3508126073538714E-2</c:v>
                </c:pt>
                <c:pt idx="1">
                  <c:v>3.5254592727383495E-2</c:v>
                </c:pt>
                <c:pt idx="2">
                  <c:v>4.6991951050832842E-2</c:v>
                </c:pt>
                <c:pt idx="3">
                  <c:v>5.8717177134744891E-2</c:v>
                </c:pt>
                <c:pt idx="4">
                  <c:v>7.0427257499614995E-2</c:v>
                </c:pt>
                <c:pt idx="5">
                  <c:v>8.2119191667645863E-2</c:v>
                </c:pt>
                <c:pt idx="6">
                  <c:v>9.3789994711418509E-2</c:v>
                </c:pt>
                <c:pt idx="7">
                  <c:v>0.10543669977464394</c:v>
                </c:pt>
                <c:pt idx="8">
                  <c:v>0.11705636056056078</c:v>
                </c:pt>
                <c:pt idx="9">
                  <c:v>0.12864605378364308</c:v>
                </c:pt>
                <c:pt idx="10">
                  <c:v>0.14020288158039459</c:v>
                </c:pt>
                <c:pt idx="11">
                  <c:v>0.15172397387512981</c:v>
                </c:pt>
                <c:pt idx="12">
                  <c:v>0.1632064906967774</c:v>
                </c:pt>
                <c:pt idx="13">
                  <c:v>0.17464762444288903</c:v>
                </c:pt>
                <c:pt idx="14">
                  <c:v>0.18604460208719401</c:v>
                </c:pt>
                <c:pt idx="15">
                  <c:v>0.1973946873272063</c:v>
                </c:pt>
                <c:pt idx="16">
                  <c:v>0.20869518266856746</c:v>
                </c:pt>
                <c:pt idx="17">
                  <c:v>0.2199434314429923</c:v>
                </c:pt>
                <c:pt idx="18">
                  <c:v>0.23113681975687655</c:v>
                </c:pt>
                <c:pt idx="19">
                  <c:v>0.24126285830208966</c:v>
                </c:pt>
                <c:pt idx="20">
                  <c:v>0.24227277836782266</c:v>
                </c:pt>
                <c:pt idx="21">
                  <c:v>0.25334878448654524</c:v>
                </c:pt>
                <c:pt idx="22">
                  <c:v>0.26436236350182452</c:v>
                </c:pt>
                <c:pt idx="23">
                  <c:v>0.27531109062638998</c:v>
                </c:pt>
                <c:pt idx="24">
                  <c:v>0.28619259246183221</c:v>
                </c:pt>
                <c:pt idx="25">
                  <c:v>0.29700454848085767</c:v>
                </c:pt>
                <c:pt idx="26">
                  <c:v>0.30774469242542202</c:v>
                </c:pt>
                <c:pt idx="27">
                  <c:v>0.31841081361949564</c:v>
                </c:pt>
                <c:pt idx="28">
                  <c:v>0.32900075819543739</c:v>
                </c:pt>
                <c:pt idx="29">
                  <c:v>0.33951243023316763</c:v>
                </c:pt>
                <c:pt idx="30">
                  <c:v>0.34994379281154991</c:v>
                </c:pt>
                <c:pt idx="31">
                  <c:v>0.36029286897160678</c:v>
                </c:pt>
                <c:pt idx="32">
                  <c:v>0.37055774259139884</c:v>
                </c:pt>
                <c:pt idx="33">
                  <c:v>0.38073655917261251</c:v>
                </c:pt>
                <c:pt idx="34">
                  <c:v>0.39082752653909314</c:v>
                </c:pt>
                <c:pt idx="35">
                  <c:v>0.40082891544776456</c:v>
                </c:pt>
                <c:pt idx="36">
                  <c:v>0.4107390601125615</c:v>
                </c:pt>
                <c:pt idx="37">
                  <c:v>0.42055635864218799</c:v>
                </c:pt>
                <c:pt idx="38">
                  <c:v>0.43027927339268907</c:v>
                </c:pt>
                <c:pt idx="39">
                  <c:v>0.43990633123599504</c:v>
                </c:pt>
                <c:pt idx="40">
                  <c:v>0.44943612374575764</c:v>
                </c:pt>
                <c:pt idx="41">
                  <c:v>0.45886730730195097</c:v>
                </c:pt>
                <c:pt idx="42">
                  <c:v>0.46819860311585509</c:v>
                </c:pt>
                <c:pt idx="43">
                  <c:v>0.47742879717717723</c:v>
                </c:pt>
                <c:pt idx="44">
                  <c:v>0.48655674012518996</c:v>
                </c:pt>
                <c:pt idx="45">
                  <c:v>0.49558134704588946</c:v>
                </c:pt>
                <c:pt idx="46">
                  <c:v>0.50450159719727805</c:v>
                </c:pt>
                <c:pt idx="47">
                  <c:v>0.51331653366498176</c:v>
                </c:pt>
                <c:pt idx="48">
                  <c:v>0.52202526295050089</c:v>
                </c:pt>
                <c:pt idx="49">
                  <c:v>0.53062695449447206</c:v>
                </c:pt>
                <c:pt idx="50">
                  <c:v>0.53912084013739314</c:v>
                </c:pt>
                <c:pt idx="51">
                  <c:v>0.54750621352032469</c:v>
                </c:pt>
                <c:pt idx="52">
                  <c:v>0.55578242942813538</c:v>
                </c:pt>
                <c:pt idx="53">
                  <c:v>0.56394890307790102</c:v>
                </c:pt>
                <c:pt idx="54">
                  <c:v>0.57200510935510718</c:v>
                </c:pt>
                <c:pt idx="55">
                  <c:v>0.57995058200032878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'Constraint anaysis'!$H$10:$H$65</c:f>
              <c:numCache>
                <c:formatCode>General</c:formatCode>
                <c:ptCount val="5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11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</c:numCache>
            </c:numRef>
          </c:xVal>
          <c:yVal>
            <c:numRef>
              <c:f>'Constraint anaysis'!$L$10:$L$65</c:f>
              <c:numCache>
                <c:formatCode>General</c:formatCode>
                <c:ptCount val="56"/>
                <c:pt idx="0">
                  <c:v>1.9010458678714856E-2</c:v>
                </c:pt>
                <c:pt idx="1">
                  <c:v>2.8451437749037321E-2</c:v>
                </c:pt>
                <c:pt idx="2">
                  <c:v>3.7815963008041999E-2</c:v>
                </c:pt>
                <c:pt idx="3">
                  <c:v>5.6218858523748763E-2</c:v>
                </c:pt>
                <c:pt idx="4">
                  <c:v>6.5211239760551792E-2</c:v>
                </c:pt>
                <c:pt idx="5">
                  <c:v>7.4035551252593881E-2</c:v>
                </c:pt>
                <c:pt idx="6">
                  <c:v>8.2671984818445857E-2</c:v>
                </c:pt>
                <c:pt idx="7">
                  <c:v>9.1102256991137553E-2</c:v>
                </c:pt>
                <c:pt idx="8">
                  <c:v>9.9309710286896766E-2</c:v>
                </c:pt>
                <c:pt idx="9">
                  <c:v>0.10727938910697275</c:v>
                </c:pt>
                <c:pt idx="10">
                  <c:v>0.1149980903506919</c:v>
                </c:pt>
                <c:pt idx="11">
                  <c:v>0.12245438940127089</c:v>
                </c:pt>
                <c:pt idx="12">
                  <c:v>0.12963864266444883</c:v>
                </c:pt>
                <c:pt idx="13">
                  <c:v>0.13654296828056078</c:v>
                </c:pt>
                <c:pt idx="14">
                  <c:v>0.1431612069848813</c:v>
                </c:pt>
                <c:pt idx="15">
                  <c:v>0.14948886535519501</c:v>
                </c:pt>
                <c:pt idx="16">
                  <c:v>0.15552304386017221</c:v>
                </c:pt>
                <c:pt idx="17">
                  <c:v>0.16126235221150162</c:v>
                </c:pt>
                <c:pt idx="18">
                  <c:v>0.16670681453411929</c:v>
                </c:pt>
                <c:pt idx="19">
                  <c:v>0.17185776681173193</c:v>
                </c:pt>
                <c:pt idx="20">
                  <c:v>0.17185776681173193</c:v>
                </c:pt>
                <c:pt idx="21">
                  <c:v>0.17671774895004946</c:v>
                </c:pt>
                <c:pt idx="22">
                  <c:v>0.18129039363928481</c:v>
                </c:pt>
                <c:pt idx="23">
                  <c:v>0.18558031400215599</c:v>
                </c:pt>
                <c:pt idx="24">
                  <c:v>0.18959299179494271</c:v>
                </c:pt>
                <c:pt idx="25">
                  <c:v>0.19333466769730048</c:v>
                </c:pt>
                <c:pt idx="26">
                  <c:v>0.19681223499051181</c:v>
                </c:pt>
                <c:pt idx="27">
                  <c:v>0.20003313769127451</c:v>
                </c:pt>
                <c:pt idx="28">
                  <c:v>0.20300527398517065</c:v>
                </c:pt>
                <c:pt idx="29">
                  <c:v>0.20573690559537089</c:v>
                </c:pt>
                <c:pt idx="30">
                  <c:v>0.20823657353132016</c:v>
                </c:pt>
                <c:pt idx="31">
                  <c:v>0.21051302049130305</c:v>
                </c:pt>
                <c:pt idx="32">
                  <c:v>0.21257512004303494</c:v>
                </c:pt>
                <c:pt idx="33">
                  <c:v>0.21443181257799937</c:v>
                </c:pt>
                <c:pt idx="34">
                  <c:v>0.21609204792769032</c:v>
                </c:pt>
                <c:pt idx="35">
                  <c:v>0.21756473444217789</c:v>
                </c:pt>
                <c:pt idx="36">
                  <c:v>0.21885869426209589</c:v>
                </c:pt>
                <c:pt idx="37">
                  <c:v>0.21998262446254988</c:v>
                </c:pt>
                <c:pt idx="38">
                  <c:v>0.22094506370974498</c:v>
                </c:pt>
                <c:pt idx="39">
                  <c:v>0.22175436404644408</c:v>
                </c:pt>
                <c:pt idx="40">
                  <c:v>0.2224186674088266</c:v>
                </c:pt>
                <c:pt idx="41">
                  <c:v>0.22294588647313959</c:v>
                </c:pt>
                <c:pt idx="42">
                  <c:v>0.22334368943404487</c:v>
                </c:pt>
                <c:pt idx="43">
                  <c:v>0.22361948832624157</c:v>
                </c:pt>
                <c:pt idx="44">
                  <c:v>0.22378043051541086</c:v>
                </c:pt>
                <c:pt idx="45">
                  <c:v>0.22383339300259011</c:v>
                </c:pt>
                <c:pt idx="46">
                  <c:v>0.22378497920668236</c:v>
                </c:pt>
                <c:pt idx="47">
                  <c:v>0.22364151791206613</c:v>
                </c:pt>
                <c:pt idx="48">
                  <c:v>0.22340906409144531</c:v>
                </c:pt>
                <c:pt idx="49">
                  <c:v>0.22309340133755526</c:v>
                </c:pt>
                <c:pt idx="50">
                  <c:v>0.22270004566064172</c:v>
                </c:pt>
                <c:pt idx="51">
                  <c:v>0.222234250431359</c:v>
                </c:pt>
                <c:pt idx="52">
                  <c:v>0.22170101227061134</c:v>
                </c:pt>
                <c:pt idx="53">
                  <c:v>0.22110507770866747</c:v>
                </c:pt>
                <c:pt idx="54">
                  <c:v>0.22045095045547181</c:v>
                </c:pt>
                <c:pt idx="5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30344"/>
        <c:axId val="450329168"/>
      </c:scatterChart>
      <c:valAx>
        <c:axId val="45033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9168"/>
        <c:crosses val="autoZero"/>
        <c:crossBetween val="midCat"/>
      </c:valAx>
      <c:valAx>
        <c:axId val="45032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3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 Bank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stall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TURN!$F$13:$F$41</c:f>
              <c:numCache>
                <c:formatCode>General</c:formatCode>
                <c:ptCount val="29"/>
                <c:pt idx="0">
                  <c:v>10.566000000000001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TURN!$I$13:$I$41</c:f>
              <c:numCache>
                <c:formatCode>General</c:formatCode>
                <c:ptCount val="29"/>
                <c:pt idx="0">
                  <c:v>0.81929519961952346</c:v>
                </c:pt>
                <c:pt idx="1">
                  <c:v>22.697749933641617</c:v>
                </c:pt>
                <c:pt idx="2">
                  <c:v>39.176741472352433</c:v>
                </c:pt>
                <c:pt idx="3">
                  <c:v>48.659977219700657</c:v>
                </c:pt>
                <c:pt idx="4">
                  <c:v>55.282164411842039</c:v>
                </c:pt>
                <c:pt idx="5">
                  <c:v>60.255798738253958</c:v>
                </c:pt>
                <c:pt idx="6">
                  <c:v>64.147838719221099</c:v>
                </c:pt>
                <c:pt idx="7">
                  <c:v>67.27805755131034</c:v>
                </c:pt>
                <c:pt idx="8">
                  <c:v>69.846661850737988</c:v>
                </c:pt>
                <c:pt idx="9">
                  <c:v>71.987682434783835</c:v>
                </c:pt>
                <c:pt idx="10">
                  <c:v>73.795152160779807</c:v>
                </c:pt>
                <c:pt idx="11">
                  <c:v>75.337379259281846</c:v>
                </c:pt>
                <c:pt idx="12">
                  <c:v>76.665345318480391</c:v>
                </c:pt>
                <c:pt idx="13">
                  <c:v>77.817937099686503</c:v>
                </c:pt>
                <c:pt idx="14">
                  <c:v>78.825354094371718</c:v>
                </c:pt>
                <c:pt idx="15">
                  <c:v>79.71140829343166</c:v>
                </c:pt>
                <c:pt idx="16">
                  <c:v>80.495122179705916</c:v>
                </c:pt>
                <c:pt idx="17">
                  <c:v>81.191866422346493</c:v>
                </c:pt>
                <c:pt idx="18">
                  <c:v>81.814186755080456</c:v>
                </c:pt>
                <c:pt idx="19">
                  <c:v>82.372415733350621</c:v>
                </c:pt>
                <c:pt idx="20">
                  <c:v>82.875132409277683</c:v>
                </c:pt>
                <c:pt idx="21">
                  <c:v>83.329512486849936</c:v>
                </c:pt>
                <c:pt idx="22">
                  <c:v>83.741598317263183</c:v>
                </c:pt>
                <c:pt idx="23">
                  <c:v>84.116509372321431</c:v>
                </c:pt>
                <c:pt idx="24">
                  <c:v>84.458607947117358</c:v>
                </c:pt>
                <c:pt idx="25">
                  <c:v>84.771630794033626</c:v>
                </c:pt>
                <c:pt idx="26">
                  <c:v>85.058794557263923</c:v>
                </c:pt>
                <c:pt idx="27">
                  <c:v>85.322880864749479</c:v>
                </c:pt>
                <c:pt idx="28">
                  <c:v>85.566305485162999</c:v>
                </c:pt>
              </c:numCache>
            </c:numRef>
          </c:yVal>
          <c:smooth val="1"/>
        </c:ser>
        <c:ser>
          <c:idx val="1"/>
          <c:order val="1"/>
          <c:tx>
            <c:v>Load 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TURN!$F$3:$F$41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10.566000000000001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TURN!$H$3:$H$41</c:f>
              <c:numCache>
                <c:formatCode>General</c:formatCode>
                <c:ptCount val="39"/>
                <c:pt idx="0">
                  <c:v>75.522487814070075</c:v>
                </c:pt>
                <c:pt idx="1">
                  <c:v>75.522487814070075</c:v>
                </c:pt>
                <c:pt idx="2">
                  <c:v>75.522487814070075</c:v>
                </c:pt>
                <c:pt idx="3">
                  <c:v>75.522487814070075</c:v>
                </c:pt>
                <c:pt idx="4">
                  <c:v>75.522487814070075</c:v>
                </c:pt>
                <c:pt idx="5">
                  <c:v>75.522487814070075</c:v>
                </c:pt>
                <c:pt idx="6">
                  <c:v>75.522487814070075</c:v>
                </c:pt>
                <c:pt idx="7">
                  <c:v>75.522487814070075</c:v>
                </c:pt>
                <c:pt idx="8">
                  <c:v>75.522487814070075</c:v>
                </c:pt>
                <c:pt idx="9">
                  <c:v>75.522487814070075</c:v>
                </c:pt>
                <c:pt idx="10">
                  <c:v>75.522487814070075</c:v>
                </c:pt>
                <c:pt idx="11">
                  <c:v>75.522487814070075</c:v>
                </c:pt>
                <c:pt idx="12">
                  <c:v>75.522487814070075</c:v>
                </c:pt>
                <c:pt idx="13">
                  <c:v>75.522487814070075</c:v>
                </c:pt>
                <c:pt idx="14">
                  <c:v>75.522487814070075</c:v>
                </c:pt>
                <c:pt idx="15">
                  <c:v>75.522487814070075</c:v>
                </c:pt>
                <c:pt idx="16">
                  <c:v>75.522487814070075</c:v>
                </c:pt>
                <c:pt idx="17">
                  <c:v>75.522487814070075</c:v>
                </c:pt>
                <c:pt idx="18">
                  <c:v>75.522487814070075</c:v>
                </c:pt>
                <c:pt idx="19">
                  <c:v>75.522487814070075</c:v>
                </c:pt>
                <c:pt idx="20">
                  <c:v>75.522487814070075</c:v>
                </c:pt>
                <c:pt idx="21">
                  <c:v>75.522487814070075</c:v>
                </c:pt>
                <c:pt idx="22">
                  <c:v>75.522487814070075</c:v>
                </c:pt>
                <c:pt idx="23">
                  <c:v>75.522487814070075</c:v>
                </c:pt>
                <c:pt idx="24">
                  <c:v>75.522487814070075</c:v>
                </c:pt>
                <c:pt idx="25">
                  <c:v>75.522487814070075</c:v>
                </c:pt>
                <c:pt idx="26">
                  <c:v>75.522487814070075</c:v>
                </c:pt>
                <c:pt idx="27">
                  <c:v>75.522487814070075</c:v>
                </c:pt>
                <c:pt idx="28">
                  <c:v>75.522487814070075</c:v>
                </c:pt>
                <c:pt idx="29">
                  <c:v>75.522487814070075</c:v>
                </c:pt>
                <c:pt idx="30">
                  <c:v>75.522487814070075</c:v>
                </c:pt>
                <c:pt idx="31">
                  <c:v>75.522487814070075</c:v>
                </c:pt>
                <c:pt idx="32">
                  <c:v>75.522487814070075</c:v>
                </c:pt>
                <c:pt idx="33">
                  <c:v>75.522487814070075</c:v>
                </c:pt>
                <c:pt idx="34">
                  <c:v>75.522487814070075</c:v>
                </c:pt>
                <c:pt idx="35">
                  <c:v>75.522487814070075</c:v>
                </c:pt>
                <c:pt idx="36">
                  <c:v>75.522487814070075</c:v>
                </c:pt>
                <c:pt idx="37">
                  <c:v>75.522487814070075</c:v>
                </c:pt>
                <c:pt idx="38">
                  <c:v>75.522487814070075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23680"/>
        <c:axId val="450324856"/>
      </c:scatterChart>
      <c:valAx>
        <c:axId val="450323680"/>
        <c:scaling>
          <c:orientation val="minMax"/>
          <c:max val="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m/s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4856"/>
        <c:crosses val="autoZero"/>
        <c:crossBetween val="midCat"/>
      </c:valAx>
      <c:valAx>
        <c:axId val="4503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Bank 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 Turn Radius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Load 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TURN!$F$3:$F$41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10.566000000000001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</c:numCache>
            </c:numRef>
          </c:xVal>
          <c:yVal>
            <c:numRef>
              <c:f>TURN!$J$3:$J$41</c:f>
              <c:numCache>
                <c:formatCode>General</c:formatCode>
                <c:ptCount val="39"/>
                <c:pt idx="0">
                  <c:v>0</c:v>
                </c:pt>
                <c:pt idx="1">
                  <c:v>2.6319968373818663E-2</c:v>
                </c:pt>
                <c:pt idx="2">
                  <c:v>0.10527987349527465</c:v>
                </c:pt>
                <c:pt idx="3">
                  <c:v>0.23687971536436797</c:v>
                </c:pt>
                <c:pt idx="4">
                  <c:v>0.4211194939810986</c:v>
                </c:pt>
                <c:pt idx="5">
                  <c:v>0.65799920934546663</c:v>
                </c:pt>
                <c:pt idx="6">
                  <c:v>0.94751886145747188</c:v>
                </c:pt>
                <c:pt idx="7">
                  <c:v>1.2896784503171146</c:v>
                </c:pt>
                <c:pt idx="8">
                  <c:v>1.6844779759243944</c:v>
                </c:pt>
                <c:pt idx="9">
                  <c:v>2.131917438279312</c:v>
                </c:pt>
                <c:pt idx="10">
                  <c:v>2.9383706391618571</c:v>
                </c:pt>
                <c:pt idx="11">
                  <c:v>3.1847161732320584</c:v>
                </c:pt>
                <c:pt idx="12">
                  <c:v>3.7900754458298875</c:v>
                </c:pt>
                <c:pt idx="13">
                  <c:v>4.4480746551753541</c:v>
                </c:pt>
                <c:pt idx="14">
                  <c:v>5.1587138012684584</c:v>
                </c:pt>
                <c:pt idx="15">
                  <c:v>5.9219928841091996</c:v>
                </c:pt>
                <c:pt idx="16">
                  <c:v>6.7379119036975776</c:v>
                </c:pt>
                <c:pt idx="17">
                  <c:v>7.6064708600335944</c:v>
                </c:pt>
                <c:pt idx="18">
                  <c:v>8.5276697531172481</c:v>
                </c:pt>
                <c:pt idx="19">
                  <c:v>9.5015085829485386</c:v>
                </c:pt>
                <c:pt idx="20">
                  <c:v>10.527987349527466</c:v>
                </c:pt>
                <c:pt idx="21">
                  <c:v>11.60710605285403</c:v>
                </c:pt>
                <c:pt idx="22">
                  <c:v>12.738864692928233</c:v>
                </c:pt>
                <c:pt idx="23">
                  <c:v>13.923263269750073</c:v>
                </c:pt>
                <c:pt idx="24">
                  <c:v>15.16030178331955</c:v>
                </c:pt>
                <c:pt idx="25">
                  <c:v>16.449980233636666</c:v>
                </c:pt>
                <c:pt idx="26">
                  <c:v>17.792298620701416</c:v>
                </c:pt>
                <c:pt idx="27">
                  <c:v>19.187256944513805</c:v>
                </c:pt>
                <c:pt idx="28">
                  <c:v>20.634855205073833</c:v>
                </c:pt>
                <c:pt idx="29">
                  <c:v>22.135093402381496</c:v>
                </c:pt>
                <c:pt idx="30">
                  <c:v>23.687971536436798</c:v>
                </c:pt>
                <c:pt idx="31">
                  <c:v>25.293489607239735</c:v>
                </c:pt>
                <c:pt idx="32">
                  <c:v>26.951647614790311</c:v>
                </c:pt>
                <c:pt idx="33">
                  <c:v>28.662445559088525</c:v>
                </c:pt>
                <c:pt idx="34">
                  <c:v>30.425883440134378</c:v>
                </c:pt>
                <c:pt idx="35">
                  <c:v>32.241961257927862</c:v>
                </c:pt>
                <c:pt idx="36">
                  <c:v>34.110679012468992</c:v>
                </c:pt>
                <c:pt idx="37">
                  <c:v>36.032036703757754</c:v>
                </c:pt>
                <c:pt idx="38">
                  <c:v>38.006034331794154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TURN!$K$2</c:f>
              <c:strCache>
                <c:ptCount val="1"/>
                <c:pt idx="0">
                  <c:v>stall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TURN!$F$13:$F$41</c:f>
              <c:numCache>
                <c:formatCode>General</c:formatCode>
                <c:ptCount val="29"/>
                <c:pt idx="0">
                  <c:v>10.566000000000001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TURN!$K$13:$K$41</c:f>
              <c:numCache>
                <c:formatCode>General</c:formatCode>
                <c:ptCount val="29"/>
                <c:pt idx="0">
                  <c:v>795.80163224811201</c:v>
                </c:pt>
                <c:pt idx="1">
                  <c:v>29.489472124634609</c:v>
                </c:pt>
                <c:pt idx="2">
                  <c:v>18.013032799271507</c:v>
                </c:pt>
                <c:pt idx="3">
                  <c:v>15.155904158017988</c:v>
                </c:pt>
                <c:pt idx="4">
                  <c:v>13.843743113828404</c:v>
                </c:pt>
                <c:pt idx="5">
                  <c:v>13.105798787574443</c:v>
                </c:pt>
                <c:pt idx="6">
                  <c:v>12.64453468579249</c:v>
                </c:pt>
                <c:pt idx="7">
                  <c:v>12.336532518163242</c:v>
                </c:pt>
                <c:pt idx="8">
                  <c:v>12.12123261007963</c:v>
                </c:pt>
                <c:pt idx="9">
                  <c:v>11.965526831017591</c:v>
                </c:pt>
                <c:pt idx="10">
                  <c:v>11.849892411285577</c:v>
                </c:pt>
                <c:pt idx="11">
                  <c:v>11.762154030297227</c:v>
                </c:pt>
                <c:pt idx="12">
                  <c:v>11.694382896690094</c:v>
                </c:pt>
                <c:pt idx="13">
                  <c:v>11.64123436177209</c:v>
                </c:pt>
                <c:pt idx="14">
                  <c:v>11.599002460206925</c:v>
                </c:pt>
                <c:pt idx="15">
                  <c:v>11.565056022184111</c:v>
                </c:pt>
                <c:pt idx="16">
                  <c:v>11.537488970808672</c:v>
                </c:pt>
                <c:pt idx="17">
                  <c:v>11.514896249347961</c:v>
                </c:pt>
                <c:pt idx="18">
                  <c:v>11.496226206848512</c:v>
                </c:pt>
                <c:pt idx="19">
                  <c:v>11.480681001990041</c:v>
                </c:pt>
                <c:pt idx="20">
                  <c:v>11.467647992049018</c:v>
                </c:pt>
                <c:pt idx="21">
                  <c:v>11.456651593487761</c:v>
                </c:pt>
                <c:pt idx="22">
                  <c:v>11.447318951858781</c:v>
                </c:pt>
                <c:pt idx="23">
                  <c:v>11.439355100209639</c:v>
                </c:pt>
                <c:pt idx="24">
                  <c:v>11.432524745503523</c:v>
                </c:pt>
                <c:pt idx="25">
                  <c:v>11.42663875418952</c:v>
                </c:pt>
                <c:pt idx="26">
                  <c:v>11.421544014544509</c:v>
                </c:pt>
                <c:pt idx="27">
                  <c:v>11.417115755502484</c:v>
                </c:pt>
                <c:pt idx="28">
                  <c:v>11.413251672710288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24464"/>
        <c:axId val="450325248"/>
      </c:scatterChart>
      <c:valAx>
        <c:axId val="450324464"/>
        <c:scaling>
          <c:orientation val="minMax"/>
          <c:max val="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m/s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5248"/>
        <c:crosses val="autoZero"/>
        <c:crossBetween val="midCat"/>
      </c:valAx>
      <c:valAx>
        <c:axId val="4503252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turn raduis 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Max Turn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TURN!$L$2</c:f>
              <c:strCache>
                <c:ptCount val="1"/>
                <c:pt idx="0">
                  <c:v>load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TURN!$F$4:$F$41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10.566000000000001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TURN!$L$4:$L$41</c:f>
              <c:numCache>
                <c:formatCode>General</c:formatCode>
                <c:ptCount val="38"/>
                <c:pt idx="0">
                  <c:v>37.993966626294764</c:v>
                </c:pt>
                <c:pt idx="1">
                  <c:v>18.996983313147382</c:v>
                </c:pt>
                <c:pt idx="2">
                  <c:v>12.664655542098254</c:v>
                </c:pt>
                <c:pt idx="3">
                  <c:v>9.498491656573691</c:v>
                </c:pt>
                <c:pt idx="4">
                  <c:v>7.5987933252589528</c:v>
                </c:pt>
                <c:pt idx="5">
                  <c:v>6.332327771049127</c:v>
                </c:pt>
                <c:pt idx="6">
                  <c:v>5.4277095180421089</c:v>
                </c:pt>
                <c:pt idx="7">
                  <c:v>4.7492458282868455</c:v>
                </c:pt>
                <c:pt idx="8">
                  <c:v>4.2215518473660847</c:v>
                </c:pt>
                <c:pt idx="9">
                  <c:v>3.5958703980971758</c:v>
                </c:pt>
                <c:pt idx="10">
                  <c:v>3.4539969660267968</c:v>
                </c:pt>
                <c:pt idx="11">
                  <c:v>3.1661638855245635</c:v>
                </c:pt>
                <c:pt idx="12">
                  <c:v>2.9226128174072894</c:v>
                </c:pt>
                <c:pt idx="13">
                  <c:v>2.7138547590210544</c:v>
                </c:pt>
                <c:pt idx="14">
                  <c:v>2.5329311084196511</c:v>
                </c:pt>
                <c:pt idx="15">
                  <c:v>2.3746229141434227</c:v>
                </c:pt>
                <c:pt idx="16">
                  <c:v>2.2349392133114567</c:v>
                </c:pt>
                <c:pt idx="17">
                  <c:v>2.1107759236830423</c:v>
                </c:pt>
                <c:pt idx="18">
                  <c:v>1.9996824540155138</c:v>
                </c:pt>
                <c:pt idx="19">
                  <c:v>1.8996983313147382</c:v>
                </c:pt>
                <c:pt idx="20">
                  <c:v>1.8092365060140363</c:v>
                </c:pt>
                <c:pt idx="21">
                  <c:v>1.7269984830133984</c:v>
                </c:pt>
                <c:pt idx="22">
                  <c:v>1.6519115924475984</c:v>
                </c:pt>
                <c:pt idx="23">
                  <c:v>1.5830819427622818</c:v>
                </c:pt>
                <c:pt idx="24">
                  <c:v>1.5197586650517905</c:v>
                </c:pt>
                <c:pt idx="25">
                  <c:v>1.4613064087036447</c:v>
                </c:pt>
                <c:pt idx="26">
                  <c:v>1.4071839491220284</c:v>
                </c:pt>
                <c:pt idx="27">
                  <c:v>1.3569273795105272</c:v>
                </c:pt>
                <c:pt idx="28">
                  <c:v>1.3101367802170609</c:v>
                </c:pt>
                <c:pt idx="29">
                  <c:v>1.2664655542098255</c:v>
                </c:pt>
                <c:pt idx="30">
                  <c:v>1.2256118266546698</c:v>
                </c:pt>
                <c:pt idx="31">
                  <c:v>1.1873114570717114</c:v>
                </c:pt>
                <c:pt idx="32">
                  <c:v>1.1513323220089322</c:v>
                </c:pt>
                <c:pt idx="33">
                  <c:v>1.1174696066557284</c:v>
                </c:pt>
                <c:pt idx="34">
                  <c:v>1.0855419036084217</c:v>
                </c:pt>
                <c:pt idx="35">
                  <c:v>1.0553879618415212</c:v>
                </c:pt>
                <c:pt idx="36">
                  <c:v>1.0268639628728315</c:v>
                </c:pt>
                <c:pt idx="37">
                  <c:v>0.99984122700775691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TURN!$M$2</c:f>
              <c:strCache>
                <c:ptCount val="1"/>
                <c:pt idx="0">
                  <c:v>stall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TURN!$F$13:$F$41</c:f>
              <c:numCache>
                <c:formatCode>General</c:formatCode>
                <c:ptCount val="29"/>
                <c:pt idx="0">
                  <c:v>10.566000000000001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</c:numCache>
            </c:numRef>
          </c:xVal>
          <c:yVal>
            <c:numRef>
              <c:f>TURN!$M$13:$M$41</c:f>
              <c:numCache>
                <c:formatCode>General</c:formatCode>
                <c:ptCount val="29"/>
                <c:pt idx="0">
                  <c:v>1.3277178095425312E-2</c:v>
                </c:pt>
                <c:pt idx="1">
                  <c:v>0.37301447626832646</c:v>
                </c:pt>
                <c:pt idx="2">
                  <c:v>0.66618431963801827</c:v>
                </c:pt>
                <c:pt idx="3">
                  <c:v>0.8577515313147821</c:v>
                </c:pt>
                <c:pt idx="4">
                  <c:v>1.011287184751031</c:v>
                </c:pt>
                <c:pt idx="5">
                  <c:v>1.1445315347143465</c:v>
                </c:pt>
                <c:pt idx="6">
                  <c:v>1.2653688251555624</c:v>
                </c:pt>
                <c:pt idx="7">
                  <c:v>1.3780209288931611</c:v>
                </c:pt>
                <c:pt idx="8">
                  <c:v>1.4849974898618621</c:v>
                </c:pt>
                <c:pt idx="9">
                  <c:v>1.5878949810005292</c:v>
                </c:pt>
                <c:pt idx="10">
                  <c:v>1.6877790367912904</c:v>
                </c:pt>
                <c:pt idx="11">
                  <c:v>1.7853872637535366</c:v>
                </c:pt>
                <c:pt idx="12">
                  <c:v>1.881245055369851</c:v>
                </c:pt>
                <c:pt idx="13">
                  <c:v>1.975735500655174</c:v>
                </c:pt>
                <c:pt idx="14">
                  <c:v>2.0691434528389463</c:v>
                </c:pt>
                <c:pt idx="15">
                  <c:v>2.1616842972524264</c:v>
                </c:pt>
                <c:pt idx="16">
                  <c:v>2.2535232810001671</c:v>
                </c:pt>
                <c:pt idx="17">
                  <c:v>2.3447888209612735</c:v>
                </c:pt>
                <c:pt idx="18">
                  <c:v>2.4355818593165717</c:v>
                </c:pt>
                <c:pt idx="19">
                  <c:v>2.5259825610495743</c:v>
                </c:pt>
                <c:pt idx="20">
                  <c:v>2.6160551859282917</c:v>
                </c:pt>
                <c:pt idx="21">
                  <c:v>2.7058516833680404</c:v>
                </c:pt>
                <c:pt idx="22">
                  <c:v>2.7954143790851513</c:v>
                </c:pt>
                <c:pt idx="23">
                  <c:v>2.884778006357652</c:v>
                </c:pt>
                <c:pt idx="24">
                  <c:v>2.9739712580436266</c:v>
                </c:pt>
                <c:pt idx="25">
                  <c:v>3.0630179839340257</c:v>
                </c:pt>
                <c:pt idx="26">
                  <c:v>3.151938122740376</c:v>
                </c:pt>
                <c:pt idx="27">
                  <c:v>3.2407484335233994</c:v>
                </c:pt>
                <c:pt idx="28">
                  <c:v>3.3294630741263767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26424"/>
        <c:axId val="450327208"/>
      </c:scatterChart>
      <c:valAx>
        <c:axId val="450326424"/>
        <c:scaling>
          <c:orientation val="minMax"/>
          <c:max val="38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m/s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7208"/>
        <c:crosses val="autoZero"/>
        <c:crossBetween val="midCat"/>
      </c:valAx>
      <c:valAx>
        <c:axId val="45032720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Turn rate</a:t>
                </a:r>
                <a:r>
                  <a:rPr lang="en-CA" baseline="0"/>
                  <a:t> (1/s)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2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'V-n diagram'!$I$3:$I$45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15.110656101322908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21.130919760965003</c:v>
                </c:pt>
              </c:numCache>
            </c:numRef>
          </c:xVal>
          <c:yVal>
            <c:numRef>
              <c:f>'V-n diagram'!$J$3:$J$45</c:f>
              <c:numCache>
                <c:formatCode>General</c:formatCode>
                <c:ptCount val="43"/>
                <c:pt idx="0">
                  <c:v>0</c:v>
                </c:pt>
                <c:pt idx="1">
                  <c:v>2.2395625581704565E-3</c:v>
                </c:pt>
                <c:pt idx="2">
                  <c:v>8.9582502326818261E-3</c:v>
                </c:pt>
                <c:pt idx="3">
                  <c:v>2.0156063023534107E-2</c:v>
                </c:pt>
                <c:pt idx="4">
                  <c:v>3.5833000930727305E-2</c:v>
                </c:pt>
                <c:pt idx="5">
                  <c:v>5.5989063954261412E-2</c:v>
                </c:pt>
                <c:pt idx="6">
                  <c:v>8.0624252094136428E-2</c:v>
                </c:pt>
                <c:pt idx="7">
                  <c:v>0.10973856535035237</c:v>
                </c:pt>
                <c:pt idx="8">
                  <c:v>0.14333200372290922</c:v>
                </c:pt>
                <c:pt idx="9">
                  <c:v>0.18140456721180698</c:v>
                </c:pt>
                <c:pt idx="10">
                  <c:v>0.22395625581704565</c:v>
                </c:pt>
                <c:pt idx="11">
                  <c:v>0.27098706953862522</c:v>
                </c:pt>
                <c:pt idx="12">
                  <c:v>0.32249700837654571</c:v>
                </c:pt>
                <c:pt idx="13">
                  <c:v>0.37848607233080717</c:v>
                </c:pt>
                <c:pt idx="14">
                  <c:v>0.43895426140140947</c:v>
                </c:pt>
                <c:pt idx="15">
                  <c:v>0.50390157558835269</c:v>
                </c:pt>
                <c:pt idx="16">
                  <c:v>0.57332801489163687</c:v>
                </c:pt>
                <c:pt idx="17">
                  <c:v>0.64723357931126191</c:v>
                </c:pt>
                <c:pt idx="18">
                  <c:v>0.72561826884722791</c:v>
                </c:pt>
                <c:pt idx="19">
                  <c:v>0.80848208349953476</c:v>
                </c:pt>
                <c:pt idx="20">
                  <c:v>0.89582502326818259</c:v>
                </c:pt>
                <c:pt idx="21">
                  <c:v>0.98764708815317137</c:v>
                </c:pt>
                <c:pt idx="22">
                  <c:v>1.0839482781545009</c:v>
                </c:pt>
                <c:pt idx="23">
                  <c:v>1.1847285932721716</c:v>
                </c:pt>
                <c:pt idx="24">
                  <c:v>1.2899880335061829</c:v>
                </c:pt>
                <c:pt idx="25">
                  <c:v>1.3997265988565353</c:v>
                </c:pt>
                <c:pt idx="26">
                  <c:v>1.5139442893232287</c:v>
                </c:pt>
                <c:pt idx="27">
                  <c:v>1.6326411049062628</c:v>
                </c:pt>
                <c:pt idx="28">
                  <c:v>1.7558170456056379</c:v>
                </c:pt>
                <c:pt idx="29">
                  <c:v>1.883472111421354</c:v>
                </c:pt>
                <c:pt idx="30">
                  <c:v>2.0454545454545454</c:v>
                </c:pt>
                <c:pt idx="31">
                  <c:v>2.1522196184018085</c:v>
                </c:pt>
                <c:pt idx="32">
                  <c:v>2.2933120595665475</c:v>
                </c:pt>
                <c:pt idx="33">
                  <c:v>2.4388836258476272</c:v>
                </c:pt>
                <c:pt idx="34">
                  <c:v>2.5889343172450476</c:v>
                </c:pt>
                <c:pt idx="35">
                  <c:v>2.7434641337588093</c:v>
                </c:pt>
                <c:pt idx="36">
                  <c:v>2.9024730753889116</c:v>
                </c:pt>
                <c:pt idx="37">
                  <c:v>3.0659611421353552</c:v>
                </c:pt>
                <c:pt idx="38">
                  <c:v>3.2339283339981391</c:v>
                </c:pt>
                <c:pt idx="39">
                  <c:v>3.4063746509772646</c:v>
                </c:pt>
                <c:pt idx="40">
                  <c:v>3.5833000930727303</c:v>
                </c:pt>
                <c:pt idx="41">
                  <c:v>3.7647046602845373</c:v>
                </c:pt>
                <c:pt idx="42">
                  <c:v>4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'V-n diagram'!$I$3:$I$33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15.110656101322908</c:v>
                </c:pt>
              </c:numCache>
            </c:numRef>
          </c:xVal>
          <c:yVal>
            <c:numRef>
              <c:f>'V-n diagram'!$K$3:$K$33</c:f>
              <c:numCache>
                <c:formatCode>General</c:formatCode>
                <c:ptCount val="31"/>
                <c:pt idx="0">
                  <c:v>0</c:v>
                </c:pt>
                <c:pt idx="1">
                  <c:v>-1.6423458759916682E-3</c:v>
                </c:pt>
                <c:pt idx="2">
                  <c:v>-6.5693835039666729E-3</c:v>
                </c:pt>
                <c:pt idx="3">
                  <c:v>-1.4781112883925014E-2</c:v>
                </c:pt>
                <c:pt idx="4">
                  <c:v>-2.6277534015866692E-2</c:v>
                </c:pt>
                <c:pt idx="5">
                  <c:v>-4.1058646899791704E-2</c:v>
                </c:pt>
                <c:pt idx="6">
                  <c:v>-5.9124451535700055E-2</c:v>
                </c:pt>
                <c:pt idx="7">
                  <c:v>-8.047494792359175E-2</c:v>
                </c:pt>
                <c:pt idx="8">
                  <c:v>-0.10511013606346677</c:v>
                </c:pt>
                <c:pt idx="9">
                  <c:v>-0.13303001595532513</c:v>
                </c:pt>
                <c:pt idx="10">
                  <c:v>-0.16423458759916681</c:v>
                </c:pt>
                <c:pt idx="11">
                  <c:v>-0.19872385099499185</c:v>
                </c:pt>
                <c:pt idx="12">
                  <c:v>-0.23649780614280022</c:v>
                </c:pt>
                <c:pt idx="13">
                  <c:v>-0.27755645304259191</c:v>
                </c:pt>
                <c:pt idx="14">
                  <c:v>-0.321899791694367</c:v>
                </c:pt>
                <c:pt idx="15">
                  <c:v>-0.36952782209812535</c:v>
                </c:pt>
                <c:pt idx="16">
                  <c:v>-0.42044054425386707</c:v>
                </c:pt>
                <c:pt idx="17">
                  <c:v>-0.4746379581615921</c:v>
                </c:pt>
                <c:pt idx="18">
                  <c:v>-0.5321200638213005</c:v>
                </c:pt>
                <c:pt idx="19">
                  <c:v>-0.59288686123299228</c:v>
                </c:pt>
                <c:pt idx="20">
                  <c:v>-0.65693835039666726</c:v>
                </c:pt>
                <c:pt idx="21">
                  <c:v>-0.72427453131232566</c:v>
                </c:pt>
                <c:pt idx="22">
                  <c:v>-0.79489540397996739</c:v>
                </c:pt>
                <c:pt idx="23">
                  <c:v>-0.86880096839959253</c:v>
                </c:pt>
                <c:pt idx="24">
                  <c:v>-0.94599122457120088</c:v>
                </c:pt>
                <c:pt idx="25">
                  <c:v>-1.0264661724947926</c:v>
                </c:pt>
                <c:pt idx="26">
                  <c:v>-1.1102258121703676</c:v>
                </c:pt>
                <c:pt idx="27">
                  <c:v>-1.1972701435979261</c:v>
                </c:pt>
                <c:pt idx="28">
                  <c:v>-1.287599166777468</c:v>
                </c:pt>
                <c:pt idx="29">
                  <c:v>-1.381212881708993</c:v>
                </c:pt>
                <c:pt idx="30">
                  <c:v>-1.5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'V-n diagram'!$I$45:$I$80</c:f>
              <c:numCache>
                <c:formatCode>General</c:formatCode>
                <c:ptCount val="36"/>
                <c:pt idx="0">
                  <c:v>21.130919760965003</c:v>
                </c:pt>
                <c:pt idx="1">
                  <c:v>21.5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23.5</c:v>
                </c:pt>
                <c:pt idx="6">
                  <c:v>24</c:v>
                </c:pt>
                <c:pt idx="7">
                  <c:v>24.5</c:v>
                </c:pt>
                <c:pt idx="8">
                  <c:v>25</c:v>
                </c:pt>
                <c:pt idx="9">
                  <c:v>25.5</c:v>
                </c:pt>
                <c:pt idx="10">
                  <c:v>26</c:v>
                </c:pt>
                <c:pt idx="11">
                  <c:v>26.5</c:v>
                </c:pt>
                <c:pt idx="12">
                  <c:v>27</c:v>
                </c:pt>
                <c:pt idx="13">
                  <c:v>27.5</c:v>
                </c:pt>
                <c:pt idx="14">
                  <c:v>28</c:v>
                </c:pt>
                <c:pt idx="15">
                  <c:v>28.5</c:v>
                </c:pt>
                <c:pt idx="16">
                  <c:v>29</c:v>
                </c:pt>
                <c:pt idx="17">
                  <c:v>29.5</c:v>
                </c:pt>
                <c:pt idx="18">
                  <c:v>30</c:v>
                </c:pt>
                <c:pt idx="19">
                  <c:v>30.5</c:v>
                </c:pt>
                <c:pt idx="20">
                  <c:v>31</c:v>
                </c:pt>
                <c:pt idx="21">
                  <c:v>31.5</c:v>
                </c:pt>
                <c:pt idx="22">
                  <c:v>32</c:v>
                </c:pt>
                <c:pt idx="23">
                  <c:v>32.5</c:v>
                </c:pt>
                <c:pt idx="24">
                  <c:v>33</c:v>
                </c:pt>
                <c:pt idx="25">
                  <c:v>33.5</c:v>
                </c:pt>
                <c:pt idx="26">
                  <c:v>34</c:v>
                </c:pt>
                <c:pt idx="27">
                  <c:v>34.5</c:v>
                </c:pt>
                <c:pt idx="28">
                  <c:v>35</c:v>
                </c:pt>
                <c:pt idx="29">
                  <c:v>35.5</c:v>
                </c:pt>
                <c:pt idx="30">
                  <c:v>36</c:v>
                </c:pt>
                <c:pt idx="31">
                  <c:v>36.5</c:v>
                </c:pt>
                <c:pt idx="32">
                  <c:v>37</c:v>
                </c:pt>
                <c:pt idx="33">
                  <c:v>37.5</c:v>
                </c:pt>
                <c:pt idx="34">
                  <c:v>38</c:v>
                </c:pt>
                <c:pt idx="35">
                  <c:v>38.887799999999999</c:v>
                </c:pt>
              </c:numCache>
            </c:numRef>
          </c:xVal>
          <c:yVal>
            <c:numRef>
              <c:f>'V-n diagram'!$L$45:$L$80</c:f>
              <c:numCache>
                <c:formatCode>General</c:formatCode>
                <c:ptCount val="3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</c:numCache>
            </c:numRef>
          </c:yVal>
          <c:smooth val="0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'V-n diagram'!$I$33:$I$80</c:f>
              <c:numCache>
                <c:formatCode>General</c:formatCode>
                <c:ptCount val="48"/>
                <c:pt idx="0">
                  <c:v>15.110656101322908</c:v>
                </c:pt>
                <c:pt idx="1">
                  <c:v>15.5</c:v>
                </c:pt>
                <c:pt idx="2">
                  <c:v>16</c:v>
                </c:pt>
                <c:pt idx="3">
                  <c:v>16.5</c:v>
                </c:pt>
                <c:pt idx="4">
                  <c:v>17</c:v>
                </c:pt>
                <c:pt idx="5">
                  <c:v>17.5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  <c:pt idx="11">
                  <c:v>20.5</c:v>
                </c:pt>
                <c:pt idx="12">
                  <c:v>21.130919760965003</c:v>
                </c:pt>
                <c:pt idx="13">
                  <c:v>21.5</c:v>
                </c:pt>
                <c:pt idx="14">
                  <c:v>22</c:v>
                </c:pt>
                <c:pt idx="15">
                  <c:v>22.5</c:v>
                </c:pt>
                <c:pt idx="16">
                  <c:v>23</c:v>
                </c:pt>
                <c:pt idx="17">
                  <c:v>23.5</c:v>
                </c:pt>
                <c:pt idx="18">
                  <c:v>24</c:v>
                </c:pt>
                <c:pt idx="19">
                  <c:v>24.5</c:v>
                </c:pt>
                <c:pt idx="20">
                  <c:v>25</c:v>
                </c:pt>
                <c:pt idx="21">
                  <c:v>25.5</c:v>
                </c:pt>
                <c:pt idx="22">
                  <c:v>26</c:v>
                </c:pt>
                <c:pt idx="23">
                  <c:v>26.5</c:v>
                </c:pt>
                <c:pt idx="24">
                  <c:v>27</c:v>
                </c:pt>
                <c:pt idx="25">
                  <c:v>27.5</c:v>
                </c:pt>
                <c:pt idx="26">
                  <c:v>28</c:v>
                </c:pt>
                <c:pt idx="27">
                  <c:v>28.5</c:v>
                </c:pt>
                <c:pt idx="28">
                  <c:v>29</c:v>
                </c:pt>
                <c:pt idx="29">
                  <c:v>29.5</c:v>
                </c:pt>
                <c:pt idx="30">
                  <c:v>30</c:v>
                </c:pt>
                <c:pt idx="31">
                  <c:v>30.5</c:v>
                </c:pt>
                <c:pt idx="32">
                  <c:v>31</c:v>
                </c:pt>
                <c:pt idx="33">
                  <c:v>31.5</c:v>
                </c:pt>
                <c:pt idx="34">
                  <c:v>32</c:v>
                </c:pt>
                <c:pt idx="35">
                  <c:v>32.5</c:v>
                </c:pt>
                <c:pt idx="36">
                  <c:v>33</c:v>
                </c:pt>
                <c:pt idx="37">
                  <c:v>33.5</c:v>
                </c:pt>
                <c:pt idx="38">
                  <c:v>34</c:v>
                </c:pt>
                <c:pt idx="39">
                  <c:v>34.5</c:v>
                </c:pt>
                <c:pt idx="40">
                  <c:v>35</c:v>
                </c:pt>
                <c:pt idx="41">
                  <c:v>35.5</c:v>
                </c:pt>
                <c:pt idx="42">
                  <c:v>36</c:v>
                </c:pt>
                <c:pt idx="43">
                  <c:v>36.5</c:v>
                </c:pt>
                <c:pt idx="44">
                  <c:v>37</c:v>
                </c:pt>
                <c:pt idx="45">
                  <c:v>37.5</c:v>
                </c:pt>
                <c:pt idx="46">
                  <c:v>38</c:v>
                </c:pt>
                <c:pt idx="47">
                  <c:v>38.887799999999999</c:v>
                </c:pt>
              </c:numCache>
            </c:numRef>
          </c:xVal>
          <c:yVal>
            <c:numRef>
              <c:f>'V-n diagram'!$M$33:$M$80</c:f>
              <c:numCache>
                <c:formatCode>General</c:formatCode>
                <c:ptCount val="48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-1.5</c:v>
                </c:pt>
                <c:pt idx="21">
                  <c:v>-1.5</c:v>
                </c:pt>
                <c:pt idx="22">
                  <c:v>-1.5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-1.5</c:v>
                </c:pt>
                <c:pt idx="28">
                  <c:v>-1.5</c:v>
                </c:pt>
                <c:pt idx="29">
                  <c:v>-1.5</c:v>
                </c:pt>
                <c:pt idx="30">
                  <c:v>-1.5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-1.5</c:v>
                </c:pt>
                <c:pt idx="37">
                  <c:v>-1.5</c:v>
                </c:pt>
                <c:pt idx="38">
                  <c:v>-1.5</c:v>
                </c:pt>
                <c:pt idx="39">
                  <c:v>-1.5</c:v>
                </c:pt>
                <c:pt idx="40">
                  <c:v>-1.5</c:v>
                </c:pt>
                <c:pt idx="41">
                  <c:v>-1.5</c:v>
                </c:pt>
                <c:pt idx="42">
                  <c:v>-1.5</c:v>
                </c:pt>
                <c:pt idx="43">
                  <c:v>-1.5</c:v>
                </c:pt>
                <c:pt idx="44">
                  <c:v>-1.5</c:v>
                </c:pt>
                <c:pt idx="45">
                  <c:v>-1.5</c:v>
                </c:pt>
                <c:pt idx="46">
                  <c:v>-1.5</c:v>
                </c:pt>
                <c:pt idx="47">
                  <c:v>-1.5</c:v>
                </c:pt>
              </c:numCache>
            </c:numRef>
          </c:yVal>
          <c:smooth val="0"/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'V-n diagram'!$O$4:$O$6</c:f>
              <c:numCache>
                <c:formatCode>General</c:formatCode>
                <c:ptCount val="3"/>
                <c:pt idx="0">
                  <c:v>38.887799999999999</c:v>
                </c:pt>
                <c:pt idx="1">
                  <c:v>38.887799999999999</c:v>
                </c:pt>
                <c:pt idx="2">
                  <c:v>38.887799999999999</c:v>
                </c:pt>
              </c:numCache>
            </c:numRef>
          </c:xVal>
          <c:yVal>
            <c:numRef>
              <c:f>'V-n diagram'!$P$4:$P$6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-1.5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0736"/>
        <c:axId val="450228776"/>
      </c:scatterChart>
      <c:valAx>
        <c:axId val="4502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8776"/>
        <c:crosses val="autoZero"/>
        <c:crossBetween val="midCat"/>
      </c:valAx>
      <c:valAx>
        <c:axId val="4502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19</xdr:row>
      <xdr:rowOff>161925</xdr:rowOff>
    </xdr:from>
    <xdr:to>
      <xdr:col>19</xdr:col>
      <xdr:colOff>438150</xdr:colOff>
      <xdr:row>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35</xdr:row>
      <xdr:rowOff>114300</xdr:rowOff>
    </xdr:from>
    <xdr:to>
      <xdr:col>19</xdr:col>
      <xdr:colOff>352425</xdr:colOff>
      <xdr:row>50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19049</xdr:rowOff>
    </xdr:from>
    <xdr:to>
      <xdr:col>7</xdr:col>
      <xdr:colOff>552450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20</xdr:row>
      <xdr:rowOff>47624</xdr:rowOff>
    </xdr:from>
    <xdr:to>
      <xdr:col>7</xdr:col>
      <xdr:colOff>352425</xdr:colOff>
      <xdr:row>35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338137</xdr:colOff>
      <xdr:row>6</xdr:row>
      <xdr:rowOff>104775</xdr:rowOff>
    </xdr:from>
    <xdr:to>
      <xdr:col>16</xdr:col>
      <xdr:colOff>285750</xdr:colOff>
      <xdr:row>22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7</xdr:row>
      <xdr:rowOff>0</xdr:rowOff>
    </xdr:from>
    <xdr:to>
      <xdr:col>14</xdr:col>
      <xdr:colOff>361949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E13" sqref="E13"/>
    </sheetView>
  </sheetViews>
  <sheetFormatPr defaultRowHeight="15" x14ac:dyDescent="0.25"/>
  <cols>
    <col min="2" max="2" width="15.5703125" customWidth="1"/>
    <col min="7" max="7" width="15.28515625" customWidth="1"/>
  </cols>
  <sheetData>
    <row r="1" spans="2:8" x14ac:dyDescent="0.25">
      <c r="D1" t="s">
        <v>31</v>
      </c>
      <c r="F1" t="s">
        <v>15</v>
      </c>
    </row>
    <row r="2" spans="2:8" x14ac:dyDescent="0.25">
      <c r="B2" t="s">
        <v>0</v>
      </c>
      <c r="C2">
        <v>23</v>
      </c>
      <c r="D2" t="s">
        <v>21</v>
      </c>
      <c r="E2">
        <f>C2/2.2</f>
        <v>10.454545454545453</v>
      </c>
      <c r="F2" t="s">
        <v>22</v>
      </c>
    </row>
    <row r="3" spans="2:8" x14ac:dyDescent="0.25">
      <c r="B3" t="s">
        <v>1</v>
      </c>
      <c r="C3">
        <f>C4^2/C5</f>
        <v>10.666666666666666</v>
      </c>
      <c r="D3" t="s">
        <v>18</v>
      </c>
      <c r="E3">
        <v>1</v>
      </c>
      <c r="F3" t="s">
        <v>32</v>
      </c>
    </row>
    <row r="4" spans="2:8" x14ac:dyDescent="0.25">
      <c r="B4" t="s">
        <v>3</v>
      </c>
      <c r="C4">
        <v>8</v>
      </c>
      <c r="D4" t="s">
        <v>28</v>
      </c>
      <c r="E4">
        <v>2.4300000000000002</v>
      </c>
      <c r="F4" t="s">
        <v>29</v>
      </c>
      <c r="G4" t="s">
        <v>45</v>
      </c>
      <c r="H4">
        <v>1</v>
      </c>
    </row>
    <row r="5" spans="2:8" x14ac:dyDescent="0.25">
      <c r="B5" t="s">
        <v>2</v>
      </c>
      <c r="C5">
        <v>6</v>
      </c>
      <c r="E5">
        <f>E4^2/E3</f>
        <v>5.9049000000000005</v>
      </c>
      <c r="G5" t="s">
        <v>46</v>
      </c>
      <c r="H5">
        <v>0.75</v>
      </c>
    </row>
    <row r="6" spans="2:8" x14ac:dyDescent="0.25">
      <c r="B6" t="s">
        <v>4</v>
      </c>
      <c r="C6">
        <v>6</v>
      </c>
      <c r="E6">
        <v>1.75</v>
      </c>
      <c r="G6" t="s">
        <v>47</v>
      </c>
      <c r="H6">
        <v>1</v>
      </c>
    </row>
    <row r="7" spans="2:8" x14ac:dyDescent="0.25">
      <c r="B7" t="s">
        <v>5</v>
      </c>
      <c r="G7" t="s">
        <v>48</v>
      </c>
      <c r="H7">
        <v>1</v>
      </c>
    </row>
    <row r="8" spans="2:8" x14ac:dyDescent="0.25">
      <c r="B8" t="s">
        <v>6</v>
      </c>
      <c r="C8">
        <v>4</v>
      </c>
      <c r="D8" t="s">
        <v>23</v>
      </c>
      <c r="E8">
        <v>4</v>
      </c>
      <c r="F8" t="s">
        <v>23</v>
      </c>
      <c r="G8" t="s">
        <v>50</v>
      </c>
      <c r="H8">
        <v>1.2250000000000001</v>
      </c>
    </row>
    <row r="9" spans="2:8" x14ac:dyDescent="0.25">
      <c r="B9" t="s">
        <v>7</v>
      </c>
      <c r="C9">
        <v>3.5</v>
      </c>
      <c r="D9" t="s">
        <v>21</v>
      </c>
      <c r="E9">
        <f>C9/2.2</f>
        <v>1.5909090909090908</v>
      </c>
      <c r="F9" t="s">
        <v>22</v>
      </c>
      <c r="G9" t="s">
        <v>54</v>
      </c>
      <c r="H9">
        <f>0.5*H8*E24^2</f>
        <v>245.00000000000003</v>
      </c>
    </row>
    <row r="10" spans="2:8" x14ac:dyDescent="0.25">
      <c r="B10" t="s">
        <v>8</v>
      </c>
      <c r="E10">
        <v>27.777000000000001</v>
      </c>
      <c r="F10" t="s">
        <v>30</v>
      </c>
      <c r="G10" t="s">
        <v>55</v>
      </c>
      <c r="H10">
        <f>0.5*H8*E10^2</f>
        <v>472.58155901250007</v>
      </c>
    </row>
    <row r="11" spans="2:8" x14ac:dyDescent="0.25">
      <c r="B11" t="s">
        <v>9</v>
      </c>
      <c r="E11">
        <v>1.5</v>
      </c>
      <c r="G11" t="s">
        <v>56</v>
      </c>
      <c r="H11">
        <f>0.5*H8*E27^2</f>
        <v>382.79106280012508</v>
      </c>
    </row>
    <row r="12" spans="2:8" x14ac:dyDescent="0.25">
      <c r="B12" t="s">
        <v>10</v>
      </c>
      <c r="C12">
        <v>0.7</v>
      </c>
      <c r="E12">
        <v>0.7</v>
      </c>
    </row>
    <row r="13" spans="2:8" x14ac:dyDescent="0.25">
      <c r="B13" t="s">
        <v>11</v>
      </c>
      <c r="E13">
        <f>SQRT((2*E2*9.81)/(1.225*E3*E11))</f>
        <v>10.565459880482502</v>
      </c>
      <c r="F13" t="s">
        <v>30</v>
      </c>
    </row>
    <row r="14" spans="2:8" x14ac:dyDescent="0.25">
      <c r="B14" t="s">
        <v>12</v>
      </c>
      <c r="C14">
        <v>12</v>
      </c>
      <c r="D14" t="s">
        <v>19</v>
      </c>
      <c r="E14">
        <v>3.048E-2</v>
      </c>
      <c r="F14" t="s">
        <v>16</v>
      </c>
    </row>
    <row r="15" spans="2:8" x14ac:dyDescent="0.25">
      <c r="B15" t="s">
        <v>13</v>
      </c>
      <c r="C15">
        <f>PI()*(C14/2)^2</f>
        <v>113.09733552923255</v>
      </c>
      <c r="D15" t="s">
        <v>19</v>
      </c>
      <c r="E15">
        <f>PI()*(E14/2)^2</f>
        <v>7.2965876990039669E-4</v>
      </c>
      <c r="F15" t="s">
        <v>17</v>
      </c>
    </row>
    <row r="16" spans="2:8" x14ac:dyDescent="0.25">
      <c r="B16" t="s">
        <v>14</v>
      </c>
      <c r="C16">
        <v>93</v>
      </c>
      <c r="D16" t="s">
        <v>20</v>
      </c>
      <c r="E16">
        <v>150000</v>
      </c>
      <c r="F16" t="s">
        <v>16</v>
      </c>
    </row>
    <row r="17" spans="2:6" x14ac:dyDescent="0.25">
      <c r="B17" t="s">
        <v>24</v>
      </c>
      <c r="C17" t="s">
        <v>25</v>
      </c>
    </row>
    <row r="18" spans="2:6" x14ac:dyDescent="0.25">
      <c r="B18" t="s">
        <v>26</v>
      </c>
      <c r="C18" t="s">
        <v>27</v>
      </c>
    </row>
    <row r="19" spans="2:6" x14ac:dyDescent="0.25">
      <c r="B19" t="s">
        <v>43</v>
      </c>
      <c r="E19">
        <v>101</v>
      </c>
      <c r="F19" t="s">
        <v>44</v>
      </c>
    </row>
    <row r="20" spans="2:6" x14ac:dyDescent="0.25">
      <c r="B20" t="s">
        <v>40</v>
      </c>
      <c r="C20">
        <f>C2/C3</f>
        <v>2.15625</v>
      </c>
      <c r="E20">
        <f>(E2)/E3</f>
        <v>10.454545454545453</v>
      </c>
    </row>
    <row r="21" spans="2:6" x14ac:dyDescent="0.25">
      <c r="B21" t="s">
        <v>41</v>
      </c>
      <c r="E21">
        <f>E19/(E2)</f>
        <v>9.6608695652173928</v>
      </c>
    </row>
    <row r="22" spans="2:6" x14ac:dyDescent="0.25">
      <c r="B22" t="s">
        <v>42</v>
      </c>
      <c r="E22">
        <f>E2/E19</f>
        <v>0.1035103510351035</v>
      </c>
    </row>
    <row r="23" spans="2:6" x14ac:dyDescent="0.25">
      <c r="B23" t="s">
        <v>49</v>
      </c>
      <c r="C23">
        <f>1/(PI()*(C5*C12))</f>
        <v>7.5788068138997786E-2</v>
      </c>
      <c r="E23">
        <f>1/(PI()*(E5*E12))</f>
        <v>7.7008655325913514E-2</v>
      </c>
    </row>
    <row r="24" spans="2:6" x14ac:dyDescent="0.25">
      <c r="B24" t="s">
        <v>51</v>
      </c>
      <c r="E24">
        <v>20</v>
      </c>
      <c r="F24" t="s">
        <v>30</v>
      </c>
    </row>
    <row r="25" spans="2:6" x14ac:dyDescent="0.25">
      <c r="B25" t="s">
        <v>52</v>
      </c>
      <c r="C25">
        <v>3.0000000000000001E-3</v>
      </c>
    </row>
    <row r="26" spans="2:6" x14ac:dyDescent="0.25">
      <c r="B26" t="s">
        <v>53</v>
      </c>
      <c r="C26">
        <v>3.3</v>
      </c>
    </row>
    <row r="27" spans="2:6" x14ac:dyDescent="0.25">
      <c r="B27" t="s">
        <v>57</v>
      </c>
      <c r="E27">
        <f>0.9*E10</f>
        <v>24.999300000000002</v>
      </c>
    </row>
    <row r="28" spans="2:6" x14ac:dyDescent="0.25">
      <c r="B28" t="s">
        <v>66</v>
      </c>
      <c r="C28">
        <v>500</v>
      </c>
      <c r="E28">
        <v>152.4</v>
      </c>
    </row>
    <row r="29" spans="2:6" x14ac:dyDescent="0.25">
      <c r="B29" t="s">
        <v>67</v>
      </c>
      <c r="E29">
        <f>20*60</f>
        <v>1200</v>
      </c>
    </row>
    <row r="30" spans="2:6" x14ac:dyDescent="0.25">
      <c r="B30" s="2" t="s">
        <v>72</v>
      </c>
      <c r="E30">
        <v>-1.5</v>
      </c>
    </row>
    <row r="31" spans="2:6" x14ac:dyDescent="0.25">
      <c r="B31" s="2" t="s">
        <v>76</v>
      </c>
      <c r="E31">
        <v>-1.1000000000000001</v>
      </c>
    </row>
    <row r="32" spans="2:6" x14ac:dyDescent="0.25">
      <c r="B32" t="s">
        <v>77</v>
      </c>
      <c r="E32">
        <f>SQRT((-2*E2*9.81)/(1.225*E3*E31))</f>
        <v>12.337799042304837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5"/>
  <sheetViews>
    <sheetView workbookViewId="0">
      <selection activeCell="N9" sqref="N9"/>
    </sheetView>
  </sheetViews>
  <sheetFormatPr defaultRowHeight="15" x14ac:dyDescent="0.25"/>
  <cols>
    <col min="3" max="3" width="12" bestFit="1" customWidth="1"/>
    <col min="6" max="6" width="15.7109375" bestFit="1" customWidth="1"/>
    <col min="7" max="7" width="21" customWidth="1"/>
  </cols>
  <sheetData>
    <row r="1" spans="2:14" x14ac:dyDescent="0.25">
      <c r="C1" t="s">
        <v>33</v>
      </c>
      <c r="D1" t="s">
        <v>34</v>
      </c>
      <c r="E1" t="s">
        <v>35</v>
      </c>
      <c r="F1" t="s">
        <v>59</v>
      </c>
      <c r="G1" t="s">
        <v>60</v>
      </c>
      <c r="H1" t="s">
        <v>46</v>
      </c>
      <c r="I1" t="s">
        <v>61</v>
      </c>
      <c r="M1">
        <v>10</v>
      </c>
      <c r="N1">
        <f>Sheet1!$E$9/(1-($F$5/($H$2*$H$3)+$G$4/($H$2*$H$3*M1))-$K$3*M1^$K$4)</f>
        <v>10.866000389689669</v>
      </c>
    </row>
    <row r="2" spans="2:14" x14ac:dyDescent="0.25">
      <c r="B2" t="s">
        <v>62</v>
      </c>
      <c r="C2">
        <f>C29</f>
        <v>0.47285246384729196</v>
      </c>
      <c r="D2">
        <f>D29</f>
        <v>5.0845598314588472</v>
      </c>
      <c r="E2">
        <f>E29</f>
        <v>4.1448568048873966</v>
      </c>
      <c r="F2">
        <f>SUM(C2:E2)</f>
        <v>9.7022691001935364</v>
      </c>
      <c r="H2">
        <v>0.75</v>
      </c>
      <c r="I2">
        <f>1.2*(F4+G4)/(H2*(H3))</f>
        <v>1.2999308894675086</v>
      </c>
      <c r="M2">
        <f>N1</f>
        <v>10.866000389689669</v>
      </c>
      <c r="N2">
        <f>Sheet1!$E$9/(1-($F$5/($H$2*$H$3)+$G$4/($H$2*$H$3*M2))-$K$3*M2^$K$4)</f>
        <v>10.476042942231288</v>
      </c>
    </row>
    <row r="3" spans="2:14" x14ac:dyDescent="0.25">
      <c r="B3" t="s">
        <v>43</v>
      </c>
      <c r="C3">
        <f>C29*Sheet1!E2</f>
        <v>4.9434575765853248</v>
      </c>
      <c r="D3">
        <f>D29*Sheet1!E2</f>
        <v>53.156761874342486</v>
      </c>
      <c r="E3">
        <f>E29*Sheet1!E2</f>
        <v>43.332593869277325</v>
      </c>
      <c r="F3">
        <f>SUM(C3:E3)</f>
        <v>101.43281332020513</v>
      </c>
      <c r="H3">
        <v>522000</v>
      </c>
      <c r="I3">
        <f>1.2*(F5)/(H2*(H3))</f>
        <v>9.947297241142676E-2</v>
      </c>
      <c r="J3" t="s">
        <v>68</v>
      </c>
      <c r="K3">
        <v>0.86</v>
      </c>
      <c r="M3">
        <f t="shared" ref="M3:M8" si="0">N2</f>
        <v>10.476042942231288</v>
      </c>
      <c r="N3">
        <f>Sheet1!$E$9/(1-($F$5/($H$2*$H$3)+$G$4/($H$2*$H$3*M3))-$K$3*M3^$K$4)</f>
        <v>10.642721062674179</v>
      </c>
    </row>
    <row r="4" spans="2:14" x14ac:dyDescent="0.25">
      <c r="B4" t="s">
        <v>63</v>
      </c>
      <c r="C4">
        <f>C3*(Sheet1!E28/Sheet1!C26)</f>
        <v>228.29785899139503</v>
      </c>
      <c r="D4">
        <f>D3*(Sheet1!E16/Sheet1!E10)</f>
        <v>287054.55164889555</v>
      </c>
      <c r="E4">
        <f>E3*(Sheet1!E29)</f>
        <v>51999.112643132787</v>
      </c>
      <c r="F4" s="1">
        <f>SUM(C4:E4)</f>
        <v>339281.96215101972</v>
      </c>
      <c r="G4">
        <f>F4/4</f>
        <v>84820.490537754929</v>
      </c>
      <c r="I4">
        <f>($F$5/($H$2*H3)+$G$4/($H$2*H3*N9))*N9*1.2</f>
        <v>1.3136193735363797</v>
      </c>
      <c r="J4" t="s">
        <v>69</v>
      </c>
      <c r="K4">
        <v>-0.06</v>
      </c>
      <c r="M4">
        <f t="shared" si="0"/>
        <v>10.642721062674179</v>
      </c>
      <c r="N4">
        <f>Sheet1!$E$9/(1-($F$5/($H$2*$H$3)+$G$4/($H$2*$H$3*M4))-$K$3*M4^$K$4)</f>
        <v>10.569820687371458</v>
      </c>
    </row>
    <row r="5" spans="2:14" x14ac:dyDescent="0.25">
      <c r="B5" t="s">
        <v>64</v>
      </c>
      <c r="C5">
        <f>C2*(Sheet1!E28/Sheet1!C26)</f>
        <v>21.837186512220395</v>
      </c>
      <c r="D5">
        <f>D2*(Sheet1!E16/Sheet1!E10)</f>
        <v>27457.391896850884</v>
      </c>
      <c r="E5">
        <f>E2*(Sheet1!E29)</f>
        <v>4973.8281658648757</v>
      </c>
      <c r="F5">
        <f>SUM(C5:E5)</f>
        <v>32453.057249227983</v>
      </c>
      <c r="M5">
        <f t="shared" si="0"/>
        <v>10.569820687371458</v>
      </c>
      <c r="N5">
        <f>Sheet1!$E$9/(1-($F$5/($H$2*$H$3)+$G$4/($H$2*$H$3*M5))-$K$3*M5^$K$4)</f>
        <v>10.601390474510218</v>
      </c>
    </row>
    <row r="6" spans="2:14" x14ac:dyDescent="0.25">
      <c r="B6" t="s">
        <v>65</v>
      </c>
      <c r="C6">
        <f>C3/3.3</f>
        <v>1.4980174474500985</v>
      </c>
      <c r="D6">
        <f>D3/Sheet1!E10</f>
        <v>1.9136970109926372</v>
      </c>
      <c r="E6">
        <f>E3/Sheet1!E27</f>
        <v>1.7333522886351747</v>
      </c>
      <c r="M6">
        <f t="shared" si="0"/>
        <v>10.601390474510218</v>
      </c>
      <c r="N6">
        <f>Sheet1!$E$9/(1-($F$5/($H$2*$H$3)+$G$4/($H$2*$H$3*M6))-$K$3*M6^$K$4)</f>
        <v>10.587659829273825</v>
      </c>
    </row>
    <row r="7" spans="2:14" x14ac:dyDescent="0.25">
      <c r="M7">
        <f>N6</f>
        <v>10.587659829273825</v>
      </c>
      <c r="N7">
        <f>Sheet1!$E$9/(1-($F$5/($H$2*$H$3)+$G$4/($H$2*$H$3*M7))-$K$3*M7^$K$4)</f>
        <v>10.593620509562717</v>
      </c>
    </row>
    <row r="8" spans="2:14" x14ac:dyDescent="0.25">
      <c r="M8">
        <f t="shared" si="0"/>
        <v>10.593620509562717</v>
      </c>
      <c r="N8">
        <f>Sheet1!$E$9/(1-($F$5/($H$2*$H$3)+$G$4/($H$2*$H$3*M8))-$K$3*M8^$K$4)</f>
        <v>10.591030778539128</v>
      </c>
    </row>
    <row r="9" spans="2:14" x14ac:dyDescent="0.25">
      <c r="B9" t="s">
        <v>37</v>
      </c>
      <c r="C9" t="s">
        <v>33</v>
      </c>
      <c r="D9" t="s">
        <v>34</v>
      </c>
      <c r="E9" t="s">
        <v>35</v>
      </c>
      <c r="F9" t="s">
        <v>58</v>
      </c>
      <c r="G9" t="s">
        <v>36</v>
      </c>
      <c r="H9" t="s">
        <v>37</v>
      </c>
      <c r="M9">
        <f>N8</f>
        <v>10.591030778539128</v>
      </c>
      <c r="N9">
        <f>Sheet1!$E$9/(1-($F$5/($H$2*$H$3)+$G$4/($H$2*$H$3*M9))-$K$3*M9^$K$4)</f>
        <v>10.592155538340421</v>
      </c>
    </row>
    <row r="10" spans="2:14" x14ac:dyDescent="0.25">
      <c r="B10">
        <v>1</v>
      </c>
      <c r="C10">
        <f>Sheet1!$H$4*Sheet1!$H$6*Sheet1!$E$24/(Sheet1!$H$5*Sheet1!$H$7)*(Sheet1!$E$23/Sheet1!$H$9*B10+Sheet1!$C$25/(B10/Sheet1!$H$9+Sheet1!$C$26/Sheet1!$E$24))</f>
        <v>0.48152613102936059</v>
      </c>
      <c r="D10">
        <f>Sheet1!$H$4*Sheet1!$H$6*Sheet1!$E$10/(Sheet1!$H$5*Sheet1!$H$7)*(Sheet1!$C$23*B10/Sheet1!$H$10+Sheet1!$C$25/(B10/Sheet1!$H$10))</f>
        <v>52.513531334895859</v>
      </c>
      <c r="E10">
        <f>Sheet1!$H$4*Sheet1!$H$6*Sheet1!$E$10/(Sheet1!$H$5*Sheet1!$H$7)*(Sheet1!$C$23*B10/Sheet1!$H$11+Sheet1!$C$25/(B10/Sheet1!$H$11))</f>
        <v>42.538482092182711</v>
      </c>
      <c r="F10">
        <f>Sheet1!$H$4*Sheet1!$H$6*Sheet1!$E$10/(Sheet1!$H$5*Sheet1!$H$7)*(Sheet1!$C$23*Sheet1!$E$8^2*Sheet1!$H$6/Sheet1!$H$10*B10+Sheet1!$C$25/(Sheet1!$H$6/Sheet1!$H$10*B10))</f>
        <v>52.602623476920861</v>
      </c>
      <c r="G10">
        <f>(Sheet1!E11*Sheet1!E13^2*Sheet1!H8)/2</f>
        <v>102.55909090909091</v>
      </c>
      <c r="H10">
        <v>1</v>
      </c>
      <c r="I10">
        <f>1/C10</f>
        <v>2.0767304940695439</v>
      </c>
      <c r="J10">
        <f>1/D10</f>
        <v>1.9042710984768382E-2</v>
      </c>
      <c r="K10">
        <f>1/E10</f>
        <v>2.3508126073538714E-2</v>
      </c>
      <c r="L10">
        <f>1/F10</f>
        <v>1.9010458678714856E-2</v>
      </c>
    </row>
    <row r="11" spans="2:14" x14ac:dyDescent="0.25">
      <c r="B11">
        <v>1.5</v>
      </c>
      <c r="C11">
        <f>Sheet1!$H$4*Sheet1!$H$6*Sheet1!$E$24/(Sheet1!$H$5*Sheet1!$H$7)*(Sheet1!$E$23/Sheet1!$H$9*B11+Sheet1!$C$25/(B11/Sheet1!$H$9+Sheet1!$C$26/Sheet1!$E$24))</f>
        <v>0.48007433244316827</v>
      </c>
      <c r="D11">
        <f>Sheet1!$H$4*Sheet1!$H$6*Sheet1!$E$10/(Sheet1!$H$5*Sheet1!$H$7)*(Sheet1!$C$23*B11/Sheet1!$H$10+Sheet1!$C$25/(B11/Sheet1!$H$10))</f>
        <v>35.013970453376402</v>
      </c>
      <c r="E11">
        <f>Sheet1!$H$4*Sheet1!$H$6*Sheet1!$E$10/(Sheet1!$H$5*Sheet1!$H$7)*(Sheet1!$C$23*B11/Sheet1!$H$11+Sheet1!$C$25/(B11/Sheet1!$H$11))</f>
        <v>28.365098633610494</v>
      </c>
      <c r="F11">
        <f>Sheet1!$H$4*Sheet1!$H$6*Sheet1!$E$10/(Sheet1!$H$5*Sheet1!$H$7)*(Sheet1!$C$23*Sheet1!$E$8^2*Sheet1!$H$6/Sheet1!$H$10*B11+Sheet1!$C$25/(Sheet1!$H$6/Sheet1!$H$10*B11))</f>
        <v>35.147608666413909</v>
      </c>
      <c r="G11">
        <f>(Sheet1!E12*Sheet1!E14^2*Sheet1!H9)/2</f>
        <v>7.9664356800000016E-2</v>
      </c>
      <c r="H11">
        <v>1.5</v>
      </c>
      <c r="I11">
        <f t="shared" ref="I11:I65" si="1">1/C11</f>
        <v>2.0830107598355743</v>
      </c>
      <c r="J11">
        <f t="shared" ref="J11:J65" si="2">1/D11</f>
        <v>2.856002867002962E-2</v>
      </c>
      <c r="K11">
        <f t="shared" ref="K11:K65" si="3">1/E11</f>
        <v>3.5254592727383495E-2</v>
      </c>
      <c r="L11">
        <f t="shared" ref="L11:L65" si="4">1/F11</f>
        <v>2.8451437749037321E-2</v>
      </c>
    </row>
    <row r="12" spans="2:14" x14ac:dyDescent="0.25">
      <c r="B12">
        <v>2</v>
      </c>
      <c r="C12">
        <f>Sheet1!$H$4*Sheet1!$H$6*Sheet1!$E$24/(Sheet1!$H$5*Sheet1!$H$7)*(Sheet1!$E$23/Sheet1!$H$9*B12+Sheet1!$C$25/(B12/Sheet1!$H$9+Sheet1!$C$26/Sheet1!$E$24))</f>
        <v>0.47875553906180351</v>
      </c>
      <c r="D12">
        <f>Sheet1!$H$4*Sheet1!$H$6*Sheet1!$E$10/(Sheet1!$H$5*Sheet1!$H$7)*(Sheet1!$C$23*B12/Sheet1!$H$10+Sheet1!$C$25/(B12/Sheet1!$H$10))</f>
        <v>26.26567488165043</v>
      </c>
      <c r="E12">
        <f>Sheet1!$H$4*Sheet1!$H$6*Sheet1!$E$10/(Sheet1!$H$5*Sheet1!$H$7)*(Sheet1!$C$23*B12/Sheet1!$H$11+Sheet1!$C$25/(B12/Sheet1!$H$11))</f>
        <v>21.280240075970987</v>
      </c>
      <c r="F12">
        <f>Sheet1!$H$4*Sheet1!$H$6*Sheet1!$E$10/(Sheet1!$H$5*Sheet1!$H$7)*(Sheet1!$C$23*Sheet1!$E$8^2*Sheet1!$H$6/Sheet1!$H$10*B12+Sheet1!$C$25/(Sheet1!$H$6/Sheet1!$H$10*B12))</f>
        <v>26.443859165700434</v>
      </c>
      <c r="G12">
        <f>(Sheet1!E13*Sheet1!E15^2*Sheet1!H10)/2</f>
        <v>1.3291524423825788E-3</v>
      </c>
      <c r="H12">
        <v>2</v>
      </c>
      <c r="I12">
        <f t="shared" si="1"/>
        <v>2.0887486794610393</v>
      </c>
      <c r="J12">
        <f t="shared" si="2"/>
        <v>3.8072503543345619E-2</v>
      </c>
      <c r="K12">
        <f t="shared" si="3"/>
        <v>4.6991951050832842E-2</v>
      </c>
      <c r="L12">
        <f t="shared" si="4"/>
        <v>3.7815963008041999E-2</v>
      </c>
    </row>
    <row r="13" spans="2:14" x14ac:dyDescent="0.25">
      <c r="B13">
        <v>2.5</v>
      </c>
      <c r="C13">
        <f>Sheet1!$H$4*Sheet1!$H$6*Sheet1!$E$24/(Sheet1!$H$5*Sheet1!$H$7)*(Sheet1!$E$23/Sheet1!$H$9*B13+Sheet1!$C$25/(B13/Sheet1!$H$9+Sheet1!$C$26/Sheet1!$E$24))</f>
        <v>0.47756510306215055</v>
      </c>
      <c r="D13">
        <f>Sheet1!$H$4*Sheet1!$H$6*Sheet1!$E$10/(Sheet1!$H$5*Sheet1!$H$7)*(Sheet1!$C$23*B13/Sheet1!$H$10+Sheet1!$C$25/(B13/Sheet1!$H$10))</f>
        <v>21.017885433841844</v>
      </c>
      <c r="E13">
        <f>Sheet1!$H$4*Sheet1!$H$6*Sheet1!$E$10/(Sheet1!$H$5*Sheet1!$H$7)*(Sheet1!$C$23*B13/Sheet1!$H$11+Sheet1!$C$25/(B13/Sheet1!$H$11))</f>
        <v>17.030791478704568</v>
      </c>
      <c r="F13">
        <f>Sheet1!$H$4*Sheet1!$H$6*Sheet1!$E$10/(Sheet1!$H$5*Sheet1!$H$7)*(Sheet1!$C$23*Sheet1!$E$8^2*Sheet1!$H$6/Sheet1!$H$10*B14+Sheet1!$C$25/(Sheet1!$H$6/Sheet1!$H$10*B14))</f>
        <v>17.78762547406696</v>
      </c>
      <c r="G13">
        <f>(Sheet1!E14*Sheet1!E16^2*Sheet1!H11)/2</f>
        <v>131259055434.16289</v>
      </c>
      <c r="H13">
        <v>2.5</v>
      </c>
      <c r="I13">
        <f t="shared" si="1"/>
        <v>2.0939553447016825</v>
      </c>
      <c r="J13">
        <f t="shared" si="2"/>
        <v>4.7578525591820714E-2</v>
      </c>
      <c r="K13">
        <f t="shared" si="3"/>
        <v>5.8717177134744891E-2</v>
      </c>
      <c r="L13">
        <f t="shared" si="4"/>
        <v>5.6218858523748763E-2</v>
      </c>
    </row>
    <row r="14" spans="2:14" x14ac:dyDescent="0.25">
      <c r="B14">
        <v>3</v>
      </c>
      <c r="C14">
        <f>Sheet1!$H$4*Sheet1!$H$6*Sheet1!$E$24/(Sheet1!$H$5*Sheet1!$H$7)*(Sheet1!$E$23/Sheet1!$H$9*B14+Sheet1!$C$25/(B14/Sheet1!$H$9+Sheet1!$C$26/Sheet1!$E$24))</f>
        <v>0.4764985906831834</v>
      </c>
      <c r="D14">
        <f>Sheet1!$H$4*Sheet1!$H$6*Sheet1!$E$10/(Sheet1!$H$5*Sheet1!$H$7)*(Sheet1!$C$23*B14/Sheet1!$H$10+Sheet1!$C$25/(B14/Sheet1!$H$10))</f>
        <v>17.520349047991953</v>
      </c>
      <c r="E14">
        <f>Sheet1!$H$4*Sheet1!$H$6*Sheet1!$E$10/(Sheet1!$H$5*Sheet1!$H$7)*(Sheet1!$C$23*B14/Sheet1!$H$11+Sheet1!$C$25/(B14/Sheet1!$H$11))</f>
        <v>14.199047861624694</v>
      </c>
      <c r="F14">
        <f>Sheet1!$H$4*Sheet1!$H$6*Sheet1!$E$10/(Sheet1!$H$5*Sheet1!$H$7)*(Sheet1!$C$23*Sheet1!$E$8^2*Sheet1!$H$6/Sheet1!$H$10*B15+Sheet1!$C$25/(Sheet1!$H$6/Sheet1!$H$10*B15))</f>
        <v>15.334779766063113</v>
      </c>
      <c r="G14">
        <f>(Sheet1!E15*Sheet1!E17^2*Sheet1!H12)/2</f>
        <v>0</v>
      </c>
      <c r="H14">
        <v>3</v>
      </c>
      <c r="I14">
        <f t="shared" si="1"/>
        <v>2.098642093707439</v>
      </c>
      <c r="J14">
        <f t="shared" si="2"/>
        <v>5.7076488445566231E-2</v>
      </c>
      <c r="K14">
        <f t="shared" si="3"/>
        <v>7.0427257499614995E-2</v>
      </c>
      <c r="L14">
        <f t="shared" si="4"/>
        <v>6.5211239760551792E-2</v>
      </c>
    </row>
    <row r="15" spans="2:14" x14ac:dyDescent="0.25">
      <c r="B15">
        <v>3.5</v>
      </c>
      <c r="C15">
        <f>Sheet1!$H$4*Sheet1!$H$6*Sheet1!$E$24/(Sheet1!$H$5*Sheet1!$H$7)*(Sheet1!$E$23/Sheet1!$H$9*B15+Sheet1!$C$25/(B15/Sheet1!$H$9+Sheet1!$C$26/Sheet1!$E$24))</f>
        <v>0.47555177004257915</v>
      </c>
      <c r="D15">
        <f>Sheet1!$H$4*Sheet1!$H$6*Sheet1!$E$10/(Sheet1!$H$5*Sheet1!$H$7)*(Sheet1!$C$23*B15/Sheet1!$H$10+Sheet1!$C$25/(B15/Sheet1!$H$10))</f>
        <v>15.022957268975604</v>
      </c>
      <c r="E15">
        <f>Sheet1!$H$4*Sheet1!$H$6*Sheet1!$E$10/(Sheet1!$H$5*Sheet1!$H$7)*(Sheet1!$C$23*B15/Sheet1!$H$11+Sheet1!$C$25/(B15/Sheet1!$H$11))</f>
        <v>12.177421376079984</v>
      </c>
      <c r="F15">
        <f>Sheet1!$H$4*Sheet1!$H$6*Sheet1!$E$10/(Sheet1!$H$5*Sheet1!$H$7)*(Sheet1!$C$23*Sheet1!$E$8^2*Sheet1!$H$6/Sheet1!$H$10*B16+Sheet1!$C$25/(Sheet1!$H$6/Sheet1!$H$10*B16))</f>
        <v>13.507024437330227</v>
      </c>
      <c r="G15">
        <f>(Sheet1!E16*Sheet1!E18^2*Sheet1!H13)/2</f>
        <v>0</v>
      </c>
      <c r="H15">
        <v>3.5</v>
      </c>
      <c r="I15">
        <f t="shared" si="1"/>
        <v>2.102820477170054</v>
      </c>
      <c r="J15">
        <f t="shared" si="2"/>
        <v>6.6564790280348618E-2</v>
      </c>
      <c r="K15">
        <f t="shared" si="3"/>
        <v>8.2119191667645863E-2</v>
      </c>
      <c r="L15">
        <f t="shared" si="4"/>
        <v>7.4035551252593881E-2</v>
      </c>
    </row>
    <row r="16" spans="2:14" x14ac:dyDescent="0.25">
      <c r="B16">
        <v>4</v>
      </c>
      <c r="C16">
        <f>Sheet1!$H$4*Sheet1!$H$6*Sheet1!$E$24/(Sheet1!$H$5*Sheet1!$H$7)*(Sheet1!$E$23/Sheet1!$H$9*B16+Sheet1!$C$25/(B16/Sheet1!$H$9+Sheet1!$C$26/Sheet1!$E$24))</f>
        <v>0.47472059977607112</v>
      </c>
      <c r="D16">
        <f>Sheet1!$H$4*Sheet1!$H$6*Sheet1!$E$10/(Sheet1!$H$5*Sheet1!$H$7)*(Sheet1!$C$23*B16/Sheet1!$H$10+Sheet1!$C$25/(B16/Sheet1!$H$10))</f>
        <v>13.150655869230215</v>
      </c>
      <c r="E16">
        <f>Sheet1!$H$4*Sheet1!$H$6*Sheet1!$E$10/(Sheet1!$H$5*Sheet1!$H$7)*(Sheet1!$C$23*B16/Sheet1!$H$11+Sheet1!$C$25/(B16/Sheet1!$H$11))</f>
        <v>10.662118097744754</v>
      </c>
      <c r="F16">
        <f>Sheet1!$H$4*Sheet1!$H$6*Sheet1!$E$10/(Sheet1!$H$5*Sheet1!$H$7)*(Sheet1!$C$23*Sheet1!$E$8^2*Sheet1!$H$6/Sheet1!$H$10*B17+Sheet1!$C$25/(Sheet1!$H$6/Sheet1!$H$10*B17))</f>
        <v>12.095996028111315</v>
      </c>
      <c r="G16">
        <f>(Sheet1!E17*Sheet1!E19^2*Sheet1!H14)/2</f>
        <v>0</v>
      </c>
      <c r="H16">
        <v>4</v>
      </c>
      <c r="I16">
        <f t="shared" si="1"/>
        <v>2.1065022256706505</v>
      </c>
      <c r="J16">
        <f t="shared" si="2"/>
        <v>7.6041834714859424E-2</v>
      </c>
      <c r="K16">
        <f t="shared" si="3"/>
        <v>9.3789994711418509E-2</v>
      </c>
      <c r="L16">
        <f t="shared" si="4"/>
        <v>8.2671984818445857E-2</v>
      </c>
    </row>
    <row r="17" spans="2:12" x14ac:dyDescent="0.25">
      <c r="B17">
        <v>4.5</v>
      </c>
      <c r="C17">
        <f>Sheet1!$H$4*Sheet1!$H$6*Sheet1!$E$24/(Sheet1!$H$5*Sheet1!$H$7)*(Sheet1!$E$23/Sheet1!$H$9*B17+Sheet1!$C$25/(B17/Sheet1!$H$9+Sheet1!$C$26/Sheet1!$E$24))</f>
        <v>0.47400121843544235</v>
      </c>
      <c r="D17">
        <f>Sheet1!$H$4*Sheet1!$H$6*Sheet1!$E$10/(Sheet1!$H$5*Sheet1!$H$7)*(Sheet1!$C$23*B17/Sheet1!$H$10+Sheet1!$C$25/(B17/Sheet1!$H$10))</f>
        <v>11.695081388998805</v>
      </c>
      <c r="E17">
        <f>Sheet1!$H$4*Sheet1!$H$6*Sheet1!$E$10/(Sheet1!$H$5*Sheet1!$H$7)*(Sheet1!$C$23*B17/Sheet1!$H$11+Sheet1!$C$25/(B17/Sheet1!$H$11))</f>
        <v>9.4843636242158453</v>
      </c>
      <c r="F17">
        <f>Sheet1!$H$4*Sheet1!$H$6*Sheet1!$E$10/(Sheet1!$H$5*Sheet1!$H$7)*(Sheet1!$C$23*Sheet1!$E$8^2*Sheet1!$H$6/Sheet1!$H$10*B18+Sheet1!$C$25/(Sheet1!$H$6/Sheet1!$H$10*B18))</f>
        <v>10.976676462552186</v>
      </c>
      <c r="G17">
        <f>(Sheet1!E18*Sheet1!E20^2*Sheet1!H15)/2</f>
        <v>0</v>
      </c>
      <c r="H17">
        <v>4.5</v>
      </c>
      <c r="I17">
        <f t="shared" si="1"/>
        <v>2.1096992182862864</v>
      </c>
      <c r="J17">
        <f t="shared" si="2"/>
        <v>8.5506031701555199E-2</v>
      </c>
      <c r="K17">
        <f t="shared" si="3"/>
        <v>0.10543669977464394</v>
      </c>
      <c r="L17">
        <f t="shared" si="4"/>
        <v>9.1102256991137553E-2</v>
      </c>
    </row>
    <row r="18" spans="2:12" x14ac:dyDescent="0.25">
      <c r="B18">
        <v>5</v>
      </c>
      <c r="C18">
        <f>Sheet1!$H$4*Sheet1!$H$6*Sheet1!$E$24/(Sheet1!$H$5*Sheet1!$H$7)*(Sheet1!$E$23/Sheet1!$H$9*B18+Sheet1!$C$25/(B18/Sheet1!$H$9+Sheet1!$C$26/Sheet1!$E$24))</f>
        <v>0.47338993458670681</v>
      </c>
      <c r="D18">
        <f>Sheet1!$H$4*Sheet1!$H$6*Sheet1!$E$10/(Sheet1!$H$5*Sheet1!$H$7)*(Sheet1!$C$23*B18/Sheet1!$H$10+Sheet1!$C$25/(B18/Sheet1!$H$10))</f>
        <v>10.531215752427173</v>
      </c>
      <c r="E18">
        <f>Sheet1!$H$4*Sheet1!$H$6*Sheet1!$E$10/(Sheet1!$H$5*Sheet1!$H$7)*(Sheet1!$C$23*B18/Sheet1!$H$11+Sheet1!$C$25/(B18/Sheet1!$H$11))</f>
        <v>8.5428933140513603</v>
      </c>
      <c r="F18">
        <f>Sheet1!$H$4*Sheet1!$H$6*Sheet1!$E$10/(Sheet1!$H$5*Sheet1!$H$7)*(Sheet1!$C$23*Sheet1!$E$8^2*Sheet1!$H$6/Sheet1!$H$10*B19+Sheet1!$C$25/(Sheet1!$H$6/Sheet1!$H$10*B19))</f>
        <v>10.069508783291084</v>
      </c>
      <c r="G18">
        <f>(Sheet1!E19*Sheet1!E21^2*Sheet1!H16)/2</f>
        <v>0</v>
      </c>
      <c r="H18">
        <v>5</v>
      </c>
      <c r="I18">
        <f t="shared" si="1"/>
        <v>2.1124234525033789</v>
      </c>
      <c r="J18">
        <f t="shared" si="2"/>
        <v>9.4955798410029338E-2</v>
      </c>
      <c r="K18">
        <f t="shared" si="3"/>
        <v>0.11705636056056078</v>
      </c>
      <c r="L18">
        <f t="shared" si="4"/>
        <v>9.9309710286896766E-2</v>
      </c>
    </row>
    <row r="19" spans="2:12" x14ac:dyDescent="0.25">
      <c r="B19">
        <v>5.5</v>
      </c>
      <c r="C19">
        <f>Sheet1!$H$4*Sheet1!$H$6*Sheet1!$E$24/(Sheet1!$H$5*Sheet1!$H$7)*(Sheet1!$E$23/Sheet1!$H$9*B19+Sheet1!$C$25/(B19/Sheet1!$H$9+Sheet1!$C$26/Sheet1!$E$24))</f>
        <v>0.47288321755511564</v>
      </c>
      <c r="D19">
        <f>Sheet1!$H$4*Sheet1!$H$6*Sheet1!$E$10/(Sheet1!$H$5*Sheet1!$H$7)*(Sheet1!$C$23*B19/Sheet1!$H$10+Sheet1!$C$25/(B19/Sheet1!$H$10))</f>
        <v>9.5795020021535677</v>
      </c>
      <c r="E19">
        <f>Sheet1!$H$4*Sheet1!$H$6*Sheet1!$E$10/(Sheet1!$H$5*Sheet1!$H$7)*(Sheet1!$C$23*B19/Sheet1!$H$11+Sheet1!$C$25/(B19/Sheet1!$H$11))</f>
        <v>7.7732660317882729</v>
      </c>
      <c r="F19">
        <f>Sheet1!$H$4*Sheet1!$H$6*Sheet1!$E$10/(Sheet1!$H$5*Sheet1!$H$7)*(Sheet1!$C$23*Sheet1!$E$8^2*Sheet1!$H$6/Sheet1!$H$10*B20+Sheet1!$C$25/(Sheet1!$H$6/Sheet1!$H$10*B20))</f>
        <v>9.3214550187534932</v>
      </c>
      <c r="G19">
        <f>(Sheet1!E20*Sheet1!E22^2*Sheet1!H17)/2</f>
        <v>0</v>
      </c>
      <c r="H19">
        <v>5.5</v>
      </c>
      <c r="I19">
        <f t="shared" si="1"/>
        <v>2.114687015475333</v>
      </c>
      <c r="J19">
        <f t="shared" si="2"/>
        <v>0.10438956010189152</v>
      </c>
      <c r="K19">
        <f t="shared" si="3"/>
        <v>0.12864605378364308</v>
      </c>
      <c r="L19">
        <f t="shared" si="4"/>
        <v>0.10727938910697275</v>
      </c>
    </row>
    <row r="20" spans="2:12" x14ac:dyDescent="0.25">
      <c r="B20">
        <v>6</v>
      </c>
      <c r="C20">
        <f>Sheet1!$H$4*Sheet1!$H$6*Sheet1!$E$24/(Sheet1!$H$5*Sheet1!$H$7)*(Sheet1!$E$23/Sheet1!$H$9*B20+Sheet1!$C$25/(B20/Sheet1!$H$9+Sheet1!$C$26/Sheet1!$E$24))</f>
        <v>0.47247768876822499</v>
      </c>
      <c r="D20">
        <f>Sheet1!$H$4*Sheet1!$H$6*Sheet1!$E$10/(Sheet1!$H$5*Sheet1!$H$7)*(Sheet1!$C$23*B20/Sheet1!$H$10+Sheet1!$C$25/(B20/Sheet1!$H$10))</f>
        <v>8.7869021666034772</v>
      </c>
      <c r="E20">
        <f>Sheet1!$H$4*Sheet1!$H$6*Sheet1!$E$10/(Sheet1!$H$5*Sheet1!$H$7)*(Sheet1!$C$23*B20/Sheet1!$H$11+Sheet1!$C$25/(B20/Sheet1!$H$11))</f>
        <v>7.1325210204512368</v>
      </c>
      <c r="F20">
        <f>Sheet1!$H$4*Sheet1!$H$6*Sheet1!$E$10/(Sheet1!$H$5*Sheet1!$H$7)*(Sheet1!$C$23*Sheet1!$E$8^2*Sheet1!$H$6/Sheet1!$H$10*B21+Sheet1!$C$25/(Sheet1!$H$6/Sheet1!$H$10*B21))</f>
        <v>8.695796573233995</v>
      </c>
      <c r="G20">
        <f>(Sheet1!E21*Sheet1!E23^2*Sheet1!H18)/2</f>
        <v>0</v>
      </c>
      <c r="H20">
        <v>6</v>
      </c>
      <c r="I20">
        <f t="shared" si="1"/>
        <v>2.1165020566517212</v>
      </c>
      <c r="J20">
        <f t="shared" si="2"/>
        <v>0.11380575099614929</v>
      </c>
      <c r="K20">
        <f t="shared" si="3"/>
        <v>0.14020288158039459</v>
      </c>
      <c r="L20">
        <f t="shared" si="4"/>
        <v>0.1149980903506919</v>
      </c>
    </row>
    <row r="21" spans="2:12" x14ac:dyDescent="0.25">
      <c r="B21">
        <v>6.5</v>
      </c>
      <c r="C21">
        <f>Sheet1!$H$4*Sheet1!$H$6*Sheet1!$E$24/(Sheet1!$H$5*Sheet1!$H$7)*(Sheet1!$E$23/Sheet1!$H$9*B21+Sheet1!$C$25/(B21/Sheet1!$H$9+Sheet1!$C$26/Sheet1!$E$24))</f>
        <v>0.4721701136524159</v>
      </c>
      <c r="D21">
        <f>Sheet1!$H$4*Sheet1!$H$6*Sheet1!$E$10/(Sheet1!$H$5*Sheet1!$H$7)*(Sheet1!$C$23*B21/Sheet1!$H$10+Sheet1!$C$25/(B21/Sheet1!$H$10))</f>
        <v>8.1166976500714796</v>
      </c>
      <c r="E21">
        <f>Sheet1!$H$4*Sheet1!$H$6*Sheet1!$E$10/(Sheet1!$H$5*Sheet1!$H$7)*(Sheet1!$C$23*B21/Sheet1!$H$11+Sheet1!$C$25/(B21/Sheet1!$H$11))</f>
        <v>6.5909162175188536</v>
      </c>
      <c r="F21">
        <f>Sheet1!$H$4*Sheet1!$H$6*Sheet1!$E$10/(Sheet1!$H$5*Sheet1!$H$7)*(Sheet1!$C$23*Sheet1!$E$8^2*Sheet1!$H$6/Sheet1!$H$10*B22+Sheet1!$C$25/(Sheet1!$H$6/Sheet1!$H$10*B22))</f>
        <v>8.1663058783715723</v>
      </c>
      <c r="G21">
        <f>(Sheet1!E22*Sheet1!E24^2*Sheet1!H19)/2</f>
        <v>0</v>
      </c>
      <c r="H21">
        <v>6.5</v>
      </c>
      <c r="I21">
        <f t="shared" si="1"/>
        <v>2.1178807617970961</v>
      </c>
      <c r="J21">
        <f t="shared" si="2"/>
        <v>0.12320281512410328</v>
      </c>
      <c r="K21">
        <f t="shared" si="3"/>
        <v>0.15172397387512981</v>
      </c>
      <c r="L21">
        <f t="shared" si="4"/>
        <v>0.12245438940127089</v>
      </c>
    </row>
    <row r="22" spans="2:12" x14ac:dyDescent="0.25">
      <c r="B22">
        <v>7</v>
      </c>
      <c r="C22">
        <f>Sheet1!$H$4*Sheet1!$H$6*Sheet1!$E$24/(Sheet1!$H$5*Sheet1!$H$7)*(Sheet1!$E$23/Sheet1!$H$9*B22+Sheet1!$C$25/(B22/Sheet1!$H$9+Sheet1!$C$26/Sheet1!$E$24))</f>
        <v>0.47195739404202447</v>
      </c>
      <c r="D22">
        <f>Sheet1!$H$4*Sheet1!$H$6*Sheet1!$E$10/(Sheet1!$H$5*Sheet1!$H$7)*(Sheet1!$C$23*B22/Sheet1!$H$10+Sheet1!$C$25/(B22/Sheet1!$H$10))</f>
        <v>7.542660884196553</v>
      </c>
      <c r="E22">
        <f>Sheet1!$H$4*Sheet1!$H$6*Sheet1!$E$10/(Sheet1!$H$5*Sheet1!$H$7)*(Sheet1!$C$23*B22/Sheet1!$H$11+Sheet1!$C$25/(B22/Sheet1!$H$11))</f>
        <v>6.1272072926186967</v>
      </c>
      <c r="F22">
        <f>Sheet1!$H$4*Sheet1!$H$6*Sheet1!$E$10/(Sheet1!$H$5*Sheet1!$H$7)*(Sheet1!$C$23*Sheet1!$E$8^2*Sheet1!$H$6/Sheet1!$H$10*B23+Sheet1!$C$25/(Sheet1!$H$6/Sheet1!$H$10*B23))</f>
        <v>7.713749384034803</v>
      </c>
      <c r="G22">
        <f>(Sheet1!E23*Sheet1!E25^2*Sheet1!H20)/2</f>
        <v>0</v>
      </c>
      <c r="H22">
        <v>7</v>
      </c>
      <c r="I22">
        <f t="shared" si="1"/>
        <v>2.1188353284088119</v>
      </c>
      <c r="J22">
        <f t="shared" si="2"/>
        <v>0.13257920717279076</v>
      </c>
      <c r="K22">
        <f t="shared" si="3"/>
        <v>0.1632064906967774</v>
      </c>
      <c r="L22">
        <f t="shared" si="4"/>
        <v>0.12963864266444883</v>
      </c>
    </row>
    <row r="23" spans="2:12" x14ac:dyDescent="0.25">
      <c r="B23">
        <v>7.5</v>
      </c>
      <c r="C23">
        <f>Sheet1!$H$4*Sheet1!$H$6*Sheet1!$E$24/(Sheet1!$H$5*Sheet1!$H$7)*(Sheet1!$E$23/Sheet1!$H$9*B23+Sheet1!$C$25/(B23/Sheet1!$H$9+Sheet1!$C$26/Sheet1!$E$24))</f>
        <v>0.47183656106364169</v>
      </c>
      <c r="D23">
        <f>Sheet1!$H$4*Sheet1!$H$6*Sheet1!$E$10/(Sheet1!$H$5*Sheet1!$H$7)*(Sheet1!$C$23*B23/Sheet1!$H$10+Sheet1!$C$25/(B23/Sheet1!$H$10))</f>
        <v>7.0455583188472826</v>
      </c>
      <c r="E23">
        <f>Sheet1!$H$4*Sheet1!$H$6*Sheet1!$E$10/(Sheet1!$H$5*Sheet1!$H$7)*(Sheet1!$C$23*B23/Sheet1!$H$11+Sheet1!$C$25/(B23/Sheet1!$H$11))</f>
        <v>5.7258150701443231</v>
      </c>
      <c r="F23">
        <f>Sheet1!$H$4*Sheet1!$H$6*Sheet1!$E$10/(Sheet1!$H$5*Sheet1!$H$7)*(Sheet1!$C$23*Sheet1!$E$8^2*Sheet1!$H$6/Sheet1!$H$10*B24+Sheet1!$C$25/(Sheet1!$H$6/Sheet1!$H$10*B24))</f>
        <v>7.3237019276251303</v>
      </c>
      <c r="G23">
        <f>(Sheet1!E24*Sheet1!E26^2*Sheet1!H21)/2</f>
        <v>0</v>
      </c>
      <c r="H23">
        <v>7.5</v>
      </c>
      <c r="I23">
        <f t="shared" si="1"/>
        <v>2.1193779425353161</v>
      </c>
      <c r="J23">
        <f t="shared" si="2"/>
        <v>0.14193339331603305</v>
      </c>
      <c r="K23">
        <f t="shared" si="3"/>
        <v>0.17464762444288903</v>
      </c>
      <c r="L23">
        <f t="shared" si="4"/>
        <v>0.13654296828056078</v>
      </c>
    </row>
    <row r="24" spans="2:12" x14ac:dyDescent="0.25">
      <c r="B24">
        <v>8</v>
      </c>
      <c r="C24">
        <f>Sheet1!$H$4*Sheet1!$H$6*Sheet1!$E$24/(Sheet1!$H$5*Sheet1!$H$7)*(Sheet1!$E$23/Sheet1!$H$9*B24+Sheet1!$C$25/(B24/Sheet1!$H$9+Sheet1!$C$26/Sheet1!$E$24))</f>
        <v>0.47180476846124247</v>
      </c>
      <c r="D24">
        <f>Sheet1!$H$4*Sheet1!$H$6*Sheet1!$E$10/(Sheet1!$H$5*Sheet1!$H$7)*(Sheet1!$C$23*B24/Sheet1!$H$10+Sheet1!$C$25/(B24/Sheet1!$H$10))</f>
        <v>6.6109647914251086</v>
      </c>
      <c r="E24">
        <f>Sheet1!$H$4*Sheet1!$H$6*Sheet1!$E$10/(Sheet1!$H$5*Sheet1!$H$7)*(Sheet1!$C$23*B24/Sheet1!$H$11+Sheet1!$C$25/(B24/Sheet1!$H$11))</f>
        <v>5.3750551683908974</v>
      </c>
      <c r="F24">
        <f>Sheet1!$H$4*Sheet1!$H$6*Sheet1!$E$10/(Sheet1!$H$5*Sheet1!$H$7)*(Sheet1!$C$23*Sheet1!$E$8^2*Sheet1!$H$6/Sheet1!$H$10*B25+Sheet1!$C$25/(Sheet1!$H$6/Sheet1!$H$10*B25))</f>
        <v>6.9851325024495372</v>
      </c>
      <c r="G24">
        <f>(Sheet1!E25*Sheet1!E27^2*Sheet1!H22)/2</f>
        <v>0</v>
      </c>
      <c r="H24">
        <v>8</v>
      </c>
      <c r="I24">
        <f t="shared" si="1"/>
        <v>2.119520756989016</v>
      </c>
      <c r="J24">
        <f t="shared" si="2"/>
        <v>0.15126385203216799</v>
      </c>
      <c r="K24">
        <f t="shared" si="3"/>
        <v>0.18604460208719401</v>
      </c>
      <c r="L24">
        <f t="shared" si="4"/>
        <v>0.1431612069848813</v>
      </c>
    </row>
    <row r="25" spans="2:12" x14ac:dyDescent="0.25">
      <c r="B25">
        <v>8.5</v>
      </c>
      <c r="C25">
        <f>Sheet1!$H$4*Sheet1!$H$6*Sheet1!$E$24/(Sheet1!$H$5*Sheet1!$H$7)*(Sheet1!$E$23/Sheet1!$H$9*B25+Sheet1!$C$25/(B25/Sheet1!$H$9+Sheet1!$C$26/Sheet1!$E$24))</f>
        <v>0.47185928633060648</v>
      </c>
      <c r="D25">
        <f>Sheet1!$H$4*Sheet1!$H$6*Sheet1!$E$10/(Sheet1!$H$5*Sheet1!$H$7)*(Sheet1!$C$23*B25/Sheet1!$H$10+Sheet1!$C$25/(B25/Sheet1!$H$10))</f>
        <v>6.2278492952370144</v>
      </c>
      <c r="E25">
        <f>Sheet1!$H$4*Sheet1!$H$6*Sheet1!$E$10/(Sheet1!$H$5*Sheet1!$H$7)*(Sheet1!$C$23*B25/Sheet1!$H$11+Sheet1!$C$25/(B25/Sheet1!$H$11))</f>
        <v>5.0659924719370757</v>
      </c>
      <c r="F25">
        <f>Sheet1!$H$4*Sheet1!$H$6*Sheet1!$E$10/(Sheet1!$H$5*Sheet1!$H$7)*(Sheet1!$C$23*Sheet1!$E$8^2*Sheet1!$H$6/Sheet1!$H$10*B26+Sheet1!$C$25/(Sheet1!$H$6/Sheet1!$H$10*B26))</f>
        <v>6.6894614366356766</v>
      </c>
      <c r="G25">
        <f>(Sheet1!E26*Sheet1!E28^2*Sheet1!H23)/2</f>
        <v>0</v>
      </c>
      <c r="H25">
        <v>8.5</v>
      </c>
      <c r="I25">
        <f t="shared" si="1"/>
        <v>2.1192758709412232</v>
      </c>
      <c r="J25">
        <f t="shared" si="2"/>
        <v>0.16056907490757494</v>
      </c>
      <c r="K25">
        <f t="shared" si="3"/>
        <v>0.1973946873272063</v>
      </c>
      <c r="L25">
        <f t="shared" si="4"/>
        <v>0.14948886535519501</v>
      </c>
    </row>
    <row r="26" spans="2:12" x14ac:dyDescent="0.25">
      <c r="B26">
        <v>9</v>
      </c>
      <c r="C26">
        <f>Sheet1!$H$4*Sheet1!$H$6*Sheet1!$E$24/(Sheet1!$H$5*Sheet1!$H$7)*(Sheet1!$E$23/Sheet1!$H$9*B26+Sheet1!$C$25/(B26/Sheet1!$H$9+Sheet1!$C$26/Sheet1!$E$24))</f>
        <v>0.4719974952340476</v>
      </c>
      <c r="D26">
        <f>Sheet1!$H$4*Sheet1!$H$6*Sheet1!$E$10/(Sheet1!$H$5*Sheet1!$H$7)*(Sheet1!$C$23*B26/Sheet1!$H$10+Sheet1!$C$25/(B26/Sheet1!$H$10))</f>
        <v>5.8876321584106535</v>
      </c>
      <c r="E26">
        <f>Sheet1!$H$4*Sheet1!$H$6*Sheet1!$E$10/(Sheet1!$H$5*Sheet1!$H$7)*(Sheet1!$C$23*B26/Sheet1!$H$11+Sheet1!$C$25/(B26/Sheet1!$H$11))</f>
        <v>4.7916774465662577</v>
      </c>
      <c r="F26">
        <f>Sheet1!$H$4*Sheet1!$H$6*Sheet1!$E$10/(Sheet1!$H$5*Sheet1!$H$7)*(Sheet1!$C$23*Sheet1!$E$8^2*Sheet1!$H$6/Sheet1!$H$10*B27+Sheet1!$C$25/(Sheet1!$H$6/Sheet1!$H$10*B27))</f>
        <v>6.4299153050211695</v>
      </c>
      <c r="G26">
        <f>(Sheet1!E27*Sheet1!E29^2*Sheet1!H24)/2</f>
        <v>0</v>
      </c>
      <c r="H26">
        <v>9</v>
      </c>
      <c r="I26">
        <f t="shared" si="1"/>
        <v>2.118655310880694</v>
      </c>
      <c r="J26">
        <f t="shared" si="2"/>
        <v>0.16984756742512708</v>
      </c>
      <c r="K26">
        <f t="shared" si="3"/>
        <v>0.20869518266856746</v>
      </c>
      <c r="L26">
        <f t="shared" si="4"/>
        <v>0.15552304386017221</v>
      </c>
    </row>
    <row r="27" spans="2:12" x14ac:dyDescent="0.25">
      <c r="B27">
        <v>9.5</v>
      </c>
      <c r="C27">
        <f>Sheet1!$H$4*Sheet1!$H$6*Sheet1!$E$24/(Sheet1!$H$5*Sheet1!$H$7)*(Sheet1!$E$23/Sheet1!$H$9*B27+Sheet1!$C$25/(B27/Sheet1!$H$9+Sheet1!$C$26/Sheet1!$E$24))</f>
        <v>0.47221688066878931</v>
      </c>
      <c r="D27">
        <f>Sheet1!$H$4*Sheet1!$H$6*Sheet1!$E$10/(Sheet1!$H$5*Sheet1!$H$7)*(Sheet1!$C$23*B27/Sheet1!$H$10+Sheet1!$C$25/(B27/Sheet1!$H$10))</f>
        <v>5.5835399557836451</v>
      </c>
      <c r="E27">
        <f>Sheet1!$H$4*Sheet1!$H$6*Sheet1!$E$10/(Sheet1!$H$5*Sheet1!$H$7)*(Sheet1!$C$23*B27/Sheet1!$H$11+Sheet1!$C$25/(B27/Sheet1!$H$11))</f>
        <v>4.5466236178969162</v>
      </c>
      <c r="F27">
        <f>Sheet1!$H$4*Sheet1!$H$6*Sheet1!$E$10/(Sheet1!$H$5*Sheet1!$H$7)*(Sheet1!$C$23*Sheet1!$E$8^2*Sheet1!$H$6/Sheet1!$H$10*B28+Sheet1!$C$25/(Sheet1!$H$6/Sheet1!$H$10*B28))</f>
        <v>6.2010753674761148</v>
      </c>
      <c r="G27">
        <f>(Sheet1!E28*Sheet1!E30^2*Sheet1!H25)/2</f>
        <v>0</v>
      </c>
      <c r="H27">
        <v>9.5</v>
      </c>
      <c r="I27">
        <f t="shared" si="1"/>
        <v>2.1176710129119574</v>
      </c>
      <c r="J27">
        <f t="shared" si="2"/>
        <v>0.17909784973673584</v>
      </c>
      <c r="K27">
        <f t="shared" si="3"/>
        <v>0.2199434314429923</v>
      </c>
      <c r="L27">
        <f t="shared" si="4"/>
        <v>0.16126235221150162</v>
      </c>
    </row>
    <row r="28" spans="2:12" x14ac:dyDescent="0.25">
      <c r="B28">
        <v>10</v>
      </c>
      <c r="C28">
        <f>Sheet1!$H$4*Sheet1!$H$6*Sheet1!$E$24/(Sheet1!$H$5*Sheet1!$H$7)*(Sheet1!$E$23/Sheet1!$H$9*B28+Sheet1!$C$25/(B28/Sheet1!$H$9+Sheet1!$C$26/Sheet1!$E$24))</f>
        <v>0.47251502786444077</v>
      </c>
      <c r="D28">
        <f>Sheet1!$H$4*Sheet1!$H$6*Sheet1!$E$10/(Sheet1!$H$5*Sheet1!$H$7)*(Sheet1!$C$23*B28/Sheet1!$H$10+Sheet1!$C$25/(B28/Sheet1!$H$10))</f>
        <v>5.3101539472260875</v>
      </c>
      <c r="E28">
        <f>Sheet1!$H$4*Sheet1!$H$6*Sheet1!$E$10/(Sheet1!$H$5*Sheet1!$H$7)*(Sheet1!$C$23*B28/Sheet1!$H$11+Sheet1!$C$25/(B28/Sheet1!$H$11))</f>
        <v>4.326441806423829</v>
      </c>
      <c r="F28">
        <f>Sheet1!$H$4*Sheet1!$H$6*Sheet1!$E$10/(Sheet1!$H$5*Sheet1!$H$7)*(Sheet1!$C$23*Sheet1!$E$8^2*Sheet1!$H$6/Sheet1!$H$10*B30+Sheet1!$C$25/(Sheet1!$H$6/Sheet1!$H$10*B30))</f>
        <v>5.9985550248477315</v>
      </c>
      <c r="G28">
        <f>(Sheet1!E29*Sheet1!E31^2*Sheet1!H26)/2</f>
        <v>0</v>
      </c>
      <c r="H28">
        <v>10</v>
      </c>
      <c r="I28">
        <f t="shared" si="1"/>
        <v>2.116334806364907</v>
      </c>
      <c r="J28">
        <f t="shared" si="2"/>
        <v>0.18831845741918254</v>
      </c>
      <c r="K28">
        <f t="shared" si="3"/>
        <v>0.23113681975687655</v>
      </c>
      <c r="L28">
        <f t="shared" si="4"/>
        <v>0.16670681453411929</v>
      </c>
    </row>
    <row r="29" spans="2:12" x14ac:dyDescent="0.25">
      <c r="B29">
        <f>Sheet1!$E$20</f>
        <v>10.454545454545453</v>
      </c>
      <c r="C29">
        <f>Sheet1!$H$4*Sheet1!$H$6*Sheet1!$E$24/(Sheet1!$H$5*Sheet1!$H$7)*(Sheet1!$E$23/Sheet1!$H$9*B29+Sheet1!$C$25/(B29/Sheet1!$H$9+Sheet1!$C$26/Sheet1!$E$24))</f>
        <v>0.47285246384729196</v>
      </c>
      <c r="D29">
        <f>Sheet1!$H$4*Sheet1!$H$6*Sheet1!$E$10/(Sheet1!$H$5*Sheet1!$H$7)*(Sheet1!$C$23*B29/Sheet1!$H$10+Sheet1!$C$25/(B29/Sheet1!$H$10))</f>
        <v>5.0845598314588472</v>
      </c>
      <c r="E29">
        <f>Sheet1!$H$4*Sheet1!$H$6*Sheet1!$E$10/(Sheet1!$H$5*Sheet1!$H$7)*(Sheet1!$C$23*B29/Sheet1!$H$11+Sheet1!$C$25/(B29/Sheet1!$H$11))</f>
        <v>4.1448568048873966</v>
      </c>
      <c r="F29">
        <f>Sheet1!$H$4*Sheet1!$H$6*Sheet1!$E$10/(Sheet1!$H$5*Sheet1!$H$7)*(Sheet1!$C$23*Sheet1!$E$8^2*Sheet1!$H$6/Sheet1!$H$10*B31+Sheet1!$C$25/(Sheet1!$H$6/Sheet1!$H$10*B31))</f>
        <v>5.8187652414655648</v>
      </c>
      <c r="G29">
        <f>(Sheet1!E30*Sheet1!E32^2*Sheet1!H27)/2</f>
        <v>0</v>
      </c>
      <c r="H29">
        <v>11</v>
      </c>
      <c r="I29">
        <f>1/C29</f>
        <v>2.1148245519620485</v>
      </c>
      <c r="J29">
        <f>1/D29</f>
        <v>0.1966738583373269</v>
      </c>
      <c r="K29">
        <f>1/E29</f>
        <v>0.24126285830208966</v>
      </c>
      <c r="L29">
        <f>1/F29</f>
        <v>0.17185776681173193</v>
      </c>
    </row>
    <row r="30" spans="2:12" x14ac:dyDescent="0.25">
      <c r="B30">
        <v>10.5</v>
      </c>
      <c r="C30">
        <f>Sheet1!$H$4*Sheet1!$H$6*Sheet1!$E$24/(Sheet1!$H$5*Sheet1!$H$7)*(Sheet1!$E$23/Sheet1!$H$9*B30+Sheet1!$C$25/(B30/Sheet1!$H$9+Sheet1!$C$26/Sheet1!$E$24))</f>
        <v>0.47288961688695474</v>
      </c>
      <c r="D30">
        <f>Sheet1!$H$4*Sheet1!$H$6*Sheet1!$E$10/(Sheet1!$H$5*Sheet1!$H$7)*(Sheet1!$C$23*B30/Sheet1!$H$10+Sheet1!$C$25/(B30/Sheet1!$H$10))</f>
        <v>5.063087533585203</v>
      </c>
      <c r="E30">
        <f>Sheet1!$H$4*Sheet1!$H$6*Sheet1!$E$10/(Sheet1!$H$5*Sheet1!$H$7)*(Sheet1!$C$23*B30/Sheet1!$H$11+Sheet1!$C$25/(B30/Sheet1!$H$11))</f>
        <v>4.1275788668332476</v>
      </c>
      <c r="F30">
        <f>Sheet1!$H$4*Sheet1!$H$6*Sheet1!$E$10/(Sheet1!$H$5*Sheet1!$H$7)*(Sheet1!$C$23*Sheet1!$E$8^2*Sheet1!$H$6/Sheet1!$H$10*B31+Sheet1!$C$25/(Sheet1!$H$6/Sheet1!$H$10*B31))</f>
        <v>5.8187652414655648</v>
      </c>
      <c r="G30">
        <f>(Sheet1!E30*Sheet1!E32^2*Sheet1!H27)/2</f>
        <v>0</v>
      </c>
      <c r="H30">
        <v>10.5</v>
      </c>
      <c r="I30">
        <f t="shared" si="1"/>
        <v>2.1146583986830314</v>
      </c>
      <c r="J30">
        <f t="shared" si="2"/>
        <v>0.19750794221246534</v>
      </c>
      <c r="K30">
        <f t="shared" si="3"/>
        <v>0.24227277836782266</v>
      </c>
      <c r="L30">
        <f t="shared" si="4"/>
        <v>0.17185776681173193</v>
      </c>
    </row>
    <row r="31" spans="2:12" x14ac:dyDescent="0.25">
      <c r="B31">
        <v>11</v>
      </c>
      <c r="C31">
        <f>Sheet1!$H$4*Sheet1!$H$6*Sheet1!$E$24/(Sheet1!$H$5*Sheet1!$H$7)*(Sheet1!$E$23/Sheet1!$H$9*B31+Sheet1!$C$25/(B31/Sheet1!$H$9+Sheet1!$C$26/Sheet1!$E$24))</f>
        <v>0.47333841802820686</v>
      </c>
      <c r="D31">
        <f>Sheet1!$H$4*Sheet1!$H$6*Sheet1!$E$10/(Sheet1!$H$5*Sheet1!$H$7)*(Sheet1!$C$23*B31/Sheet1!$H$10+Sheet1!$C$25/(B31/Sheet1!$H$10))</f>
        <v>4.8387516791905352</v>
      </c>
      <c r="E31">
        <f>Sheet1!$H$4*Sheet1!$H$6*Sheet1!$E$10/(Sheet1!$H$5*Sheet1!$H$7)*(Sheet1!$C$23*B31/Sheet1!$H$11+Sheet1!$C$25/(B31/Sheet1!$H$11))</f>
        <v>3.9471276802321014</v>
      </c>
      <c r="F31">
        <f>Sheet1!$H$4*Sheet1!$H$6*Sheet1!$E$10/(Sheet1!$H$5*Sheet1!$H$7)*(Sheet1!$C$23*Sheet1!$E$8^2*Sheet1!$H$6/Sheet1!$H$10*B32+Sheet1!$C$25/(Sheet1!$H$6/Sheet1!$H$10*B32))</f>
        <v>5.6587411617757599</v>
      </c>
      <c r="G31">
        <v>15.7</v>
      </c>
      <c r="H31">
        <v>11</v>
      </c>
      <c r="I31">
        <f t="shared" si="1"/>
        <v>2.112653361554119</v>
      </c>
      <c r="J31">
        <f t="shared" si="2"/>
        <v>0.20666487273992287</v>
      </c>
      <c r="K31">
        <f t="shared" si="3"/>
        <v>0.25334878448654524</v>
      </c>
      <c r="L31">
        <f t="shared" si="4"/>
        <v>0.17671774895004946</v>
      </c>
    </row>
    <row r="32" spans="2:12" x14ac:dyDescent="0.25">
      <c r="B32">
        <v>11.5</v>
      </c>
      <c r="C32">
        <f>Sheet1!$H$4*Sheet1!$H$6*Sheet1!$E$24/(Sheet1!$H$5*Sheet1!$H$7)*(Sheet1!$E$23/Sheet1!$H$9*B32+Sheet1!$C$25/(B32/Sheet1!$H$9+Sheet1!$C$26/Sheet1!$E$24))</f>
        <v>0.47385928746194544</v>
      </c>
      <c r="D32">
        <f>Sheet1!$H$4*Sheet1!$H$6*Sheet1!$E$10/(Sheet1!$H$5*Sheet1!$H$7)*(Sheet1!$C$23*B32/Sheet1!$H$10+Sheet1!$C$25/(B32/Sheet1!$H$10))</f>
        <v>4.6341815284882282</v>
      </c>
      <c r="E32">
        <f>Sheet1!$H$4*Sheet1!$H$6*Sheet1!$E$10/(Sheet1!$H$5*Sheet1!$H$7)*(Sheet1!$C$23*B32/Sheet1!$H$11+Sheet1!$C$25/(B32/Sheet1!$H$11))</f>
        <v>3.7826867136217688</v>
      </c>
      <c r="F32">
        <f>Sheet1!$H$4*Sheet1!$H$6*Sheet1!$E$10/(Sheet1!$H$5*Sheet1!$H$7)*(Sheet1!$C$23*Sheet1!$E$8^2*Sheet1!$H$6/Sheet1!$H$10*B33+Sheet1!$C$25/(Sheet1!$H$6/Sheet1!$H$10*B33))</f>
        <v>5.5160120728167721</v>
      </c>
      <c r="G32">
        <v>15.7</v>
      </c>
      <c r="H32">
        <v>11.5</v>
      </c>
      <c r="I32">
        <f t="shared" si="1"/>
        <v>2.1103311182442694</v>
      </c>
      <c r="J32">
        <f t="shared" si="2"/>
        <v>0.21578783520942951</v>
      </c>
      <c r="K32">
        <f t="shared" si="3"/>
        <v>0.26436236350182452</v>
      </c>
      <c r="L32">
        <f t="shared" si="4"/>
        <v>0.18129039363928481</v>
      </c>
    </row>
    <row r="33" spans="2:12" x14ac:dyDescent="0.25">
      <c r="B33">
        <v>12</v>
      </c>
      <c r="C33">
        <f>Sheet1!$H$4*Sheet1!$H$6*Sheet1!$E$24/(Sheet1!$H$5*Sheet1!$H$7)*(Sheet1!$E$23/Sheet1!$H$9*B33+Sheet1!$C$25/(B33/Sheet1!$H$9+Sheet1!$C$26/Sheet1!$E$24))</f>
        <v>0.47445016314832855</v>
      </c>
      <c r="D33">
        <f>Sheet1!$H$4*Sheet1!$H$6*Sheet1!$E$10/(Sheet1!$H$5*Sheet1!$H$7)*(Sheet1!$C$23*B33/Sheet1!$H$10+Sheet1!$C$25/(B33/Sheet1!$H$10))</f>
        <v>4.44690636851674</v>
      </c>
      <c r="E33">
        <f>Sheet1!$H$4*Sheet1!$H$6*Sheet1!$E$10/(Sheet1!$H$5*Sheet1!$H$7)*(Sheet1!$C$23*B33/Sheet1!$H$11+Sheet1!$C$25/(B33/Sheet1!$H$11))</f>
        <v>3.632254689503398</v>
      </c>
      <c r="F33">
        <f>Sheet1!$H$4*Sheet1!$H$6*Sheet1!$E$10/(Sheet1!$H$5*Sheet1!$H$7)*(Sheet1!$C$23*Sheet1!$E$8^2*Sheet1!$H$6/Sheet1!$H$10*B34+Sheet1!$C$25/(Sheet1!$H$6/Sheet1!$H$10*B34))</f>
        <v>5.3885025757009037</v>
      </c>
      <c r="G33">
        <v>15.7</v>
      </c>
      <c r="H33">
        <v>12</v>
      </c>
      <c r="I33">
        <f t="shared" si="1"/>
        <v>2.1077029320935599</v>
      </c>
      <c r="J33">
        <f t="shared" si="2"/>
        <v>0.22487543409499505</v>
      </c>
      <c r="K33">
        <f t="shared" si="3"/>
        <v>0.27531109062638998</v>
      </c>
      <c r="L33">
        <f t="shared" si="4"/>
        <v>0.18558031400215599</v>
      </c>
    </row>
    <row r="34" spans="2:12" x14ac:dyDescent="0.25">
      <c r="B34">
        <v>12.5</v>
      </c>
      <c r="C34">
        <f>Sheet1!$H$4*Sheet1!$H$6*Sheet1!$E$24/(Sheet1!$H$5*Sheet1!$H$7)*(Sheet1!$E$23/Sheet1!$H$9*B34+Sheet1!$C$25/(B34/Sheet1!$H$9+Sheet1!$C$26/Sheet1!$E$24))</f>
        <v>0.47510906097060657</v>
      </c>
      <c r="D34">
        <f>Sheet1!$H$4*Sheet1!$H$6*Sheet1!$E$10/(Sheet1!$H$5*Sheet1!$H$7)*(Sheet1!$C$23*B34/Sheet1!$H$10+Sheet1!$C$25/(B34/Sheet1!$H$10))</f>
        <v>4.2748508003883705</v>
      </c>
      <c r="E34">
        <f>Sheet1!$H$4*Sheet1!$H$6*Sheet1!$E$10/(Sheet1!$H$5*Sheet1!$H$7)*(Sheet1!$C$23*B34/Sheet1!$H$11+Sheet1!$C$25/(B34/Sheet1!$H$11))</f>
        <v>3.4941505347779538</v>
      </c>
      <c r="F34">
        <f>Sheet1!$H$4*Sheet1!$H$6*Sheet1!$E$10/(Sheet1!$H$5*Sheet1!$H$7)*(Sheet1!$C$23*Sheet1!$E$8^2*Sheet1!$H$6/Sheet1!$H$10*B35+Sheet1!$C$25/(Sheet1!$H$6/Sheet1!$H$10*B35))</f>
        <v>5.2744565636770258</v>
      </c>
      <c r="G34">
        <v>15.7</v>
      </c>
      <c r="H34">
        <v>12.5</v>
      </c>
      <c r="I34">
        <f t="shared" si="1"/>
        <v>2.1047798961297155</v>
      </c>
      <c r="J34">
        <f t="shared" si="2"/>
        <v>0.23392629279813693</v>
      </c>
      <c r="K34">
        <f t="shared" si="3"/>
        <v>0.28619259246183221</v>
      </c>
      <c r="L34">
        <f t="shared" si="4"/>
        <v>0.18959299179494271</v>
      </c>
    </row>
    <row r="35" spans="2:12" x14ac:dyDescent="0.25">
      <c r="B35">
        <v>13</v>
      </c>
      <c r="C35">
        <f>Sheet1!$H$4*Sheet1!$H$6*Sheet1!$E$24/(Sheet1!$H$5*Sheet1!$H$7)*(Sheet1!$E$23/Sheet1!$H$9*B35+Sheet1!$C$25/(B35/Sheet1!$H$9+Sheet1!$C$26/Sheet1!$E$24))</f>
        <v>0.47583407108874509</v>
      </c>
      <c r="D35">
        <f>Sheet1!$H$4*Sheet1!$H$6*Sheet1!$E$10/(Sheet1!$H$5*Sheet1!$H$7)*(Sheet1!$C$23*B35/Sheet1!$H$10+Sheet1!$C$25/(B35/Sheet1!$H$10))</f>
        <v>4.1162587173519913</v>
      </c>
      <c r="E35">
        <f>Sheet1!$H$4*Sheet1!$H$6*Sheet1!$E$10/(Sheet1!$H$5*Sheet1!$H$7)*(Sheet1!$C$23*B35/Sheet1!$H$11+Sheet1!$C$25/(B35/Sheet1!$H$11))</f>
        <v>3.3669518029770216</v>
      </c>
      <c r="F35">
        <f>Sheet1!$H$4*Sheet1!$H$6*Sheet1!$E$10/(Sheet1!$H$5*Sheet1!$H$7)*(Sheet1!$C$23*Sheet1!$E$8^2*Sheet1!$H$6/Sheet1!$H$10*B36+Sheet1!$C$25/(Sheet1!$H$6/Sheet1!$H$10*B36))</f>
        <v>5.1723780939571391</v>
      </c>
      <c r="G35">
        <v>15.7</v>
      </c>
      <c r="H35">
        <v>13</v>
      </c>
      <c r="I35">
        <f t="shared" si="1"/>
        <v>2.1015729237545409</v>
      </c>
      <c r="J35">
        <f t="shared" si="2"/>
        <v>0.24293905428843032</v>
      </c>
      <c r="K35">
        <f t="shared" si="3"/>
        <v>0.29700454848085767</v>
      </c>
      <c r="L35">
        <f t="shared" si="4"/>
        <v>0.19333466769730048</v>
      </c>
    </row>
    <row r="36" spans="2:12" x14ac:dyDescent="0.25">
      <c r="B36">
        <v>13.5</v>
      </c>
      <c r="C36">
        <f>Sheet1!$H$4*Sheet1!$H$6*Sheet1!$E$24/(Sheet1!$H$5*Sheet1!$H$7)*(Sheet1!$E$23/Sheet1!$H$9*B36+Sheet1!$C$25/(B36/Sheet1!$H$9+Sheet1!$C$26/Sheet1!$E$24))</f>
        <v>0.47662335449590498</v>
      </c>
      <c r="D36">
        <f>Sheet1!$H$4*Sheet1!$H$6*Sheet1!$E$10/(Sheet1!$H$5*Sheet1!$H$7)*(Sheet1!$C$23*B36/Sheet1!$H$10+Sheet1!$C$25/(B36/Sheet1!$H$10))</f>
        <v>3.969634176619603</v>
      </c>
      <c r="E36">
        <f>Sheet1!$H$4*Sheet1!$H$6*Sheet1!$E$10/(Sheet1!$H$5*Sheet1!$H$7)*(Sheet1!$C$23*B36/Sheet1!$H$11+Sheet1!$C$25/(B36/Sheet1!$H$11))</f>
        <v>3.2494467804423213</v>
      </c>
      <c r="F36">
        <f>Sheet1!$H$4*Sheet1!$H$6*Sheet1!$E$10/(Sheet1!$H$5*Sheet1!$H$7)*(Sheet1!$C$23*Sheet1!$E$8^2*Sheet1!$H$6/Sheet1!$H$10*B37+Sheet1!$C$25/(Sheet1!$H$6/Sheet1!$H$10*B37))</f>
        <v>5.0809849298658154</v>
      </c>
      <c r="G36">
        <v>15.7</v>
      </c>
      <c r="H36">
        <v>13.5</v>
      </c>
      <c r="I36">
        <f t="shared" si="1"/>
        <v>2.0980927404567451</v>
      </c>
      <c r="J36">
        <f t="shared" si="2"/>
        <v>0.25191238172268154</v>
      </c>
      <c r="K36">
        <f t="shared" si="3"/>
        <v>0.30774469242542202</v>
      </c>
      <c r="L36">
        <f t="shared" si="4"/>
        <v>0.19681223499051181</v>
      </c>
    </row>
    <row r="37" spans="2:12" x14ac:dyDescent="0.25">
      <c r="B37">
        <v>14</v>
      </c>
      <c r="C37">
        <f>Sheet1!$H$4*Sheet1!$H$6*Sheet1!$E$24/(Sheet1!$H$5*Sheet1!$H$7)*(Sheet1!$E$23/Sheet1!$H$9*B37+Sheet1!$C$25/(B37/Sheet1!$H$9+Sheet1!$C$26/Sheet1!$E$24))</f>
        <v>0.47747513976473616</v>
      </c>
      <c r="D37">
        <f>Sheet1!$H$4*Sheet1!$H$6*Sheet1!$E$10/(Sheet1!$H$5*Sheet1!$H$7)*(Sheet1!$C$23*B37/Sheet1!$H$10+Sheet1!$C$25/(B37/Sheet1!$H$10))</f>
        <v>3.8336949415157782</v>
      </c>
      <c r="E37">
        <f>Sheet1!$H$4*Sheet1!$H$6*Sheet1!$E$10/(Sheet1!$H$5*Sheet1!$H$7)*(Sheet1!$C$23*B37/Sheet1!$H$11+Sheet1!$C$25/(B37/Sheet1!$H$11))</f>
        <v>3.1405968554667583</v>
      </c>
      <c r="F37">
        <f>Sheet1!$H$4*Sheet1!$H$6*Sheet1!$E$10/(Sheet1!$H$5*Sheet1!$H$7)*(Sheet1!$C$23*Sheet1!$E$8^2*Sheet1!$H$6/Sheet1!$H$10*B38+Sheet1!$C$25/(Sheet1!$H$6/Sheet1!$H$10*B38))</f>
        <v>4.9991716949587213</v>
      </c>
      <c r="G37">
        <v>15.7</v>
      </c>
      <c r="H37">
        <v>14</v>
      </c>
      <c r="I37">
        <f t="shared" si="1"/>
        <v>2.0943498765039887</v>
      </c>
      <c r="J37">
        <f t="shared" si="2"/>
        <v>0.26084495904220717</v>
      </c>
      <c r="K37">
        <f t="shared" si="3"/>
        <v>0.31841081361949564</v>
      </c>
      <c r="L37">
        <f t="shared" si="4"/>
        <v>0.20003313769127451</v>
      </c>
    </row>
    <row r="38" spans="2:12" x14ac:dyDescent="0.25">
      <c r="B38">
        <v>14.5</v>
      </c>
      <c r="C38">
        <f>Sheet1!$H$4*Sheet1!$H$6*Sheet1!$E$24/(Sheet1!$H$5*Sheet1!$H$7)*(Sheet1!$E$23/Sheet1!$H$9*B38+Sheet1!$C$25/(B38/Sheet1!$H$9+Sheet1!$C$26/Sheet1!$E$24))</f>
        <v>0.47838771997138785</v>
      </c>
      <c r="D38">
        <f>Sheet1!$H$4*Sheet1!$H$6*Sheet1!$E$10/(Sheet1!$H$5*Sheet1!$H$7)*(Sheet1!$C$23*B38/Sheet1!$H$10+Sheet1!$C$25/(B38/Sheet1!$H$10))</f>
        <v>3.7073356355961828</v>
      </c>
      <c r="E38">
        <f>Sheet1!$H$4*Sheet1!$H$6*Sheet1!$E$10/(Sheet1!$H$5*Sheet1!$H$7)*(Sheet1!$C$23*B38/Sheet1!$H$11+Sheet1!$C$25/(B38/Sheet1!$H$11))</f>
        <v>3.039506673130421</v>
      </c>
      <c r="F38">
        <f>Sheet1!$H$4*Sheet1!$H$6*Sheet1!$E$10/(Sheet1!$H$5*Sheet1!$H$7)*(Sheet1!$C$23*Sheet1!$E$8^2*Sheet1!$H$6/Sheet1!$H$10*B39+Sheet1!$C$25/(Sheet1!$H$6/Sheet1!$H$10*B39))</f>
        <v>4.9259803963174331</v>
      </c>
      <c r="G38">
        <v>15.7</v>
      </c>
      <c r="H38">
        <v>14.5</v>
      </c>
      <c r="I38">
        <f t="shared" si="1"/>
        <v>2.0903546605665579</v>
      </c>
      <c r="J38">
        <f t="shared" si="2"/>
        <v>0.26973549154774284</v>
      </c>
      <c r="K38">
        <f t="shared" si="3"/>
        <v>0.32900075819543739</v>
      </c>
      <c r="L38">
        <f t="shared" si="4"/>
        <v>0.20300527398517065</v>
      </c>
    </row>
    <row r="39" spans="2:12" x14ac:dyDescent="0.25">
      <c r="B39">
        <v>15</v>
      </c>
      <c r="C39">
        <f>Sheet1!$H$4*Sheet1!$H$6*Sheet1!$E$24/(Sheet1!$H$5*Sheet1!$H$7)*(Sheet1!$E$23/Sheet1!$H$9*B39+Sheet1!$C$25/(B39/Sheet1!$H$9+Sheet1!$C$26/Sheet1!$E$24))</f>
        <v>0.47935944978601375</v>
      </c>
      <c r="D39">
        <f>Sheet1!$H$4*Sheet1!$H$6*Sheet1!$E$10/(Sheet1!$H$5*Sheet1!$H$7)*(Sheet1!$C$23*B39/Sheet1!$H$10+Sheet1!$C$25/(B39/Sheet1!$H$10))</f>
        <v>3.5895982659423935</v>
      </c>
      <c r="E39">
        <f>Sheet1!$H$4*Sheet1!$H$6*Sheet1!$E$10/(Sheet1!$H$5*Sheet1!$H$7)*(Sheet1!$C$23*B39/Sheet1!$H$11+Sheet1!$C$25/(B39/Sheet1!$H$11))</f>
        <v>2.9454002591693857</v>
      </c>
      <c r="F39">
        <f>Sheet1!$H$4*Sheet1!$H$6*Sheet1!$E$10/(Sheet1!$H$5*Sheet1!$H$7)*(Sheet1!$C$23*Sheet1!$E$8^2*Sheet1!$H$6/Sheet1!$H$10*B40+Sheet1!$C$25/(Sheet1!$H$6/Sheet1!$H$10*B40))</f>
        <v>4.8605766530130028</v>
      </c>
      <c r="G39">
        <v>15.7</v>
      </c>
      <c r="H39">
        <v>15</v>
      </c>
      <c r="I39">
        <f t="shared" si="1"/>
        <v>2.086117214224942</v>
      </c>
      <c r="J39">
        <f t="shared" si="2"/>
        <v>0.27858270645154365</v>
      </c>
      <c r="K39">
        <f t="shared" si="3"/>
        <v>0.33951243023316763</v>
      </c>
      <c r="L39">
        <f t="shared" si="4"/>
        <v>0.20573690559537089</v>
      </c>
    </row>
    <row r="40" spans="2:12" x14ac:dyDescent="0.25">
      <c r="B40">
        <v>15.5</v>
      </c>
      <c r="C40">
        <f>Sheet1!$H$4*Sheet1!$H$6*Sheet1!$E$24/(Sheet1!$H$5*Sheet1!$H$7)*(Sheet1!$E$23/Sheet1!$H$9*B40+Sheet1!$C$25/(B40/Sheet1!$H$9+Sheet1!$C$26/Sheet1!$E$24))</f>
        <v>0.48038874271935206</v>
      </c>
      <c r="D40">
        <f>Sheet1!$H$4*Sheet1!$H$6*Sheet1!$E$10/(Sheet1!$H$5*Sheet1!$H$7)*(Sheet1!$C$23*B40/Sheet1!$H$10+Sheet1!$C$25/(B40/Sheet1!$H$10))</f>
        <v>3.4796484516254615</v>
      </c>
      <c r="E40">
        <f>Sheet1!$H$4*Sheet1!$H$6*Sheet1!$E$10/(Sheet1!$H$5*Sheet1!$H$7)*(Sheet1!$C$23*B40/Sheet1!$H$11+Sheet1!$C$25/(B40/Sheet1!$H$11))</f>
        <v>2.8576017650312067</v>
      </c>
      <c r="F40">
        <f>Sheet1!$H$4*Sheet1!$H$6*Sheet1!$E$10/(Sheet1!$H$5*Sheet1!$H$7)*(Sheet1!$C$23*Sheet1!$E$8^2*Sheet1!$H$6/Sheet1!$H$10*B41+Sheet1!$C$25/(Sheet1!$H$6/Sheet1!$H$10*B41))</f>
        <v>4.8022303817325991</v>
      </c>
      <c r="G40">
        <v>15.7</v>
      </c>
      <c r="H40">
        <v>15.5</v>
      </c>
      <c r="I40">
        <f t="shared" si="1"/>
        <v>2.0816474473137481</v>
      </c>
      <c r="J40">
        <f t="shared" si="2"/>
        <v>0.28738535340628052</v>
      </c>
      <c r="K40">
        <f t="shared" si="3"/>
        <v>0.34994379281154991</v>
      </c>
      <c r="L40">
        <f t="shared" si="4"/>
        <v>0.20823657353132016</v>
      </c>
    </row>
    <row r="41" spans="2:12" x14ac:dyDescent="0.25">
      <c r="B41">
        <v>16</v>
      </c>
      <c r="C41">
        <f>Sheet1!$H$4*Sheet1!$H$6*Sheet1!$E$24/(Sheet1!$H$5*Sheet1!$H$7)*(Sheet1!$E$23/Sheet1!$H$9*B41+Sheet1!$C$25/(B41/Sheet1!$H$9+Sheet1!$C$26/Sheet1!$E$24))</f>
        <v>0.4814740685156994</v>
      </c>
      <c r="D41">
        <f>Sheet1!$H$4*Sheet1!$H$6*Sheet1!$E$10/(Sheet1!$H$5*Sheet1!$H$7)*(Sheet1!$C$23*B41/Sheet1!$H$10+Sheet1!$C$25/(B41/Sheet1!$H$10))</f>
        <v>3.3767561093325567</v>
      </c>
      <c r="E41">
        <f>Sheet1!$H$4*Sheet1!$H$6*Sheet1!$E$10/(Sheet1!$H$5*Sheet1!$H$7)*(Sheet1!$C$23*B41/Sheet1!$H$11+Sheet1!$C$25/(B41/Sheet1!$H$11))</f>
        <v>2.775519823232488</v>
      </c>
      <c r="F41">
        <f>Sheet1!$H$4*Sheet1!$H$6*Sheet1!$E$10/(Sheet1!$H$5*Sheet1!$H$7)*(Sheet1!$C$23*Sheet1!$E$8^2*Sheet1!$H$6/Sheet1!$H$10*B42+Sheet1!$C$25/(Sheet1!$H$6/Sheet1!$H$10*B42))</f>
        <v>4.7502999941104029</v>
      </c>
      <c r="G41">
        <v>15.7</v>
      </c>
      <c r="H41">
        <v>16</v>
      </c>
      <c r="I41">
        <f t="shared" si="1"/>
        <v>2.0769550540547814</v>
      </c>
      <c r="J41">
        <f t="shared" si="2"/>
        <v>0.29614220501037553</v>
      </c>
      <c r="K41">
        <f t="shared" si="3"/>
        <v>0.36029286897160678</v>
      </c>
      <c r="L41">
        <f t="shared" si="4"/>
        <v>0.21051302049130305</v>
      </c>
    </row>
    <row r="42" spans="2:12" x14ac:dyDescent="0.25">
      <c r="B42">
        <v>16.5</v>
      </c>
      <c r="C42">
        <f>Sheet1!$H$4*Sheet1!$H$6*Sheet1!$E$24/(Sheet1!$H$5*Sheet1!$H$7)*(Sheet1!$E$23/Sheet1!$H$9*B42+Sheet1!$C$25/(B42/Sheet1!$H$9+Sheet1!$C$26/Sheet1!$E$24))</f>
        <v>0.48261395068327689</v>
      </c>
      <c r="D42">
        <f>Sheet1!$H$4*Sheet1!$H$6*Sheet1!$E$10/(Sheet1!$H$5*Sheet1!$H$7)*(Sheet1!$C$23*B42/Sheet1!$H$10+Sheet1!$C$25/(B42/Sheet1!$H$10))</f>
        <v>3.2802796506978584</v>
      </c>
      <c r="E42">
        <f>Sheet1!$H$4*Sheet1!$H$6*Sheet1!$E$10/(Sheet1!$H$5*Sheet1!$H$7)*(Sheet1!$C$23*B42/Sheet1!$H$11+Sheet1!$C$25/(B42/Sheet1!$H$11))</f>
        <v>2.6986347471969174</v>
      </c>
      <c r="F42">
        <f>Sheet1!$H$4*Sheet1!$H$6*Sheet1!$E$10/(Sheet1!$H$5*Sheet1!$H$7)*(Sheet1!$C$23*Sheet1!$E$8^2*Sheet1!$H$6/Sheet1!$H$10*B43+Sheet1!$C$25/(Sheet1!$H$6/Sheet1!$H$10*B43))</f>
        <v>4.704219382764804</v>
      </c>
      <c r="G42">
        <v>15.7</v>
      </c>
      <c r="H42">
        <v>16.5</v>
      </c>
      <c r="I42">
        <f t="shared" si="1"/>
        <v>2.072049509932766</v>
      </c>
      <c r="J42">
        <f t="shared" si="2"/>
        <v>0.30485205728946202</v>
      </c>
      <c r="K42">
        <f t="shared" si="3"/>
        <v>0.37055774259139884</v>
      </c>
      <c r="L42">
        <f t="shared" si="4"/>
        <v>0.21257512004303494</v>
      </c>
    </row>
    <row r="43" spans="2:12" x14ac:dyDescent="0.25">
      <c r="B43">
        <v>17</v>
      </c>
      <c r="C43">
        <f>Sheet1!$H$4*Sheet1!$H$6*Sheet1!$E$24/(Sheet1!$H$5*Sheet1!$H$7)*(Sheet1!$E$23/Sheet1!$H$9*B43+Sheet1!$C$25/(B43/Sheet1!$H$9+Sheet1!$C$26/Sheet1!$E$24))</f>
        <v>0.48380696415361524</v>
      </c>
      <c r="D43">
        <f>Sheet1!$H$4*Sheet1!$H$6*Sheet1!$E$10/(Sheet1!$H$5*Sheet1!$H$7)*(Sheet1!$C$23*B43/Sheet1!$H$10+Sheet1!$C$25/(B43/Sheet1!$H$10))</f>
        <v>3.1896529683397596</v>
      </c>
      <c r="E43">
        <f>Sheet1!$H$4*Sheet1!$H$6*Sheet1!$E$10/(Sheet1!$H$5*Sheet1!$H$7)*(Sheet1!$C$23*B43/Sheet1!$H$11+Sheet1!$C$25/(B43/Sheet1!$H$11))</f>
        <v>2.6264879899453923</v>
      </c>
      <c r="F43">
        <f>Sheet1!$H$4*Sheet1!$H$6*Sheet1!$E$10/(Sheet1!$H$5*Sheet1!$H$7)*(Sheet1!$C$23*Sheet1!$E$8^2*Sheet1!$H$6/Sheet1!$H$10*B44+Sheet1!$C$25/(Sheet1!$H$6/Sheet1!$H$10*B44))</f>
        <v>4.6634871383006704</v>
      </c>
      <c r="G43">
        <v>15.7</v>
      </c>
      <c r="H43">
        <v>17</v>
      </c>
      <c r="I43">
        <f t="shared" si="1"/>
        <v>2.0669400692679707</v>
      </c>
      <c r="J43">
        <f t="shared" si="2"/>
        <v>0.31351373015369383</v>
      </c>
      <c r="K43">
        <f t="shared" si="3"/>
        <v>0.38073655917261251</v>
      </c>
      <c r="L43">
        <f t="shared" si="4"/>
        <v>0.21443181257799937</v>
      </c>
    </row>
    <row r="44" spans="2:12" x14ac:dyDescent="0.25">
      <c r="B44">
        <v>17.5</v>
      </c>
      <c r="C44">
        <f>Sheet1!$H$4*Sheet1!$H$6*Sheet1!$E$24/(Sheet1!$H$5*Sheet1!$H$7)*(Sheet1!$E$23/Sheet1!$H$9*B44+Sheet1!$C$25/(B44/Sheet1!$H$9+Sheet1!$C$26/Sheet1!$E$24))</f>
        <v>0.48505173306216309</v>
      </c>
      <c r="D44">
        <f>Sheet1!$H$4*Sheet1!$H$6*Sheet1!$E$10/(Sheet1!$H$5*Sheet1!$H$7)*(Sheet1!$C$23*B44/Sheet1!$H$10+Sheet1!$C$25/(B44/Sheet1!$H$10))</f>
        <v>3.104374652863124</v>
      </c>
      <c r="E44">
        <f>Sheet1!$H$4*Sheet1!$H$6*Sheet1!$E$10/(Sheet1!$H$5*Sheet1!$H$7)*(Sheet1!$C$23*B44/Sheet1!$H$11+Sheet1!$C$25/(B44/Sheet1!$H$11))</f>
        <v>2.5586734098678523</v>
      </c>
      <c r="F44">
        <f>Sheet1!$H$4*Sheet1!$H$6*Sheet1!$E$10/(Sheet1!$H$5*Sheet1!$H$7)*(Sheet1!$C$23*Sheet1!$E$8^2*Sheet1!$H$6/Sheet1!$H$10*B45+Sheet1!$C$25/(Sheet1!$H$6/Sheet1!$H$10*B45))</f>
        <v>4.6276575634778769</v>
      </c>
      <c r="G44">
        <v>15.7</v>
      </c>
      <c r="H44">
        <v>17.5</v>
      </c>
      <c r="I44">
        <f t="shared" si="1"/>
        <v>2.0616357634410147</v>
      </c>
      <c r="J44">
        <f t="shared" si="2"/>
        <v>0.32212606783067022</v>
      </c>
      <c r="K44">
        <f t="shared" si="3"/>
        <v>0.39082752653909314</v>
      </c>
      <c r="L44">
        <f t="shared" si="4"/>
        <v>0.21609204792769032</v>
      </c>
    </row>
    <row r="45" spans="2:12" x14ac:dyDescent="0.25">
      <c r="B45">
        <v>18</v>
      </c>
      <c r="C45">
        <f>Sheet1!$H$4*Sheet1!$H$6*Sheet1!$E$24/(Sheet1!$H$5*Sheet1!$H$7)*(Sheet1!$E$23/Sheet1!$H$9*B45+Sheet1!$C$25/(B45/Sheet1!$H$9+Sheet1!$C$26/Sheet1!$E$24))</f>
        <v>0.48634692864285589</v>
      </c>
      <c r="D45">
        <f>Sheet1!$H$4*Sheet1!$H$6*Sheet1!$E$10/(Sheet1!$H$5*Sheet1!$H$7)*(Sheet1!$C$23*B45/Sheet1!$H$10+Sheet1!$C$25/(B45/Sheet1!$H$10))</f>
        <v>3.0239990070278289</v>
      </c>
      <c r="E45">
        <f>Sheet1!$H$4*Sheet1!$H$6*Sheet1!$E$10/(Sheet1!$H$5*Sheet1!$H$7)*(Sheet1!$C$23*B45/Sheet1!$H$11+Sheet1!$C$25/(B45/Sheet1!$H$11))</f>
        <v>2.4948299921997981</v>
      </c>
      <c r="F45">
        <f>Sheet1!$H$4*Sheet1!$H$6*Sheet1!$E$10/(Sheet1!$H$5*Sheet1!$H$7)*(Sheet1!$C$23*Sheet1!$E$8^2*Sheet1!$H$6/Sheet1!$H$10*B46+Sheet1!$C$25/(Sheet1!$H$6/Sheet1!$H$10*B46))</f>
        <v>4.5963331445417213</v>
      </c>
      <c r="G45">
        <v>15.7</v>
      </c>
      <c r="H45">
        <v>18</v>
      </c>
      <c r="I45">
        <f t="shared" si="1"/>
        <v>2.0561453997262524</v>
      </c>
      <c r="J45">
        <f t="shared" si="2"/>
        <v>0.33068793927378343</v>
      </c>
      <c r="K45">
        <f t="shared" si="3"/>
        <v>0.40082891544776456</v>
      </c>
      <c r="L45">
        <f t="shared" si="4"/>
        <v>0.21756473444217789</v>
      </c>
    </row>
    <row r="46" spans="2:12" x14ac:dyDescent="0.25">
      <c r="B46">
        <v>18.5</v>
      </c>
      <c r="C46">
        <f>Sheet1!$H$4*Sheet1!$H$6*Sheet1!$E$24/(Sheet1!$H$5*Sheet1!$H$7)*(Sheet1!$E$23/Sheet1!$H$9*B46+Sheet1!$C$25/(B46/Sheet1!$H$9+Sheet1!$C$26/Sheet1!$E$24))</f>
        <v>0.4876912672298776</v>
      </c>
      <c r="D46">
        <f>Sheet1!$H$4*Sheet1!$H$6*Sheet1!$E$10/(Sheet1!$H$5*Sheet1!$H$7)*(Sheet1!$C$23*B46/Sheet1!$H$10+Sheet1!$C$25/(B46/Sheet1!$H$10))</f>
        <v>2.948128517079172</v>
      </c>
      <c r="E46">
        <f>Sheet1!$H$4*Sheet1!$H$6*Sheet1!$E$10/(Sheet1!$H$5*Sheet1!$H$7)*(Sheet1!$C$23*B46/Sheet1!$H$11+Sheet1!$C$25/(B46/Sheet1!$H$11))</f>
        <v>2.434635750799921</v>
      </c>
      <c r="F46">
        <f>Sheet1!$H$4*Sheet1!$H$6*Sheet1!$E$10/(Sheet1!$H$5*Sheet1!$H$7)*(Sheet1!$C$23*Sheet1!$E$8^2*Sheet1!$H$6/Sheet1!$H$10*B47+Sheet1!$C$25/(Sheet1!$H$6/Sheet1!$H$10*B47))</f>
        <v>4.5691582112906257</v>
      </c>
      <c r="G46">
        <v>15.7</v>
      </c>
      <c r="H46">
        <v>18.5</v>
      </c>
      <c r="I46">
        <f t="shared" si="1"/>
        <v>2.0504775606913648</v>
      </c>
      <c r="J46">
        <f t="shared" si="2"/>
        <v>0.33919823854583508</v>
      </c>
      <c r="K46">
        <f t="shared" si="3"/>
        <v>0.4107390601125615</v>
      </c>
      <c r="L46">
        <f t="shared" si="4"/>
        <v>0.21885869426209589</v>
      </c>
    </row>
    <row r="47" spans="2:12" x14ac:dyDescent="0.25">
      <c r="B47">
        <v>19</v>
      </c>
      <c r="C47">
        <f>Sheet1!$H$4*Sheet1!$H$6*Sheet1!$E$24/(Sheet1!$H$5*Sheet1!$H$7)*(Sheet1!$E$23/Sheet1!$H$9*B47+Sheet1!$C$25/(B47/Sheet1!$H$9+Sheet1!$C$26/Sheet1!$E$24))</f>
        <v>0.48908350836030012</v>
      </c>
      <c r="D47">
        <f>Sheet1!$H$4*Sheet1!$H$6*Sheet1!$E$10/(Sheet1!$H$5*Sheet1!$H$7)*(Sheet1!$C$23*B47/Sheet1!$H$10+Sheet1!$C$25/(B47/Sheet1!$H$10))</f>
        <v>2.8764075128155748</v>
      </c>
      <c r="E47">
        <f>Sheet1!$H$4*Sheet1!$H$6*Sheet1!$E$10/(Sheet1!$H$5*Sheet1!$H$7)*(Sheet1!$C$23*B47/Sheet1!$H$11+Sheet1!$C$25/(B47/Sheet1!$H$11))</f>
        <v>2.3778025928049429</v>
      </c>
      <c r="F47">
        <f>Sheet1!$H$4*Sheet1!$H$6*Sheet1!$E$10/(Sheet1!$H$5*Sheet1!$H$7)*(Sheet1!$C$23*Sheet1!$E$8^2*Sheet1!$H$6/Sheet1!$H$10*B48+Sheet1!$C$25/(Sheet1!$H$6/Sheet1!$H$10*B48))</f>
        <v>4.545813572518048</v>
      </c>
      <c r="G47">
        <v>15.7</v>
      </c>
      <c r="H47">
        <v>19</v>
      </c>
      <c r="I47">
        <f t="shared" si="1"/>
        <v>2.0446406041221814</v>
      </c>
      <c r="J47">
        <f t="shared" si="2"/>
        <v>0.34765588517780949</v>
      </c>
      <c r="K47">
        <f t="shared" si="3"/>
        <v>0.42055635864218799</v>
      </c>
      <c r="L47">
        <f t="shared" si="4"/>
        <v>0.21998262446254988</v>
      </c>
    </row>
    <row r="48" spans="2:12" x14ac:dyDescent="0.25">
      <c r="B48">
        <v>19.5</v>
      </c>
      <c r="C48">
        <f>Sheet1!$H$4*Sheet1!$H$6*Sheet1!$E$24/(Sheet1!$H$5*Sheet1!$H$7)*(Sheet1!$E$23/Sheet1!$H$9*B48+Sheet1!$C$25/(B48/Sheet1!$H$9+Sheet1!$C$26/Sheet1!$E$24))</f>
        <v>0.4905224529717106</v>
      </c>
      <c r="D48">
        <f>Sheet1!$H$4*Sheet1!$H$6*Sheet1!$E$10/(Sheet1!$H$5*Sheet1!$H$7)*(Sheet1!$C$23*B48/Sheet1!$H$10+Sheet1!$C$25/(B48/Sheet1!$H$10))</f>
        <v>2.8085168030304968</v>
      </c>
      <c r="E48">
        <f>Sheet1!$H$4*Sheet1!$H$6*Sheet1!$E$10/(Sheet1!$H$5*Sheet1!$H$7)*(Sheet1!$C$23*B48/Sheet1!$H$11+Sheet1!$C$25/(B48/Sheet1!$H$11))</f>
        <v>2.3240719733375639</v>
      </c>
      <c r="F48">
        <f>Sheet1!$H$4*Sheet1!$H$6*Sheet1!$E$10/(Sheet1!$H$5*Sheet1!$H$7)*(Sheet1!$C$23*Sheet1!$E$8^2*Sheet1!$H$6/Sheet1!$H$10*B49+Sheet1!$C$25/(Sheet1!$H$6/Sheet1!$H$10*B49))</f>
        <v>4.5260119561380998</v>
      </c>
      <c r="G48">
        <v>15.7</v>
      </c>
      <c r="H48">
        <v>19.5</v>
      </c>
      <c r="I48">
        <f t="shared" si="1"/>
        <v>2.0386426634331292</v>
      </c>
      <c r="J48">
        <f t="shared" si="2"/>
        <v>0.3560598245027275</v>
      </c>
      <c r="K48">
        <f t="shared" si="3"/>
        <v>0.43027927339268907</v>
      </c>
      <c r="L48">
        <f t="shared" si="4"/>
        <v>0.22094506370974498</v>
      </c>
    </row>
    <row r="49" spans="2:12" x14ac:dyDescent="0.25">
      <c r="B49">
        <v>20</v>
      </c>
      <c r="C49">
        <f>Sheet1!$H$4*Sheet1!$H$6*Sheet1!$E$24/(Sheet1!$H$5*Sheet1!$H$7)*(Sheet1!$E$23/Sheet1!$H$9*B49+Sheet1!$C$25/(B49/Sheet1!$H$9+Sheet1!$C$26/Sheet1!$E$24))</f>
        <v>0.49200694168932246</v>
      </c>
      <c r="D49">
        <f>Sheet1!$H$4*Sheet1!$H$6*Sheet1!$E$10/(Sheet1!$H$5*Sheet1!$H$7)*(Sheet1!$C$23*B49/Sheet1!$H$10+Sheet1!$C$25/(B49/Sheet1!$H$10))</f>
        <v>2.7441691156380466</v>
      </c>
      <c r="E49">
        <f>Sheet1!$H$4*Sheet1!$H$6*Sheet1!$E$10/(Sheet1!$H$5*Sheet1!$H$7)*(Sheet1!$C$23*B49/Sheet1!$H$11+Sheet1!$C$25/(B49/Sheet1!$H$11))</f>
        <v>2.2732112020082145</v>
      </c>
      <c r="F49">
        <f>Sheet1!$H$4*Sheet1!$H$6*Sheet1!$E$10/(Sheet1!$H$5*Sheet1!$H$7)*(Sheet1!$C$23*Sheet1!$E$8^2*Sheet1!$H$6/Sheet1!$H$10*B50+Sheet1!$C$25/(Sheet1!$H$6/Sheet1!$H$10*B50))</f>
        <v>4.509494116609857</v>
      </c>
      <c r="G49">
        <v>15.7</v>
      </c>
      <c r="H49">
        <v>20</v>
      </c>
      <c r="I49">
        <f t="shared" si="1"/>
        <v>2.0324916485252551</v>
      </c>
      <c r="J49">
        <f t="shared" si="2"/>
        <v>0.36440902796455021</v>
      </c>
      <c r="K49">
        <f t="shared" si="3"/>
        <v>0.43990633123599504</v>
      </c>
      <c r="L49">
        <f t="shared" si="4"/>
        <v>0.22175436404644408</v>
      </c>
    </row>
    <row r="50" spans="2:12" x14ac:dyDescent="0.25">
      <c r="B50">
        <v>20.5</v>
      </c>
      <c r="C50">
        <f>Sheet1!$H$4*Sheet1!$H$6*Sheet1!$E$24/(Sheet1!$H$5*Sheet1!$H$7)*(Sheet1!$E$23/Sheet1!$H$9*B50+Sheet1!$C$25/(B50/Sheet1!$H$9+Sheet1!$C$26/Sheet1!$E$24))</f>
        <v>0.49353585319743082</v>
      </c>
      <c r="D50">
        <f>Sheet1!$H$4*Sheet1!$H$6*Sheet1!$E$10/(Sheet1!$H$5*Sheet1!$H$7)*(Sheet1!$C$23*B50/Sheet1!$H$10+Sheet1!$C$25/(B50/Sheet1!$H$10))</f>
        <v>2.6831052050973021</v>
      </c>
      <c r="E50">
        <f>Sheet1!$H$4*Sheet1!$H$6*Sheet1!$E$10/(Sheet1!$H$5*Sheet1!$H$7)*(Sheet1!$C$23*B50/Sheet1!$H$11+Sheet1!$C$25/(B50/Sheet1!$H$11))</f>
        <v>2.2250102899287461</v>
      </c>
      <c r="F50">
        <f>Sheet1!$H$4*Sheet1!$H$6*Sheet1!$E$10/(Sheet1!$H$5*Sheet1!$H$7)*(Sheet1!$C$23*Sheet1!$E$8^2*Sheet1!$H$6/Sheet1!$H$10*B51+Sheet1!$C$25/(Sheet1!$H$6/Sheet1!$H$10*B51))</f>
        <v>4.4960254984439105</v>
      </c>
      <c r="G50">
        <v>15.7</v>
      </c>
      <c r="H50">
        <v>20.5</v>
      </c>
      <c r="I50">
        <f t="shared" si="1"/>
        <v>2.0261952470552664</v>
      </c>
      <c r="J50">
        <f t="shared" si="2"/>
        <v>0.3727024934021308</v>
      </c>
      <c r="K50">
        <f t="shared" si="3"/>
        <v>0.44943612374575764</v>
      </c>
      <c r="L50">
        <f t="shared" si="4"/>
        <v>0.2224186674088266</v>
      </c>
    </row>
    <row r="51" spans="2:12" x14ac:dyDescent="0.25">
      <c r="B51">
        <v>21</v>
      </c>
      <c r="C51">
        <f>Sheet1!$H$4*Sheet1!$H$6*Sheet1!$E$24/(Sheet1!$H$5*Sheet1!$H$7)*(Sheet1!$E$23/Sheet1!$H$9*B51+Sheet1!$C$25/(B51/Sheet1!$H$9+Sheet1!$C$26/Sheet1!$E$24))</f>
        <v>0.49510810269040717</v>
      </c>
      <c r="D51">
        <f>Sheet1!$H$4*Sheet1!$H$6*Sheet1!$E$10/(Sheet1!$H$5*Sheet1!$H$7)*(Sheet1!$C$23*B51/Sheet1!$H$10+Sheet1!$C$25/(B51/Sheet1!$H$10))</f>
        <v>2.6250905159188545</v>
      </c>
      <c r="E51">
        <f>Sheet1!$H$4*Sheet1!$H$6*Sheet1!$E$10/(Sheet1!$H$5*Sheet1!$H$7)*(Sheet1!$C$23*B51/Sheet1!$H$11+Sheet1!$C$25/(B51/Sheet1!$H$11))</f>
        <v>2.1792792471527385</v>
      </c>
      <c r="F51">
        <f>Sheet1!$H$4*Sheet1!$H$6*Sheet1!$E$10/(Sheet1!$H$5*Sheet1!$H$7)*(Sheet1!$C$23*Sheet1!$E$8^2*Sheet1!$H$6/Sheet1!$H$10*B52+Sheet1!$C$25/(Sheet1!$H$6/Sheet1!$H$10*B52))</f>
        <v>4.4853933652661473</v>
      </c>
      <c r="G51">
        <v>15.7</v>
      </c>
      <c r="H51">
        <v>21</v>
      </c>
      <c r="I51">
        <f t="shared" si="1"/>
        <v>2.0197609260806293</v>
      </c>
      <c r="J51">
        <f t="shared" si="2"/>
        <v>0.38093924530826029</v>
      </c>
      <c r="K51">
        <f t="shared" si="3"/>
        <v>0.45886730730195097</v>
      </c>
      <c r="L51">
        <f t="shared" si="4"/>
        <v>0.22294588647313959</v>
      </c>
    </row>
    <row r="52" spans="2:12" x14ac:dyDescent="0.25">
      <c r="B52">
        <v>21.5</v>
      </c>
      <c r="C52">
        <f>Sheet1!$H$4*Sheet1!$H$6*Sheet1!$E$24/(Sheet1!$H$5*Sheet1!$H$7)*(Sheet1!$E$23/Sheet1!$H$9*B52+Sheet1!$C$25/(B52/Sheet1!$H$9+Sheet1!$C$26/Sheet1!$E$24))</f>
        <v>0.49672264039873509</v>
      </c>
      <c r="D52">
        <f>Sheet1!$H$4*Sheet1!$H$6*Sheet1!$E$10/(Sheet1!$H$5*Sheet1!$H$7)*(Sheet1!$C$23*B52/Sheet1!$H$10+Sheet1!$C$25/(B52/Sheet1!$H$10))</f>
        <v>2.5699123117285905</v>
      </c>
      <c r="E52">
        <f>Sheet1!$H$4*Sheet1!$H$6*Sheet1!$E$10/(Sheet1!$H$5*Sheet1!$H$7)*(Sheet1!$C$23*B52/Sheet1!$H$11+Sheet1!$C$25/(B52/Sheet1!$H$11))</f>
        <v>2.1358457572171599</v>
      </c>
      <c r="F52">
        <f>Sheet1!$H$4*Sheet1!$H$6*Sheet1!$E$10/(Sheet1!$H$5*Sheet1!$H$7)*(Sheet1!$C$23*Sheet1!$E$8^2*Sheet1!$H$6/Sheet1!$H$10*B53+Sheet1!$C$25/(Sheet1!$H$6/Sheet1!$H$10*B53))</f>
        <v>4.4774043203728295</v>
      </c>
      <c r="G52">
        <v>15.7</v>
      </c>
      <c r="H52">
        <v>21.5</v>
      </c>
      <c r="I52">
        <f t="shared" si="1"/>
        <v>2.0131959340473551</v>
      </c>
      <c r="J52">
        <f t="shared" si="2"/>
        <v>0.38911833506388149</v>
      </c>
      <c r="K52">
        <f t="shared" si="3"/>
        <v>0.46819860311585509</v>
      </c>
      <c r="L52">
        <f t="shared" si="4"/>
        <v>0.22334368943404487</v>
      </c>
    </row>
    <row r="53" spans="2:12" x14ac:dyDescent="0.25">
      <c r="B53">
        <v>22</v>
      </c>
      <c r="C53">
        <f>Sheet1!$H$4*Sheet1!$H$6*Sheet1!$E$24/(Sheet1!$H$5*Sheet1!$H$7)*(Sheet1!$E$23/Sheet1!$H$9*B53+Sheet1!$C$25/(B53/Sheet1!$H$9+Sheet1!$C$26/Sheet1!$E$24))</f>
        <v>0.49837845018588217</v>
      </c>
      <c r="D53">
        <f>Sheet1!$H$4*Sheet1!$H$6*Sheet1!$E$10/(Sheet1!$H$5*Sheet1!$H$7)*(Sheet1!$C$23*B53/Sheet1!$H$10+Sheet1!$C$25/(B53/Sheet1!$H$10))</f>
        <v>2.5173771958227702</v>
      </c>
      <c r="E53">
        <f>Sheet1!$H$4*Sheet1!$H$6*Sheet1!$E$10/(Sheet1!$H$5*Sheet1!$H$7)*(Sheet1!$C$23*B53/Sheet1!$H$11+Sheet1!$C$25/(B53/Sheet1!$H$11))</f>
        <v>2.0945531687919798</v>
      </c>
      <c r="F53">
        <f>Sheet1!$H$4*Sheet1!$H$6*Sheet1!$E$10/(Sheet1!$H$5*Sheet1!$H$7)*(Sheet1!$C$23*Sheet1!$E$8^2*Sheet1!$H$6/Sheet1!$H$10*B54+Sheet1!$C$25/(Sheet1!$H$6/Sheet1!$H$10*B54))</f>
        <v>4.4718821578783245</v>
      </c>
      <c r="G53">
        <v>15.7</v>
      </c>
      <c r="H53">
        <v>22</v>
      </c>
      <c r="I53">
        <f t="shared" si="1"/>
        <v>2.0065073030886991</v>
      </c>
      <c r="J53">
        <f t="shared" si="2"/>
        <v>0.39723884114758723</v>
      </c>
      <c r="K53">
        <f t="shared" si="3"/>
        <v>0.47742879717717723</v>
      </c>
      <c r="L53">
        <f t="shared" si="4"/>
        <v>0.22361948832624157</v>
      </c>
    </row>
    <row r="54" spans="2:12" x14ac:dyDescent="0.25">
      <c r="B54">
        <v>22.5</v>
      </c>
      <c r="C54">
        <f>Sheet1!$H$4*Sheet1!$H$6*Sheet1!$E$24/(Sheet1!$H$5*Sheet1!$H$7)*(Sheet1!$E$23/Sheet1!$H$9*B54+Sheet1!$C$25/(B54/Sheet1!$H$9+Sheet1!$C$26/Sheet1!$E$24))</f>
        <v>0.50007454821206754</v>
      </c>
      <c r="D54">
        <f>Sheet1!$H$4*Sheet1!$H$6*Sheet1!$E$10/(Sheet1!$H$5*Sheet1!$H$7)*(Sheet1!$C$23*B54/Sheet1!$H$10+Sheet1!$C$25/(B54/Sheet1!$H$10))</f>
        <v>2.4673089623157645</v>
      </c>
      <c r="E54">
        <f>Sheet1!$H$4*Sheet1!$H$6*Sheet1!$E$10/(Sheet1!$H$5*Sheet1!$H$7)*(Sheet1!$C$23*B54/Sheet1!$H$11+Sheet1!$C$25/(B54/Sheet1!$H$11))</f>
        <v>2.0552587551098402</v>
      </c>
      <c r="F54">
        <f>Sheet1!$H$4*Sheet1!$H$6*Sheet1!$E$10/(Sheet1!$H$5*Sheet1!$H$7)*(Sheet1!$C$23*Sheet1!$E$8^2*Sheet1!$H$6/Sheet1!$H$10*B55+Sheet1!$C$25/(Sheet1!$H$6/Sheet1!$H$10*B55))</f>
        <v>4.468665994147929</v>
      </c>
      <c r="G54">
        <v>15.7</v>
      </c>
      <c r="H54">
        <v>22.5</v>
      </c>
      <c r="I54">
        <f t="shared" si="1"/>
        <v>1.9997018516045895</v>
      </c>
      <c r="J54">
        <f t="shared" si="2"/>
        <v>0.40529986932054951</v>
      </c>
      <c r="K54">
        <f t="shared" si="3"/>
        <v>0.48655674012518996</v>
      </c>
      <c r="L54">
        <f t="shared" si="4"/>
        <v>0.22378043051541086</v>
      </c>
    </row>
    <row r="55" spans="2:12" x14ac:dyDescent="0.25">
      <c r="B55">
        <v>23</v>
      </c>
      <c r="C55">
        <f>Sheet1!$H$4*Sheet1!$H$6*Sheet1!$E$24/(Sheet1!$H$5*Sheet1!$H$7)*(Sheet1!$E$23/Sheet1!$H$9*B55+Sheet1!$C$25/(B55/Sheet1!$H$9+Sheet1!$C$26/Sheet1!$E$24))</f>
        <v>0.5018099816612317</v>
      </c>
      <c r="D55">
        <f>Sheet1!$H$4*Sheet1!$H$6*Sheet1!$E$10/(Sheet1!$H$5*Sheet1!$H$7)*(Sheet1!$C$23*B55/Sheet1!$H$10+Sheet1!$C$25/(B55/Sheet1!$H$10))</f>
        <v>2.4195467275728677</v>
      </c>
      <c r="E55">
        <f>Sheet1!$H$4*Sheet1!$H$6*Sheet1!$E$10/(Sheet1!$H$5*Sheet1!$H$7)*(Sheet1!$C$23*B55/Sheet1!$H$11+Sheet1!$C$25/(B55/Sheet1!$H$11))</f>
        <v>2.0178322004266289</v>
      </c>
      <c r="F55">
        <f>Sheet1!$H$4*Sheet1!$H$6*Sheet1!$E$10/(Sheet1!$H$5*Sheet1!$H$7)*(Sheet1!$C$23*Sheet1!$E$8^2*Sheet1!$H$6/Sheet1!$H$10*B56+Sheet1!$C$25/(Sheet1!$H$6/Sheet1!$H$10*B56))</f>
        <v>4.4676086377711677</v>
      </c>
      <c r="G55">
        <v>15.7</v>
      </c>
      <c r="H55">
        <v>23</v>
      </c>
      <c r="I55">
        <f t="shared" si="1"/>
        <v>1.9927861870932109</v>
      </c>
      <c r="J55">
        <f t="shared" si="2"/>
        <v>0.41330055278706485</v>
      </c>
      <c r="K55">
        <f t="shared" si="3"/>
        <v>0.49558134704588946</v>
      </c>
      <c r="L55">
        <f t="shared" si="4"/>
        <v>0.22383339300259011</v>
      </c>
    </row>
    <row r="56" spans="2:12" x14ac:dyDescent="0.25">
      <c r="B56">
        <v>23.5</v>
      </c>
      <c r="C56">
        <f>Sheet1!$H$4*Sheet1!$H$6*Sheet1!$E$24/(Sheet1!$H$5*Sheet1!$H$7)*(Sheet1!$E$23/Sheet1!$H$9*B56+Sheet1!$C$25/(B56/Sheet1!$H$9+Sheet1!$C$26/Sheet1!$E$24))</f>
        <v>0.50358382752775144</v>
      </c>
      <c r="D56">
        <f>Sheet1!$H$4*Sheet1!$H$6*Sheet1!$E$10/(Sheet1!$H$5*Sheet1!$H$7)*(Sheet1!$C$23*B56/Sheet1!$H$10+Sheet1!$C$25/(B56/Sheet1!$H$10))</f>
        <v>2.3739433001836048</v>
      </c>
      <c r="E56">
        <f>Sheet1!$H$4*Sheet1!$H$6*Sheet1!$E$10/(Sheet1!$H$5*Sheet1!$H$7)*(Sheet1!$C$23*B56/Sheet1!$H$11+Sheet1!$C$25/(B56/Sheet1!$H$11))</f>
        <v>1.9821542796998608</v>
      </c>
      <c r="F56">
        <f>Sheet1!$H$4*Sheet1!$H$6*Sheet1!$E$10/(Sheet1!$H$5*Sheet1!$H$7)*(Sheet1!$C$23*Sheet1!$E$8^2*Sheet1!$H$6/Sheet1!$H$10*B57+Sheet1!$C$25/(Sheet1!$H$6/Sheet1!$H$10*B57))</f>
        <v>4.4685751632884365</v>
      </c>
      <c r="G56">
        <v>15.7</v>
      </c>
      <c r="H56">
        <v>23.5</v>
      </c>
      <c r="I56">
        <f t="shared" si="1"/>
        <v>1.985766709207698</v>
      </c>
      <c r="J56">
        <f t="shared" si="2"/>
        <v>0.42124005233092904</v>
      </c>
      <c r="K56">
        <f t="shared" si="3"/>
        <v>0.50450159719727805</v>
      </c>
      <c r="L56">
        <f t="shared" si="4"/>
        <v>0.22378497920668236</v>
      </c>
    </row>
    <row r="57" spans="2:12" x14ac:dyDescent="0.25">
      <c r="B57">
        <v>24</v>
      </c>
      <c r="C57">
        <f>Sheet1!$H$4*Sheet1!$H$6*Sheet1!$E$24/(Sheet1!$H$5*Sheet1!$H$7)*(Sheet1!$E$23/Sheet1!$H$9*B57+Sheet1!$C$25/(B57/Sheet1!$H$9+Sheet1!$C$26/Sheet1!$E$24))</f>
        <v>0.50539519145965117</v>
      </c>
      <c r="D57">
        <f>Sheet1!$H$4*Sheet1!$H$6*Sheet1!$E$10/(Sheet1!$H$5*Sheet1!$H$7)*(Sheet1!$C$23*B57/Sheet1!$H$10+Sheet1!$C$25/(B57/Sheet1!$H$10))</f>
        <v>2.3303637546883733</v>
      </c>
      <c r="E57">
        <f>Sheet1!$H$4*Sheet1!$H$6*Sheet1!$E$10/(Sheet1!$H$5*Sheet1!$H$7)*(Sheet1!$C$23*B57/Sheet1!$H$11+Sheet1!$C$25/(B57/Sheet1!$H$11))</f>
        <v>1.9481157033072585</v>
      </c>
      <c r="F57">
        <f>Sheet1!$H$4*Sheet1!$H$6*Sheet1!$E$10/(Sheet1!$H$5*Sheet1!$H$7)*(Sheet1!$C$23*Sheet1!$E$8^2*Sheet1!$H$6/Sheet1!$H$10*B58+Sheet1!$C$25/(Sheet1!$H$6/Sheet1!$H$10*B58))</f>
        <v>4.4714416595633697</v>
      </c>
      <c r="G57">
        <v>15.7</v>
      </c>
      <c r="H57">
        <v>24</v>
      </c>
      <c r="I57">
        <f t="shared" si="1"/>
        <v>1.978649613012466</v>
      </c>
      <c r="J57">
        <f t="shared" si="2"/>
        <v>0.42911755642789101</v>
      </c>
      <c r="K57">
        <f t="shared" si="3"/>
        <v>0.51331653366498176</v>
      </c>
      <c r="L57">
        <f t="shared" si="4"/>
        <v>0.22364151791206613</v>
      </c>
    </row>
    <row r="58" spans="2:12" x14ac:dyDescent="0.25">
      <c r="B58">
        <v>24.5</v>
      </c>
      <c r="C58">
        <f>Sheet1!$H$4*Sheet1!$H$6*Sheet1!$E$24/(Sheet1!$H$5*Sheet1!$H$7)*(Sheet1!$E$23/Sheet1!$H$9*B58+Sheet1!$C$25/(B58/Sheet1!$H$9+Sheet1!$C$26/Sheet1!$E$24))</f>
        <v>0.50724320665526623</v>
      </c>
      <c r="D58">
        <f>Sheet1!$H$4*Sheet1!$H$6*Sheet1!$E$10/(Sheet1!$H$5*Sheet1!$H$7)*(Sheet1!$C$23*B58/Sheet1!$H$10+Sheet1!$C$25/(B58/Sheet1!$H$10))</f>
        <v>2.2886841799508044</v>
      </c>
      <c r="E58">
        <f>Sheet1!$H$4*Sheet1!$H$6*Sheet1!$E$10/(Sheet1!$H$5*Sheet1!$H$7)*(Sheet1!$C$23*B58/Sheet1!$H$11+Sheet1!$C$25/(B58/Sheet1!$H$11))</f>
        <v>1.915616103228363</v>
      </c>
      <c r="F58">
        <f>Sheet1!$H$4*Sheet1!$H$6*Sheet1!$E$10/(Sheet1!$H$5*Sheet1!$H$7)*(Sheet1!$C$23*Sheet1!$E$8^2*Sheet1!$H$6/Sheet1!$H$10*B59+Sheet1!$C$25/(Sheet1!$H$6/Sheet1!$H$10*B59))</f>
        <v>4.4760941283505051</v>
      </c>
      <c r="G58">
        <v>15.7</v>
      </c>
      <c r="H58">
        <v>24.5</v>
      </c>
      <c r="I58">
        <f t="shared" si="1"/>
        <v>1.9714408924151887</v>
      </c>
      <c r="J58">
        <f t="shared" si="2"/>
        <v>0.43693228133446316</v>
      </c>
      <c r="K58">
        <f t="shared" si="3"/>
        <v>0.52202526295050089</v>
      </c>
      <c r="L58">
        <f t="shared" si="4"/>
        <v>0.22340906409144531</v>
      </c>
    </row>
    <row r="59" spans="2:12" x14ac:dyDescent="0.25">
      <c r="B59">
        <v>25</v>
      </c>
      <c r="C59">
        <f>Sheet1!$H$4*Sheet1!$H$6*Sheet1!$E$24/(Sheet1!$H$5*Sheet1!$H$7)*(Sheet1!$E$23/Sheet1!$H$9*B59+Sheet1!$C$25/(B59/Sheet1!$H$9+Sheet1!$C$26/Sheet1!$E$24))</f>
        <v>0.50912703281049931</v>
      </c>
      <c r="D59">
        <f>Sheet1!$H$4*Sheet1!$H$6*Sheet1!$E$10/(Sheet1!$H$5*Sheet1!$H$7)*(Sheet1!$C$23*B59/Sheet1!$H$10+Sheet1!$C$25/(B59/Sheet1!$H$10))</f>
        <v>2.2487905777254387</v>
      </c>
      <c r="E59">
        <f>Sheet1!$H$4*Sheet1!$H$6*Sheet1!$E$10/(Sheet1!$H$5*Sheet1!$H$7)*(Sheet1!$C$23*B59/Sheet1!$H$11+Sheet1!$C$25/(B59/Sheet1!$H$11))</f>
        <v>1.8845631408843513</v>
      </c>
      <c r="F59">
        <f>Sheet1!$H$4*Sheet1!$H$6*Sheet1!$E$10/(Sheet1!$H$5*Sheet1!$H$7)*(Sheet1!$C$23*Sheet1!$E$8^2*Sheet1!$H$6/Sheet1!$H$10*B60+Sheet1!$C$25/(Sheet1!$H$6/Sheet1!$H$10*B60))</f>
        <v>4.4824275124432438</v>
      </c>
      <c r="G59">
        <v>15.7</v>
      </c>
      <c r="H59">
        <v>25</v>
      </c>
      <c r="I59">
        <f t="shared" si="1"/>
        <v>1.9641463437519082</v>
      </c>
      <c r="J59">
        <f t="shared" si="2"/>
        <v>0.44468347115339651</v>
      </c>
      <c r="K59">
        <f t="shared" si="3"/>
        <v>0.53062695449447206</v>
      </c>
      <c r="L59">
        <f t="shared" si="4"/>
        <v>0.22309340133755526</v>
      </c>
    </row>
    <row r="60" spans="2:12" x14ac:dyDescent="0.25">
      <c r="B60">
        <v>25.5</v>
      </c>
      <c r="C60">
        <f>Sheet1!$H$4*Sheet1!$H$6*Sheet1!$E$24/(Sheet1!$H$5*Sheet1!$H$7)*(Sheet1!$E$23/Sheet1!$H$9*B60+Sheet1!$C$25/(B60/Sheet1!$H$9+Sheet1!$C$26/Sheet1!$E$24))</f>
        <v>0.51104585511398259</v>
      </c>
      <c r="D60">
        <f>Sheet1!$H$4*Sheet1!$H$6*Sheet1!$E$10/(Sheet1!$H$5*Sheet1!$H$7)*(Sheet1!$C$23*B60/Sheet1!$H$10+Sheet1!$C$25/(B60/Sheet1!$H$10))</f>
        <v>2.2105778908056757</v>
      </c>
      <c r="E60">
        <f>Sheet1!$H$4*Sheet1!$H$6*Sheet1!$E$10/(Sheet1!$H$5*Sheet1!$H$7)*(Sheet1!$C$23*B60/Sheet1!$H$11+Sheet1!$C$25/(B60/Sheet1!$H$11))</f>
        <v>1.8548717199378777</v>
      </c>
      <c r="F60">
        <f>Sheet1!$H$4*Sheet1!$H$6*Sheet1!$E$10/(Sheet1!$H$5*Sheet1!$H$7)*(Sheet1!$C$23*Sheet1!$E$8^2*Sheet1!$H$6/Sheet1!$H$10*B61+Sheet1!$C$25/(Sheet1!$H$6/Sheet1!$H$10*B61))</f>
        <v>4.4903448359585685</v>
      </c>
      <c r="G60">
        <v>15.7</v>
      </c>
      <c r="H60">
        <v>25.5</v>
      </c>
      <c r="I60">
        <f t="shared" si="1"/>
        <v>1.9567715695041927</v>
      </c>
      <c r="J60">
        <f t="shared" si="2"/>
        <v>0.45237039787615724</v>
      </c>
      <c r="K60">
        <f t="shared" si="3"/>
        <v>0.53912084013739314</v>
      </c>
      <c r="L60">
        <f t="shared" si="4"/>
        <v>0.22270004566064172</v>
      </c>
    </row>
    <row r="61" spans="2:12" x14ac:dyDescent="0.25">
      <c r="B61">
        <v>26</v>
      </c>
      <c r="C61">
        <f>Sheet1!$H$4*Sheet1!$H$6*Sheet1!$E$24/(Sheet1!$H$5*Sheet1!$H$7)*(Sheet1!$E$23/Sheet1!$H$9*B61+Sheet1!$C$25/(B61/Sheet1!$H$9+Sheet1!$C$26/Sheet1!$E$24))</f>
        <v>0.512998883287622</v>
      </c>
      <c r="D61">
        <f>Sheet1!$H$4*Sheet1!$H$6*Sheet1!$E$10/(Sheet1!$H$5*Sheet1!$H$7)*(Sheet1!$C$23*B61/Sheet1!$H$10+Sheet1!$C$25/(B61/Sheet1!$H$10))</f>
        <v>2.1739491433084988</v>
      </c>
      <c r="E61">
        <f>Sheet1!$H$4*Sheet1!$H$6*Sheet1!$E$10/(Sheet1!$H$5*Sheet1!$H$7)*(Sheet1!$C$23*B61/Sheet1!$H$11+Sheet1!$C$25/(B61/Sheet1!$H$11))</f>
        <v>1.8264632899237001</v>
      </c>
      <c r="F61">
        <f>Sheet1!$H$4*Sheet1!$H$6*Sheet1!$E$10/(Sheet1!$H$5*Sheet1!$H$7)*(Sheet1!$C$23*Sheet1!$E$8^2*Sheet1!$H$6/Sheet1!$H$10*B62+Sheet1!$C$25/(Sheet1!$H$6/Sheet1!$H$10*B62))</f>
        <v>4.4997564419480325</v>
      </c>
      <c r="G61">
        <v>15.7</v>
      </c>
      <c r="H61">
        <v>26</v>
      </c>
      <c r="I61">
        <f t="shared" si="1"/>
        <v>1.9493219821286281</v>
      </c>
      <c r="J61">
        <f t="shared" si="2"/>
        <v>0.45999236140276761</v>
      </c>
      <c r="K61">
        <f t="shared" si="3"/>
        <v>0.54750621352032469</v>
      </c>
      <c r="L61">
        <f t="shared" si="4"/>
        <v>0.222234250431359</v>
      </c>
    </row>
    <row r="62" spans="2:12" x14ac:dyDescent="0.25">
      <c r="B62">
        <v>26.5</v>
      </c>
      <c r="C62">
        <f>Sheet1!$H$4*Sheet1!$H$6*Sheet1!$E$24/(Sheet1!$H$5*Sheet1!$H$7)*(Sheet1!$E$23/Sheet1!$H$9*B62+Sheet1!$C$25/(B62/Sheet1!$H$9+Sheet1!$C$26/Sheet1!$E$24))</f>
        <v>0.51498535067015183</v>
      </c>
      <c r="D62">
        <f>Sheet1!$H$4*Sheet1!$H$6*Sheet1!$E$10/(Sheet1!$H$5*Sheet1!$H$7)*(Sheet1!$C$23*B62/Sheet1!$H$10+Sheet1!$C$25/(B62/Sheet1!$H$10))</f>
        <v>2.1388146782854616</v>
      </c>
      <c r="E62">
        <f>Sheet1!$H$4*Sheet1!$H$6*Sheet1!$E$10/(Sheet1!$H$5*Sheet1!$H$7)*(Sheet1!$C$23*B62/Sheet1!$H$11+Sheet1!$C$25/(B62/Sheet1!$H$11))</f>
        <v>1.7992652287135742</v>
      </c>
      <c r="F62">
        <f>Sheet1!$H$4*Sheet1!$H$6*Sheet1!$E$10/(Sheet1!$H$5*Sheet1!$H$7)*(Sheet1!$C$23*Sheet1!$E$8^2*Sheet1!$H$6/Sheet1!$H$10*B63+Sheet1!$C$25/(Sheet1!$H$6/Sheet1!$H$10*B63))</f>
        <v>4.5105793147186271</v>
      </c>
      <c r="G62">
        <v>15.7</v>
      </c>
      <c r="H62">
        <v>26.5</v>
      </c>
      <c r="I62">
        <f t="shared" si="1"/>
        <v>1.9418028079802605</v>
      </c>
      <c r="J62">
        <f t="shared" si="2"/>
        <v>0.46754868953939954</v>
      </c>
      <c r="K62">
        <f t="shared" si="3"/>
        <v>0.55578242942813538</v>
      </c>
      <c r="L62">
        <f t="shared" si="4"/>
        <v>0.22170101227061134</v>
      </c>
    </row>
    <row r="63" spans="2:12" x14ac:dyDescent="0.25">
      <c r="B63">
        <v>27</v>
      </c>
      <c r="C63">
        <f>Sheet1!$H$4*Sheet1!$H$6*Sheet1!$E$24/(Sheet1!$H$5*Sheet1!$H$7)*(Sheet1!$E$23/Sheet1!$H$9*B63+Sheet1!$C$25/(B63/Sheet1!$H$9+Sheet1!$C$26/Sheet1!$E$24))</f>
        <v>0.51700451334146325</v>
      </c>
      <c r="D63">
        <f>Sheet1!$H$4*Sheet1!$H$6*Sheet1!$E$10/(Sheet1!$H$5*Sheet1!$H$7)*(Sheet1!$C$23*B63/Sheet1!$H$10+Sheet1!$C$25/(B63/Sheet1!$H$10))</f>
        <v>2.105091480043555</v>
      </c>
      <c r="E63">
        <f>Sheet1!$H$4*Sheet1!$H$6*Sheet1!$E$10/(Sheet1!$H$5*Sheet1!$H$7)*(Sheet1!$C$23*B63/Sheet1!$H$11+Sheet1!$C$25/(B63/Sheet1!$H$11))</f>
        <v>1.7732102935961649</v>
      </c>
      <c r="F63">
        <f>Sheet1!$H$4*Sheet1!$H$6*Sheet1!$E$10/(Sheet1!$H$5*Sheet1!$H$7)*(Sheet1!$C$23*Sheet1!$E$8^2*Sheet1!$H$6/Sheet1!$H$10*B64+Sheet1!$C$25/(Sheet1!$H$6/Sheet1!$H$10*B64))</f>
        <v>4.5227364760822919</v>
      </c>
      <c r="G63">
        <v>15.7</v>
      </c>
      <c r="H63">
        <v>27</v>
      </c>
      <c r="I63">
        <f t="shared" si="1"/>
        <v>1.9342190913129134</v>
      </c>
      <c r="J63">
        <f t="shared" si="2"/>
        <v>0.4750387379741377</v>
      </c>
      <c r="K63">
        <f t="shared" si="3"/>
        <v>0.56394890307790102</v>
      </c>
      <c r="L63">
        <f t="shared" si="4"/>
        <v>0.22110507770866747</v>
      </c>
    </row>
    <row r="64" spans="2:12" x14ac:dyDescent="0.25">
      <c r="B64">
        <v>27.5</v>
      </c>
      <c r="C64">
        <f>Sheet1!$H$4*Sheet1!$H$6*Sheet1!$E$24/(Sheet1!$H$5*Sheet1!$H$7)*(Sheet1!$E$23/Sheet1!$H$9*B64+Sheet1!$C$25/(B64/Sheet1!$H$9+Sheet1!$C$26/Sheet1!$E$24))</f>
        <v>0.51905564928560954</v>
      </c>
      <c r="D64">
        <f>Sheet1!$H$4*Sheet1!$H$6*Sheet1!$E$10/(Sheet1!$H$5*Sheet1!$H$7)*(Sheet1!$C$23*B64/Sheet1!$H$10+Sheet1!$C$25/(B64/Sheet1!$H$10))</f>
        <v>2.0727025703947177</v>
      </c>
      <c r="E64">
        <f>Sheet1!$H$4*Sheet1!$H$6*Sheet1!$E$10/(Sheet1!$H$5*Sheet1!$H$7)*(Sheet1!$C$23*B64/Sheet1!$H$11+Sheet1!$C$25/(B64/Sheet1!$H$11))</f>
        <v>1.748236132239142</v>
      </c>
      <c r="F64">
        <f>Sheet1!$H$4*Sheet1!$H$6*Sheet1!$E$10/(Sheet1!$H$5*Sheet1!$H$7)*(Sheet1!$C$23*Sheet1!$E$8^2*Sheet1!$H$6/Sheet1!$H$10*B65+Sheet1!$C$25/(Sheet1!$H$6/Sheet1!$H$10*B65))</f>
        <v>4.5361564462929671</v>
      </c>
      <c r="G64">
        <v>15.7</v>
      </c>
      <c r="H64">
        <v>27.5</v>
      </c>
      <c r="I64">
        <f t="shared" si="1"/>
        <v>1.9265756983404907</v>
      </c>
      <c r="J64">
        <f t="shared" si="2"/>
        <v>0.48246189023134356</v>
      </c>
      <c r="K64">
        <f t="shared" si="3"/>
        <v>0.57200510935510718</v>
      </c>
      <c r="L64">
        <f t="shared" si="4"/>
        <v>0.22045095045547181</v>
      </c>
    </row>
    <row r="65" spans="2:12" x14ac:dyDescent="0.25">
      <c r="B65">
        <v>28</v>
      </c>
      <c r="C65">
        <f>Sheet1!$H$4*Sheet1!$H$6*Sheet1!$E$24/(Sheet1!$H$5*Sheet1!$H$7)*(Sheet1!$E$23/Sheet1!$H$9*B65+Sheet1!$C$25/(B65/Sheet1!$H$9+Sheet1!$C$26/Sheet1!$E$24))</f>
        <v>0.5211380575905078</v>
      </c>
      <c r="D65">
        <f>Sheet1!$H$4*Sheet1!$H$6*Sheet1!$E$10/(Sheet1!$H$5*Sheet1!$H$7)*(Sheet1!$C$23*B65/Sheet1!$H$10+Sheet1!$C$25/(B65/Sheet1!$H$10))</f>
        <v>2.0415764695928931</v>
      </c>
      <c r="E65">
        <f>Sheet1!$H$4*Sheet1!$H$6*Sheet1!$E$10/(Sheet1!$H$5*Sheet1!$H$7)*(Sheet1!$C$23*B65/Sheet1!$H$11+Sheet1!$C$25/(B65/Sheet1!$H$11))</f>
        <v>1.7242848460481983</v>
      </c>
      <c r="F65" t="e">
        <f>Sheet1!$H$4*Sheet1!$H$6*Sheet1!$E$10/(Sheet1!$H$5*Sheet1!$H$7)*(Sheet1!$C$23*Sheet1!$E$8^2*Sheet1!$H$6/Sheet1!$H$10*B66+Sheet1!$C$25/(Sheet1!$H$6/Sheet1!$H$10*B66))</f>
        <v>#DIV/0!</v>
      </c>
      <c r="G65">
        <v>15.7</v>
      </c>
      <c r="H65">
        <v>28</v>
      </c>
      <c r="I65">
        <f t="shared" si="1"/>
        <v>1.9188773213445971</v>
      </c>
      <c r="J65">
        <f t="shared" si="2"/>
        <v>0.48981755760508355</v>
      </c>
      <c r="K65">
        <f t="shared" si="3"/>
        <v>0.57995058200032878</v>
      </c>
      <c r="L65" t="e">
        <f t="shared" si="4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workbookViewId="0">
      <selection activeCell="L5" sqref="L5"/>
    </sheetView>
  </sheetViews>
  <sheetFormatPr defaultRowHeight="15" x14ac:dyDescent="0.25"/>
  <cols>
    <col min="2" max="2" width="11.85546875" customWidth="1"/>
    <col min="5" max="5" width="11.7109375" customWidth="1"/>
    <col min="8" max="8" width="15" customWidth="1"/>
    <col min="10" max="10" width="11.85546875" customWidth="1"/>
    <col min="12" max="12" width="15.85546875" customWidth="1"/>
    <col min="13" max="13" width="14.5703125" customWidth="1"/>
  </cols>
  <sheetData>
    <row r="1" spans="2:13" x14ac:dyDescent="0.25">
      <c r="H1" s="3" t="s">
        <v>86</v>
      </c>
      <c r="I1" s="3"/>
      <c r="J1" s="3" t="s">
        <v>87</v>
      </c>
      <c r="K1" s="3"/>
      <c r="L1" s="3" t="s">
        <v>88</v>
      </c>
      <c r="M1" s="3"/>
    </row>
    <row r="2" spans="2:13" x14ac:dyDescent="0.25">
      <c r="F2" t="s">
        <v>80</v>
      </c>
      <c r="H2" t="s">
        <v>83</v>
      </c>
      <c r="I2" t="s">
        <v>82</v>
      </c>
      <c r="J2" t="s">
        <v>81</v>
      </c>
      <c r="K2" t="s">
        <v>85</v>
      </c>
      <c r="L2" t="s">
        <v>81</v>
      </c>
      <c r="M2" t="s">
        <v>84</v>
      </c>
    </row>
    <row r="3" spans="2:13" x14ac:dyDescent="0.25">
      <c r="B3" t="s">
        <v>38</v>
      </c>
      <c r="C3">
        <f>Sheet1!E13^2/(SQRT(1-Sheet1!E8^-2)*9.81)</f>
        <v>11.752280943346353</v>
      </c>
      <c r="F3">
        <v>0</v>
      </c>
      <c r="H3">
        <f>DEGREES(ACOS(1/Sheet1!$E$8))</f>
        <v>75.522487814070075</v>
      </c>
      <c r="I3" t="e">
        <f>DEGREES(ACOS((2*Sheet1!$E$2*9.81)/(1.225*Sheet1!$E$3*Sheet1!$E$11*TURN!F3^2)))</f>
        <v>#DIV/0!</v>
      </c>
      <c r="J3">
        <f>F3^2/(9.81*SQRT(Sheet1!$E$8^2-1))</f>
        <v>0</v>
      </c>
      <c r="K3" t="e">
        <f>1/(9.81*SQRT(((Sheet1!$E$11*1.225*Sheet1!$E$3)/(2*9.81*Sheet1!$E$2))^2-1/TURN!F3^4))</f>
        <v>#DIV/0!</v>
      </c>
      <c r="L3" t="e">
        <f>(9.81*SQRT(Sheet1!$E$8^2-1))/F3</f>
        <v>#DIV/0!</v>
      </c>
      <c r="M3" t="e">
        <f>(9.81*SQRT(((Sheet1!$E$11*1.225*Sheet1!$E$3*F3^2)/(2*9.81*Sheet1!$E$2))^2-1))/F3</f>
        <v>#NUM!</v>
      </c>
    </row>
    <row r="4" spans="2:13" x14ac:dyDescent="0.25">
      <c r="B4" t="s">
        <v>39</v>
      </c>
      <c r="C4">
        <f>Sheet1!E13/TURN!C3</f>
        <v>0.89901355587182596</v>
      </c>
      <c r="F4">
        <v>1</v>
      </c>
      <c r="H4">
        <f>DEGREES(ACOS(1/Sheet1!$E$8))</f>
        <v>75.522487814070075</v>
      </c>
      <c r="I4" t="e">
        <f>DEGREES(ACOS((2*Sheet1!$E$2*9.81)/(1.225*Sheet1!$E$3*Sheet1!$E$11*TURN!F4^2)))</f>
        <v>#NUM!</v>
      </c>
      <c r="J4">
        <f>F4^2/(9.81*SQRT(Sheet1!$E$8^2-1))</f>
        <v>2.6319968373818663E-2</v>
      </c>
      <c r="K4" t="e">
        <f>1/(9.81*SQRT(((Sheet1!$E$11*1.225*Sheet1!$E$3)/(2*9.81*Sheet1!$E$2))^2-1/TURN!F4^4))</f>
        <v>#NUM!</v>
      </c>
      <c r="L4">
        <f>(9.81*SQRT(Sheet1!$E$8^2-1))/F4</f>
        <v>37.993966626294764</v>
      </c>
      <c r="M4" t="e">
        <f>(9.81*SQRT(((Sheet1!$E$11*1.225*Sheet1!$E$3*F4^2)/(2*9.81*Sheet1!$E$2))^2-1))/F4</f>
        <v>#NUM!</v>
      </c>
    </row>
    <row r="5" spans="2:13" x14ac:dyDescent="0.25">
      <c r="F5">
        <v>2</v>
      </c>
      <c r="H5">
        <f>DEGREES(ACOS(1/Sheet1!$E$8))</f>
        <v>75.522487814070075</v>
      </c>
      <c r="I5" t="e">
        <f>DEGREES(ACOS((2*Sheet1!$E$2*9.81)/(1.225*Sheet1!$E$3*Sheet1!$E$11*TURN!F5^2)))</f>
        <v>#NUM!</v>
      </c>
      <c r="J5">
        <f>F5^2/(9.81*SQRT(Sheet1!$E$8^2-1))</f>
        <v>0.10527987349527465</v>
      </c>
      <c r="K5" t="e">
        <f>1/(9.81*SQRT(((Sheet1!$E$11*1.225*Sheet1!$E$3)/(2*9.81*Sheet1!$E$2))^2-1/TURN!F5^4))</f>
        <v>#NUM!</v>
      </c>
      <c r="L5">
        <f>(9.81*SQRT(Sheet1!$E$8^2-1))/F5</f>
        <v>18.996983313147382</v>
      </c>
      <c r="M5" t="e">
        <f>(9.81*SQRT(((Sheet1!$E$11*1.225*Sheet1!$E$3*F5^2)/(2*9.81*Sheet1!$E$2))^2-1))/F5</f>
        <v>#NUM!</v>
      </c>
    </row>
    <row r="6" spans="2:13" x14ac:dyDescent="0.25">
      <c r="F6">
        <v>3</v>
      </c>
      <c r="H6">
        <f>DEGREES(ACOS(1/Sheet1!$E$8))</f>
        <v>75.522487814070075</v>
      </c>
      <c r="I6" t="e">
        <f>DEGREES(ACOS((2*Sheet1!$E$2*9.81)/(1.225*Sheet1!$E$3*Sheet1!$E$11*TURN!F6^2)))</f>
        <v>#NUM!</v>
      </c>
      <c r="J6">
        <f>F6^2/(9.81*SQRT(Sheet1!$E$8^2-1))</f>
        <v>0.23687971536436797</v>
      </c>
      <c r="K6" t="e">
        <f>1/(9.81*SQRT(((Sheet1!$E$11*1.225*Sheet1!$E$3)/(2*9.81*Sheet1!$E$2))^2-1/TURN!F6^4))</f>
        <v>#NUM!</v>
      </c>
      <c r="L6">
        <f>(9.81*SQRT(Sheet1!$E$8^2-1))/F6</f>
        <v>12.664655542098254</v>
      </c>
      <c r="M6" t="e">
        <f>(9.81*SQRT(((Sheet1!$E$11*1.225*Sheet1!$E$3*F6^2)/(2*9.81*Sheet1!$E$2))^2-1))/F6</f>
        <v>#NUM!</v>
      </c>
    </row>
    <row r="7" spans="2:13" x14ac:dyDescent="0.25">
      <c r="F7">
        <v>4</v>
      </c>
      <c r="H7">
        <f>DEGREES(ACOS(1/Sheet1!$E$8))</f>
        <v>75.522487814070075</v>
      </c>
      <c r="I7" t="e">
        <f>DEGREES(ACOS((2*Sheet1!$E$2*9.81)/(1.225*Sheet1!$E$3*Sheet1!$E$11*TURN!F7^2)))</f>
        <v>#NUM!</v>
      </c>
      <c r="J7">
        <f>F7^2/(9.81*SQRT(Sheet1!$E$8^2-1))</f>
        <v>0.4211194939810986</v>
      </c>
      <c r="K7" t="e">
        <f>1/(9.81*SQRT(((Sheet1!$E$11*1.225*Sheet1!$E$3)/(2*9.81*Sheet1!$E$2))^2-1/TURN!F7^4))</f>
        <v>#NUM!</v>
      </c>
      <c r="L7">
        <f>(9.81*SQRT(Sheet1!$E$8^2-1))/F7</f>
        <v>9.498491656573691</v>
      </c>
      <c r="M7" t="e">
        <f>(9.81*SQRT(((Sheet1!$E$11*1.225*Sheet1!$E$3*F7^2)/(2*9.81*Sheet1!$E$2))^2-1))/F7</f>
        <v>#NUM!</v>
      </c>
    </row>
    <row r="8" spans="2:13" x14ac:dyDescent="0.25">
      <c r="F8">
        <v>5</v>
      </c>
      <c r="H8">
        <f>DEGREES(ACOS(1/Sheet1!$E$8))</f>
        <v>75.522487814070075</v>
      </c>
      <c r="I8" t="e">
        <f>DEGREES(ACOS((2*Sheet1!$E$2*9.81)/(1.225*Sheet1!$E$3*Sheet1!$E$11*TURN!F8^2)))</f>
        <v>#NUM!</v>
      </c>
      <c r="J8">
        <f>F8^2/(9.81*SQRT(Sheet1!$E$8^2-1))</f>
        <v>0.65799920934546663</v>
      </c>
      <c r="K8" t="e">
        <f>1/(9.81*SQRT(((Sheet1!$E$11*1.225*Sheet1!$E$3)/(2*9.81*Sheet1!$E$2))^2-1/TURN!F8^4))</f>
        <v>#NUM!</v>
      </c>
      <c r="L8">
        <f>(9.81*SQRT(Sheet1!$E$8^2-1))/F8</f>
        <v>7.5987933252589528</v>
      </c>
      <c r="M8" t="e">
        <f>(9.81*SQRT(((Sheet1!$E$11*1.225*Sheet1!$E$3*F8^2)/(2*9.81*Sheet1!$E$2))^2-1))/F8</f>
        <v>#NUM!</v>
      </c>
    </row>
    <row r="9" spans="2:13" x14ac:dyDescent="0.25">
      <c r="F9">
        <v>6</v>
      </c>
      <c r="H9">
        <f>DEGREES(ACOS(1/Sheet1!$E$8))</f>
        <v>75.522487814070075</v>
      </c>
      <c r="I9" t="e">
        <f>DEGREES(ACOS((2*Sheet1!$E$2*9.81)/(1.225*Sheet1!$E$3*Sheet1!$E$11*TURN!F9^2)))</f>
        <v>#NUM!</v>
      </c>
      <c r="J9">
        <f>F9^2/(9.81*SQRT(Sheet1!$E$8^2-1))</f>
        <v>0.94751886145747188</v>
      </c>
      <c r="K9" t="e">
        <f>1/(9.81*SQRT(((Sheet1!$E$11*1.225*Sheet1!$E$3)/(2*9.81*Sheet1!$E$2))^2-1/TURN!F9^4))</f>
        <v>#NUM!</v>
      </c>
      <c r="L9">
        <f>(9.81*SQRT(Sheet1!$E$8^2-1))/F9</f>
        <v>6.332327771049127</v>
      </c>
      <c r="M9" t="e">
        <f>(9.81*SQRT(((Sheet1!$E$11*1.225*Sheet1!$E$3*F9^2)/(2*9.81*Sheet1!$E$2))^2-1))/F9</f>
        <v>#NUM!</v>
      </c>
    </row>
    <row r="10" spans="2:13" x14ac:dyDescent="0.25">
      <c r="F10">
        <v>7</v>
      </c>
      <c r="H10">
        <f>DEGREES(ACOS(1/Sheet1!$E$8))</f>
        <v>75.522487814070075</v>
      </c>
      <c r="I10" t="e">
        <f>DEGREES(ACOS((2*Sheet1!$E$2*9.81)/(1.225*Sheet1!$E$3*Sheet1!$E$11*TURN!F10^2)))</f>
        <v>#NUM!</v>
      </c>
      <c r="J10">
        <f>F10^2/(9.81*SQRT(Sheet1!$E$8^2-1))</f>
        <v>1.2896784503171146</v>
      </c>
      <c r="K10" t="e">
        <f>1/(9.81*SQRT(((Sheet1!$E$11*1.225*Sheet1!$E$3)/(2*9.81*Sheet1!$E$2))^2-1/TURN!F10^4))</f>
        <v>#NUM!</v>
      </c>
      <c r="L10">
        <f>(9.81*SQRT(Sheet1!$E$8^2-1))/F10</f>
        <v>5.4277095180421089</v>
      </c>
      <c r="M10" t="e">
        <f>(9.81*SQRT(((Sheet1!$E$11*1.225*Sheet1!$E$3*F10^2)/(2*9.81*Sheet1!$E$2))^2-1))/F10</f>
        <v>#NUM!</v>
      </c>
    </row>
    <row r="11" spans="2:13" x14ac:dyDescent="0.25">
      <c r="F11">
        <v>8</v>
      </c>
      <c r="H11">
        <f>DEGREES(ACOS(1/Sheet1!$E$8))</f>
        <v>75.522487814070075</v>
      </c>
      <c r="I11" t="e">
        <f>DEGREES(ACOS((2*Sheet1!$E$2*9.81)/(1.225*Sheet1!$E$3*Sheet1!$E$11*TURN!F11^2)))</f>
        <v>#NUM!</v>
      </c>
      <c r="J11">
        <f>F11^2/(9.81*SQRT(Sheet1!$E$8^2-1))</f>
        <v>1.6844779759243944</v>
      </c>
      <c r="K11" t="e">
        <f>1/(9.81*SQRT(((Sheet1!$E$11*1.225*Sheet1!$E$3)/(2*9.81*Sheet1!$E$2))^2-1/TURN!F11^4))</f>
        <v>#NUM!</v>
      </c>
      <c r="L11">
        <f>(9.81*SQRT(Sheet1!$E$8^2-1))/F11</f>
        <v>4.7492458282868455</v>
      </c>
      <c r="M11" t="e">
        <f>(9.81*SQRT(((Sheet1!$E$11*1.225*Sheet1!$E$3*F11^2)/(2*9.81*Sheet1!$E$2))^2-1))/F11</f>
        <v>#NUM!</v>
      </c>
    </row>
    <row r="12" spans="2:13" x14ac:dyDescent="0.25">
      <c r="F12">
        <v>9</v>
      </c>
      <c r="H12">
        <f>DEGREES(ACOS(1/Sheet1!$E$8))</f>
        <v>75.522487814070075</v>
      </c>
      <c r="I12" t="e">
        <f>DEGREES(ACOS((2*Sheet1!$E$2*9.81)/(1.225*Sheet1!$E$3*Sheet1!$E$11*TURN!F12^2)))</f>
        <v>#NUM!</v>
      </c>
      <c r="J12">
        <f>F12^2/(9.81*SQRT(Sheet1!$E$8^2-1))</f>
        <v>2.131917438279312</v>
      </c>
      <c r="K12" t="e">
        <f>1/(9.81*SQRT(((Sheet1!$E$11*1.225*Sheet1!$E$3)/(2*9.81*Sheet1!$E$2))^2-1/TURN!F12^4))</f>
        <v>#NUM!</v>
      </c>
      <c r="L12">
        <f>(9.81*SQRT(Sheet1!$E$8^2-1))/F12</f>
        <v>4.2215518473660847</v>
      </c>
      <c r="M12" t="e">
        <f>(9.81*SQRT(((Sheet1!$E$11*1.225*Sheet1!$E$3*F12^2)/(2*9.81*Sheet1!$E$2))^2-1))/F12</f>
        <v>#NUM!</v>
      </c>
    </row>
    <row r="13" spans="2:13" x14ac:dyDescent="0.25">
      <c r="F13">
        <v>10.566000000000001</v>
      </c>
      <c r="H13">
        <f>DEGREES(ACOS(1/Sheet1!$E$8))</f>
        <v>75.522487814070075</v>
      </c>
      <c r="I13">
        <f>DEGREES(ACOS((2*Sheet1!$E$2*9.81)/(1.225*Sheet1!$E$3*Sheet1!$E$11*TURN!F13^2)))</f>
        <v>0.81929519961952346</v>
      </c>
      <c r="J13">
        <f>F13^2/(9.81*SQRT(Sheet1!$E$8^2-1))</f>
        <v>2.9383706391618571</v>
      </c>
      <c r="K13">
        <f>1/(9.81*SQRT(((Sheet1!$E$11*1.225*Sheet1!$E$3)/(2*9.81*Sheet1!$E$2))^2-1/TURN!F13^4))</f>
        <v>795.80163224811201</v>
      </c>
      <c r="L13">
        <f>(9.81*SQRT(Sheet1!$E$8^2-1))/F13</f>
        <v>3.5958703980971758</v>
      </c>
      <c r="M13">
        <f>(9.81*SQRT(((Sheet1!$E$11*1.225*Sheet1!$E$3*F13^2)/(2*9.81*Sheet1!$E$2))^2-1))/F13</f>
        <v>1.3277178095425312E-2</v>
      </c>
    </row>
    <row r="14" spans="2:13" x14ac:dyDescent="0.25">
      <c r="F14">
        <v>11</v>
      </c>
      <c r="H14">
        <f>DEGREES(ACOS(1/Sheet1!$E$8))</f>
        <v>75.522487814070075</v>
      </c>
      <c r="I14">
        <f>DEGREES(ACOS((2*Sheet1!$E$2*9.81)/(1.225*Sheet1!$E$3*Sheet1!$E$11*TURN!F14^2)))</f>
        <v>22.697749933641617</v>
      </c>
      <c r="J14">
        <f>F14^2/(9.81*SQRT(Sheet1!$E$8^2-1))</f>
        <v>3.1847161732320584</v>
      </c>
      <c r="K14">
        <f>1/(9.81*SQRT(((Sheet1!$E$11*1.225*Sheet1!$E$3)/(2*9.81*Sheet1!$E$2))^2-1/TURN!F14^4))</f>
        <v>29.489472124634609</v>
      </c>
      <c r="L14">
        <f>(9.81*SQRT(Sheet1!$E$8^2-1))/F14</f>
        <v>3.4539969660267968</v>
      </c>
      <c r="M14">
        <f>(9.81*SQRT(((Sheet1!$E$11*1.225*Sheet1!$E$3*F14^2)/(2*9.81*Sheet1!$E$2))^2-1))/F14</f>
        <v>0.37301447626832646</v>
      </c>
    </row>
    <row r="15" spans="2:13" x14ac:dyDescent="0.25">
      <c r="F15">
        <v>12</v>
      </c>
      <c r="H15">
        <f>DEGREES(ACOS(1/Sheet1!$E$8))</f>
        <v>75.522487814070075</v>
      </c>
      <c r="I15">
        <f>DEGREES(ACOS((2*Sheet1!$E$2*9.81)/(1.225*Sheet1!$E$3*Sheet1!$E$11*TURN!F15^2)))</f>
        <v>39.176741472352433</v>
      </c>
      <c r="J15">
        <f>F15^2/(9.81*SQRT(Sheet1!$E$8^2-1))</f>
        <v>3.7900754458298875</v>
      </c>
      <c r="K15">
        <f>1/(9.81*SQRT(((Sheet1!$E$11*1.225*Sheet1!$E$3)/(2*9.81*Sheet1!$E$2))^2-1/TURN!F15^4))</f>
        <v>18.013032799271507</v>
      </c>
      <c r="L15">
        <f>(9.81*SQRT(Sheet1!$E$8^2-1))/F15</f>
        <v>3.1661638855245635</v>
      </c>
      <c r="M15">
        <f>(9.81*SQRT(((Sheet1!$E$11*1.225*Sheet1!$E$3*F15^2)/(2*9.81*Sheet1!$E$2))^2-1))/F15</f>
        <v>0.66618431963801827</v>
      </c>
    </row>
    <row r="16" spans="2:13" x14ac:dyDescent="0.25">
      <c r="F16">
        <v>13</v>
      </c>
      <c r="H16">
        <f>DEGREES(ACOS(1/Sheet1!$E$8))</f>
        <v>75.522487814070075</v>
      </c>
      <c r="I16">
        <f>DEGREES(ACOS((2*Sheet1!$E$2*9.81)/(1.225*Sheet1!$E$3*Sheet1!$E$11*TURN!F16^2)))</f>
        <v>48.659977219700657</v>
      </c>
      <c r="J16">
        <f>F16^2/(9.81*SQRT(Sheet1!$E$8^2-1))</f>
        <v>4.4480746551753541</v>
      </c>
      <c r="K16">
        <f>1/(9.81*SQRT(((Sheet1!$E$11*1.225*Sheet1!$E$3)/(2*9.81*Sheet1!$E$2))^2-1/TURN!F16^4))</f>
        <v>15.155904158017988</v>
      </c>
      <c r="L16">
        <f>(9.81*SQRT(Sheet1!$E$8^2-1))/F16</f>
        <v>2.9226128174072894</v>
      </c>
      <c r="M16">
        <f>(9.81*SQRT(((Sheet1!$E$11*1.225*Sheet1!$E$3*F16^2)/(2*9.81*Sheet1!$E$2))^2-1))/F16</f>
        <v>0.8577515313147821</v>
      </c>
    </row>
    <row r="17" spans="6:13" x14ac:dyDescent="0.25">
      <c r="F17">
        <v>14</v>
      </c>
      <c r="H17">
        <f>DEGREES(ACOS(1/Sheet1!$E$8))</f>
        <v>75.522487814070075</v>
      </c>
      <c r="I17">
        <f>DEGREES(ACOS((2*Sheet1!$E$2*9.81)/(1.225*Sheet1!$E$3*Sheet1!$E$11*TURN!F17^2)))</f>
        <v>55.282164411842039</v>
      </c>
      <c r="J17">
        <f>F17^2/(9.81*SQRT(Sheet1!$E$8^2-1))</f>
        <v>5.1587138012684584</v>
      </c>
      <c r="K17">
        <f>1/(9.81*SQRT(((Sheet1!$E$11*1.225*Sheet1!$E$3)/(2*9.81*Sheet1!$E$2))^2-1/TURN!F17^4))</f>
        <v>13.843743113828404</v>
      </c>
      <c r="L17">
        <f>(9.81*SQRT(Sheet1!$E$8^2-1))/F17</f>
        <v>2.7138547590210544</v>
      </c>
      <c r="M17">
        <f>(9.81*SQRT(((Sheet1!$E$11*1.225*Sheet1!$E$3*F17^2)/(2*9.81*Sheet1!$E$2))^2-1))/F17</f>
        <v>1.011287184751031</v>
      </c>
    </row>
    <row r="18" spans="6:13" x14ac:dyDescent="0.25">
      <c r="F18">
        <v>15</v>
      </c>
      <c r="H18">
        <f>DEGREES(ACOS(1/Sheet1!$E$8))</f>
        <v>75.522487814070075</v>
      </c>
      <c r="I18">
        <f>DEGREES(ACOS((2*Sheet1!$E$2*9.81)/(1.225*Sheet1!$E$3*Sheet1!$E$11*TURN!F18^2)))</f>
        <v>60.255798738253958</v>
      </c>
      <c r="J18">
        <f>F18^2/(9.81*SQRT(Sheet1!$E$8^2-1))</f>
        <v>5.9219928841091996</v>
      </c>
      <c r="K18">
        <f>1/(9.81*SQRT(((Sheet1!$E$11*1.225*Sheet1!$E$3)/(2*9.81*Sheet1!$E$2))^2-1/TURN!F18^4))</f>
        <v>13.105798787574443</v>
      </c>
      <c r="L18">
        <f>(9.81*SQRT(Sheet1!$E$8^2-1))/F18</f>
        <v>2.5329311084196511</v>
      </c>
      <c r="M18">
        <f>(9.81*SQRT(((Sheet1!$E$11*1.225*Sheet1!$E$3*F18^2)/(2*9.81*Sheet1!$E$2))^2-1))/F18</f>
        <v>1.1445315347143465</v>
      </c>
    </row>
    <row r="19" spans="6:13" x14ac:dyDescent="0.25">
      <c r="F19">
        <v>16</v>
      </c>
      <c r="H19">
        <f>DEGREES(ACOS(1/Sheet1!$E$8))</f>
        <v>75.522487814070075</v>
      </c>
      <c r="I19">
        <f>DEGREES(ACOS((2*Sheet1!$E$2*9.81)/(1.225*Sheet1!$E$3*Sheet1!$E$11*TURN!F19^2)))</f>
        <v>64.147838719221099</v>
      </c>
      <c r="J19">
        <f>F19^2/(9.81*SQRT(Sheet1!$E$8^2-1))</f>
        <v>6.7379119036975776</v>
      </c>
      <c r="K19">
        <f>1/(9.81*SQRT(((Sheet1!$E$11*1.225*Sheet1!$E$3)/(2*9.81*Sheet1!$E$2))^2-1/TURN!F19^4))</f>
        <v>12.64453468579249</v>
      </c>
      <c r="L19">
        <f>(9.81*SQRT(Sheet1!$E$8^2-1))/F19</f>
        <v>2.3746229141434227</v>
      </c>
      <c r="M19">
        <f>(9.81*SQRT(((Sheet1!$E$11*1.225*Sheet1!$E$3*F19^2)/(2*9.81*Sheet1!$E$2))^2-1))/F19</f>
        <v>1.2653688251555624</v>
      </c>
    </row>
    <row r="20" spans="6:13" x14ac:dyDescent="0.25">
      <c r="F20">
        <v>17</v>
      </c>
      <c r="H20">
        <f>DEGREES(ACOS(1/Sheet1!$E$8))</f>
        <v>75.522487814070075</v>
      </c>
      <c r="I20">
        <f>DEGREES(ACOS((2*Sheet1!$E$2*9.81)/(1.225*Sheet1!$E$3*Sheet1!$E$11*TURN!F20^2)))</f>
        <v>67.27805755131034</v>
      </c>
      <c r="J20">
        <f>F20^2/(9.81*SQRT(Sheet1!$E$8^2-1))</f>
        <v>7.6064708600335944</v>
      </c>
      <c r="K20">
        <f>1/(9.81*SQRT(((Sheet1!$E$11*1.225*Sheet1!$E$3)/(2*9.81*Sheet1!$E$2))^2-1/TURN!F20^4))</f>
        <v>12.336532518163242</v>
      </c>
      <c r="L20">
        <f>(9.81*SQRT(Sheet1!$E$8^2-1))/F20</f>
        <v>2.2349392133114567</v>
      </c>
      <c r="M20">
        <f>(9.81*SQRT(((Sheet1!$E$11*1.225*Sheet1!$E$3*F20^2)/(2*9.81*Sheet1!$E$2))^2-1))/F20</f>
        <v>1.3780209288931611</v>
      </c>
    </row>
    <row r="21" spans="6:13" x14ac:dyDescent="0.25">
      <c r="F21">
        <v>18</v>
      </c>
      <c r="H21">
        <f>DEGREES(ACOS(1/Sheet1!$E$8))</f>
        <v>75.522487814070075</v>
      </c>
      <c r="I21">
        <f>DEGREES(ACOS((2*Sheet1!$E$2*9.81)/(1.225*Sheet1!$E$3*Sheet1!$E$11*TURN!F21^2)))</f>
        <v>69.846661850737988</v>
      </c>
      <c r="J21">
        <f>F21^2/(9.81*SQRT(Sheet1!$E$8^2-1))</f>
        <v>8.5276697531172481</v>
      </c>
      <c r="K21">
        <f>1/(9.81*SQRT(((Sheet1!$E$11*1.225*Sheet1!$E$3)/(2*9.81*Sheet1!$E$2))^2-1/TURN!F21^4))</f>
        <v>12.12123261007963</v>
      </c>
      <c r="L21">
        <f>(9.81*SQRT(Sheet1!$E$8^2-1))/F21</f>
        <v>2.1107759236830423</v>
      </c>
      <c r="M21">
        <f>(9.81*SQRT(((Sheet1!$E$11*1.225*Sheet1!$E$3*F21^2)/(2*9.81*Sheet1!$E$2))^2-1))/F21</f>
        <v>1.4849974898618621</v>
      </c>
    </row>
    <row r="22" spans="6:13" x14ac:dyDescent="0.25">
      <c r="F22">
        <v>19</v>
      </c>
      <c r="H22">
        <f>DEGREES(ACOS(1/Sheet1!$E$8))</f>
        <v>75.522487814070075</v>
      </c>
      <c r="I22">
        <f>DEGREES(ACOS((2*Sheet1!$E$2*9.81)/(1.225*Sheet1!$E$3*Sheet1!$E$11*TURN!F22^2)))</f>
        <v>71.987682434783835</v>
      </c>
      <c r="J22">
        <f>F22^2/(9.81*SQRT(Sheet1!$E$8^2-1))</f>
        <v>9.5015085829485386</v>
      </c>
      <c r="K22">
        <f>1/(9.81*SQRT(((Sheet1!$E$11*1.225*Sheet1!$E$3)/(2*9.81*Sheet1!$E$2))^2-1/TURN!F22^4))</f>
        <v>11.965526831017591</v>
      </c>
      <c r="L22">
        <f>(9.81*SQRT(Sheet1!$E$8^2-1))/F22</f>
        <v>1.9996824540155138</v>
      </c>
      <c r="M22">
        <f>(9.81*SQRT(((Sheet1!$E$11*1.225*Sheet1!$E$3*F22^2)/(2*9.81*Sheet1!$E$2))^2-1))/F22</f>
        <v>1.5878949810005292</v>
      </c>
    </row>
    <row r="23" spans="6:13" x14ac:dyDescent="0.25">
      <c r="F23">
        <v>20</v>
      </c>
      <c r="H23">
        <f>DEGREES(ACOS(1/Sheet1!$E$8))</f>
        <v>75.522487814070075</v>
      </c>
      <c r="I23">
        <f>DEGREES(ACOS((2*Sheet1!$E$2*9.81)/(1.225*Sheet1!$E$3*Sheet1!$E$11*TURN!F23^2)))</f>
        <v>73.795152160779807</v>
      </c>
      <c r="J23">
        <f>F23^2/(9.81*SQRT(Sheet1!$E$8^2-1))</f>
        <v>10.527987349527466</v>
      </c>
      <c r="K23">
        <f>1/(9.81*SQRT(((Sheet1!$E$11*1.225*Sheet1!$E$3)/(2*9.81*Sheet1!$E$2))^2-1/TURN!F23^4))</f>
        <v>11.849892411285577</v>
      </c>
      <c r="L23">
        <f>(9.81*SQRT(Sheet1!$E$8^2-1))/F23</f>
        <v>1.8996983313147382</v>
      </c>
      <c r="M23">
        <f>(9.81*SQRT(((Sheet1!$E$11*1.225*Sheet1!$E$3*F23^2)/(2*9.81*Sheet1!$E$2))^2-1))/F23</f>
        <v>1.6877790367912904</v>
      </c>
    </row>
    <row r="24" spans="6:13" x14ac:dyDescent="0.25">
      <c r="F24">
        <v>21</v>
      </c>
      <c r="H24">
        <f>DEGREES(ACOS(1/Sheet1!$E$8))</f>
        <v>75.522487814070075</v>
      </c>
      <c r="I24">
        <f>DEGREES(ACOS((2*Sheet1!$E$2*9.81)/(1.225*Sheet1!$E$3*Sheet1!$E$11*TURN!F24^2)))</f>
        <v>75.337379259281846</v>
      </c>
      <c r="J24">
        <f>F24^2/(9.81*SQRT(Sheet1!$E$8^2-1))</f>
        <v>11.60710605285403</v>
      </c>
      <c r="K24">
        <f>1/(9.81*SQRT(((Sheet1!$E$11*1.225*Sheet1!$E$3)/(2*9.81*Sheet1!$E$2))^2-1/TURN!F24^4))</f>
        <v>11.762154030297227</v>
      </c>
      <c r="L24">
        <f>(9.81*SQRT(Sheet1!$E$8^2-1))/F24</f>
        <v>1.8092365060140363</v>
      </c>
      <c r="M24">
        <f>(9.81*SQRT(((Sheet1!$E$11*1.225*Sheet1!$E$3*F24^2)/(2*9.81*Sheet1!$E$2))^2-1))/F24</f>
        <v>1.7853872637535366</v>
      </c>
    </row>
    <row r="25" spans="6:13" x14ac:dyDescent="0.25">
      <c r="F25">
        <v>22</v>
      </c>
      <c r="H25">
        <f>DEGREES(ACOS(1/Sheet1!$E$8))</f>
        <v>75.522487814070075</v>
      </c>
      <c r="I25">
        <f>DEGREES(ACOS((2*Sheet1!$E$2*9.81)/(1.225*Sheet1!$E$3*Sheet1!$E$11*TURN!F25^2)))</f>
        <v>76.665345318480391</v>
      </c>
      <c r="J25">
        <f>F25^2/(9.81*SQRT(Sheet1!$E$8^2-1))</f>
        <v>12.738864692928233</v>
      </c>
      <c r="K25">
        <f>1/(9.81*SQRT(((Sheet1!$E$11*1.225*Sheet1!$E$3)/(2*9.81*Sheet1!$E$2))^2-1/TURN!F25^4))</f>
        <v>11.694382896690094</v>
      </c>
      <c r="L25">
        <f>(9.81*SQRT(Sheet1!$E$8^2-1))/F25</f>
        <v>1.7269984830133984</v>
      </c>
      <c r="M25">
        <f>(9.81*SQRT(((Sheet1!$E$11*1.225*Sheet1!$E$3*F25^2)/(2*9.81*Sheet1!$E$2))^2-1))/F25</f>
        <v>1.881245055369851</v>
      </c>
    </row>
    <row r="26" spans="6:13" x14ac:dyDescent="0.25">
      <c r="F26">
        <v>23</v>
      </c>
      <c r="H26">
        <f>DEGREES(ACOS(1/Sheet1!$E$8))</f>
        <v>75.522487814070075</v>
      </c>
      <c r="I26">
        <f>DEGREES(ACOS((2*Sheet1!$E$2*9.81)/(1.225*Sheet1!$E$3*Sheet1!$E$11*TURN!F26^2)))</f>
        <v>77.817937099686503</v>
      </c>
      <c r="J26">
        <f>F26^2/(9.81*SQRT(Sheet1!$E$8^2-1))</f>
        <v>13.923263269750073</v>
      </c>
      <c r="K26">
        <f>1/(9.81*SQRT(((Sheet1!$E$11*1.225*Sheet1!$E$3)/(2*9.81*Sheet1!$E$2))^2-1/TURN!F26^4))</f>
        <v>11.64123436177209</v>
      </c>
      <c r="L26">
        <f>(9.81*SQRT(Sheet1!$E$8^2-1))/F26</f>
        <v>1.6519115924475984</v>
      </c>
      <c r="M26">
        <f>(9.81*SQRT(((Sheet1!$E$11*1.225*Sheet1!$E$3*F26^2)/(2*9.81*Sheet1!$E$2))^2-1))/F26</f>
        <v>1.975735500655174</v>
      </c>
    </row>
    <row r="27" spans="6:13" x14ac:dyDescent="0.25">
      <c r="F27">
        <v>24</v>
      </c>
      <c r="H27">
        <f>DEGREES(ACOS(1/Sheet1!$E$8))</f>
        <v>75.522487814070075</v>
      </c>
      <c r="I27">
        <f>DEGREES(ACOS((2*Sheet1!$E$2*9.81)/(1.225*Sheet1!$E$3*Sheet1!$E$11*TURN!F27^2)))</f>
        <v>78.825354094371718</v>
      </c>
      <c r="J27">
        <f>F27^2/(9.81*SQRT(Sheet1!$E$8^2-1))</f>
        <v>15.16030178331955</v>
      </c>
      <c r="K27">
        <f>1/(9.81*SQRT(((Sheet1!$E$11*1.225*Sheet1!$E$3)/(2*9.81*Sheet1!$E$2))^2-1/TURN!F27^4))</f>
        <v>11.599002460206925</v>
      </c>
      <c r="L27">
        <f>(9.81*SQRT(Sheet1!$E$8^2-1))/F27</f>
        <v>1.5830819427622818</v>
      </c>
      <c r="M27">
        <f>(9.81*SQRT(((Sheet1!$E$11*1.225*Sheet1!$E$3*F27^2)/(2*9.81*Sheet1!$E$2))^2-1))/F27</f>
        <v>2.0691434528389463</v>
      </c>
    </row>
    <row r="28" spans="6:13" x14ac:dyDescent="0.25">
      <c r="F28">
        <v>25</v>
      </c>
      <c r="H28">
        <f>DEGREES(ACOS(1/Sheet1!$E$8))</f>
        <v>75.522487814070075</v>
      </c>
      <c r="I28">
        <f>DEGREES(ACOS((2*Sheet1!$E$2*9.81)/(1.225*Sheet1!$E$3*Sheet1!$E$11*TURN!F28^2)))</f>
        <v>79.71140829343166</v>
      </c>
      <c r="J28">
        <f>F28^2/(9.81*SQRT(Sheet1!$E$8^2-1))</f>
        <v>16.449980233636666</v>
      </c>
      <c r="K28">
        <f>1/(9.81*SQRT(((Sheet1!$E$11*1.225*Sheet1!$E$3)/(2*9.81*Sheet1!$E$2))^2-1/TURN!F28^4))</f>
        <v>11.565056022184111</v>
      </c>
      <c r="L28">
        <f>(9.81*SQRT(Sheet1!$E$8^2-1))/F28</f>
        <v>1.5197586650517905</v>
      </c>
      <c r="M28">
        <f>(9.81*SQRT(((Sheet1!$E$11*1.225*Sheet1!$E$3*F28^2)/(2*9.81*Sheet1!$E$2))^2-1))/F28</f>
        <v>2.1616842972524264</v>
      </c>
    </row>
    <row r="29" spans="6:13" x14ac:dyDescent="0.25">
      <c r="F29">
        <v>26</v>
      </c>
      <c r="H29">
        <f>DEGREES(ACOS(1/Sheet1!$E$8))</f>
        <v>75.522487814070075</v>
      </c>
      <c r="I29">
        <f>DEGREES(ACOS((2*Sheet1!$E$2*9.81)/(1.225*Sheet1!$E$3*Sheet1!$E$11*TURN!F29^2)))</f>
        <v>80.495122179705916</v>
      </c>
      <c r="J29">
        <f>F29^2/(9.81*SQRT(Sheet1!$E$8^2-1))</f>
        <v>17.792298620701416</v>
      </c>
      <c r="K29">
        <f>1/(9.81*SQRT(((Sheet1!$E$11*1.225*Sheet1!$E$3)/(2*9.81*Sheet1!$E$2))^2-1/TURN!F29^4))</f>
        <v>11.537488970808672</v>
      </c>
      <c r="L29">
        <f>(9.81*SQRT(Sheet1!$E$8^2-1))/F29</f>
        <v>1.4613064087036447</v>
      </c>
      <c r="M29">
        <f>(9.81*SQRT(((Sheet1!$E$11*1.225*Sheet1!$E$3*F29^2)/(2*9.81*Sheet1!$E$2))^2-1))/F29</f>
        <v>2.2535232810001671</v>
      </c>
    </row>
    <row r="30" spans="6:13" x14ac:dyDescent="0.25">
      <c r="F30">
        <v>27</v>
      </c>
      <c r="H30">
        <f>DEGREES(ACOS(1/Sheet1!$E$8))</f>
        <v>75.522487814070075</v>
      </c>
      <c r="I30">
        <f>DEGREES(ACOS((2*Sheet1!$E$2*9.81)/(1.225*Sheet1!$E$3*Sheet1!$E$11*TURN!F30^2)))</f>
        <v>81.191866422346493</v>
      </c>
      <c r="J30">
        <f>F30^2/(9.81*SQRT(Sheet1!$E$8^2-1))</f>
        <v>19.187256944513805</v>
      </c>
      <c r="K30">
        <f>1/(9.81*SQRT(((Sheet1!$E$11*1.225*Sheet1!$E$3)/(2*9.81*Sheet1!$E$2))^2-1/TURN!F30^4))</f>
        <v>11.514896249347961</v>
      </c>
      <c r="L30">
        <f>(9.81*SQRT(Sheet1!$E$8^2-1))/F30</f>
        <v>1.4071839491220284</v>
      </c>
      <c r="M30">
        <f>(9.81*SQRT(((Sheet1!$E$11*1.225*Sheet1!$E$3*F30^2)/(2*9.81*Sheet1!$E$2))^2-1))/F30</f>
        <v>2.3447888209612735</v>
      </c>
    </row>
    <row r="31" spans="6:13" x14ac:dyDescent="0.25">
      <c r="F31">
        <v>28</v>
      </c>
      <c r="H31">
        <f>DEGREES(ACOS(1/Sheet1!$E$8))</f>
        <v>75.522487814070075</v>
      </c>
      <c r="I31">
        <f>DEGREES(ACOS((2*Sheet1!$E$2*9.81)/(1.225*Sheet1!$E$3*Sheet1!$E$11*TURN!F31^2)))</f>
        <v>81.814186755080456</v>
      </c>
      <c r="J31">
        <f>F31^2/(9.81*SQRT(Sheet1!$E$8^2-1))</f>
        <v>20.634855205073833</v>
      </c>
      <c r="K31">
        <f>1/(9.81*SQRT(((Sheet1!$E$11*1.225*Sheet1!$E$3)/(2*9.81*Sheet1!$E$2))^2-1/TURN!F31^4))</f>
        <v>11.496226206848512</v>
      </c>
      <c r="L31">
        <f>(9.81*SQRT(Sheet1!$E$8^2-1))/F31</f>
        <v>1.3569273795105272</v>
      </c>
      <c r="M31">
        <f>(9.81*SQRT(((Sheet1!$E$11*1.225*Sheet1!$E$3*F31^2)/(2*9.81*Sheet1!$E$2))^2-1))/F31</f>
        <v>2.4355818593165717</v>
      </c>
    </row>
    <row r="32" spans="6:13" x14ac:dyDescent="0.25">
      <c r="F32">
        <v>29</v>
      </c>
      <c r="H32">
        <f>DEGREES(ACOS(1/Sheet1!$E$8))</f>
        <v>75.522487814070075</v>
      </c>
      <c r="I32">
        <f>DEGREES(ACOS((2*Sheet1!$E$2*9.81)/(1.225*Sheet1!$E$3*Sheet1!$E$11*TURN!F32^2)))</f>
        <v>82.372415733350621</v>
      </c>
      <c r="J32">
        <f>F32^2/(9.81*SQRT(Sheet1!$E$8^2-1))</f>
        <v>22.135093402381496</v>
      </c>
      <c r="K32">
        <f>1/(9.81*SQRT(((Sheet1!$E$11*1.225*Sheet1!$E$3)/(2*9.81*Sheet1!$E$2))^2-1/TURN!F32^4))</f>
        <v>11.480681001990041</v>
      </c>
      <c r="L32">
        <f>(9.81*SQRT(Sheet1!$E$8^2-1))/F32</f>
        <v>1.3101367802170609</v>
      </c>
      <c r="M32">
        <f>(9.81*SQRT(((Sheet1!$E$11*1.225*Sheet1!$E$3*F32^2)/(2*9.81*Sheet1!$E$2))^2-1))/F32</f>
        <v>2.5259825610495743</v>
      </c>
    </row>
    <row r="33" spans="6:13" x14ac:dyDescent="0.25">
      <c r="F33">
        <v>30</v>
      </c>
      <c r="H33">
        <f>DEGREES(ACOS(1/Sheet1!$E$8))</f>
        <v>75.522487814070075</v>
      </c>
      <c r="I33">
        <f>DEGREES(ACOS((2*Sheet1!$E$2*9.81)/(1.225*Sheet1!$E$3*Sheet1!$E$11*TURN!F33^2)))</f>
        <v>82.875132409277683</v>
      </c>
      <c r="J33">
        <f>F33^2/(9.81*SQRT(Sheet1!$E$8^2-1))</f>
        <v>23.687971536436798</v>
      </c>
      <c r="K33">
        <f>1/(9.81*SQRT(((Sheet1!$E$11*1.225*Sheet1!$E$3)/(2*9.81*Sheet1!$E$2))^2-1/TURN!F33^4))</f>
        <v>11.467647992049018</v>
      </c>
      <c r="L33">
        <f>(9.81*SQRT(Sheet1!$E$8^2-1))/F33</f>
        <v>1.2664655542098255</v>
      </c>
      <c r="M33">
        <f>(9.81*SQRT(((Sheet1!$E$11*1.225*Sheet1!$E$3*F33^2)/(2*9.81*Sheet1!$E$2))^2-1))/F33</f>
        <v>2.6160551859282917</v>
      </c>
    </row>
    <row r="34" spans="6:13" x14ac:dyDescent="0.25">
      <c r="F34">
        <v>31</v>
      </c>
      <c r="H34">
        <f>DEGREES(ACOS(1/Sheet1!$E$8))</f>
        <v>75.522487814070075</v>
      </c>
      <c r="I34">
        <f>DEGREES(ACOS((2*Sheet1!$E$2*9.81)/(1.225*Sheet1!$E$3*Sheet1!$E$11*TURN!F34^2)))</f>
        <v>83.329512486849936</v>
      </c>
      <c r="J34">
        <f>F34^2/(9.81*SQRT(Sheet1!$E$8^2-1))</f>
        <v>25.293489607239735</v>
      </c>
      <c r="K34">
        <f>1/(9.81*SQRT(((Sheet1!$E$11*1.225*Sheet1!$E$3)/(2*9.81*Sheet1!$E$2))^2-1/TURN!F34^4))</f>
        <v>11.456651593487761</v>
      </c>
      <c r="L34">
        <f>(9.81*SQRT(Sheet1!$E$8^2-1))/F34</f>
        <v>1.2256118266546698</v>
      </c>
      <c r="M34">
        <f>(9.81*SQRT(((Sheet1!$E$11*1.225*Sheet1!$E$3*F34^2)/(2*9.81*Sheet1!$E$2))^2-1))/F34</f>
        <v>2.7058516833680404</v>
      </c>
    </row>
    <row r="35" spans="6:13" x14ac:dyDescent="0.25">
      <c r="F35">
        <v>32</v>
      </c>
      <c r="H35">
        <f>DEGREES(ACOS(1/Sheet1!$E$8))</f>
        <v>75.522487814070075</v>
      </c>
      <c r="I35">
        <f>DEGREES(ACOS((2*Sheet1!$E$2*9.81)/(1.225*Sheet1!$E$3*Sheet1!$E$11*TURN!F35^2)))</f>
        <v>83.741598317263183</v>
      </c>
      <c r="J35">
        <f>F35^2/(9.81*SQRT(Sheet1!$E$8^2-1))</f>
        <v>26.951647614790311</v>
      </c>
      <c r="K35">
        <f>1/(9.81*SQRT(((Sheet1!$E$11*1.225*Sheet1!$E$3)/(2*9.81*Sheet1!$E$2))^2-1/TURN!F35^4))</f>
        <v>11.447318951858781</v>
      </c>
      <c r="L35">
        <f>(9.81*SQRT(Sheet1!$E$8^2-1))/F35</f>
        <v>1.1873114570717114</v>
      </c>
      <c r="M35">
        <f>(9.81*SQRT(((Sheet1!$E$11*1.225*Sheet1!$E$3*F35^2)/(2*9.81*Sheet1!$E$2))^2-1))/F35</f>
        <v>2.7954143790851513</v>
      </c>
    </row>
    <row r="36" spans="6:13" x14ac:dyDescent="0.25">
      <c r="F36">
        <v>33</v>
      </c>
      <c r="H36">
        <f>DEGREES(ACOS(1/Sheet1!$E$8))</f>
        <v>75.522487814070075</v>
      </c>
      <c r="I36">
        <f>DEGREES(ACOS((2*Sheet1!$E$2*9.81)/(1.225*Sheet1!$E$3*Sheet1!$E$11*TURN!F36^2)))</f>
        <v>84.116509372321431</v>
      </c>
      <c r="J36">
        <f>F36^2/(9.81*SQRT(Sheet1!$E$8^2-1))</f>
        <v>28.662445559088525</v>
      </c>
      <c r="K36">
        <f>1/(9.81*SQRT(((Sheet1!$E$11*1.225*Sheet1!$E$3)/(2*9.81*Sheet1!$E$2))^2-1/TURN!F36^4))</f>
        <v>11.439355100209639</v>
      </c>
      <c r="L36">
        <f>(9.81*SQRT(Sheet1!$E$8^2-1))/F36</f>
        <v>1.1513323220089322</v>
      </c>
      <c r="M36">
        <f>(9.81*SQRT(((Sheet1!$E$11*1.225*Sheet1!$E$3*F36^2)/(2*9.81*Sheet1!$E$2))^2-1))/F36</f>
        <v>2.884778006357652</v>
      </c>
    </row>
    <row r="37" spans="6:13" x14ac:dyDescent="0.25">
      <c r="F37">
        <v>34</v>
      </c>
      <c r="H37">
        <f>DEGREES(ACOS(1/Sheet1!$E$8))</f>
        <v>75.522487814070075</v>
      </c>
      <c r="I37">
        <f>DEGREES(ACOS((2*Sheet1!$E$2*9.81)/(1.225*Sheet1!$E$3*Sheet1!$E$11*TURN!F37^2)))</f>
        <v>84.458607947117358</v>
      </c>
      <c r="J37">
        <f>F37^2/(9.81*SQRT(Sheet1!$E$8^2-1))</f>
        <v>30.425883440134378</v>
      </c>
      <c r="K37">
        <f>1/(9.81*SQRT(((Sheet1!$E$11*1.225*Sheet1!$E$3)/(2*9.81*Sheet1!$E$2))^2-1/TURN!F37^4))</f>
        <v>11.432524745503523</v>
      </c>
      <c r="L37">
        <f>(9.81*SQRT(Sheet1!$E$8^2-1))/F37</f>
        <v>1.1174696066557284</v>
      </c>
      <c r="M37">
        <f>(9.81*SQRT(((Sheet1!$E$11*1.225*Sheet1!$E$3*F37^2)/(2*9.81*Sheet1!$E$2))^2-1))/F37</f>
        <v>2.9739712580436266</v>
      </c>
    </row>
    <row r="38" spans="6:13" x14ac:dyDescent="0.25">
      <c r="F38">
        <v>35</v>
      </c>
      <c r="H38">
        <f>DEGREES(ACOS(1/Sheet1!$E$8))</f>
        <v>75.522487814070075</v>
      </c>
      <c r="I38">
        <f>DEGREES(ACOS((2*Sheet1!$E$2*9.81)/(1.225*Sheet1!$E$3*Sheet1!$E$11*TURN!F38^2)))</f>
        <v>84.771630794033626</v>
      </c>
      <c r="J38">
        <f>F38^2/(9.81*SQRT(Sheet1!$E$8^2-1))</f>
        <v>32.241961257927862</v>
      </c>
      <c r="K38">
        <f>1/(9.81*SQRT(((Sheet1!$E$11*1.225*Sheet1!$E$3)/(2*9.81*Sheet1!$E$2))^2-1/TURN!F38^4))</f>
        <v>11.42663875418952</v>
      </c>
      <c r="L38">
        <f>(9.81*SQRT(Sheet1!$E$8^2-1))/F38</f>
        <v>1.0855419036084217</v>
      </c>
      <c r="M38">
        <f>(9.81*SQRT(((Sheet1!$E$11*1.225*Sheet1!$E$3*F38^2)/(2*9.81*Sheet1!$E$2))^2-1))/F38</f>
        <v>3.0630179839340257</v>
      </c>
    </row>
    <row r="39" spans="6:13" x14ac:dyDescent="0.25">
      <c r="F39">
        <v>36</v>
      </c>
      <c r="H39">
        <f>DEGREES(ACOS(1/Sheet1!$E$8))</f>
        <v>75.522487814070075</v>
      </c>
      <c r="I39">
        <f>DEGREES(ACOS((2*Sheet1!$E$2*9.81)/(1.225*Sheet1!$E$3*Sheet1!$E$11*TURN!F39^2)))</f>
        <v>85.058794557263923</v>
      </c>
      <c r="J39">
        <f>F39^2/(9.81*SQRT(Sheet1!$E$8^2-1))</f>
        <v>34.110679012468992</v>
      </c>
      <c r="K39">
        <f>1/(9.81*SQRT(((Sheet1!$E$11*1.225*Sheet1!$E$3)/(2*9.81*Sheet1!$E$2))^2-1/TURN!F39^4))</f>
        <v>11.421544014544509</v>
      </c>
      <c r="L39">
        <f>(9.81*SQRT(Sheet1!$E$8^2-1))/F39</f>
        <v>1.0553879618415212</v>
      </c>
      <c r="M39">
        <f>(9.81*SQRT(((Sheet1!$E$11*1.225*Sheet1!$E$3*F39^2)/(2*9.81*Sheet1!$E$2))^2-1))/F39</f>
        <v>3.151938122740376</v>
      </c>
    </row>
    <row r="40" spans="6:13" x14ac:dyDescent="0.25">
      <c r="F40">
        <v>37</v>
      </c>
      <c r="H40">
        <f>DEGREES(ACOS(1/Sheet1!$E$8))</f>
        <v>75.522487814070075</v>
      </c>
      <c r="I40">
        <f>DEGREES(ACOS((2*Sheet1!$E$2*9.81)/(1.225*Sheet1!$E$3*Sheet1!$E$11*TURN!F40^2)))</f>
        <v>85.322880864749479</v>
      </c>
      <c r="J40">
        <f>F40^2/(9.81*SQRT(Sheet1!$E$8^2-1))</f>
        <v>36.032036703757754</v>
      </c>
      <c r="K40">
        <f>1/(9.81*SQRT(((Sheet1!$E$11*1.225*Sheet1!$E$3)/(2*9.81*Sheet1!$E$2))^2-1/TURN!F40^4))</f>
        <v>11.417115755502484</v>
      </c>
      <c r="L40">
        <f>(9.81*SQRT(Sheet1!$E$8^2-1))/F40</f>
        <v>1.0268639628728315</v>
      </c>
      <c r="M40">
        <f>(9.81*SQRT(((Sheet1!$E$11*1.225*Sheet1!$E$3*F40^2)/(2*9.81*Sheet1!$E$2))^2-1))/F40</f>
        <v>3.2407484335233994</v>
      </c>
    </row>
    <row r="41" spans="6:13" x14ac:dyDescent="0.25">
      <c r="F41">
        <v>38</v>
      </c>
      <c r="H41">
        <f>DEGREES(ACOS(1/Sheet1!$E$8))</f>
        <v>75.522487814070075</v>
      </c>
      <c r="I41">
        <f>DEGREES(ACOS((2*Sheet1!$E$2*9.81)/(1.225*Sheet1!$E$3*Sheet1!$E$11*TURN!F41^2)))</f>
        <v>85.566305485162999</v>
      </c>
      <c r="J41">
        <f>F41^2/(9.81*SQRT(Sheet1!$E$8^2-1))</f>
        <v>38.006034331794154</v>
      </c>
      <c r="K41">
        <f>1/(9.81*SQRT(((Sheet1!$E$11*1.225*Sheet1!$E$3)/(2*9.81*Sheet1!$E$2))^2-1/TURN!F41^4))</f>
        <v>11.413251672710288</v>
      </c>
      <c r="L41">
        <f>(9.81*SQRT(Sheet1!$E$8^2-1))/F41</f>
        <v>0.99984122700775691</v>
      </c>
      <c r="M41">
        <f>(9.81*SQRT(((Sheet1!$E$11*1.225*Sheet1!$E$3*F41^2)/(2*9.81*Sheet1!$E$2))^2-1))/F41</f>
        <v>3.3294630741263767</v>
      </c>
    </row>
  </sheetData>
  <mergeCells count="3">
    <mergeCell ref="J1:K1"/>
    <mergeCell ref="L1:M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6" sqref="C6"/>
    </sheetView>
  </sheetViews>
  <sheetFormatPr defaultRowHeight="15" x14ac:dyDescent="0.25"/>
  <sheetData>
    <row r="3" spans="2:3" x14ac:dyDescent="0.25">
      <c r="B3" t="s">
        <v>70</v>
      </c>
      <c r="C3">
        <f>SQRT(3*Sheet1!C25*PI()*Sheet1!E5*Sheet1!E12)</f>
        <v>0.34186251607795337</v>
      </c>
    </row>
    <row r="4" spans="2:3" x14ac:dyDescent="0.25">
      <c r="B4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83"/>
  <sheetViews>
    <sheetView workbookViewId="0">
      <selection activeCell="F32" sqref="F32"/>
    </sheetView>
  </sheetViews>
  <sheetFormatPr defaultRowHeight="15" x14ac:dyDescent="0.25"/>
  <sheetData>
    <row r="3" spans="3:16" x14ac:dyDescent="0.25">
      <c r="C3" t="s">
        <v>73</v>
      </c>
      <c r="D3">
        <f>1.4*Sheet1!E10</f>
        <v>38.887799999999999</v>
      </c>
      <c r="E3" t="s">
        <v>30</v>
      </c>
      <c r="F3" t="s">
        <v>6</v>
      </c>
      <c r="G3">
        <f>(0.5*1.225*Sheet1!E3*Sheet1!E11)/(Sheet1!E2*9.81)</f>
        <v>8.9582502326818261E-3</v>
      </c>
      <c r="I3">
        <v>0</v>
      </c>
      <c r="J3">
        <f>$G$3*I3^2</f>
        <v>0</v>
      </c>
      <c r="K3">
        <f>$G$4*I3^2</f>
        <v>0</v>
      </c>
    </row>
    <row r="4" spans="3:16" x14ac:dyDescent="0.25">
      <c r="C4" t="s">
        <v>74</v>
      </c>
      <c r="D4">
        <f>Sheet1!E13</f>
        <v>10.565459880482502</v>
      </c>
      <c r="E4" t="s">
        <v>30</v>
      </c>
      <c r="G4">
        <f>(0.5*1.225*Sheet1!E3*Sheet1!E31)/(Sheet1!E2*9.81)</f>
        <v>-6.5693835039666729E-3</v>
      </c>
      <c r="I4">
        <v>0.5</v>
      </c>
      <c r="J4">
        <f t="shared" ref="J4:J67" si="0">$G$3*I4^2</f>
        <v>2.2395625581704565E-3</v>
      </c>
      <c r="K4">
        <f t="shared" ref="K4:K45" si="1">$G$4*I4^2</f>
        <v>-1.6423458759916682E-3</v>
      </c>
      <c r="L4">
        <f>Sheet1!$E$8</f>
        <v>4</v>
      </c>
      <c r="M4">
        <f>Sheet1!$E$30</f>
        <v>-1.5</v>
      </c>
      <c r="O4">
        <f>D3</f>
        <v>38.887799999999999</v>
      </c>
      <c r="P4">
        <v>4</v>
      </c>
    </row>
    <row r="5" spans="3:16" x14ac:dyDescent="0.25">
      <c r="C5" t="s">
        <v>75</v>
      </c>
      <c r="D5">
        <f>SQRT(Sheet1!E8/'V-n diagram'!G3)</f>
        <v>21.130919760965003</v>
      </c>
      <c r="E5" t="s">
        <v>30</v>
      </c>
      <c r="I5">
        <v>1</v>
      </c>
      <c r="J5">
        <f t="shared" si="0"/>
        <v>8.9582502326818261E-3</v>
      </c>
      <c r="K5">
        <f t="shared" si="1"/>
        <v>-6.5693835039666729E-3</v>
      </c>
      <c r="L5">
        <f>Sheet1!$E$8</f>
        <v>4</v>
      </c>
      <c r="M5">
        <f>Sheet1!$E$30</f>
        <v>-1.5</v>
      </c>
      <c r="O5">
        <f>D3</f>
        <v>38.887799999999999</v>
      </c>
      <c r="P5">
        <v>0</v>
      </c>
    </row>
    <row r="6" spans="3:16" x14ac:dyDescent="0.25">
      <c r="C6" t="s">
        <v>78</v>
      </c>
      <c r="D6">
        <f>Sheet1!E32</f>
        <v>12.337799042304837</v>
      </c>
      <c r="E6" t="s">
        <v>30</v>
      </c>
      <c r="I6">
        <v>1.5</v>
      </c>
      <c r="J6">
        <f t="shared" si="0"/>
        <v>2.0156063023534107E-2</v>
      </c>
      <c r="K6">
        <f t="shared" si="1"/>
        <v>-1.4781112883925014E-2</v>
      </c>
      <c r="L6">
        <f>Sheet1!$E$8</f>
        <v>4</v>
      </c>
      <c r="M6">
        <f>Sheet1!$E$30</f>
        <v>-1.5</v>
      </c>
      <c r="O6">
        <f>D3</f>
        <v>38.887799999999999</v>
      </c>
      <c r="P6">
        <v>-1.5</v>
      </c>
    </row>
    <row r="7" spans="3:16" x14ac:dyDescent="0.25">
      <c r="C7" t="s">
        <v>79</v>
      </c>
      <c r="D7">
        <f>SQRT(Sheet1!E30/'V-n diagram'!G4)</f>
        <v>15.110656101322908</v>
      </c>
      <c r="E7" t="s">
        <v>30</v>
      </c>
      <c r="I7">
        <v>2</v>
      </c>
      <c r="J7">
        <f t="shared" si="0"/>
        <v>3.5833000930727305E-2</v>
      </c>
      <c r="K7">
        <f t="shared" si="1"/>
        <v>-2.6277534015866692E-2</v>
      </c>
      <c r="L7">
        <f>Sheet1!$E$8</f>
        <v>4</v>
      </c>
      <c r="M7">
        <f>Sheet1!$E$30</f>
        <v>-1.5</v>
      </c>
    </row>
    <row r="8" spans="3:16" x14ac:dyDescent="0.25">
      <c r="I8">
        <v>2.5</v>
      </c>
      <c r="J8">
        <f t="shared" si="0"/>
        <v>5.5989063954261412E-2</v>
      </c>
      <c r="K8">
        <f t="shared" si="1"/>
        <v>-4.1058646899791704E-2</v>
      </c>
      <c r="L8">
        <f>Sheet1!$E$8</f>
        <v>4</v>
      </c>
      <c r="M8">
        <f>Sheet1!$E$30</f>
        <v>-1.5</v>
      </c>
    </row>
    <row r="9" spans="3:16" x14ac:dyDescent="0.25">
      <c r="I9">
        <v>3</v>
      </c>
      <c r="J9">
        <f t="shared" si="0"/>
        <v>8.0624252094136428E-2</v>
      </c>
      <c r="K9">
        <f t="shared" si="1"/>
        <v>-5.9124451535700055E-2</v>
      </c>
      <c r="L9">
        <f>Sheet1!$E$8</f>
        <v>4</v>
      </c>
      <c r="M9">
        <f>Sheet1!$E$30</f>
        <v>-1.5</v>
      </c>
    </row>
    <row r="10" spans="3:16" x14ac:dyDescent="0.25">
      <c r="I10">
        <v>3.5</v>
      </c>
      <c r="J10">
        <f t="shared" si="0"/>
        <v>0.10973856535035237</v>
      </c>
      <c r="K10">
        <f t="shared" si="1"/>
        <v>-8.047494792359175E-2</v>
      </c>
      <c r="L10">
        <f>Sheet1!$E$8</f>
        <v>4</v>
      </c>
      <c r="M10">
        <f>Sheet1!$E$30</f>
        <v>-1.5</v>
      </c>
    </row>
    <row r="11" spans="3:16" x14ac:dyDescent="0.25">
      <c r="I11">
        <v>4</v>
      </c>
      <c r="J11">
        <f t="shared" si="0"/>
        <v>0.14333200372290922</v>
      </c>
      <c r="K11">
        <f t="shared" si="1"/>
        <v>-0.10511013606346677</v>
      </c>
      <c r="L11">
        <f>Sheet1!$E$8</f>
        <v>4</v>
      </c>
      <c r="M11">
        <f>Sheet1!$E$30</f>
        <v>-1.5</v>
      </c>
    </row>
    <row r="12" spans="3:16" x14ac:dyDescent="0.25">
      <c r="I12">
        <v>4.5</v>
      </c>
      <c r="J12">
        <f t="shared" si="0"/>
        <v>0.18140456721180698</v>
      </c>
      <c r="K12">
        <f t="shared" si="1"/>
        <v>-0.13303001595532513</v>
      </c>
      <c r="L12">
        <f>Sheet1!$E$8</f>
        <v>4</v>
      </c>
      <c r="M12">
        <f>Sheet1!$E$30</f>
        <v>-1.5</v>
      </c>
    </row>
    <row r="13" spans="3:16" x14ac:dyDescent="0.25">
      <c r="I13">
        <v>5</v>
      </c>
      <c r="J13">
        <f t="shared" si="0"/>
        <v>0.22395625581704565</v>
      </c>
      <c r="K13">
        <f t="shared" si="1"/>
        <v>-0.16423458759916681</v>
      </c>
      <c r="L13">
        <f>Sheet1!$E$8</f>
        <v>4</v>
      </c>
      <c r="M13">
        <f>Sheet1!$E$30</f>
        <v>-1.5</v>
      </c>
    </row>
    <row r="14" spans="3:16" x14ac:dyDescent="0.25">
      <c r="I14">
        <v>5.5</v>
      </c>
      <c r="J14">
        <f t="shared" si="0"/>
        <v>0.27098706953862522</v>
      </c>
      <c r="K14">
        <f t="shared" si="1"/>
        <v>-0.19872385099499185</v>
      </c>
      <c r="L14">
        <f>Sheet1!$E$8</f>
        <v>4</v>
      </c>
      <c r="M14">
        <f>Sheet1!$E$30</f>
        <v>-1.5</v>
      </c>
    </row>
    <row r="15" spans="3:16" x14ac:dyDescent="0.25">
      <c r="I15">
        <v>6</v>
      </c>
      <c r="J15">
        <f t="shared" si="0"/>
        <v>0.32249700837654571</v>
      </c>
      <c r="K15">
        <f t="shared" si="1"/>
        <v>-0.23649780614280022</v>
      </c>
      <c r="L15">
        <f>Sheet1!$E$8</f>
        <v>4</v>
      </c>
      <c r="M15">
        <f>Sheet1!$E$30</f>
        <v>-1.5</v>
      </c>
    </row>
    <row r="16" spans="3:16" x14ac:dyDescent="0.25">
      <c r="I16">
        <v>6.5</v>
      </c>
      <c r="J16">
        <f t="shared" si="0"/>
        <v>0.37848607233080717</v>
      </c>
      <c r="K16">
        <f t="shared" si="1"/>
        <v>-0.27755645304259191</v>
      </c>
      <c r="L16">
        <f>Sheet1!$E$8</f>
        <v>4</v>
      </c>
      <c r="M16">
        <f>Sheet1!$E$30</f>
        <v>-1.5</v>
      </c>
    </row>
    <row r="17" spans="9:13" x14ac:dyDescent="0.25">
      <c r="I17">
        <v>7</v>
      </c>
      <c r="J17">
        <f t="shared" si="0"/>
        <v>0.43895426140140947</v>
      </c>
      <c r="K17">
        <f t="shared" si="1"/>
        <v>-0.321899791694367</v>
      </c>
      <c r="L17">
        <f>Sheet1!$E$8</f>
        <v>4</v>
      </c>
      <c r="M17">
        <f>Sheet1!$E$30</f>
        <v>-1.5</v>
      </c>
    </row>
    <row r="18" spans="9:13" x14ac:dyDescent="0.25">
      <c r="I18">
        <v>7.5</v>
      </c>
      <c r="J18">
        <f t="shared" si="0"/>
        <v>0.50390157558835269</v>
      </c>
      <c r="K18">
        <f t="shared" si="1"/>
        <v>-0.36952782209812535</v>
      </c>
      <c r="L18">
        <f>Sheet1!$E$8</f>
        <v>4</v>
      </c>
      <c r="M18">
        <f>Sheet1!$E$30</f>
        <v>-1.5</v>
      </c>
    </row>
    <row r="19" spans="9:13" x14ac:dyDescent="0.25">
      <c r="I19">
        <v>8</v>
      </c>
      <c r="J19">
        <f t="shared" si="0"/>
        <v>0.57332801489163687</v>
      </c>
      <c r="K19">
        <f t="shared" si="1"/>
        <v>-0.42044054425386707</v>
      </c>
      <c r="L19">
        <f>Sheet1!$E$8</f>
        <v>4</v>
      </c>
      <c r="M19">
        <f>Sheet1!$E$30</f>
        <v>-1.5</v>
      </c>
    </row>
    <row r="20" spans="9:13" x14ac:dyDescent="0.25">
      <c r="I20">
        <v>8.5</v>
      </c>
      <c r="J20">
        <f t="shared" si="0"/>
        <v>0.64723357931126191</v>
      </c>
      <c r="K20">
        <f t="shared" si="1"/>
        <v>-0.4746379581615921</v>
      </c>
      <c r="L20">
        <f>Sheet1!$E$8</f>
        <v>4</v>
      </c>
      <c r="M20">
        <f>Sheet1!$E$30</f>
        <v>-1.5</v>
      </c>
    </row>
    <row r="21" spans="9:13" x14ac:dyDescent="0.25">
      <c r="I21">
        <v>9</v>
      </c>
      <c r="J21">
        <f t="shared" si="0"/>
        <v>0.72561826884722791</v>
      </c>
      <c r="K21">
        <f t="shared" si="1"/>
        <v>-0.5321200638213005</v>
      </c>
      <c r="L21">
        <f>Sheet1!$E$8</f>
        <v>4</v>
      </c>
      <c r="M21">
        <f>Sheet1!$E$30</f>
        <v>-1.5</v>
      </c>
    </row>
    <row r="22" spans="9:13" x14ac:dyDescent="0.25">
      <c r="I22">
        <v>9.5</v>
      </c>
      <c r="J22">
        <f t="shared" si="0"/>
        <v>0.80848208349953476</v>
      </c>
      <c r="K22">
        <f t="shared" si="1"/>
        <v>-0.59288686123299228</v>
      </c>
      <c r="L22">
        <f>Sheet1!$E$8</f>
        <v>4</v>
      </c>
      <c r="M22">
        <f>Sheet1!$E$30</f>
        <v>-1.5</v>
      </c>
    </row>
    <row r="23" spans="9:13" x14ac:dyDescent="0.25">
      <c r="I23">
        <v>10</v>
      </c>
      <c r="J23">
        <f t="shared" si="0"/>
        <v>0.89582502326818259</v>
      </c>
      <c r="K23">
        <f t="shared" si="1"/>
        <v>-0.65693835039666726</v>
      </c>
      <c r="L23">
        <f>Sheet1!$E$8</f>
        <v>4</v>
      </c>
      <c r="M23">
        <f>Sheet1!$E$30</f>
        <v>-1.5</v>
      </c>
    </row>
    <row r="24" spans="9:13" x14ac:dyDescent="0.25">
      <c r="I24">
        <v>10.5</v>
      </c>
      <c r="J24">
        <f t="shared" si="0"/>
        <v>0.98764708815317137</v>
      </c>
      <c r="K24">
        <f t="shared" si="1"/>
        <v>-0.72427453131232566</v>
      </c>
      <c r="L24">
        <f>Sheet1!$E$8</f>
        <v>4</v>
      </c>
      <c r="M24">
        <f>Sheet1!$E$30</f>
        <v>-1.5</v>
      </c>
    </row>
    <row r="25" spans="9:13" x14ac:dyDescent="0.25">
      <c r="I25">
        <v>11</v>
      </c>
      <c r="J25">
        <f t="shared" si="0"/>
        <v>1.0839482781545009</v>
      </c>
      <c r="K25">
        <f t="shared" si="1"/>
        <v>-0.79489540397996739</v>
      </c>
      <c r="L25">
        <f>Sheet1!$E$8</f>
        <v>4</v>
      </c>
      <c r="M25">
        <f>Sheet1!$E$30</f>
        <v>-1.5</v>
      </c>
    </row>
    <row r="26" spans="9:13" x14ac:dyDescent="0.25">
      <c r="I26">
        <v>11.5</v>
      </c>
      <c r="J26">
        <f t="shared" si="0"/>
        <v>1.1847285932721716</v>
      </c>
      <c r="K26">
        <f t="shared" si="1"/>
        <v>-0.86880096839959253</v>
      </c>
      <c r="L26">
        <f>Sheet1!$E$8</f>
        <v>4</v>
      </c>
      <c r="M26">
        <f>Sheet1!$E$30</f>
        <v>-1.5</v>
      </c>
    </row>
    <row r="27" spans="9:13" x14ac:dyDescent="0.25">
      <c r="I27">
        <v>12</v>
      </c>
      <c r="J27">
        <f t="shared" si="0"/>
        <v>1.2899880335061829</v>
      </c>
      <c r="K27">
        <f t="shared" si="1"/>
        <v>-0.94599122457120088</v>
      </c>
      <c r="L27">
        <f>Sheet1!$E$8</f>
        <v>4</v>
      </c>
      <c r="M27">
        <f>Sheet1!$E$30</f>
        <v>-1.5</v>
      </c>
    </row>
    <row r="28" spans="9:13" x14ac:dyDescent="0.25">
      <c r="I28">
        <v>12.5</v>
      </c>
      <c r="J28">
        <f t="shared" si="0"/>
        <v>1.3997265988565353</v>
      </c>
      <c r="K28">
        <f t="shared" si="1"/>
        <v>-1.0264661724947926</v>
      </c>
      <c r="L28">
        <f>Sheet1!$E$8</f>
        <v>4</v>
      </c>
      <c r="M28">
        <f>Sheet1!$E$30</f>
        <v>-1.5</v>
      </c>
    </row>
    <row r="29" spans="9:13" x14ac:dyDescent="0.25">
      <c r="I29">
        <v>13</v>
      </c>
      <c r="J29">
        <f t="shared" si="0"/>
        <v>1.5139442893232287</v>
      </c>
      <c r="K29">
        <f t="shared" si="1"/>
        <v>-1.1102258121703676</v>
      </c>
      <c r="L29">
        <f>Sheet1!$E$8</f>
        <v>4</v>
      </c>
      <c r="M29">
        <f>Sheet1!$E$30</f>
        <v>-1.5</v>
      </c>
    </row>
    <row r="30" spans="9:13" x14ac:dyDescent="0.25">
      <c r="I30">
        <v>13.5</v>
      </c>
      <c r="J30">
        <f t="shared" si="0"/>
        <v>1.6326411049062628</v>
      </c>
      <c r="K30">
        <f t="shared" si="1"/>
        <v>-1.1972701435979261</v>
      </c>
      <c r="L30">
        <f>Sheet1!$E$8</f>
        <v>4</v>
      </c>
      <c r="M30">
        <f>Sheet1!$E$30</f>
        <v>-1.5</v>
      </c>
    </row>
    <row r="31" spans="9:13" x14ac:dyDescent="0.25">
      <c r="I31">
        <v>14</v>
      </c>
      <c r="J31">
        <f t="shared" si="0"/>
        <v>1.7558170456056379</v>
      </c>
      <c r="K31">
        <f t="shared" si="1"/>
        <v>-1.287599166777468</v>
      </c>
      <c r="L31">
        <f>Sheet1!$E$8</f>
        <v>4</v>
      </c>
      <c r="M31">
        <f>Sheet1!$E$30</f>
        <v>-1.5</v>
      </c>
    </row>
    <row r="32" spans="9:13" x14ac:dyDescent="0.25">
      <c r="I32">
        <v>14.5</v>
      </c>
      <c r="J32">
        <f t="shared" si="0"/>
        <v>1.883472111421354</v>
      </c>
      <c r="K32">
        <f t="shared" si="1"/>
        <v>-1.381212881708993</v>
      </c>
      <c r="L32">
        <f>Sheet1!$E$8</f>
        <v>4</v>
      </c>
      <c r="M32">
        <f>Sheet1!$E$30</f>
        <v>-1.5</v>
      </c>
    </row>
    <row r="33" spans="9:13" x14ac:dyDescent="0.25">
      <c r="I33">
        <f>D7</f>
        <v>15.110656101322908</v>
      </c>
      <c r="J33">
        <f t="shared" si="0"/>
        <v>2.0454545454545454</v>
      </c>
      <c r="K33">
        <f t="shared" si="1"/>
        <v>-1.5</v>
      </c>
      <c r="L33">
        <f>Sheet1!$E$8</f>
        <v>4</v>
      </c>
      <c r="M33">
        <f>Sheet1!$E$30</f>
        <v>-1.5</v>
      </c>
    </row>
    <row r="34" spans="9:13" x14ac:dyDescent="0.25">
      <c r="I34">
        <v>15.5</v>
      </c>
      <c r="J34">
        <f t="shared" si="0"/>
        <v>2.1522196184018085</v>
      </c>
      <c r="K34">
        <f t="shared" si="1"/>
        <v>-1.5782943868279931</v>
      </c>
      <c r="L34">
        <f>Sheet1!$E$8</f>
        <v>4</v>
      </c>
      <c r="M34">
        <f>Sheet1!$E$30</f>
        <v>-1.5</v>
      </c>
    </row>
    <row r="35" spans="9:13" x14ac:dyDescent="0.25">
      <c r="I35">
        <v>16</v>
      </c>
      <c r="J35">
        <f t="shared" si="0"/>
        <v>2.2933120595665475</v>
      </c>
      <c r="K35">
        <f t="shared" si="1"/>
        <v>-1.6817621770154683</v>
      </c>
      <c r="L35">
        <f>Sheet1!$E$8</f>
        <v>4</v>
      </c>
      <c r="M35">
        <f>Sheet1!$E$30</f>
        <v>-1.5</v>
      </c>
    </row>
    <row r="36" spans="9:13" x14ac:dyDescent="0.25">
      <c r="I36">
        <v>16.5</v>
      </c>
      <c r="J36">
        <f t="shared" si="0"/>
        <v>2.4388836258476272</v>
      </c>
      <c r="K36">
        <f t="shared" si="1"/>
        <v>-1.7885146589549268</v>
      </c>
      <c r="L36">
        <f>Sheet1!$E$8</f>
        <v>4</v>
      </c>
      <c r="M36">
        <f>Sheet1!$E$30</f>
        <v>-1.5</v>
      </c>
    </row>
    <row r="37" spans="9:13" x14ac:dyDescent="0.25">
      <c r="I37">
        <v>17</v>
      </c>
      <c r="J37">
        <f t="shared" si="0"/>
        <v>2.5889343172450476</v>
      </c>
      <c r="K37">
        <f t="shared" si="1"/>
        <v>-1.8985518326463684</v>
      </c>
      <c r="L37">
        <f>Sheet1!$E$8</f>
        <v>4</v>
      </c>
      <c r="M37">
        <f>Sheet1!$E$30</f>
        <v>-1.5</v>
      </c>
    </row>
    <row r="38" spans="9:13" x14ac:dyDescent="0.25">
      <c r="I38">
        <v>17.5</v>
      </c>
      <c r="J38">
        <f t="shared" si="0"/>
        <v>2.7434641337588093</v>
      </c>
      <c r="K38">
        <f t="shared" si="1"/>
        <v>-2.0118736980897935</v>
      </c>
      <c r="L38">
        <f>Sheet1!$E$8</f>
        <v>4</v>
      </c>
      <c r="M38">
        <f>Sheet1!$E$30</f>
        <v>-1.5</v>
      </c>
    </row>
    <row r="39" spans="9:13" x14ac:dyDescent="0.25">
      <c r="I39">
        <v>18</v>
      </c>
      <c r="J39">
        <f t="shared" si="0"/>
        <v>2.9024730753889116</v>
      </c>
      <c r="K39">
        <f t="shared" si="1"/>
        <v>-2.128480255285202</v>
      </c>
      <c r="L39">
        <f>Sheet1!$E$8</f>
        <v>4</v>
      </c>
      <c r="M39">
        <f>Sheet1!$E$30</f>
        <v>-1.5</v>
      </c>
    </row>
    <row r="40" spans="9:13" x14ac:dyDescent="0.25">
      <c r="I40">
        <v>18.5</v>
      </c>
      <c r="J40">
        <f t="shared" si="0"/>
        <v>3.0659611421353552</v>
      </c>
      <c r="K40">
        <f t="shared" si="1"/>
        <v>-2.248371504232594</v>
      </c>
      <c r="L40">
        <f>Sheet1!$E$8</f>
        <v>4</v>
      </c>
      <c r="M40">
        <f>Sheet1!$E$30</f>
        <v>-1.5</v>
      </c>
    </row>
    <row r="41" spans="9:13" x14ac:dyDescent="0.25">
      <c r="I41">
        <v>19</v>
      </c>
      <c r="J41">
        <f t="shared" si="0"/>
        <v>3.2339283339981391</v>
      </c>
      <c r="K41">
        <f t="shared" si="1"/>
        <v>-2.3715474449319691</v>
      </c>
      <c r="L41">
        <f>Sheet1!$E$8</f>
        <v>4</v>
      </c>
      <c r="M41">
        <f>Sheet1!$E$30</f>
        <v>-1.5</v>
      </c>
    </row>
    <row r="42" spans="9:13" x14ac:dyDescent="0.25">
      <c r="I42">
        <v>19.5</v>
      </c>
      <c r="J42">
        <f t="shared" si="0"/>
        <v>3.4063746509772646</v>
      </c>
      <c r="K42">
        <f t="shared" si="1"/>
        <v>-2.4980080773833273</v>
      </c>
      <c r="L42">
        <f>Sheet1!$E$8</f>
        <v>4</v>
      </c>
      <c r="M42">
        <f>Sheet1!$E$30</f>
        <v>-1.5</v>
      </c>
    </row>
    <row r="43" spans="9:13" x14ac:dyDescent="0.25">
      <c r="I43">
        <v>20</v>
      </c>
      <c r="J43">
        <f t="shared" si="0"/>
        <v>3.5833000930727303</v>
      </c>
      <c r="K43">
        <f t="shared" si="1"/>
        <v>-2.627753401586669</v>
      </c>
      <c r="L43">
        <f>Sheet1!$E$8</f>
        <v>4</v>
      </c>
      <c r="M43">
        <f>Sheet1!$E$30</f>
        <v>-1.5</v>
      </c>
    </row>
    <row r="44" spans="9:13" x14ac:dyDescent="0.25">
      <c r="I44">
        <v>20.5</v>
      </c>
      <c r="J44">
        <f t="shared" si="0"/>
        <v>3.7647046602845373</v>
      </c>
      <c r="K44">
        <f t="shared" si="1"/>
        <v>-2.7607834175419943</v>
      </c>
      <c r="L44">
        <f>Sheet1!$E$8</f>
        <v>4</v>
      </c>
      <c r="M44">
        <f>Sheet1!$E$30</f>
        <v>-1.5</v>
      </c>
    </row>
    <row r="45" spans="9:13" x14ac:dyDescent="0.25">
      <c r="I45">
        <f>D5</f>
        <v>21.130919760965003</v>
      </c>
      <c r="J45">
        <f t="shared" si="0"/>
        <v>4</v>
      </c>
      <c r="K45">
        <f t="shared" si="1"/>
        <v>-2.9333333333333336</v>
      </c>
      <c r="L45">
        <f>Sheet1!$E$8</f>
        <v>4</v>
      </c>
      <c r="M45">
        <f>Sheet1!$E$30</f>
        <v>-1.5</v>
      </c>
    </row>
    <row r="46" spans="9:13" x14ac:dyDescent="0.25">
      <c r="I46">
        <v>21.5</v>
      </c>
      <c r="J46">
        <f t="shared" si="0"/>
        <v>4.1409511700571739</v>
      </c>
      <c r="L46">
        <f>Sheet1!$E$8</f>
        <v>4</v>
      </c>
      <c r="M46">
        <f>Sheet1!$E$30</f>
        <v>-1.5</v>
      </c>
    </row>
    <row r="47" spans="9:13" x14ac:dyDescent="0.25">
      <c r="I47">
        <v>22</v>
      </c>
      <c r="J47">
        <f t="shared" si="0"/>
        <v>4.3357931126180036</v>
      </c>
      <c r="L47">
        <f>Sheet1!$E$8</f>
        <v>4</v>
      </c>
      <c r="M47">
        <f>Sheet1!$E$30</f>
        <v>-1.5</v>
      </c>
    </row>
    <row r="48" spans="9:13" x14ac:dyDescent="0.25">
      <c r="I48">
        <v>22.5</v>
      </c>
      <c r="J48">
        <f t="shared" si="0"/>
        <v>4.5351141802951744</v>
      </c>
      <c r="L48">
        <f>Sheet1!$E$8</f>
        <v>4</v>
      </c>
      <c r="M48">
        <f>Sheet1!$E$30</f>
        <v>-1.5</v>
      </c>
    </row>
    <row r="49" spans="9:13" x14ac:dyDescent="0.25">
      <c r="I49">
        <v>23</v>
      </c>
      <c r="J49">
        <f t="shared" si="0"/>
        <v>4.7389143730886865</v>
      </c>
      <c r="L49">
        <f>Sheet1!$E$8</f>
        <v>4</v>
      </c>
      <c r="M49">
        <f>Sheet1!$E$30</f>
        <v>-1.5</v>
      </c>
    </row>
    <row r="50" spans="9:13" x14ac:dyDescent="0.25">
      <c r="I50">
        <v>23.5</v>
      </c>
      <c r="J50">
        <f t="shared" si="0"/>
        <v>4.9471936909985388</v>
      </c>
      <c r="L50">
        <f>Sheet1!$E$8</f>
        <v>4</v>
      </c>
      <c r="M50">
        <f>Sheet1!$E$30</f>
        <v>-1.5</v>
      </c>
    </row>
    <row r="51" spans="9:13" x14ac:dyDescent="0.25">
      <c r="I51">
        <v>24</v>
      </c>
      <c r="J51">
        <f t="shared" si="0"/>
        <v>5.1599521340247314</v>
      </c>
      <c r="L51">
        <f>Sheet1!$E$8</f>
        <v>4</v>
      </c>
      <c r="M51">
        <f>Sheet1!$E$30</f>
        <v>-1.5</v>
      </c>
    </row>
    <row r="52" spans="9:13" x14ac:dyDescent="0.25">
      <c r="I52">
        <v>24.5</v>
      </c>
      <c r="J52">
        <f t="shared" si="0"/>
        <v>5.3771897021672661</v>
      </c>
      <c r="L52">
        <f>Sheet1!$E$8</f>
        <v>4</v>
      </c>
      <c r="M52">
        <f>Sheet1!$E$30</f>
        <v>-1.5</v>
      </c>
    </row>
    <row r="53" spans="9:13" x14ac:dyDescent="0.25">
      <c r="I53">
        <v>25</v>
      </c>
      <c r="J53">
        <f t="shared" si="0"/>
        <v>5.5989063954261411</v>
      </c>
      <c r="L53">
        <f>Sheet1!$E$8</f>
        <v>4</v>
      </c>
      <c r="M53">
        <f>Sheet1!$E$30</f>
        <v>-1.5</v>
      </c>
    </row>
    <row r="54" spans="9:13" x14ac:dyDescent="0.25">
      <c r="I54">
        <v>25.5</v>
      </c>
      <c r="J54">
        <f t="shared" si="0"/>
        <v>5.8251022138013573</v>
      </c>
      <c r="L54">
        <f>Sheet1!$E$8</f>
        <v>4</v>
      </c>
      <c r="M54">
        <f>Sheet1!$E$30</f>
        <v>-1.5</v>
      </c>
    </row>
    <row r="55" spans="9:13" x14ac:dyDescent="0.25">
      <c r="I55">
        <v>26</v>
      </c>
      <c r="J55">
        <f t="shared" si="0"/>
        <v>6.0557771572929147</v>
      </c>
      <c r="L55">
        <f>Sheet1!$E$8</f>
        <v>4</v>
      </c>
      <c r="M55">
        <f>Sheet1!$E$30</f>
        <v>-1.5</v>
      </c>
    </row>
    <row r="56" spans="9:13" x14ac:dyDescent="0.25">
      <c r="I56">
        <v>26.5</v>
      </c>
      <c r="J56">
        <f t="shared" si="0"/>
        <v>6.2909312259008123</v>
      </c>
      <c r="L56">
        <f>Sheet1!$E$8</f>
        <v>4</v>
      </c>
      <c r="M56">
        <f>Sheet1!$E$30</f>
        <v>-1.5</v>
      </c>
    </row>
    <row r="57" spans="9:13" x14ac:dyDescent="0.25">
      <c r="I57">
        <v>27</v>
      </c>
      <c r="J57">
        <f t="shared" si="0"/>
        <v>6.5305644196250512</v>
      </c>
      <c r="L57">
        <f>Sheet1!$E$8</f>
        <v>4</v>
      </c>
      <c r="M57">
        <f>Sheet1!$E$30</f>
        <v>-1.5</v>
      </c>
    </row>
    <row r="58" spans="9:13" x14ac:dyDescent="0.25">
      <c r="I58">
        <v>27.5</v>
      </c>
      <c r="J58">
        <f t="shared" si="0"/>
        <v>6.7746767384656312</v>
      </c>
      <c r="L58">
        <f>Sheet1!$E$8</f>
        <v>4</v>
      </c>
      <c r="M58">
        <f>Sheet1!$E$30</f>
        <v>-1.5</v>
      </c>
    </row>
    <row r="59" spans="9:13" x14ac:dyDescent="0.25">
      <c r="I59">
        <v>28</v>
      </c>
      <c r="J59">
        <f t="shared" si="0"/>
        <v>7.0232681824225516</v>
      </c>
      <c r="L59">
        <f>Sheet1!$E$8</f>
        <v>4</v>
      </c>
      <c r="M59">
        <f>Sheet1!$E$30</f>
        <v>-1.5</v>
      </c>
    </row>
    <row r="60" spans="9:13" x14ac:dyDescent="0.25">
      <c r="I60">
        <v>28.5</v>
      </c>
      <c r="J60">
        <f t="shared" si="0"/>
        <v>7.2763387514958131</v>
      </c>
      <c r="L60">
        <f>Sheet1!$E$8</f>
        <v>4</v>
      </c>
      <c r="M60">
        <f>Sheet1!$E$30</f>
        <v>-1.5</v>
      </c>
    </row>
    <row r="61" spans="9:13" x14ac:dyDescent="0.25">
      <c r="I61">
        <v>29</v>
      </c>
      <c r="J61">
        <f t="shared" si="0"/>
        <v>7.5338884456854158</v>
      </c>
      <c r="L61">
        <f>Sheet1!$E$8</f>
        <v>4</v>
      </c>
      <c r="M61">
        <f>Sheet1!$E$30</f>
        <v>-1.5</v>
      </c>
    </row>
    <row r="62" spans="9:13" x14ac:dyDescent="0.25">
      <c r="I62">
        <v>29.5</v>
      </c>
      <c r="J62">
        <f t="shared" si="0"/>
        <v>7.7959172649913588</v>
      </c>
      <c r="L62">
        <f>Sheet1!$E$8</f>
        <v>4</v>
      </c>
      <c r="M62">
        <f>Sheet1!$E$30</f>
        <v>-1.5</v>
      </c>
    </row>
    <row r="63" spans="9:13" x14ac:dyDescent="0.25">
      <c r="I63">
        <v>30</v>
      </c>
      <c r="J63">
        <f t="shared" si="0"/>
        <v>8.062425209413643</v>
      </c>
      <c r="L63">
        <f>Sheet1!$E$8</f>
        <v>4</v>
      </c>
      <c r="M63">
        <f>Sheet1!$E$30</f>
        <v>-1.5</v>
      </c>
    </row>
    <row r="64" spans="9:13" x14ac:dyDescent="0.25">
      <c r="I64">
        <v>30.5</v>
      </c>
      <c r="J64">
        <f t="shared" si="0"/>
        <v>8.3334122789522684</v>
      </c>
      <c r="L64">
        <f>Sheet1!$E$8</f>
        <v>4</v>
      </c>
      <c r="M64">
        <f>Sheet1!$E$30</f>
        <v>-1.5</v>
      </c>
    </row>
    <row r="65" spans="9:13" x14ac:dyDescent="0.25">
      <c r="I65">
        <v>31</v>
      </c>
      <c r="J65">
        <f t="shared" si="0"/>
        <v>8.6088784736072341</v>
      </c>
      <c r="L65">
        <f>Sheet1!$E$8</f>
        <v>4</v>
      </c>
      <c r="M65">
        <f>Sheet1!$E$30</f>
        <v>-1.5</v>
      </c>
    </row>
    <row r="66" spans="9:13" x14ac:dyDescent="0.25">
      <c r="I66">
        <v>31.5</v>
      </c>
      <c r="J66">
        <f t="shared" si="0"/>
        <v>8.8888237933785419</v>
      </c>
      <c r="L66">
        <f>Sheet1!$E$8</f>
        <v>4</v>
      </c>
      <c r="M66">
        <f>Sheet1!$E$30</f>
        <v>-1.5</v>
      </c>
    </row>
    <row r="67" spans="9:13" x14ac:dyDescent="0.25">
      <c r="I67">
        <v>32</v>
      </c>
      <c r="J67">
        <f t="shared" si="0"/>
        <v>9.17324823826619</v>
      </c>
      <c r="L67">
        <f>Sheet1!$E$8</f>
        <v>4</v>
      </c>
      <c r="M67">
        <f>Sheet1!$E$30</f>
        <v>-1.5</v>
      </c>
    </row>
    <row r="68" spans="9:13" x14ac:dyDescent="0.25">
      <c r="I68">
        <v>32.5</v>
      </c>
      <c r="J68">
        <f t="shared" ref="J68:J83" si="2">$G$3*I68^2</f>
        <v>9.4621518082701783</v>
      </c>
      <c r="L68">
        <f>Sheet1!$E$8</f>
        <v>4</v>
      </c>
      <c r="M68">
        <f>Sheet1!$E$30</f>
        <v>-1.5</v>
      </c>
    </row>
    <row r="69" spans="9:13" x14ac:dyDescent="0.25">
      <c r="I69">
        <v>33</v>
      </c>
      <c r="J69">
        <f t="shared" si="2"/>
        <v>9.7555345033905088</v>
      </c>
      <c r="L69">
        <f>Sheet1!$E$8</f>
        <v>4</v>
      </c>
      <c r="M69">
        <f>Sheet1!$E$30</f>
        <v>-1.5</v>
      </c>
    </row>
    <row r="70" spans="9:13" x14ac:dyDescent="0.25">
      <c r="I70">
        <v>33.5</v>
      </c>
      <c r="J70">
        <f t="shared" si="2"/>
        <v>10.053396323627179</v>
      </c>
      <c r="L70">
        <f>Sheet1!$E$8</f>
        <v>4</v>
      </c>
      <c r="M70">
        <f>Sheet1!$E$30</f>
        <v>-1.5</v>
      </c>
    </row>
    <row r="71" spans="9:13" x14ac:dyDescent="0.25">
      <c r="I71">
        <v>34</v>
      </c>
      <c r="J71">
        <f t="shared" si="2"/>
        <v>10.355737268980191</v>
      </c>
      <c r="L71">
        <f>Sheet1!$E$8</f>
        <v>4</v>
      </c>
      <c r="M71">
        <f>Sheet1!$E$30</f>
        <v>-1.5</v>
      </c>
    </row>
    <row r="72" spans="9:13" x14ac:dyDescent="0.25">
      <c r="I72">
        <v>34.5</v>
      </c>
      <c r="J72">
        <f t="shared" si="2"/>
        <v>10.662557339449544</v>
      </c>
      <c r="L72">
        <f>Sheet1!$E$8</f>
        <v>4</v>
      </c>
      <c r="M72">
        <f>Sheet1!$E$30</f>
        <v>-1.5</v>
      </c>
    </row>
    <row r="73" spans="9:13" x14ac:dyDescent="0.25">
      <c r="I73">
        <v>35</v>
      </c>
      <c r="J73">
        <f t="shared" si="2"/>
        <v>10.973856535035237</v>
      </c>
      <c r="L73">
        <f>Sheet1!$E$8</f>
        <v>4</v>
      </c>
      <c r="M73">
        <f>Sheet1!$E$30</f>
        <v>-1.5</v>
      </c>
    </row>
    <row r="74" spans="9:13" x14ac:dyDescent="0.25">
      <c r="I74">
        <v>35.5</v>
      </c>
      <c r="J74">
        <f t="shared" si="2"/>
        <v>11.289634855737271</v>
      </c>
      <c r="L74">
        <f>Sheet1!$E$8</f>
        <v>4</v>
      </c>
      <c r="M74">
        <f>Sheet1!$E$30</f>
        <v>-1.5</v>
      </c>
    </row>
    <row r="75" spans="9:13" x14ac:dyDescent="0.25">
      <c r="I75">
        <v>36</v>
      </c>
      <c r="J75">
        <f t="shared" si="2"/>
        <v>11.609892301555647</v>
      </c>
      <c r="L75">
        <f>Sheet1!$E$8</f>
        <v>4</v>
      </c>
      <c r="M75">
        <f>Sheet1!$E$30</f>
        <v>-1.5</v>
      </c>
    </row>
    <row r="76" spans="9:13" x14ac:dyDescent="0.25">
      <c r="I76">
        <v>36.5</v>
      </c>
      <c r="J76">
        <f t="shared" si="2"/>
        <v>11.934628872490363</v>
      </c>
      <c r="L76">
        <f>Sheet1!$E$8</f>
        <v>4</v>
      </c>
      <c r="M76">
        <f>Sheet1!$E$30</f>
        <v>-1.5</v>
      </c>
    </row>
    <row r="77" spans="9:13" x14ac:dyDescent="0.25">
      <c r="I77">
        <v>37</v>
      </c>
      <c r="J77">
        <f t="shared" si="2"/>
        <v>12.263844568541421</v>
      </c>
      <c r="L77">
        <f>Sheet1!$E$8</f>
        <v>4</v>
      </c>
      <c r="M77">
        <f>Sheet1!$E$30</f>
        <v>-1.5</v>
      </c>
    </row>
    <row r="78" spans="9:13" x14ac:dyDescent="0.25">
      <c r="I78">
        <v>37.5</v>
      </c>
      <c r="J78">
        <f t="shared" si="2"/>
        <v>12.597539389708817</v>
      </c>
      <c r="L78">
        <f>Sheet1!$E$8</f>
        <v>4</v>
      </c>
      <c r="M78">
        <f>Sheet1!$E$30</f>
        <v>-1.5</v>
      </c>
    </row>
    <row r="79" spans="9:13" x14ac:dyDescent="0.25">
      <c r="I79">
        <v>38</v>
      </c>
      <c r="J79">
        <f t="shared" si="2"/>
        <v>12.935713335992556</v>
      </c>
      <c r="L79">
        <f>Sheet1!$E$8</f>
        <v>4</v>
      </c>
      <c r="M79">
        <f>Sheet1!$E$30</f>
        <v>-1.5</v>
      </c>
    </row>
    <row r="80" spans="9:13" x14ac:dyDescent="0.25">
      <c r="I80">
        <f>D3</f>
        <v>38.887799999999999</v>
      </c>
      <c r="J80">
        <f t="shared" si="2"/>
        <v>13.547212355151578</v>
      </c>
      <c r="L80">
        <f>Sheet1!$E$8</f>
        <v>4</v>
      </c>
      <c r="M80">
        <f>Sheet1!$E$30</f>
        <v>-1.5</v>
      </c>
    </row>
    <row r="81" spans="9:13" x14ac:dyDescent="0.25">
      <c r="I81">
        <v>39</v>
      </c>
      <c r="J81">
        <f t="shared" si="2"/>
        <v>13.625498603909058</v>
      </c>
      <c r="L81">
        <f>Sheet1!$E$8</f>
        <v>4</v>
      </c>
      <c r="M81">
        <f>Sheet1!$E$30</f>
        <v>-1.5</v>
      </c>
    </row>
    <row r="82" spans="9:13" x14ac:dyDescent="0.25">
      <c r="I82">
        <v>39.5</v>
      </c>
      <c r="J82">
        <f t="shared" si="2"/>
        <v>13.97710992554182</v>
      </c>
      <c r="L82">
        <f>Sheet1!$E$8</f>
        <v>4</v>
      </c>
      <c r="M82">
        <f>Sheet1!$E$30</f>
        <v>-1.5</v>
      </c>
    </row>
    <row r="83" spans="9:13" x14ac:dyDescent="0.25">
      <c r="I83">
        <v>40</v>
      </c>
      <c r="J83">
        <f t="shared" si="2"/>
        <v>14.333200372290921</v>
      </c>
      <c r="L83">
        <f>Sheet1!$E$8</f>
        <v>4</v>
      </c>
      <c r="M83">
        <f>Sheet1!$E$30</f>
        <v>-1.5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Constraint anaysis</vt:lpstr>
      <vt:lpstr>TURN</vt:lpstr>
      <vt:lpstr>Climb</vt:lpstr>
      <vt:lpstr>V-n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2017-01-01T23:44:29Z</dcterms:created>
  <dcterms:modified xsi:type="dcterms:W3CDTF">2017-01-30T00:33:11Z</dcterms:modified>
</cp:coreProperties>
</file>