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nburtnet_calpoly_edu/Documents/Fall 2022/Intro to Mechatronics/Labs/Lab5/"/>
    </mc:Choice>
  </mc:AlternateContent>
  <xr:revisionPtr revIDLastSave="468" documentId="11_F25DC773A252ABDACC1048AD795B54D45ADE58EC" xr6:coauthVersionLast="47" xr6:coauthVersionMax="47" xr10:uidLastSave="{5211EA37-73F9-4CEA-825E-77166A26E2C7}"/>
  <bookViews>
    <workbookView minimized="1" xWindow="130" yWindow="-50" windowWidth="2398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K44" i="1"/>
  <c r="N45" i="1" s="1"/>
  <c r="N43" i="1"/>
  <c r="K42" i="1"/>
  <c r="K41" i="1"/>
  <c r="M23" i="1"/>
  <c r="L23" i="1"/>
  <c r="K23" i="1"/>
  <c r="K6" i="1"/>
  <c r="H15" i="1"/>
  <c r="M6" i="1" s="1"/>
  <c r="H10" i="1"/>
  <c r="L6" i="1" s="1"/>
  <c r="G34" i="1"/>
  <c r="G33" i="1"/>
  <c r="G32" i="1"/>
  <c r="G31" i="1"/>
  <c r="G30" i="1"/>
  <c r="B30" i="1"/>
  <c r="M19" i="1" s="1"/>
  <c r="M21" i="1" s="1"/>
  <c r="G29" i="1"/>
  <c r="G28" i="1"/>
  <c r="G27" i="1"/>
  <c r="G26" i="1"/>
  <c r="G25" i="1"/>
  <c r="B25" i="1"/>
  <c r="L19" i="1" s="1"/>
  <c r="L21" i="1" s="1"/>
  <c r="G24" i="1"/>
  <c r="G23" i="1"/>
  <c r="G22" i="1"/>
  <c r="G21" i="1"/>
  <c r="G20" i="1"/>
  <c r="B20" i="1"/>
  <c r="K19" i="1" s="1"/>
  <c r="K2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K47" i="1" l="1"/>
  <c r="K48" i="1"/>
  <c r="G3" i="1" l="1"/>
  <c r="B8" i="1"/>
  <c r="L2" i="1" s="1"/>
  <c r="L4" i="1" s="1"/>
  <c r="L5" i="1" s="1"/>
  <c r="B13" i="1"/>
  <c r="M2" i="1" s="1"/>
  <c r="M4" i="1" s="1"/>
  <c r="M5" i="1" s="1"/>
  <c r="B3" i="1"/>
  <c r="K2" i="1" s="1"/>
  <c r="K4" i="1" s="1"/>
  <c r="K5" i="1" s="1"/>
  <c r="P4" i="1"/>
  <c r="M22" i="1" l="1"/>
  <c r="K22" i="1"/>
  <c r="L22" i="1"/>
</calcChain>
</file>

<file path=xl/sharedStrings.xml><?xml version="1.0" encoding="utf-8"?>
<sst xmlns="http://schemas.openxmlformats.org/spreadsheetml/2006/main" count="47" uniqueCount="25">
  <si>
    <t>Open Loop</t>
  </si>
  <si>
    <t>Constant Values</t>
  </si>
  <si>
    <t>k_c *t</t>
  </si>
  <si>
    <t>K_pwm</t>
  </si>
  <si>
    <t>Closed Loop</t>
  </si>
  <si>
    <t>τ</t>
  </si>
  <si>
    <t>K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</si>
  <si>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m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</si>
  <si>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</si>
  <si>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theme="1"/>
        <rFont val="Calibri"/>
        <family val="2"/>
      </rPr>
      <t>ref</t>
    </r>
    <r>
      <rPr>
        <b/>
        <sz val="11"/>
        <color theme="1"/>
        <rFont val="Calibri"/>
        <family val="2"/>
      </rPr>
      <t>/V</t>
    </r>
    <r>
      <rPr>
        <b/>
        <vertAlign val="subscript"/>
        <sz val="11"/>
        <color theme="1"/>
        <rFont val="Calibri"/>
        <family val="2"/>
      </rPr>
      <t>act</t>
    </r>
  </si>
  <si>
    <t>τ (ms)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</si>
  <si>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p,in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</si>
  <si>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ref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</si>
  <si>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act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</si>
  <si>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</si>
  <si>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</si>
  <si>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τ</t>
    </r>
  </si>
  <si>
    <t>deltat</t>
  </si>
  <si>
    <r>
      <t>ω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</si>
  <si>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ζ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</si>
  <si>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</si>
  <si>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Key Results</t>
  </si>
  <si>
    <t>Parameterization</t>
  </si>
  <si>
    <t>Nominal Gains</t>
  </si>
  <si>
    <t>Revised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</si>
</sst>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171" fontId="0" fillId="0" borderId="1" xfId="0" applyNumberFormat="1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Vact vs. Vref (750)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2292614230027"/>
                  <c:y val="0.1188415012792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5-446A-AD86-620E07F55292}"/>
            </c:ext>
          </c:extLst>
        </c:ser>
        <c:ser>
          <c:idx val="1"/>
          <c:order val="1"/>
          <c:tx>
            <c:v>Vact vs Vref (1250)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2292614230027"/>
                  <c:y val="9.4147395613403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Sheet1!$C$8:$C$12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Sheet1!$D$8:$D$12</c:f>
              <c:numCache>
                <c:formatCode>General</c:formatCode>
                <c:ptCount val="5"/>
                <c:pt idx="0">
                  <c:v>27</c:v>
                </c:pt>
                <c:pt idx="1">
                  <c:v>55</c:v>
                </c:pt>
                <c:pt idx="2">
                  <c:v>84</c:v>
                </c:pt>
                <c:pt idx="3">
                  <c:v>112</c:v>
                </c:pt>
                <c:pt idx="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D5-446A-AD86-620E07F55292}"/>
            </c:ext>
          </c:extLst>
        </c:ser>
        <c:ser>
          <c:idx val="2"/>
          <c:order val="2"/>
          <c:tx>
            <c:v>Vact vs. Vref (1750)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822985875252072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Sheet1!$C$13:$C$17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Sheet1!$D$13:$D$17</c:f>
              <c:numCache>
                <c:formatCode>General</c:formatCode>
                <c:ptCount val="5"/>
                <c:pt idx="0">
                  <c:v>38</c:v>
                </c:pt>
                <c:pt idx="1">
                  <c:v>78</c:v>
                </c:pt>
                <c:pt idx="2">
                  <c:v>118</c:v>
                </c:pt>
                <c:pt idx="3">
                  <c:v>145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D5-446A-AD86-620E07F55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98799"/>
        <c:axId val="1375797551"/>
      </c:scatterChart>
      <c:valAx>
        <c:axId val="13757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551"/>
        <c:crosses val="autoZero"/>
        <c:crossBetween val="midCat"/>
      </c:valAx>
      <c:valAx>
        <c:axId val="13757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2292614230027"/>
                  <c:y val="0.1188415012792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Sheet1!$C$20:$C$24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Sheet1!$D$20:$D$24</c:f>
              <c:numCache>
                <c:formatCode>General</c:formatCode>
                <c:ptCount val="5"/>
                <c:pt idx="0">
                  <c:v>13</c:v>
                </c:pt>
                <c:pt idx="1">
                  <c:v>28</c:v>
                </c:pt>
                <c:pt idx="2">
                  <c:v>43</c:v>
                </c:pt>
                <c:pt idx="3">
                  <c:v>58</c:v>
                </c:pt>
                <c:pt idx="4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B-4D87-9E17-008B4112E1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2292614230027"/>
                  <c:y val="9.41473956134032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Sheet1!$C$25:$C$29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Sheet1!$D$25:$D$29</c:f>
              <c:numCache>
                <c:formatCode>General</c:formatCode>
                <c:ptCount val="5"/>
                <c:pt idx="0">
                  <c:v>21</c:v>
                </c:pt>
                <c:pt idx="1">
                  <c:v>43</c:v>
                </c:pt>
                <c:pt idx="2">
                  <c:v>66</c:v>
                </c:pt>
                <c:pt idx="3">
                  <c:v>87</c:v>
                </c:pt>
                <c:pt idx="4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DB-4D87-9E17-008B4112E1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822985875252072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Sheet1!$C$30:$C$34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Sheet1!$D$30:$D$34</c:f>
              <c:numCache>
                <c:formatCode>General</c:formatCode>
                <c:ptCount val="5"/>
                <c:pt idx="0">
                  <c:v>27</c:v>
                </c:pt>
                <c:pt idx="1">
                  <c:v>56</c:v>
                </c:pt>
                <c:pt idx="2">
                  <c:v>85</c:v>
                </c:pt>
                <c:pt idx="3">
                  <c:v>113</c:v>
                </c:pt>
                <c:pt idx="4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DB-4D87-9E17-008B4112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798799"/>
        <c:axId val="1375797551"/>
      </c:scatterChart>
      <c:valAx>
        <c:axId val="13757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7551"/>
        <c:crosses val="autoZero"/>
        <c:crossBetween val="midCat"/>
      </c:valAx>
      <c:valAx>
        <c:axId val="13757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317499</xdr:colOff>
      <xdr:row>6</xdr:row>
      <xdr:rowOff>38100</xdr:rowOff>
    </xdr:from>
    <xdr:to>
      <xdr:col>14</xdr:col>
      <xdr:colOff>552450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EE9FB-AE2F-66AF-7E56-1CA6C454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19050</xdr:rowOff>
    </xdr:from>
    <xdr:to>
      <xdr:col>15</xdr:col>
      <xdr:colOff>76201</xdr:colOff>
      <xdr:row>36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763A7F-02B1-42BE-9094-ECEFBCA2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H22" sqref="H22"/>
    </sheetView>
  </sheetViews>
  <sheetFormatPr defaultRowHeight="14.5" x14ac:dyDescent="0.35"/>
  <cols>
    <col min="1" max="1" width="4.6328125" customWidth="1"/>
    <col min="2" max="2" width="4.453125" customWidth="1"/>
    <col min="3" max="3" width="4.6328125" customWidth="1"/>
    <col min="4" max="4" width="3.81640625" bestFit="1" customWidth="1"/>
    <col min="5" max="5" width="4.1796875" customWidth="1"/>
    <col min="6" max="6" width="5.08984375" customWidth="1"/>
    <col min="7" max="7" width="5.36328125" customWidth="1"/>
    <col min="8" max="8" width="4.6328125" customWidth="1"/>
    <col min="9" max="9" width="1.81640625" customWidth="1"/>
    <col min="10" max="10" width="7.36328125" customWidth="1"/>
  </cols>
  <sheetData>
    <row r="1" spans="1:16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6" ht="16.5" x14ac:dyDescent="0.45">
      <c r="A2" s="16" t="s">
        <v>11</v>
      </c>
      <c r="B2" s="16" t="s">
        <v>8</v>
      </c>
      <c r="C2" s="16" t="s">
        <v>12</v>
      </c>
      <c r="D2" s="16" t="s">
        <v>13</v>
      </c>
      <c r="E2" s="16" t="s">
        <v>14</v>
      </c>
      <c r="F2" s="16" t="s">
        <v>15</v>
      </c>
      <c r="G2" s="16" t="s">
        <v>16</v>
      </c>
      <c r="H2" s="17" t="s">
        <v>5</v>
      </c>
      <c r="J2" s="13" t="s">
        <v>8</v>
      </c>
      <c r="K2" s="5">
        <f>B3</f>
        <v>0.732421875</v>
      </c>
      <c r="L2" s="5">
        <f>B8</f>
        <v>1.220703125</v>
      </c>
      <c r="M2" s="5">
        <f>B13</f>
        <v>1.708984375</v>
      </c>
      <c r="O2" s="1" t="s">
        <v>1</v>
      </c>
      <c r="P2" s="1"/>
    </row>
    <row r="3" spans="1:16" ht="16.5" x14ac:dyDescent="0.35">
      <c r="A3" s="19">
        <v>750</v>
      </c>
      <c r="B3" s="20">
        <f>A3/1024</f>
        <v>0.732421875</v>
      </c>
      <c r="C3" s="21">
        <v>100</v>
      </c>
      <c r="D3" s="21">
        <v>15</v>
      </c>
      <c r="E3" s="21">
        <v>5</v>
      </c>
      <c r="F3" s="21">
        <v>5.55999994</v>
      </c>
      <c r="G3" s="22">
        <f>E3+(F3-E3)*0.63</f>
        <v>5.3527999621999998</v>
      </c>
      <c r="H3" s="21">
        <v>24</v>
      </c>
      <c r="J3" s="14" t="s">
        <v>9</v>
      </c>
      <c r="K3" s="5">
        <v>0.17199999999999999</v>
      </c>
      <c r="L3" s="3">
        <v>0.28499999999999998</v>
      </c>
      <c r="M3" s="3">
        <v>0.311</v>
      </c>
      <c r="O3" t="s">
        <v>2</v>
      </c>
      <c r="P3" s="6">
        <v>0.63700000000000001</v>
      </c>
    </row>
    <row r="4" spans="1:16" x14ac:dyDescent="0.35">
      <c r="A4" s="19"/>
      <c r="B4" s="23"/>
      <c r="C4" s="21">
        <v>200</v>
      </c>
      <c r="D4" s="21">
        <v>33</v>
      </c>
      <c r="E4" s="21">
        <v>5</v>
      </c>
      <c r="F4" s="21">
        <v>6.06</v>
      </c>
      <c r="G4" s="22">
        <f t="shared" ref="G4:G17" si="0">E4+(F4-E4)*0.63</f>
        <v>5.6677999999999997</v>
      </c>
      <c r="H4" s="21">
        <v>12.1</v>
      </c>
      <c r="J4" s="13" t="s">
        <v>6</v>
      </c>
      <c r="K4" s="5">
        <f>K3/K2</f>
        <v>0.23483733333333331</v>
      </c>
      <c r="L4" s="5">
        <f>L3/L2</f>
        <v>0.23347199999999999</v>
      </c>
      <c r="M4" s="5">
        <f>M3/M2</f>
        <v>0.18197942857142857</v>
      </c>
      <c r="O4" t="s">
        <v>3</v>
      </c>
      <c r="P4" s="6">
        <f>24/625</f>
        <v>3.8399999999999997E-2</v>
      </c>
    </row>
    <row r="5" spans="1:16" ht="16.5" x14ac:dyDescent="0.45">
      <c r="A5" s="19"/>
      <c r="B5" s="23"/>
      <c r="C5" s="21">
        <v>300</v>
      </c>
      <c r="D5" s="21">
        <v>50</v>
      </c>
      <c r="E5" s="21">
        <v>5</v>
      </c>
      <c r="F5" s="21">
        <v>6.62</v>
      </c>
      <c r="G5" s="22">
        <f t="shared" si="0"/>
        <v>6.0206</v>
      </c>
      <c r="H5" s="21">
        <v>12.2</v>
      </c>
      <c r="J5" s="13" t="s">
        <v>7</v>
      </c>
      <c r="K5" s="5">
        <f>K4/($P$3*$P$4)</f>
        <v>9.6005581719867443</v>
      </c>
      <c r="L5" s="5">
        <f>L4/($P$3*$P$4)</f>
        <v>9.5447409733124022</v>
      </c>
      <c r="M5" s="5">
        <f>M4/($P$3*$P$4)</f>
        <v>7.4396351947372361</v>
      </c>
      <c r="O5" t="s">
        <v>17</v>
      </c>
      <c r="P5">
        <v>2E-3</v>
      </c>
    </row>
    <row r="6" spans="1:16" x14ac:dyDescent="0.35">
      <c r="A6" s="19"/>
      <c r="B6" s="23"/>
      <c r="C6" s="21">
        <v>400</v>
      </c>
      <c r="D6" s="21">
        <v>67</v>
      </c>
      <c r="E6" s="21">
        <v>5</v>
      </c>
      <c r="F6" s="21">
        <v>7.18</v>
      </c>
      <c r="G6" s="22">
        <f t="shared" si="0"/>
        <v>6.3734000000000002</v>
      </c>
      <c r="H6" s="21">
        <v>13</v>
      </c>
      <c r="J6" s="15" t="s">
        <v>10</v>
      </c>
      <c r="K6" s="3">
        <f>AVERAGE(H3:H7)</f>
        <v>15.14</v>
      </c>
      <c r="L6" s="3">
        <f>AVERAGE(H8:H12)</f>
        <v>12.360000000000001</v>
      </c>
      <c r="M6" s="3">
        <f>AVERAGE(H13:H17)</f>
        <v>13.2</v>
      </c>
    </row>
    <row r="7" spans="1:16" x14ac:dyDescent="0.35">
      <c r="A7" s="19"/>
      <c r="B7" s="24"/>
      <c r="C7" s="21">
        <v>500</v>
      </c>
      <c r="D7" s="21">
        <v>84</v>
      </c>
      <c r="E7" s="21">
        <v>5</v>
      </c>
      <c r="F7" s="21">
        <v>7.7</v>
      </c>
      <c r="G7" s="22">
        <f t="shared" si="0"/>
        <v>6.7010000000000005</v>
      </c>
      <c r="H7" s="21">
        <v>14.4</v>
      </c>
    </row>
    <row r="8" spans="1:16" x14ac:dyDescent="0.35">
      <c r="A8" s="2">
        <v>1250</v>
      </c>
      <c r="B8" s="8">
        <f t="shared" ref="B8" si="1">A8/1024</f>
        <v>1.220703125</v>
      </c>
      <c r="C8" s="3">
        <v>100</v>
      </c>
      <c r="D8" s="3">
        <v>27</v>
      </c>
      <c r="E8" s="3">
        <v>5</v>
      </c>
      <c r="F8" s="3">
        <v>5.82</v>
      </c>
      <c r="G8" s="5">
        <f t="shared" si="0"/>
        <v>5.5166000000000004</v>
      </c>
      <c r="H8" s="3">
        <v>11.6</v>
      </c>
    </row>
    <row r="9" spans="1:16" x14ac:dyDescent="0.35">
      <c r="A9" s="2"/>
      <c r="B9" s="9"/>
      <c r="C9" s="3">
        <v>200</v>
      </c>
      <c r="D9" s="3">
        <v>55</v>
      </c>
      <c r="E9" s="3">
        <v>5</v>
      </c>
      <c r="F9" s="3">
        <v>6.76</v>
      </c>
      <c r="G9" s="5">
        <f t="shared" si="0"/>
        <v>6.1087999999999996</v>
      </c>
      <c r="H9" s="3">
        <v>10.4</v>
      </c>
    </row>
    <row r="10" spans="1:16" x14ac:dyDescent="0.35">
      <c r="A10" s="2"/>
      <c r="B10" s="9"/>
      <c r="C10" s="3">
        <v>300</v>
      </c>
      <c r="D10" s="3">
        <v>84</v>
      </c>
      <c r="E10" s="3">
        <v>5</v>
      </c>
      <c r="F10" s="3">
        <v>7.68</v>
      </c>
      <c r="G10" s="5">
        <f t="shared" si="0"/>
        <v>6.6883999999999997</v>
      </c>
      <c r="H10" s="3">
        <f>9.2+5.2</f>
        <v>14.399999999999999</v>
      </c>
    </row>
    <row r="11" spans="1:16" x14ac:dyDescent="0.35">
      <c r="A11" s="2"/>
      <c r="B11" s="9"/>
      <c r="C11" s="3">
        <v>400</v>
      </c>
      <c r="D11" s="3">
        <v>112</v>
      </c>
      <c r="E11" s="3">
        <v>5</v>
      </c>
      <c r="F11" s="3">
        <v>8.56</v>
      </c>
      <c r="G11" s="5">
        <f t="shared" si="0"/>
        <v>7.2428000000000008</v>
      </c>
      <c r="H11" s="3">
        <v>12.8</v>
      </c>
    </row>
    <row r="12" spans="1:16" x14ac:dyDescent="0.35">
      <c r="A12" s="2"/>
      <c r="B12" s="10"/>
      <c r="C12" s="3">
        <v>500</v>
      </c>
      <c r="D12" s="3">
        <v>141</v>
      </c>
      <c r="E12" s="3">
        <v>5</v>
      </c>
      <c r="F12" s="3">
        <v>9.52</v>
      </c>
      <c r="G12" s="5">
        <f t="shared" si="0"/>
        <v>7.8475999999999999</v>
      </c>
      <c r="H12" s="3">
        <v>12.6</v>
      </c>
    </row>
    <row r="13" spans="1:16" x14ac:dyDescent="0.35">
      <c r="A13" s="2">
        <v>1750</v>
      </c>
      <c r="B13" s="8">
        <f t="shared" ref="B13" si="2">A13/1024</f>
        <v>1.708984375</v>
      </c>
      <c r="C13" s="3">
        <v>100</v>
      </c>
      <c r="D13" s="3">
        <v>38</v>
      </c>
      <c r="E13" s="3">
        <v>5</v>
      </c>
      <c r="F13" s="3">
        <v>6.22</v>
      </c>
      <c r="G13" s="5">
        <f t="shared" si="0"/>
        <v>5.7686000000000002</v>
      </c>
      <c r="H13" s="3">
        <v>12</v>
      </c>
    </row>
    <row r="14" spans="1:16" x14ac:dyDescent="0.35">
      <c r="A14" s="2"/>
      <c r="B14" s="9"/>
      <c r="C14" s="3">
        <v>200</v>
      </c>
      <c r="D14" s="3">
        <v>78</v>
      </c>
      <c r="E14" s="3">
        <v>5</v>
      </c>
      <c r="F14" s="3">
        <v>7.48</v>
      </c>
      <c r="G14" s="5">
        <f t="shared" si="0"/>
        <v>6.5624000000000002</v>
      </c>
      <c r="H14" s="3">
        <v>12.8</v>
      </c>
    </row>
    <row r="15" spans="1:16" x14ac:dyDescent="0.35">
      <c r="A15" s="2"/>
      <c r="B15" s="9"/>
      <c r="C15" s="3">
        <v>300</v>
      </c>
      <c r="D15" s="3">
        <v>118</v>
      </c>
      <c r="E15" s="3">
        <v>5</v>
      </c>
      <c r="F15" s="3">
        <v>8.8000000000000007</v>
      </c>
      <c r="G15" s="5">
        <f t="shared" si="0"/>
        <v>7.3940000000000001</v>
      </c>
      <c r="H15" s="3">
        <f>9.2+4.8</f>
        <v>14</v>
      </c>
    </row>
    <row r="16" spans="1:16" x14ac:dyDescent="0.35">
      <c r="A16" s="2"/>
      <c r="B16" s="9"/>
      <c r="C16" s="3">
        <v>400</v>
      </c>
      <c r="D16" s="3">
        <v>145</v>
      </c>
      <c r="E16" s="3">
        <v>5</v>
      </c>
      <c r="F16" s="3">
        <v>9.67</v>
      </c>
      <c r="G16" s="5">
        <f t="shared" si="0"/>
        <v>7.9420999999999999</v>
      </c>
      <c r="H16" s="3">
        <v>14.8</v>
      </c>
    </row>
    <row r="17" spans="1:13" x14ac:dyDescent="0.35">
      <c r="A17" s="2"/>
      <c r="B17" s="10"/>
      <c r="C17" s="3">
        <v>500</v>
      </c>
      <c r="D17" s="3">
        <v>160</v>
      </c>
      <c r="E17" s="3">
        <v>5</v>
      </c>
      <c r="F17" s="3">
        <v>9.7100000000000009</v>
      </c>
      <c r="G17" s="5">
        <f t="shared" si="0"/>
        <v>7.9673000000000007</v>
      </c>
      <c r="H17" s="3">
        <v>12.4</v>
      </c>
    </row>
    <row r="18" spans="1:13" x14ac:dyDescent="0.35">
      <c r="A18" s="18" t="s">
        <v>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ht="16.5" x14ac:dyDescent="0.45">
      <c r="A19" s="16" t="s">
        <v>11</v>
      </c>
      <c r="B19" s="16" t="s">
        <v>8</v>
      </c>
      <c r="C19" s="16" t="s">
        <v>12</v>
      </c>
      <c r="D19" s="16" t="s">
        <v>13</v>
      </c>
      <c r="E19" s="16" t="s">
        <v>14</v>
      </c>
      <c r="F19" s="16" t="s">
        <v>15</v>
      </c>
      <c r="G19" s="16" t="s">
        <v>16</v>
      </c>
      <c r="H19" s="17" t="s">
        <v>5</v>
      </c>
      <c r="J19" s="13" t="s">
        <v>8</v>
      </c>
      <c r="K19" s="5">
        <f>B20</f>
        <v>0.732421875</v>
      </c>
      <c r="L19" s="5">
        <f>B25</f>
        <v>1.220703125</v>
      </c>
      <c r="M19" s="5">
        <f>B30</f>
        <v>1.708984375</v>
      </c>
    </row>
    <row r="20" spans="1:13" ht="16.5" x14ac:dyDescent="0.35">
      <c r="A20" s="2">
        <v>750</v>
      </c>
      <c r="B20" s="8">
        <f>A20/1024</f>
        <v>0.732421875</v>
      </c>
      <c r="C20" s="3">
        <v>100</v>
      </c>
      <c r="D20" s="3">
        <v>13</v>
      </c>
      <c r="E20" s="3">
        <v>5</v>
      </c>
      <c r="F20" s="3">
        <v>5.4</v>
      </c>
      <c r="G20" s="5">
        <f>E20+(F20-E20)*0.63</f>
        <v>5.2520000000000007</v>
      </c>
      <c r="H20" s="3">
        <v>8.5</v>
      </c>
      <c r="I20" s="11"/>
      <c r="J20" s="14" t="s">
        <v>9</v>
      </c>
      <c r="K20" s="5">
        <v>0.14799999999999999</v>
      </c>
      <c r="L20" s="3">
        <v>0.22</v>
      </c>
      <c r="M20" s="3">
        <v>0.28699999999999998</v>
      </c>
    </row>
    <row r="21" spans="1:13" x14ac:dyDescent="0.35">
      <c r="A21" s="2"/>
      <c r="B21" s="9"/>
      <c r="C21" s="3">
        <v>200</v>
      </c>
      <c r="D21" s="3">
        <v>28</v>
      </c>
      <c r="E21" s="3">
        <v>5</v>
      </c>
      <c r="F21" s="3">
        <v>5.8</v>
      </c>
      <c r="G21" s="5">
        <f t="shared" ref="G21:G34" si="3">E21+(F21-E21)*0.63</f>
        <v>5.5039999999999996</v>
      </c>
      <c r="H21" s="3">
        <v>9.5</v>
      </c>
      <c r="J21" s="13" t="s">
        <v>6</v>
      </c>
      <c r="K21" s="5">
        <f>K20/K19</f>
        <v>0.20206933333333332</v>
      </c>
      <c r="L21" s="5">
        <f>L20/L19</f>
        <v>0.180224</v>
      </c>
      <c r="M21" s="5">
        <f>M20/M19</f>
        <v>0.16793599999999997</v>
      </c>
    </row>
    <row r="22" spans="1:13" ht="16.5" x14ac:dyDescent="0.45">
      <c r="A22" s="2"/>
      <c r="B22" s="9"/>
      <c r="C22" s="3">
        <v>300</v>
      </c>
      <c r="D22" s="3">
        <v>43</v>
      </c>
      <c r="E22" s="3">
        <v>5</v>
      </c>
      <c r="F22" s="3">
        <v>6.3</v>
      </c>
      <c r="G22" s="5">
        <f t="shared" si="3"/>
        <v>5.819</v>
      </c>
      <c r="H22" s="3">
        <v>8.4</v>
      </c>
      <c r="J22" s="13" t="s">
        <v>7</v>
      </c>
      <c r="K22" s="5">
        <f>K21/($P$3*$P$4)</f>
        <v>8.2609454038025465</v>
      </c>
      <c r="L22" s="5">
        <f>L21/($P$3*$P$4)</f>
        <v>7.3678702250130828</v>
      </c>
      <c r="M22" s="5">
        <f>M21/($P$3*$P$4)</f>
        <v>6.8655154369440083</v>
      </c>
    </row>
    <row r="23" spans="1:13" x14ac:dyDescent="0.35">
      <c r="A23" s="2"/>
      <c r="B23" s="9"/>
      <c r="C23" s="3">
        <v>400</v>
      </c>
      <c r="D23" s="3">
        <v>58</v>
      </c>
      <c r="E23" s="3">
        <v>5</v>
      </c>
      <c r="F23" s="3">
        <v>6.8</v>
      </c>
      <c r="G23" s="5">
        <f t="shared" si="3"/>
        <v>6.1340000000000003</v>
      </c>
      <c r="H23" s="3">
        <v>9.9</v>
      </c>
      <c r="J23" s="15" t="s">
        <v>10</v>
      </c>
      <c r="K23" s="3">
        <f>AVERAGE(H20:H24)</f>
        <v>9.26</v>
      </c>
      <c r="L23" s="3">
        <f>AVERAGE(H25:H29)</f>
        <v>9.5400000000000009</v>
      </c>
      <c r="M23" s="3">
        <f>AVERAGE(H30:H34)</f>
        <v>9.32</v>
      </c>
    </row>
    <row r="24" spans="1:13" x14ac:dyDescent="0.35">
      <c r="A24" s="2"/>
      <c r="B24" s="10"/>
      <c r="C24" s="3">
        <v>500</v>
      </c>
      <c r="D24" s="3">
        <v>72</v>
      </c>
      <c r="E24" s="3">
        <v>5</v>
      </c>
      <c r="F24" s="3">
        <v>7.32</v>
      </c>
      <c r="G24" s="5">
        <f t="shared" si="3"/>
        <v>6.4616000000000007</v>
      </c>
      <c r="H24" s="3">
        <v>10</v>
      </c>
    </row>
    <row r="25" spans="1:13" x14ac:dyDescent="0.35">
      <c r="A25" s="2">
        <v>1250</v>
      </c>
      <c r="B25" s="8">
        <f t="shared" ref="B25" si="4">A25/1024</f>
        <v>1.220703125</v>
      </c>
      <c r="C25" s="3">
        <v>100</v>
      </c>
      <c r="D25" s="3">
        <v>21</v>
      </c>
      <c r="E25" s="3">
        <v>5</v>
      </c>
      <c r="F25" s="3">
        <v>5.66</v>
      </c>
      <c r="G25" s="5">
        <f t="shared" si="3"/>
        <v>5.4157999999999999</v>
      </c>
      <c r="H25" s="3">
        <v>8.9</v>
      </c>
    </row>
    <row r="26" spans="1:13" x14ac:dyDescent="0.35">
      <c r="A26" s="2"/>
      <c r="B26" s="9"/>
      <c r="C26" s="3">
        <v>200</v>
      </c>
      <c r="D26" s="3">
        <v>43</v>
      </c>
      <c r="E26" s="3">
        <v>5</v>
      </c>
      <c r="F26" s="3">
        <v>6.36</v>
      </c>
      <c r="G26" s="5">
        <f t="shared" si="3"/>
        <v>5.8567999999999998</v>
      </c>
      <c r="H26" s="3">
        <v>8.6</v>
      </c>
    </row>
    <row r="27" spans="1:13" x14ac:dyDescent="0.35">
      <c r="A27" s="2"/>
      <c r="B27" s="9"/>
      <c r="C27" s="3">
        <v>300</v>
      </c>
      <c r="D27" s="3">
        <v>66</v>
      </c>
      <c r="E27" s="3">
        <v>5</v>
      </c>
      <c r="F27" s="3">
        <v>7.06</v>
      </c>
      <c r="G27" s="5">
        <f t="shared" si="3"/>
        <v>6.2977999999999996</v>
      </c>
      <c r="H27" s="3">
        <v>10</v>
      </c>
    </row>
    <row r="28" spans="1:13" x14ac:dyDescent="0.35">
      <c r="A28" s="2"/>
      <c r="B28" s="9"/>
      <c r="C28" s="3">
        <v>400</v>
      </c>
      <c r="D28" s="3">
        <v>87</v>
      </c>
      <c r="E28" s="3">
        <v>5</v>
      </c>
      <c r="F28" s="3">
        <v>7.84</v>
      </c>
      <c r="G28" s="5">
        <f t="shared" si="3"/>
        <v>6.7892000000000001</v>
      </c>
      <c r="H28" s="3">
        <v>10.1</v>
      </c>
    </row>
    <row r="29" spans="1:13" x14ac:dyDescent="0.35">
      <c r="A29" s="2"/>
      <c r="B29" s="10"/>
      <c r="C29" s="3">
        <v>500</v>
      </c>
      <c r="D29" s="3">
        <v>109</v>
      </c>
      <c r="E29" s="3">
        <v>5</v>
      </c>
      <c r="F29" s="3">
        <v>8.52</v>
      </c>
      <c r="G29" s="5">
        <f t="shared" si="3"/>
        <v>7.2175999999999991</v>
      </c>
      <c r="H29" s="3">
        <v>10.1</v>
      </c>
    </row>
    <row r="30" spans="1:13" x14ac:dyDescent="0.35">
      <c r="A30" s="2">
        <v>1750</v>
      </c>
      <c r="B30" s="8">
        <f t="shared" ref="B30" si="5">A30/1024</f>
        <v>1.708984375</v>
      </c>
      <c r="C30" s="3">
        <v>100</v>
      </c>
      <c r="D30" s="3">
        <v>27</v>
      </c>
      <c r="E30" s="3">
        <v>5</v>
      </c>
      <c r="F30" s="3">
        <v>5.84</v>
      </c>
      <c r="G30" s="5">
        <f t="shared" si="3"/>
        <v>5.5291999999999994</v>
      </c>
      <c r="H30" s="3">
        <v>8.6</v>
      </c>
    </row>
    <row r="31" spans="1:13" x14ac:dyDescent="0.35">
      <c r="A31" s="2"/>
      <c r="B31" s="9"/>
      <c r="C31" s="3">
        <v>200</v>
      </c>
      <c r="D31" s="3">
        <v>56</v>
      </c>
      <c r="E31" s="3">
        <v>5</v>
      </c>
      <c r="F31" s="3">
        <v>6.76</v>
      </c>
      <c r="G31" s="5">
        <f t="shared" si="3"/>
        <v>6.1087999999999996</v>
      </c>
      <c r="H31" s="3">
        <v>6.3</v>
      </c>
    </row>
    <row r="32" spans="1:13" x14ac:dyDescent="0.35">
      <c r="A32" s="2"/>
      <c r="B32" s="9"/>
      <c r="C32" s="3">
        <v>300</v>
      </c>
      <c r="D32" s="3">
        <v>85</v>
      </c>
      <c r="E32" s="3">
        <v>5</v>
      </c>
      <c r="F32" s="3">
        <v>7.68</v>
      </c>
      <c r="G32" s="5">
        <f t="shared" si="3"/>
        <v>6.6883999999999997</v>
      </c>
      <c r="H32" s="3">
        <v>7.3</v>
      </c>
    </row>
    <row r="33" spans="1:14" x14ac:dyDescent="0.35">
      <c r="A33" s="2"/>
      <c r="B33" s="9"/>
      <c r="C33" s="3">
        <v>400</v>
      </c>
      <c r="D33" s="3">
        <v>113</v>
      </c>
      <c r="E33" s="3">
        <v>5</v>
      </c>
      <c r="F33" s="3">
        <v>8.6</v>
      </c>
      <c r="G33" s="5">
        <f t="shared" si="3"/>
        <v>7.2679999999999998</v>
      </c>
      <c r="H33" s="3">
        <v>12</v>
      </c>
    </row>
    <row r="34" spans="1:14" x14ac:dyDescent="0.35">
      <c r="A34" s="2"/>
      <c r="B34" s="10"/>
      <c r="C34" s="3">
        <v>500</v>
      </c>
      <c r="D34" s="3">
        <v>142</v>
      </c>
      <c r="E34" s="3">
        <v>5</v>
      </c>
      <c r="F34" s="3">
        <v>9.56</v>
      </c>
      <c r="G34" s="5">
        <f t="shared" si="3"/>
        <v>7.8727999999999998</v>
      </c>
      <c r="H34" s="3">
        <v>12.4</v>
      </c>
    </row>
    <row r="39" spans="1:14" x14ac:dyDescent="0.35">
      <c r="J39" s="4" t="s">
        <v>21</v>
      </c>
      <c r="K39" s="4"/>
    </row>
    <row r="40" spans="1:14" x14ac:dyDescent="0.35">
      <c r="J40" s="4" t="s">
        <v>22</v>
      </c>
      <c r="K40" s="4"/>
    </row>
    <row r="41" spans="1:14" ht="16.5" x14ac:dyDescent="0.45">
      <c r="J41" s="13" t="s">
        <v>7</v>
      </c>
      <c r="K41" s="12">
        <f>AVERAGE(K22:M22,K5:M5)</f>
        <v>8.1798775676326709</v>
      </c>
      <c r="M41" s="13" t="s">
        <v>20</v>
      </c>
      <c r="N41" s="7">
        <v>0.22500000000000001</v>
      </c>
    </row>
    <row r="42" spans="1:14" ht="16.5" x14ac:dyDescent="0.45">
      <c r="J42" s="15" t="s">
        <v>10</v>
      </c>
      <c r="K42" s="12">
        <f>AVERAGE(K23:M23,K6:M6)</f>
        <v>11.47</v>
      </c>
      <c r="M42" s="13" t="s">
        <v>8</v>
      </c>
      <c r="N42" s="7">
        <v>0.7</v>
      </c>
    </row>
    <row r="43" spans="1:14" x14ac:dyDescent="0.35">
      <c r="J43" s="4" t="s">
        <v>23</v>
      </c>
      <c r="K43" s="4"/>
      <c r="L43" s="27"/>
      <c r="M43" s="13" t="s">
        <v>6</v>
      </c>
      <c r="N43" s="12">
        <f>AVERAGE(K21:M21,K4:M4)</f>
        <v>0.20008634920634916</v>
      </c>
    </row>
    <row r="44" spans="1:14" ht="16.5" x14ac:dyDescent="0.45">
      <c r="J44" s="25" t="s">
        <v>18</v>
      </c>
      <c r="K44" s="26">
        <f>SQRT((N43*N41)/(P5*K42*10^-3))</f>
        <v>44.299954721110488</v>
      </c>
      <c r="L44" s="27"/>
      <c r="M44" s="28"/>
    </row>
    <row r="45" spans="1:14" ht="16.5" x14ac:dyDescent="0.45">
      <c r="J45" s="25" t="s">
        <v>19</v>
      </c>
      <c r="K45" s="12">
        <f>1/(2*K44)*((1+N43*N42)/(K42*10^-3))</f>
        <v>1.1218406734791517</v>
      </c>
      <c r="M45" s="25" t="s">
        <v>18</v>
      </c>
      <c r="N45" s="6">
        <f>K44*1.667</f>
        <v>73.848024520091187</v>
      </c>
    </row>
    <row r="46" spans="1:14" x14ac:dyDescent="0.35">
      <c r="J46" s="4" t="s">
        <v>24</v>
      </c>
      <c r="K46" s="4"/>
      <c r="M46" s="25" t="s">
        <v>19</v>
      </c>
      <c r="N46">
        <v>0.95</v>
      </c>
    </row>
    <row r="47" spans="1:14" ht="16.5" x14ac:dyDescent="0.45">
      <c r="J47" s="13" t="s">
        <v>20</v>
      </c>
      <c r="K47" s="12">
        <f>(N45^2*P5*K42*10^-3)/N43</f>
        <v>0.62525002500000015</v>
      </c>
    </row>
    <row r="48" spans="1:14" ht="16.5" x14ac:dyDescent="0.45">
      <c r="J48" s="13" t="s">
        <v>8</v>
      </c>
      <c r="K48" s="12">
        <f>(2*N46*N45*K42*10^-3-1)/N43</f>
        <v>3.0455350941402997</v>
      </c>
    </row>
  </sheetData>
  <mergeCells count="19">
    <mergeCell ref="J39:K39"/>
    <mergeCell ref="J40:K40"/>
    <mergeCell ref="J43:K43"/>
    <mergeCell ref="J46:K46"/>
    <mergeCell ref="A20:A24"/>
    <mergeCell ref="B20:B24"/>
    <mergeCell ref="A25:A29"/>
    <mergeCell ref="B25:B29"/>
    <mergeCell ref="A30:A34"/>
    <mergeCell ref="B30:B34"/>
    <mergeCell ref="A18:M18"/>
    <mergeCell ref="A3:A7"/>
    <mergeCell ref="A13:A17"/>
    <mergeCell ref="A8:A12"/>
    <mergeCell ref="B3:B7"/>
    <mergeCell ref="B8:B12"/>
    <mergeCell ref="B13:B17"/>
    <mergeCell ref="O2:P2"/>
    <mergeCell ref="A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Burtnett</dc:creator>
  <cp:lastModifiedBy>Nathan Burtnett</cp:lastModifiedBy>
  <dcterms:created xsi:type="dcterms:W3CDTF">2015-06-05T18:17:20Z</dcterms:created>
  <dcterms:modified xsi:type="dcterms:W3CDTF">2022-11-29T01:15:03Z</dcterms:modified>
</cp:coreProperties>
</file>