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hmad\Desktop\SILVER\SILVER_UC\SILVER_Data\user_inputs\"/>
    </mc:Choice>
  </mc:AlternateContent>
  <xr:revisionPtr revIDLastSave="0" documentId="13_ncr:1_{924340E5-79C1-4935-AF7F-EB6AF100E38F}" xr6:coauthVersionLast="47" xr6:coauthVersionMax="47" xr10:uidLastSave="{00000000-0000-0000-0000-000000000000}"/>
  <bookViews>
    <workbookView xWindow="-120" yWindow="-120" windowWidth="20730" windowHeight="11160" tabRatio="774" firstSheet="7" activeTab="8" xr2:uid="{00000000-000D-0000-FFFF-FFFF00000000}"/>
  </bookViews>
  <sheets>
    <sheet name="modeled attributes" sheetId="42" r:id="rId1"/>
    <sheet name="site independent" sheetId="1" r:id="rId2"/>
    <sheet name="scenario analysis" sheetId="38" r:id="rId3"/>
    <sheet name="vre plants" sheetId="22" r:id="rId4"/>
    <sheet name="non-vre plants" sheetId="41" r:id="rId5"/>
    <sheet name="storage" sheetId="25" r:id="rId6"/>
    <sheet name="EV_aggregator" sheetId="26" r:id="rId7"/>
    <sheet name="demand response" sheetId="18" r:id="rId8"/>
    <sheet name="demand centres" sheetId="14" r:id="rId9"/>
    <sheet name="existing transmission" sheetId="32" r:id="rId10"/>
    <sheet name="modeled attributes _original" sheetId="36" r:id="rId11"/>
    <sheet name="excel input instructions" sheetId="24" r:id="rId12"/>
    <sheet name="lists" sheetId="39" r:id="rId13"/>
  </sheets>
  <externalReferences>
    <externalReference r:id="rId14"/>
  </externalReferences>
  <definedNames>
    <definedName name="code" localSheetId="0">#REF!</definedName>
    <definedName name="code" localSheetId="4">#REF!</definedName>
    <definedName name="code">#REF!</definedName>
    <definedName name="mono_c_Si">lists!$F$9:$F$11</definedName>
    <definedName name="mono_tech">lists!$E$9:$E$11</definedName>
    <definedName name="multi_c_Si">lists!$D$9:$D$11</definedName>
    <definedName name="multi_tech">lists!$C$9:$C$11</definedName>
    <definedName name="_xlnm.Print_Area" localSheetId="1">'site independent'!$A$1:$O$134</definedName>
    <definedName name="renumber" localSheetId="4">#REF!</definedName>
    <definedName name="renumber">#REF!</definedName>
    <definedName name="rerank" localSheetId="4">#REF!</definedName>
    <definedName name="rerank">#REF!</definedName>
    <definedName name="Solar">lists!$C$4:$C$6</definedName>
    <definedName name="thin_film">lists!$E$9:$E$11</definedName>
    <definedName name="thin_tech">lists!$D$9:$D$11</definedName>
    <definedName name="total" localSheetId="4">#REF!</definedName>
    <definedName name="total">#REF!</definedName>
    <definedName name="user" localSheetId="4">#REF!</definedName>
    <definedName name="user">#REF!</definedName>
    <definedName name="VRE" localSheetId="0">[1]lists!$B$3:$C$3</definedName>
    <definedName name="VRE">lists!$B$3:$C$3</definedName>
    <definedName name="Wind">lists!$B$4:$B$5</definedName>
    <definedName name="wind_offshore">lists!$C$9</definedName>
    <definedName name="wind_onshore">lists!$B$9:$B$11</definedName>
    <definedName name="wind_tech">lists!$B$9:$B$11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41" l="1"/>
  <c r="E3" i="41"/>
  <c r="E4" i="41"/>
  <c r="E5" i="41"/>
  <c r="E2" i="41"/>
  <c r="I29" i="42" l="1"/>
  <c r="H29" i="42"/>
  <c r="G29" i="42"/>
  <c r="F29" i="42"/>
  <c r="E29" i="42"/>
  <c r="D29" i="42"/>
  <c r="C29" i="42"/>
  <c r="B29" i="42"/>
  <c r="H2" i="32" l="1" a="1"/>
  <c r="H2" i="32" s="1"/>
  <c r="I2" i="32" s="1"/>
  <c r="H3" i="32" a="1"/>
  <c r="H3" i="32" s="1"/>
  <c r="I3" i="32" s="1"/>
  <c r="H4" i="32" a="1"/>
  <c r="H4" i="32"/>
  <c r="I4" i="32" s="1"/>
  <c r="H5" i="32" a="1"/>
  <c r="H5" i="32"/>
  <c r="I5" i="32" s="1"/>
  <c r="H6" i="32" a="1"/>
  <c r="H6" i="32" s="1"/>
  <c r="I6" i="32" s="1"/>
  <c r="H7" i="32" a="1"/>
  <c r="H7" i="32" s="1"/>
  <c r="I7" i="32" s="1"/>
  <c r="H8" i="32" a="1"/>
  <c r="H8" i="32"/>
  <c r="H9" i="32" a="1"/>
  <c r="H9" i="32"/>
  <c r="I9" i="32" s="1"/>
  <c r="H10" i="32" a="1"/>
  <c r="H10" i="32" s="1"/>
  <c r="I10" i="32" s="1"/>
  <c r="H11" i="32" a="1"/>
  <c r="H11" i="32" s="1"/>
  <c r="I11" i="32" s="1"/>
  <c r="H12" i="32" a="1"/>
  <c r="H12" i="32"/>
  <c r="H13" i="32" a="1"/>
  <c r="H13" i="32"/>
  <c r="I13" i="32" s="1"/>
  <c r="H14" i="32" a="1"/>
  <c r="H14" i="32" s="1"/>
  <c r="I14" i="32" s="1"/>
  <c r="H15" i="32" a="1"/>
  <c r="H15" i="32" s="1"/>
  <c r="I15" i="32" s="1"/>
  <c r="H16" i="32" a="1"/>
  <c r="H16" i="32"/>
  <c r="H17" i="32" a="1"/>
  <c r="H17" i="32" s="1"/>
  <c r="I17" i="32" s="1"/>
  <c r="H18" i="32" a="1"/>
  <c r="H18" i="32" s="1"/>
  <c r="I18" i="32" s="1"/>
  <c r="I8" i="32"/>
  <c r="I12" i="32"/>
  <c r="I16" i="32"/>
  <c r="L27" i="22" l="1"/>
  <c r="B17" i="41" l="1"/>
  <c r="B16" i="41"/>
  <c r="B15" i="41"/>
  <c r="B14" i="41"/>
  <c r="A6" i="38" l="1"/>
  <c r="A7" i="38"/>
  <c r="A8" i="38"/>
  <c r="A9" i="38"/>
  <c r="A10" i="38"/>
  <c r="A11" i="38"/>
  <c r="A12" i="38"/>
  <c r="A13" i="38"/>
  <c r="A14" i="38"/>
  <c r="A15" i="38"/>
  <c r="A16" i="38"/>
  <c r="A17" i="38"/>
  <c r="A18" i="38"/>
  <c r="A19" i="38"/>
  <c r="F130" i="1"/>
  <c r="F129" i="1"/>
  <c r="F128" i="1"/>
  <c r="F127" i="1"/>
  <c r="F126" i="1"/>
  <c r="F125" i="1"/>
  <c r="F124" i="1"/>
  <c r="F123" i="1"/>
  <c r="F101" i="1"/>
  <c r="F100" i="1"/>
  <c r="F99" i="1"/>
  <c r="F98" i="1"/>
  <c r="F97" i="1"/>
  <c r="F96" i="1"/>
  <c r="F95" i="1"/>
  <c r="F94" i="1"/>
  <c r="F93" i="1"/>
  <c r="F92" i="1"/>
  <c r="F91" i="1"/>
  <c r="F90" i="1"/>
  <c r="B81" i="1"/>
  <c r="B80" i="1"/>
  <c r="B79" i="1"/>
  <c r="B78" i="1"/>
  <c r="B77" i="1"/>
  <c r="B75" i="1" s="1"/>
  <c r="B76" i="1"/>
  <c r="B74" i="1"/>
  <c r="H66" i="1"/>
  <c r="H65" i="1"/>
  <c r="H63" i="1"/>
  <c r="H62" i="1"/>
  <c r="H61" i="1"/>
  <c r="C45" i="1"/>
  <c r="B45" i="1"/>
  <c r="K41" i="1"/>
  <c r="J41" i="1"/>
  <c r="C41" i="1"/>
  <c r="B41" i="1"/>
  <c r="J40" i="1"/>
  <c r="C40" i="1"/>
  <c r="B40" i="1"/>
  <c r="C39" i="1"/>
  <c r="B39" i="1"/>
  <c r="K38" i="1"/>
  <c r="J38" i="1"/>
  <c r="C38" i="1"/>
  <c r="B38" i="1"/>
  <c r="C37" i="1"/>
  <c r="B37" i="1"/>
  <c r="C36" i="1"/>
  <c r="B36" i="1"/>
  <c r="K35" i="1"/>
  <c r="J35" i="1"/>
  <c r="C35" i="1"/>
  <c r="B35" i="1"/>
  <c r="K33" i="1"/>
  <c r="J33" i="1"/>
  <c r="C33" i="1"/>
  <c r="B33" i="1"/>
  <c r="K32" i="1"/>
  <c r="J32" i="1"/>
  <c r="C32" i="1"/>
  <c r="B32" i="1"/>
  <c r="K31" i="1"/>
  <c r="J31" i="1"/>
  <c r="C31" i="1"/>
  <c r="B31" i="1"/>
  <c r="L22" i="1"/>
  <c r="G12" i="1"/>
  <c r="G11" i="1"/>
  <c r="D11" i="1"/>
  <c r="G10" i="1"/>
  <c r="P6" i="1"/>
  <c r="P7" i="1" s="1"/>
  <c r="P8" i="1" s="1"/>
  <c r="G5" i="1"/>
  <c r="I61" i="1" l="1"/>
  <c r="P10" i="1"/>
  <c r="P11" i="1" s="1"/>
  <c r="P12" i="1" s="1"/>
  <c r="P13" i="1" s="1"/>
  <c r="P9" i="1"/>
  <c r="B5" i="36"/>
  <c r="P14" i="1" l="1"/>
  <c r="P17" i="1"/>
  <c r="P18" i="1" s="1"/>
  <c r="P19" i="1" s="1"/>
  <c r="B10" i="41"/>
  <c r="B11" i="41"/>
  <c r="B12" i="41"/>
  <c r="B13" i="41"/>
  <c r="L2" i="22"/>
  <c r="L3" i="22"/>
  <c r="L4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K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7" i="22"/>
  <c r="K23" i="22"/>
  <c r="K24" i="22"/>
  <c r="K25" i="22"/>
  <c r="K26" i="22"/>
  <c r="P15" i="1" l="1"/>
  <c r="P16" i="1" s="1"/>
  <c r="B14" i="36"/>
  <c r="H6" i="38" a="1"/>
  <c r="H6" i="38" s="1"/>
  <c r="K5" i="38" l="1" a="1"/>
  <c r="I5" i="38"/>
  <c r="B25" i="38"/>
  <c r="B23" i="38"/>
  <c r="B20" i="38"/>
  <c r="B13" i="18" l="1"/>
  <c r="B6" i="41" l="1"/>
  <c r="B8" i="41" l="1"/>
  <c r="B7" i="41"/>
  <c r="B5" i="41"/>
  <c r="B4" i="41"/>
  <c r="B3" i="41"/>
  <c r="B2" i="41"/>
  <c r="B22" i="38" l="1"/>
  <c r="B21" i="38" l="1"/>
  <c r="N5" i="38" l="1" a="1"/>
  <c r="N5" i="38" s="1"/>
  <c r="N6" i="38" s="1" a="1"/>
  <c r="N6" i="38" s="1"/>
  <c r="O5" i="38" l="1"/>
  <c r="Q5" i="38"/>
  <c r="L5" i="38" a="1"/>
  <c r="I6" i="38"/>
  <c r="R6" i="38"/>
  <c r="Q6" i="38"/>
  <c r="O6" i="38"/>
  <c r="P6" i="38"/>
  <c r="N7" i="38" a="1"/>
  <c r="N7" i="38" s="1"/>
  <c r="P5" i="38"/>
  <c r="R5" i="38"/>
  <c r="N8" i="38" l="1" a="1"/>
  <c r="N8" i="38" s="1"/>
  <c r="P7" i="38"/>
  <c r="R7" i="38"/>
  <c r="O7" i="38"/>
  <c r="Q7" i="38"/>
  <c r="H7" i="38" a="1"/>
  <c r="H7" i="38" s="1"/>
  <c r="L6" i="38" a="1"/>
  <c r="K6" i="38" a="1"/>
  <c r="H8" i="38" l="1" a="1"/>
  <c r="H8" i="38" s="1"/>
  <c r="I8" i="38" s="1"/>
  <c r="I7" i="38"/>
  <c r="L7" i="38" a="1"/>
  <c r="K7" i="38" a="1"/>
  <c r="N9" i="38" a="1"/>
  <c r="N9" i="38" s="1"/>
  <c r="Q8" i="38"/>
  <c r="P8" i="38"/>
  <c r="O8" i="38"/>
  <c r="R8" i="38"/>
  <c r="K8" i="38" l="1" a="1"/>
  <c r="L8" i="38" a="1"/>
  <c r="H9" i="38" a="1"/>
  <c r="H9" i="38" s="1"/>
  <c r="K9" i="38" s="1" a="1"/>
  <c r="Q9" i="38"/>
  <c r="P9" i="38"/>
  <c r="O9" i="38"/>
  <c r="R9" i="38"/>
  <c r="N10" i="38" a="1"/>
  <c r="N10" i="38" s="1"/>
  <c r="L9" i="38" l="1" a="1"/>
  <c r="H10" i="38" a="1"/>
  <c r="H10" i="38" s="1"/>
  <c r="I9" i="38"/>
  <c r="R10" i="38"/>
  <c r="Q10" i="38"/>
  <c r="P10" i="38"/>
  <c r="O10" i="38"/>
  <c r="N11" i="38" a="1"/>
  <c r="N11" i="38" s="1"/>
  <c r="K10" i="38" l="1" a="1"/>
  <c r="L10" i="38" a="1"/>
  <c r="H11" i="38" a="1"/>
  <c r="H11" i="38" s="1"/>
  <c r="I10" i="38"/>
  <c r="R11" i="38"/>
  <c r="O11" i="38"/>
  <c r="Q11" i="38"/>
  <c r="P11" i="38"/>
  <c r="N12" i="38" a="1"/>
  <c r="N12" i="38" s="1"/>
  <c r="N13" i="38" s="1" a="1"/>
  <c r="N13" i="38" s="1"/>
  <c r="I11" i="38" l="1"/>
  <c r="K11" i="38" a="1"/>
  <c r="L11" i="38" a="1"/>
  <c r="H12" i="38" a="1"/>
  <c r="H12" i="38" s="1"/>
  <c r="Q13" i="38"/>
  <c r="P13" i="38"/>
  <c r="O13" i="38"/>
  <c r="R13" i="38"/>
  <c r="Q12" i="38"/>
  <c r="P12" i="38"/>
  <c r="O12" i="38"/>
  <c r="R12" i="38"/>
  <c r="N14" i="38" a="1"/>
  <c r="N14" i="38" s="1"/>
  <c r="N20" i="38" s="1" a="1"/>
  <c r="N20" i="38" s="1"/>
  <c r="N21" i="38" s="1" a="1"/>
  <c r="N21" i="38" s="1"/>
  <c r="I12" i="38" l="1"/>
  <c r="L12" i="38" a="1"/>
  <c r="K12" i="38" a="1"/>
  <c r="H13" i="38" a="1"/>
  <c r="H13" i="38" s="1"/>
  <c r="Q21" i="38"/>
  <c r="P21" i="38"/>
  <c r="O21" i="38"/>
  <c r="R21" i="38"/>
  <c r="R14" i="38"/>
  <c r="Q14" i="38"/>
  <c r="P14" i="38"/>
  <c r="O14" i="38"/>
  <c r="R20" i="38"/>
  <c r="P20" i="38"/>
  <c r="O20" i="38"/>
  <c r="Q20" i="38"/>
  <c r="N22" i="38" a="1"/>
  <c r="N22" i="38" s="1"/>
  <c r="I13" i="38" l="1"/>
  <c r="K13" i="38" a="1"/>
  <c r="L13" i="38" a="1"/>
  <c r="H14" i="38" a="1"/>
  <c r="H14" i="38" s="1"/>
  <c r="Q22" i="38"/>
  <c r="P22" i="38"/>
  <c r="O22" i="38"/>
  <c r="R22" i="38"/>
  <c r="N23" i="38" a="1"/>
  <c r="N23" i="38" s="1"/>
  <c r="I14" i="38" l="1"/>
  <c r="L14" i="38" a="1"/>
  <c r="K14" i="38" a="1"/>
  <c r="H20" i="38" a="1"/>
  <c r="H20" i="38" s="1"/>
  <c r="R23" i="38"/>
  <c r="Q23" i="38"/>
  <c r="P23" i="38"/>
  <c r="O23" i="38"/>
  <c r="N24" i="38" a="1"/>
  <c r="N24" i="38" s="1"/>
  <c r="L20" i="38" l="1" a="1"/>
  <c r="K20" i="38" a="1"/>
  <c r="H21" i="38" a="1"/>
  <c r="H21" i="38" s="1"/>
  <c r="I20" i="38"/>
  <c r="N25" i="38" a="1"/>
  <c r="N25" i="38" s="1"/>
  <c r="R24" i="38"/>
  <c r="Q24" i="38"/>
  <c r="P24" i="38"/>
  <c r="O24" i="38"/>
  <c r="I21" i="38" l="1"/>
  <c r="L21" i="38" a="1"/>
  <c r="K21" i="38" a="1"/>
  <c r="H22" i="38" a="1"/>
  <c r="H22" i="38" s="1"/>
  <c r="N26" i="38" a="1"/>
  <c r="N26" i="38" s="1"/>
  <c r="Q25" i="38"/>
  <c r="P25" i="38"/>
  <c r="O25" i="38"/>
  <c r="R25" i="38"/>
  <c r="I22" i="38" l="1"/>
  <c r="L22" i="38" a="1"/>
  <c r="K22" i="38" a="1"/>
  <c r="H23" i="38" a="1"/>
  <c r="H23" i="38" s="1"/>
  <c r="N27" i="38" a="1"/>
  <c r="N27" i="38" s="1"/>
  <c r="Q26" i="38"/>
  <c r="P26" i="38"/>
  <c r="O26" i="38"/>
  <c r="R26" i="38"/>
  <c r="J9" i="38"/>
  <c r="J13" i="38"/>
  <c r="J5" i="38"/>
  <c r="J8" i="38"/>
  <c r="J12" i="38"/>
  <c r="J14" i="38"/>
  <c r="I23" i="38" l="1"/>
  <c r="L23" i="38" a="1"/>
  <c r="K23" i="38" a="1"/>
  <c r="J23" i="38"/>
  <c r="H24" i="38" a="1"/>
  <c r="H24" i="38" s="1"/>
  <c r="R27" i="38"/>
  <c r="Q27" i="38"/>
  <c r="P27" i="38"/>
  <c r="O27" i="38"/>
  <c r="N28" i="38" a="1"/>
  <c r="N28" i="38" s="1"/>
  <c r="J21" i="38"/>
  <c r="J11" i="38"/>
  <c r="J7" i="38"/>
  <c r="J20" i="38"/>
  <c r="J6" i="38"/>
  <c r="J22" i="38"/>
  <c r="J10" i="38"/>
  <c r="K24" i="38" l="1" a="1"/>
  <c r="L24" i="38" a="1"/>
  <c r="I24" i="38"/>
  <c r="J24" i="38"/>
  <c r="H25" i="38" a="1"/>
  <c r="H25" i="38" s="1"/>
  <c r="N29" i="38" a="1"/>
  <c r="N29" i="38" s="1"/>
  <c r="R28" i="38"/>
  <c r="O28" i="38"/>
  <c r="Q28" i="38"/>
  <c r="P28" i="38"/>
  <c r="L25" i="38" l="1" a="1"/>
  <c r="K25" i="38" a="1"/>
  <c r="H26" i="38" a="1"/>
  <c r="H26" i="38" s="1"/>
  <c r="I25" i="38"/>
  <c r="J25" i="38"/>
  <c r="N30" i="38" a="1"/>
  <c r="N30" i="38" s="1"/>
  <c r="Q29" i="38"/>
  <c r="P29" i="38"/>
  <c r="O29" i="38"/>
  <c r="R29" i="38"/>
  <c r="L26" i="38" l="1" a="1"/>
  <c r="K26" i="38" a="1"/>
  <c r="H27" i="38" a="1"/>
  <c r="H27" i="38" s="1"/>
  <c r="I26" i="38"/>
  <c r="J26" i="38"/>
  <c r="N31" i="38" a="1"/>
  <c r="N31" i="38" s="1"/>
  <c r="Q30" i="38"/>
  <c r="P30" i="38"/>
  <c r="O30" i="38"/>
  <c r="R30" i="38"/>
  <c r="L27" i="38" l="1" a="1"/>
  <c r="K27" i="38" a="1"/>
  <c r="H28" i="38" a="1"/>
  <c r="H28" i="38" s="1"/>
  <c r="J27" i="38"/>
  <c r="I27" i="38"/>
  <c r="N32" i="38" a="1"/>
  <c r="N32" i="38" s="1"/>
  <c r="R31" i="38"/>
  <c r="Q31" i="38"/>
  <c r="P31" i="38"/>
  <c r="O31" i="38"/>
  <c r="K28" i="38" l="1" a="1"/>
  <c r="L28" i="38" a="1"/>
  <c r="J28" i="38"/>
  <c r="I28" i="38"/>
  <c r="H29" i="38" a="1"/>
  <c r="H29" i="38" s="1"/>
  <c r="N33" i="38" a="1"/>
  <c r="N33" i="38" s="1"/>
  <c r="R32" i="38"/>
  <c r="O32" i="38"/>
  <c r="Q32" i="38"/>
  <c r="P32" i="38"/>
  <c r="L29" i="38" l="1" a="1"/>
  <c r="K29" i="38" a="1"/>
  <c r="H30" i="38" a="1"/>
  <c r="H30" i="38" s="1"/>
  <c r="I29" i="38"/>
  <c r="J29" i="38"/>
  <c r="N34" i="38" a="1"/>
  <c r="N34" i="38" s="1"/>
  <c r="Q33" i="38"/>
  <c r="P33" i="38"/>
  <c r="O33" i="38"/>
  <c r="R33" i="38"/>
  <c r="K30" i="38" l="1" a="1"/>
  <c r="L30" i="38" a="1"/>
  <c r="I30" i="38"/>
  <c r="J30" i="38"/>
  <c r="H31" i="38" a="1"/>
  <c r="H31" i="38" s="1"/>
  <c r="N35" i="38" a="1"/>
  <c r="N35" i="38" s="1"/>
  <c r="Q34" i="38"/>
  <c r="P34" i="38"/>
  <c r="O34" i="38"/>
  <c r="R34" i="38"/>
  <c r="L31" i="38" l="1" a="1"/>
  <c r="K31" i="38" a="1"/>
  <c r="I31" i="38"/>
  <c r="J31" i="38"/>
  <c r="H32" i="38" a="1"/>
  <c r="H32" i="38" s="1"/>
  <c r="N36" i="38" a="1"/>
  <c r="N36" i="38" s="1"/>
  <c r="R35" i="38"/>
  <c r="Q35" i="38"/>
  <c r="P35" i="38"/>
  <c r="O35" i="38"/>
  <c r="K32" i="38" l="1" a="1"/>
  <c r="L32" i="38" a="1"/>
  <c r="I32" i="38"/>
  <c r="J32" i="38"/>
  <c r="H33" i="38" a="1"/>
  <c r="H33" i="38" s="1"/>
  <c r="N37" i="38" a="1"/>
  <c r="N37" i="38" s="1"/>
  <c r="R36" i="38"/>
  <c r="P36" i="38"/>
  <c r="O36" i="38"/>
  <c r="Q36" i="38"/>
  <c r="L33" i="38" l="1" a="1"/>
  <c r="K33" i="38" a="1"/>
  <c r="H34" i="38" a="1"/>
  <c r="H34" i="38" s="1"/>
  <c r="I33" i="38"/>
  <c r="J33" i="38"/>
  <c r="N38" i="38" a="1"/>
  <c r="N38" i="38" s="1"/>
  <c r="Q37" i="38"/>
  <c r="P37" i="38"/>
  <c r="O37" i="38"/>
  <c r="R37" i="38"/>
  <c r="L34" i="38" l="1" a="1"/>
  <c r="K34" i="38" a="1"/>
  <c r="I34" i="38"/>
  <c r="J34" i="38"/>
  <c r="H35" i="38" a="1"/>
  <c r="H35" i="38" s="1"/>
  <c r="N39" i="38" a="1"/>
  <c r="N39" i="38" s="1"/>
  <c r="Q38" i="38"/>
  <c r="P38" i="38"/>
  <c r="O38" i="38"/>
  <c r="R38" i="38"/>
  <c r="H36" i="38" l="1" a="1"/>
  <c r="H36" i="38" s="1"/>
  <c r="J36" i="38" s="1"/>
  <c r="L35" i="38" a="1"/>
  <c r="K35" i="38" a="1"/>
  <c r="I35" i="38"/>
  <c r="J35" i="38"/>
  <c r="N40" i="38" a="1"/>
  <c r="N40" i="38" s="1"/>
  <c r="R39" i="38"/>
  <c r="Q39" i="38"/>
  <c r="P39" i="38"/>
  <c r="O39" i="38"/>
  <c r="E3" i="38"/>
  <c r="H37" i="38" l="1" a="1"/>
  <c r="H37" i="38" s="1"/>
  <c r="I37" i="38" s="1"/>
  <c r="I36" i="38"/>
  <c r="L36" i="38" a="1"/>
  <c r="K36" i="38" a="1"/>
  <c r="E21" i="38"/>
  <c r="F21" i="38" s="1"/>
  <c r="N41" i="38" a="1"/>
  <c r="N41" i="38" s="1"/>
  <c r="R40" i="38"/>
  <c r="Q40" i="38"/>
  <c r="P40" i="38"/>
  <c r="O40" i="38"/>
  <c r="E22" i="38"/>
  <c r="E25" i="38"/>
  <c r="E24" i="38"/>
  <c r="E23" i="38"/>
  <c r="D3" i="38"/>
  <c r="C3" i="38"/>
  <c r="B24" i="38"/>
  <c r="H38" i="38" l="1" a="1"/>
  <c r="H38" i="38" s="1"/>
  <c r="J37" i="38"/>
  <c r="L37" i="38" a="1"/>
  <c r="K37" i="38" a="1"/>
  <c r="F22" i="38"/>
  <c r="D21" i="38"/>
  <c r="C21" i="38"/>
  <c r="N42" i="38" a="1"/>
  <c r="N42" i="38" s="1"/>
  <c r="Q41" i="38"/>
  <c r="P41" i="38"/>
  <c r="O41" i="38"/>
  <c r="R41" i="38"/>
  <c r="F25" i="38"/>
  <c r="F23" i="38"/>
  <c r="F24" i="38"/>
  <c r="D25" i="38"/>
  <c r="D22" i="38"/>
  <c r="D24" i="38"/>
  <c r="D23" i="38"/>
  <c r="C25" i="38"/>
  <c r="C24" i="38"/>
  <c r="C23" i="38"/>
  <c r="C22" i="38"/>
  <c r="D27" i="38"/>
  <c r="C27" i="38"/>
  <c r="B14" i="38"/>
  <c r="B13" i="38"/>
  <c r="B12" i="38"/>
  <c r="B11" i="38"/>
  <c r="B10" i="38"/>
  <c r="B9" i="38"/>
  <c r="B8" i="38"/>
  <c r="B7" i="38"/>
  <c r="B6" i="38"/>
  <c r="A5" i="38"/>
  <c r="B5" i="38" s="1"/>
  <c r="J38" i="38" l="1"/>
  <c r="I38" i="38"/>
  <c r="H39" i="38" a="1"/>
  <c r="H39" i="38" s="1"/>
  <c r="L38" i="38" a="1"/>
  <c r="K38" i="38" a="1"/>
  <c r="E5" i="38"/>
  <c r="F5" i="38" s="1"/>
  <c r="E7" i="38"/>
  <c r="F7" i="38" s="1"/>
  <c r="E9" i="38"/>
  <c r="F9" i="38" s="1"/>
  <c r="E11" i="38"/>
  <c r="F11" i="38" s="1"/>
  <c r="E13" i="38"/>
  <c r="F13" i="38" s="1"/>
  <c r="E6" i="38"/>
  <c r="F6" i="38" s="1"/>
  <c r="E8" i="38"/>
  <c r="F8" i="38" s="1"/>
  <c r="E10" i="38"/>
  <c r="F10" i="38" s="1"/>
  <c r="E12" i="38"/>
  <c r="E14" i="38"/>
  <c r="F14" i="38" s="1"/>
  <c r="N43" i="38" a="1"/>
  <c r="N43" i="38" s="1"/>
  <c r="Q42" i="38"/>
  <c r="P42" i="38"/>
  <c r="O42" i="38"/>
  <c r="R42" i="38"/>
  <c r="D5" i="38"/>
  <c r="C5" i="38"/>
  <c r="D7" i="38"/>
  <c r="C7" i="38"/>
  <c r="D9" i="38"/>
  <c r="C9" i="38"/>
  <c r="D11" i="38"/>
  <c r="C11" i="38"/>
  <c r="D13" i="38"/>
  <c r="C13" i="38"/>
  <c r="D6" i="38"/>
  <c r="C6" i="38"/>
  <c r="D8" i="38"/>
  <c r="C8" i="38"/>
  <c r="D10" i="38"/>
  <c r="C10" i="38"/>
  <c r="D12" i="38"/>
  <c r="C12" i="38"/>
  <c r="D14" i="38"/>
  <c r="C14" i="38"/>
  <c r="K39" i="38" l="1" a="1"/>
  <c r="L39" i="38" a="1"/>
  <c r="J39" i="38"/>
  <c r="I39" i="38"/>
  <c r="H40" i="38" a="1"/>
  <c r="H40" i="38" s="1"/>
  <c r="F12" i="38"/>
  <c r="D30" i="38" a="1"/>
  <c r="D30" i="38" s="1"/>
  <c r="D32" i="38" s="1"/>
  <c r="C30" i="38" a="1"/>
  <c r="C30" i="38" s="1"/>
  <c r="C32" i="38" s="1"/>
  <c r="N44" i="38" a="1"/>
  <c r="N44" i="38" s="1"/>
  <c r="R43" i="38"/>
  <c r="Q43" i="38"/>
  <c r="P43" i="38"/>
  <c r="O43" i="38"/>
  <c r="J22" i="36"/>
  <c r="I22" i="36"/>
  <c r="H22" i="36"/>
  <c r="G22" i="36"/>
  <c r="F22" i="36"/>
  <c r="E22" i="36"/>
  <c r="D22" i="36"/>
  <c r="C22" i="36"/>
  <c r="B22" i="36"/>
  <c r="J14" i="36"/>
  <c r="I14" i="36"/>
  <c r="H14" i="36"/>
  <c r="F14" i="36"/>
  <c r="E14" i="36"/>
  <c r="D14" i="36"/>
  <c r="C14" i="36"/>
  <c r="A14" i="36"/>
  <c r="J13" i="36"/>
  <c r="I13" i="36"/>
  <c r="G13" i="36"/>
  <c r="F13" i="36"/>
  <c r="E13" i="36"/>
  <c r="D13" i="36"/>
  <c r="C13" i="36"/>
  <c r="A13" i="36"/>
  <c r="J12" i="36"/>
  <c r="I12" i="36"/>
  <c r="G12" i="36"/>
  <c r="F12" i="36"/>
  <c r="E12" i="36"/>
  <c r="D12" i="36"/>
  <c r="C12" i="36"/>
  <c r="A12" i="36"/>
  <c r="J11" i="36"/>
  <c r="I11" i="36"/>
  <c r="H11" i="36"/>
  <c r="G11" i="36"/>
  <c r="F11" i="36"/>
  <c r="E11" i="36"/>
  <c r="D11" i="36"/>
  <c r="C11" i="36"/>
  <c r="A11" i="36"/>
  <c r="J10" i="36"/>
  <c r="I10" i="36"/>
  <c r="H10" i="36"/>
  <c r="G10" i="36"/>
  <c r="F10" i="36"/>
  <c r="E10" i="36"/>
  <c r="D10" i="36"/>
  <c r="C10" i="36"/>
  <c r="A10" i="36"/>
  <c r="J9" i="36"/>
  <c r="I9" i="36"/>
  <c r="H9" i="36"/>
  <c r="G9" i="36"/>
  <c r="F9" i="36"/>
  <c r="E9" i="36"/>
  <c r="D9" i="36"/>
  <c r="C9" i="36"/>
  <c r="A9" i="36"/>
  <c r="J8" i="36"/>
  <c r="I8" i="36"/>
  <c r="H8" i="36"/>
  <c r="G8" i="36"/>
  <c r="F8" i="36"/>
  <c r="E8" i="36"/>
  <c r="D8" i="36"/>
  <c r="C8" i="36"/>
  <c r="A8" i="36"/>
  <c r="J7" i="36"/>
  <c r="I7" i="36"/>
  <c r="H7" i="36"/>
  <c r="G7" i="36"/>
  <c r="F7" i="36"/>
  <c r="E7" i="36"/>
  <c r="D7" i="36"/>
  <c r="C7" i="36"/>
  <c r="A7" i="36"/>
  <c r="J6" i="36"/>
  <c r="I6" i="36"/>
  <c r="H6" i="36"/>
  <c r="G6" i="36"/>
  <c r="F6" i="36"/>
  <c r="E6" i="36"/>
  <c r="D6" i="36"/>
  <c r="C6" i="36"/>
  <c r="A6" i="36"/>
  <c r="J5" i="36"/>
  <c r="I5" i="36"/>
  <c r="H5" i="36"/>
  <c r="G5" i="36"/>
  <c r="F5" i="36"/>
  <c r="E5" i="36"/>
  <c r="D5" i="36"/>
  <c r="C5" i="36"/>
  <c r="A5" i="36"/>
  <c r="H41" i="38" l="1" a="1"/>
  <c r="H41" i="38" s="1"/>
  <c r="H42" i="38" s="1" a="1"/>
  <c r="H42" i="38" s="1"/>
  <c r="L40" i="38" a="1"/>
  <c r="K40" i="38" a="1"/>
  <c r="I40" i="38"/>
  <c r="J40" i="38"/>
  <c r="N45" i="38" a="1"/>
  <c r="N45" i="38" s="1"/>
  <c r="R44" i="38"/>
  <c r="O44" i="38"/>
  <c r="Q44" i="38"/>
  <c r="P44" i="38"/>
  <c r="I42" i="38" l="1"/>
  <c r="L42" i="38" a="1"/>
  <c r="K42" i="38" a="1"/>
  <c r="J42" i="38"/>
  <c r="L41" i="38" a="1"/>
  <c r="K41" i="38" a="1"/>
  <c r="J41" i="38"/>
  <c r="I41" i="38"/>
  <c r="H43" i="38" a="1"/>
  <c r="H43" i="38" s="1"/>
  <c r="N46" i="38" a="1"/>
  <c r="N46" i="38" s="1"/>
  <c r="Q45" i="38"/>
  <c r="P45" i="38"/>
  <c r="O45" i="38"/>
  <c r="R45" i="38"/>
  <c r="B7" i="36"/>
  <c r="B6" i="36"/>
  <c r="I43" i="38" l="1"/>
  <c r="L43" i="38" a="1"/>
  <c r="K43" i="38" a="1"/>
  <c r="J43" i="38"/>
  <c r="H44" i="38" a="1"/>
  <c r="H44" i="38" s="1"/>
  <c r="N47" i="38" a="1"/>
  <c r="N47" i="38" s="1"/>
  <c r="Q46" i="38"/>
  <c r="P46" i="38"/>
  <c r="O46" i="38"/>
  <c r="R46" i="38"/>
  <c r="I44" i="38" l="1"/>
  <c r="K44" i="38" a="1"/>
  <c r="L44" i="38" a="1"/>
  <c r="J44" i="38"/>
  <c r="H45" i="38" a="1"/>
  <c r="H45" i="38" s="1"/>
  <c r="B8" i="36"/>
  <c r="N48" i="38" a="1"/>
  <c r="N48" i="38" s="1"/>
  <c r="R47" i="38"/>
  <c r="Q47" i="38"/>
  <c r="P47" i="38"/>
  <c r="O47" i="38"/>
  <c r="I45" i="38" l="1"/>
  <c r="L45" i="38" a="1"/>
  <c r="K45" i="38" a="1"/>
  <c r="J45" i="38"/>
  <c r="H46" i="38" a="1"/>
  <c r="H46" i="38" s="1"/>
  <c r="N49" i="38" a="1"/>
  <c r="N49" i="38" s="1"/>
  <c r="R48" i="38"/>
  <c r="O48" i="38"/>
  <c r="Q48" i="38"/>
  <c r="P48" i="38"/>
  <c r="B9" i="36"/>
  <c r="B11" i="36"/>
  <c r="B10" i="36"/>
  <c r="I46" i="38" l="1"/>
  <c r="K46" i="38" a="1"/>
  <c r="L46" i="38" a="1"/>
  <c r="J46" i="38"/>
  <c r="H47" i="38" a="1"/>
  <c r="H47" i="38" s="1"/>
  <c r="N50" i="38" a="1"/>
  <c r="N50" i="38" s="1"/>
  <c r="Q49" i="38"/>
  <c r="P49" i="38"/>
  <c r="O49" i="38"/>
  <c r="R49" i="38"/>
  <c r="B12" i="36"/>
  <c r="I47" i="38" l="1"/>
  <c r="K47" i="38" a="1"/>
  <c r="L47" i="38" a="1"/>
  <c r="J47" i="38"/>
  <c r="H48" i="38" a="1"/>
  <c r="H48" i="38" s="1"/>
  <c r="N51" i="38" a="1"/>
  <c r="N51" i="38" s="1"/>
  <c r="Q50" i="38"/>
  <c r="P50" i="38"/>
  <c r="O50" i="38"/>
  <c r="R50" i="38"/>
  <c r="B13" i="36"/>
  <c r="I48" i="38" l="1"/>
  <c r="L48" i="38" a="1"/>
  <c r="K48" i="38" a="1"/>
  <c r="J48" i="38"/>
  <c r="H49" i="38" a="1"/>
  <c r="H49" i="38" s="1"/>
  <c r="N52" i="38" a="1"/>
  <c r="N52" i="38" s="1"/>
  <c r="R51" i="38"/>
  <c r="Q51" i="38"/>
  <c r="P51" i="38"/>
  <c r="O51" i="38"/>
  <c r="I49" i="38" l="1"/>
  <c r="L49" i="38" a="1"/>
  <c r="K49" i="38" a="1"/>
  <c r="J49" i="38"/>
  <c r="H50" i="38" a="1"/>
  <c r="H50" i="38" s="1"/>
  <c r="N53" i="38" a="1"/>
  <c r="N53" i="38" s="1"/>
  <c r="R52" i="38"/>
  <c r="P52" i="38"/>
  <c r="O52" i="38"/>
  <c r="Q52" i="38"/>
  <c r="I50" i="38" l="1"/>
  <c r="K50" i="38" a="1"/>
  <c r="L50" i="38" a="1"/>
  <c r="J50" i="38"/>
  <c r="H51" i="38" a="1"/>
  <c r="H51" i="38" s="1"/>
  <c r="N54" i="38" a="1"/>
  <c r="N54" i="38" s="1"/>
  <c r="Q53" i="38"/>
  <c r="P53" i="38"/>
  <c r="O53" i="38"/>
  <c r="R53" i="38"/>
  <c r="I51" i="38" l="1"/>
  <c r="L51" i="38" a="1"/>
  <c r="K51" i="38" a="1"/>
  <c r="J51" i="38"/>
  <c r="H52" i="38" a="1"/>
  <c r="H52" i="38" s="1"/>
  <c r="N55" i="38" a="1"/>
  <c r="N55" i="38" s="1"/>
  <c r="Q54" i="38"/>
  <c r="P54" i="38"/>
  <c r="O54" i="38"/>
  <c r="R54" i="38"/>
  <c r="I52" i="38" l="1"/>
  <c r="L52" i="38" a="1"/>
  <c r="K52" i="38" a="1"/>
  <c r="J52" i="38"/>
  <c r="H53" i="38" a="1"/>
  <c r="H53" i="38" s="1"/>
  <c r="N56" i="38" a="1"/>
  <c r="N56" i="38" s="1"/>
  <c r="R55" i="38"/>
  <c r="Q55" i="38"/>
  <c r="P55" i="38"/>
  <c r="O55" i="38"/>
  <c r="I53" i="38" l="1"/>
  <c r="L53" i="38" a="1"/>
  <c r="K53" i="38" a="1"/>
  <c r="J53" i="38"/>
  <c r="H54" i="38" a="1"/>
  <c r="H54" i="38" s="1"/>
  <c r="N57" i="38" a="1"/>
  <c r="N57" i="38" s="1"/>
  <c r="R56" i="38"/>
  <c r="Q56" i="38"/>
  <c r="P56" i="38"/>
  <c r="O56" i="38"/>
  <c r="I54" i="38" l="1"/>
  <c r="L54" i="38" a="1"/>
  <c r="K54" i="38" a="1"/>
  <c r="J54" i="38"/>
  <c r="H55" i="38" a="1"/>
  <c r="H55" i="38" s="1"/>
  <c r="N58" i="38" a="1"/>
  <c r="N58" i="38" s="1"/>
  <c r="Q57" i="38"/>
  <c r="P57" i="38"/>
  <c r="O57" i="38"/>
  <c r="R57" i="38"/>
  <c r="I55" i="38" l="1"/>
  <c r="K55" i="38" a="1"/>
  <c r="L55" i="38" a="1"/>
  <c r="J55" i="38"/>
  <c r="H56" i="38" a="1"/>
  <c r="H56" i="38" s="1"/>
  <c r="N59" i="38" a="1"/>
  <c r="N59" i="38" s="1"/>
  <c r="Q58" i="38"/>
  <c r="P58" i="38"/>
  <c r="O58" i="38"/>
  <c r="R58" i="38"/>
  <c r="I56" i="38" l="1"/>
  <c r="L56" i="38" a="1"/>
  <c r="K56" i="38" a="1"/>
  <c r="J56" i="38"/>
  <c r="H57" i="38" a="1"/>
  <c r="H57" i="38" s="1"/>
  <c r="N60" i="38" a="1"/>
  <c r="N60" i="38" s="1"/>
  <c r="R59" i="38"/>
  <c r="Q59" i="38"/>
  <c r="P59" i="38"/>
  <c r="O59" i="38"/>
  <c r="I57" i="38" l="1"/>
  <c r="L57" i="38" a="1"/>
  <c r="K57" i="38" a="1"/>
  <c r="J57" i="38"/>
  <c r="H58" i="38" a="1"/>
  <c r="H58" i="38" s="1"/>
  <c r="N61" i="38" a="1"/>
  <c r="N61" i="38" s="1"/>
  <c r="R60" i="38"/>
  <c r="O60" i="38"/>
  <c r="Q60" i="38"/>
  <c r="P60" i="38"/>
  <c r="I58" i="38" l="1"/>
  <c r="L58" i="38" a="1"/>
  <c r="K58" i="38" a="1"/>
  <c r="J58" i="38"/>
  <c r="H59" i="38" a="1"/>
  <c r="H59" i="38" s="1"/>
  <c r="N62" i="38" a="1"/>
  <c r="N62" i="38" s="1"/>
  <c r="Q61" i="38"/>
  <c r="P61" i="38"/>
  <c r="O61" i="38"/>
  <c r="R61" i="38"/>
  <c r="I59" i="38" l="1"/>
  <c r="K59" i="38" a="1"/>
  <c r="L59" i="38" a="1"/>
  <c r="J59" i="38"/>
  <c r="H60" i="38" a="1"/>
  <c r="H60" i="38" s="1"/>
  <c r="N63" i="38" a="1"/>
  <c r="N63" i="38" s="1"/>
  <c r="Q62" i="38"/>
  <c r="P62" i="38"/>
  <c r="O62" i="38"/>
  <c r="R62" i="38"/>
  <c r="I60" i="38" l="1"/>
  <c r="K60" i="38" a="1"/>
  <c r="L60" i="38" a="1"/>
  <c r="J60" i="38"/>
  <c r="H61" i="38" a="1"/>
  <c r="H61" i="38" s="1"/>
  <c r="N64" i="38" a="1"/>
  <c r="N64" i="38" s="1"/>
  <c r="R63" i="38"/>
  <c r="Q63" i="38"/>
  <c r="P63" i="38"/>
  <c r="O63" i="38"/>
  <c r="I61" i="38" l="1"/>
  <c r="L61" i="38" a="1"/>
  <c r="K61" i="38" a="1"/>
  <c r="J61" i="38"/>
  <c r="H62" i="38" a="1"/>
  <c r="H62" i="38" s="1"/>
  <c r="N65" i="38" a="1"/>
  <c r="N65" i="38" s="1"/>
  <c r="R64" i="38"/>
  <c r="O64" i="38"/>
  <c r="Q64" i="38"/>
  <c r="P64" i="38"/>
  <c r="I62" i="38" l="1"/>
  <c r="L62" i="38" a="1"/>
  <c r="K62" i="38" a="1"/>
  <c r="J62" i="38"/>
  <c r="H63" i="38" a="1"/>
  <c r="H63" i="38" s="1"/>
  <c r="N66" i="38" a="1"/>
  <c r="N66" i="38" s="1"/>
  <c r="Q65" i="38"/>
  <c r="P65" i="38"/>
  <c r="O65" i="38"/>
  <c r="R65" i="38"/>
  <c r="I63" i="38" l="1"/>
  <c r="L63" i="38" a="1"/>
  <c r="K63" i="38" a="1"/>
  <c r="J63" i="38"/>
  <c r="H64" i="38" a="1"/>
  <c r="H64" i="38" s="1"/>
  <c r="N67" i="38" a="1"/>
  <c r="N67" i="38" s="1"/>
  <c r="Q66" i="38"/>
  <c r="P66" i="38"/>
  <c r="O66" i="38"/>
  <c r="R66" i="38"/>
  <c r="I64" i="38" l="1"/>
  <c r="K64" i="38" a="1"/>
  <c r="L64" i="38" a="1"/>
  <c r="J64" i="38"/>
  <c r="H65" i="38" a="1"/>
  <c r="H65" i="38" s="1"/>
  <c r="N68" i="38" a="1"/>
  <c r="N68" i="38" s="1"/>
  <c r="R67" i="38"/>
  <c r="Q67" i="38"/>
  <c r="P67" i="38"/>
  <c r="O67" i="38"/>
  <c r="I65" i="38" l="1"/>
  <c r="K65" i="38" a="1"/>
  <c r="L65" i="38" a="1"/>
  <c r="J65" i="38"/>
  <c r="H66" i="38" a="1"/>
  <c r="H66" i="38" s="1"/>
  <c r="N69" i="38" a="1"/>
  <c r="N69" i="38" s="1"/>
  <c r="R68" i="38"/>
  <c r="P68" i="38"/>
  <c r="O68" i="38"/>
  <c r="Q68" i="38"/>
  <c r="I66" i="38" l="1"/>
  <c r="K66" i="38" a="1"/>
  <c r="L66" i="38" a="1"/>
  <c r="J66" i="38"/>
  <c r="H67" i="38" a="1"/>
  <c r="H67" i="38" s="1"/>
  <c r="N70" i="38" a="1"/>
  <c r="N70" i="38" s="1"/>
  <c r="Q69" i="38"/>
  <c r="P69" i="38"/>
  <c r="O69" i="38"/>
  <c r="R69" i="38"/>
  <c r="I67" i="38" l="1"/>
  <c r="K67" i="38" a="1"/>
  <c r="L67" i="38" a="1"/>
  <c r="J67" i="38"/>
  <c r="H68" i="38" a="1"/>
  <c r="H68" i="38" s="1"/>
  <c r="N71" i="38" a="1"/>
  <c r="N71" i="38" s="1"/>
  <c r="Q70" i="38"/>
  <c r="P70" i="38"/>
  <c r="O70" i="38"/>
  <c r="R70" i="38"/>
  <c r="I68" i="38" l="1"/>
  <c r="L68" i="38" a="1"/>
  <c r="K68" i="38" a="1"/>
  <c r="J68" i="38"/>
  <c r="H69" i="38" a="1"/>
  <c r="H69" i="38" s="1"/>
  <c r="N72" i="38" a="1"/>
  <c r="N72" i="38" s="1"/>
  <c r="R71" i="38"/>
  <c r="Q71" i="38"/>
  <c r="P71" i="38"/>
  <c r="O71" i="38"/>
  <c r="I69" i="38" l="1"/>
  <c r="L69" i="38" a="1"/>
  <c r="K69" i="38" a="1"/>
  <c r="J69" i="38"/>
  <c r="H70" i="38" a="1"/>
  <c r="H70" i="38" s="1"/>
  <c r="N73" i="38" a="1"/>
  <c r="N73" i="38" s="1"/>
  <c r="R72" i="38"/>
  <c r="Q72" i="38"/>
  <c r="P72" i="38"/>
  <c r="O72" i="38"/>
  <c r="I70" i="38" l="1"/>
  <c r="K70" i="38" a="1"/>
  <c r="L70" i="38" a="1"/>
  <c r="J70" i="38"/>
  <c r="H71" i="38" a="1"/>
  <c r="H71" i="38" s="1"/>
  <c r="N74" i="38" a="1"/>
  <c r="N74" i="38" s="1"/>
  <c r="Q73" i="38"/>
  <c r="P73" i="38"/>
  <c r="O73" i="38"/>
  <c r="R73" i="38"/>
  <c r="I71" i="38" l="1"/>
  <c r="L71" i="38" a="1"/>
  <c r="K71" i="38" a="1"/>
  <c r="J71" i="38"/>
  <c r="H72" i="38" a="1"/>
  <c r="H72" i="38" s="1"/>
  <c r="N75" i="38" a="1"/>
  <c r="N75" i="38" s="1"/>
  <c r="Q74" i="38"/>
  <c r="P74" i="38"/>
  <c r="O74" i="38"/>
  <c r="R74" i="38"/>
  <c r="I72" i="38" l="1"/>
  <c r="L72" i="38" a="1"/>
  <c r="K72" i="38" a="1"/>
  <c r="J72" i="38"/>
  <c r="H73" i="38" a="1"/>
  <c r="H73" i="38" s="1"/>
  <c r="N76" i="38" a="1"/>
  <c r="N76" i="38" s="1"/>
  <c r="R75" i="38"/>
  <c r="Q75" i="38"/>
  <c r="P75" i="38"/>
  <c r="O75" i="38"/>
  <c r="I73" i="38" l="1"/>
  <c r="K73" i="38" a="1"/>
  <c r="L73" i="38" a="1"/>
  <c r="J73" i="38"/>
  <c r="H74" i="38" a="1"/>
  <c r="H74" i="38" s="1"/>
  <c r="N77" i="38" a="1"/>
  <c r="N77" i="38" s="1"/>
  <c r="R76" i="38"/>
  <c r="O76" i="38"/>
  <c r="Q76" i="38"/>
  <c r="P76" i="38"/>
  <c r="I74" i="38" l="1"/>
  <c r="L74" i="38" a="1"/>
  <c r="K74" i="38" a="1"/>
  <c r="J74" i="38"/>
  <c r="H75" i="38" a="1"/>
  <c r="H75" i="38" s="1"/>
  <c r="N78" i="38" a="1"/>
  <c r="N78" i="38" s="1"/>
  <c r="Q77" i="38"/>
  <c r="P77" i="38"/>
  <c r="O77" i="38"/>
  <c r="R77" i="38"/>
  <c r="I75" i="38" l="1"/>
  <c r="L75" i="38" a="1"/>
  <c r="J75" i="38"/>
  <c r="H76" i="38" a="1"/>
  <c r="H76" i="38" s="1"/>
  <c r="N79" i="38" a="1"/>
  <c r="N79" i="38" s="1"/>
  <c r="Q78" i="38"/>
  <c r="P78" i="38"/>
  <c r="O78" i="38"/>
  <c r="R78" i="38"/>
  <c r="I76" i="38" l="1"/>
  <c r="L76" i="38" a="1"/>
  <c r="L76" i="38" s="1"/>
  <c r="K76" i="38" a="1"/>
  <c r="K76" i="38" s="1"/>
  <c r="J76" i="38"/>
  <c r="H77" i="38" a="1"/>
  <c r="H77" i="38" s="1"/>
  <c r="R79" i="38"/>
  <c r="Q79" i="38"/>
  <c r="P79" i="38"/>
  <c r="O79" i="38"/>
  <c r="L22" i="38"/>
  <c r="K29" i="38"/>
  <c r="K49" i="38"/>
  <c r="K14" i="38"/>
  <c r="L35" i="38"/>
  <c r="K35" i="38"/>
  <c r="L59" i="38"/>
  <c r="K70" i="38"/>
  <c r="L33" i="38"/>
  <c r="L57" i="38"/>
  <c r="L51" i="38"/>
  <c r="K75" i="38"/>
  <c r="L25" i="38"/>
  <c r="L44" i="38"/>
  <c r="K6" i="38"/>
  <c r="L53" i="38"/>
  <c r="K73" i="38"/>
  <c r="L64" i="38"/>
  <c r="K68" i="38"/>
  <c r="L52" i="38"/>
  <c r="L47" i="38"/>
  <c r="L29" i="38"/>
  <c r="K56" i="38"/>
  <c r="L49" i="38"/>
  <c r="L65" i="38"/>
  <c r="K8" i="38"/>
  <c r="L26" i="38"/>
  <c r="K59" i="38"/>
  <c r="K38" i="38"/>
  <c r="L28" i="38"/>
  <c r="L42" i="38"/>
  <c r="K21" i="38"/>
  <c r="L75" i="38"/>
  <c r="K20" i="38"/>
  <c r="L69" i="38"/>
  <c r="K71" i="38"/>
  <c r="L41" i="38"/>
  <c r="L21" i="38"/>
  <c r="K28" i="38"/>
  <c r="L40" i="38"/>
  <c r="L10" i="38"/>
  <c r="K32" i="38"/>
  <c r="K13" i="38"/>
  <c r="L32" i="38"/>
  <c r="L37" i="38"/>
  <c r="L70" i="38"/>
  <c r="K26" i="38"/>
  <c r="L8" i="38"/>
  <c r="K11" i="38"/>
  <c r="L48" i="38"/>
  <c r="K60" i="38"/>
  <c r="K67" i="38"/>
  <c r="L13" i="38"/>
  <c r="L11" i="38"/>
  <c r="K58" i="38"/>
  <c r="L38" i="38"/>
  <c r="K31" i="38"/>
  <c r="K50" i="38"/>
  <c r="K63" i="38"/>
  <c r="K65" i="38"/>
  <c r="K9" i="38"/>
  <c r="K64" i="38"/>
  <c r="K30" i="38"/>
  <c r="K23" i="38"/>
  <c r="K22" i="38"/>
  <c r="K25" i="38"/>
  <c r="K46" i="38"/>
  <c r="L74" i="38"/>
  <c r="K41" i="38"/>
  <c r="K45" i="38"/>
  <c r="K62" i="38"/>
  <c r="L5" i="38"/>
  <c r="K48" i="38"/>
  <c r="L72" i="38"/>
  <c r="K74" i="38"/>
  <c r="K66" i="38"/>
  <c r="L55" i="38"/>
  <c r="K12" i="38"/>
  <c r="L36" i="38"/>
  <c r="L67" i="38"/>
  <c r="K10" i="38"/>
  <c r="L12" i="38"/>
  <c r="K37" i="38"/>
  <c r="L39" i="38"/>
  <c r="K7" i="38"/>
  <c r="K5" i="38"/>
  <c r="K24" i="38"/>
  <c r="L46" i="38"/>
  <c r="K69" i="38"/>
  <c r="L6" i="38"/>
  <c r="L63" i="38"/>
  <c r="L62" i="38"/>
  <c r="L31" i="38"/>
  <c r="L60" i="38"/>
  <c r="K54" i="38"/>
  <c r="L45" i="38"/>
  <c r="L20" i="38"/>
  <c r="L66" i="38"/>
  <c r="K61" i="38"/>
  <c r="K57" i="38"/>
  <c r="L30" i="38"/>
  <c r="K36" i="38"/>
  <c r="K39" i="38"/>
  <c r="L50" i="38"/>
  <c r="L23" i="38"/>
  <c r="K44" i="38"/>
  <c r="K72" i="38"/>
  <c r="L34" i="38"/>
  <c r="K40" i="38"/>
  <c r="K55" i="38"/>
  <c r="L27" i="38"/>
  <c r="L56" i="38"/>
  <c r="L71" i="38"/>
  <c r="K43" i="38"/>
  <c r="L14" i="38"/>
  <c r="L58" i="38"/>
  <c r="K33" i="38"/>
  <c r="L9" i="38"/>
  <c r="K47" i="38"/>
  <c r="K53" i="38"/>
  <c r="L7" i="38"/>
  <c r="L73" i="38"/>
  <c r="K27" i="38"/>
  <c r="L61" i="38"/>
  <c r="K51" i="38"/>
  <c r="L54" i="38"/>
  <c r="L68" i="38"/>
  <c r="L43" i="38"/>
  <c r="K34" i="38"/>
  <c r="K42" i="38"/>
  <c r="K52" i="38"/>
  <c r="L24" i="38"/>
  <c r="I77" i="38" l="1"/>
  <c r="L77" i="38" a="1"/>
  <c r="L77" i="38" s="1"/>
  <c r="K77" i="38" a="1"/>
  <c r="K77" i="38" s="1"/>
  <c r="J77" i="38"/>
  <c r="H78" i="38" a="1"/>
  <c r="H78" i="38" s="1"/>
  <c r="I78" i="38" l="1"/>
  <c r="K78" i="38" a="1"/>
  <c r="K78" i="38" s="1"/>
  <c r="L78" i="38" a="1"/>
  <c r="L78" i="38" s="1"/>
  <c r="J78" i="38"/>
  <c r="H79" i="38" a="1"/>
  <c r="H79" i="38" s="1"/>
  <c r="I79" i="38" l="1"/>
  <c r="L79" i="38" a="1"/>
  <c r="L79" i="38" s="1"/>
  <c r="K79" i="38" a="1"/>
  <c r="K79" i="38" s="1"/>
  <c r="J79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V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Note: the operating reserve coefficient is a fraction of generation in Nils' paper</t>
        </r>
      </text>
    </comment>
    <comment ref="B7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Need to get real values here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L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<sst xmlns="http://schemas.openxmlformats.org/spreadsheetml/2006/main" count="1012" uniqueCount="590">
  <si>
    <t>technology assumptions</t>
  </si>
  <si>
    <t>nuclear</t>
  </si>
  <si>
    <t>hydro</t>
  </si>
  <si>
    <t>variable renewable energy sources</t>
  </si>
  <si>
    <t>wind</t>
  </si>
  <si>
    <t>balancing technologies</t>
  </si>
  <si>
    <t>efficiency</t>
  </si>
  <si>
    <t>GHG emissions</t>
  </si>
  <si>
    <t>storage</t>
  </si>
  <si>
    <t>geothermal</t>
  </si>
  <si>
    <t>biomass</t>
  </si>
  <si>
    <t>levelized capital cost</t>
  </si>
  <si>
    <t>fixed o&amp;m cost</t>
  </si>
  <si>
    <t>wind - offshore</t>
  </si>
  <si>
    <t>2012 $/MWh</t>
  </si>
  <si>
    <t>non-vre sources</t>
  </si>
  <si>
    <t>solar PV</t>
  </si>
  <si>
    <t>solar thermal</t>
  </si>
  <si>
    <t>backup generation</t>
  </si>
  <si>
    <t>curtailment</t>
  </si>
  <si>
    <t>coal</t>
  </si>
  <si>
    <t>hours</t>
  </si>
  <si>
    <t>kg CO2e/MWh</t>
  </si>
  <si>
    <t>given by power curves</t>
  </si>
  <si>
    <t>transmission</t>
  </si>
  <si>
    <t>[MW]</t>
  </si>
  <si>
    <t xml:space="preserve"> -- electric vehicles</t>
  </si>
  <si>
    <t>nominal pwr at STC [Wp]</t>
  </si>
  <si>
    <r>
      <t xml:space="preserve">"Levelized cost and levelized avoided cost of new generation resources in the Annual Energy Outlook 2014"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</si>
  <si>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"FAQ: What is the efficiency of different types of power plants?"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</si>
  <si>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Table 8.1. Average Operating Heat Rate for Selected Energy Sources, 2003-2013.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</si>
  <si>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Annual Energy Review 2010. Appendix F: Alternatives for Estimating Energy Consumption. Table F1. Conversion Efficiencies of noncombustible Renewable Energy Sources. </t>
    </r>
    <r>
      <rPr>
        <i/>
        <sz val="11"/>
        <color theme="1"/>
        <rFont val="Calibri"/>
        <family val="2"/>
        <scheme val="minor"/>
      </rPr>
      <t>US Energy Information Administration.</t>
    </r>
  </si>
  <si>
    <r>
      <t xml:space="preserve">"Biomass Energy Economics" </t>
    </r>
    <r>
      <rPr>
        <i/>
        <sz val="11"/>
        <color theme="1"/>
        <rFont val="Calibri"/>
        <family val="2"/>
        <scheme val="minor"/>
      </rPr>
      <t>Pacific Energy Systems, Inc.</t>
    </r>
  </si>
  <si>
    <t>variable o&amp;m cost (inc. fuel)</t>
  </si>
  <si>
    <t>Climate Change 2014: Mitigation of Climate Change. Contribution of Working Group III to the Fifth Assessment Report of the Intergovernmental Panel on Climate Change. Annex III: Technology-specific cost and performance parameters. Table A.III.2 Emissions of selected electricity supply technologies</t>
  </si>
  <si>
    <t>references colour coded</t>
  </si>
  <si>
    <t>hot start</t>
  </si>
  <si>
    <t>warm start</t>
  </si>
  <si>
    <t>cold start</t>
  </si>
  <si>
    <t>"Technical Assessment of the Operation of Coal and Gas Fired Plants" Report to the DECC</t>
  </si>
  <si>
    <t>"the westinghouse pressurized water reactor nuclear power plant" Table 16-1 Estimated Startup Time in Hours Required by NSSS</t>
  </si>
  <si>
    <t>estimated start up times (notice to full load)</t>
  </si>
  <si>
    <t>%/min</t>
  </si>
  <si>
    <t>http://www.powerauthority.on.ca/current-electricity-contracts/sc-cc</t>
  </si>
  <si>
    <t>(max)</t>
  </si>
  <si>
    <t>spin ramp rate</t>
  </si>
  <si>
    <t xml:space="preserve"> - building new lines</t>
  </si>
  <si>
    <t xml:space="preserve"> - using existing lines</t>
  </si>
  <si>
    <t>$ / kWh</t>
  </si>
  <si>
    <t>$ / km</t>
  </si>
  <si>
    <t>AEO 2015 table 8</t>
  </si>
  <si>
    <t xml:space="preserve"> -- 230 kV single circuit</t>
  </si>
  <si>
    <t xml:space="preserve"> -- 230 kV double circuit</t>
  </si>
  <si>
    <t xml:space="preserve"> -- 500 kV single circuit</t>
  </si>
  <si>
    <t xml:space="preserve"> -- 500 kV double circuit</t>
  </si>
  <si>
    <t xml:space="preserve"> -- 500 kV HVDC Bi-pole</t>
  </si>
  <si>
    <t xml:space="preserve"> -- 600 kV HVDC Bi-pole</t>
  </si>
  <si>
    <t>assumptions: aluminum conductor steel reinforced (ACSR), Tubular (230 kV)/Lattice (345 kV - 600 kV), &gt;10 miles</t>
  </si>
  <si>
    <t>"Capital Costs for Transmission and Substations" prepared for the Western Electricity Coordinating Council</t>
  </si>
  <si>
    <t>source gives in $/mile. 1 mile = 1.60934 km</t>
  </si>
  <si>
    <t>ghg emission reductions</t>
  </si>
  <si>
    <t>petroleum displacement</t>
  </si>
  <si>
    <t>assuming 50% penetration, reduces GHG emissions by 27%</t>
  </si>
  <si>
    <t>benefits to grid</t>
  </si>
  <si>
    <t>cars can serve as distributed generators</t>
  </si>
  <si>
    <t>costs</t>
  </si>
  <si>
    <t>37% improvement in fuel economy</t>
  </si>
  <si>
    <t>88% improvement in fuel efficiency</t>
  </si>
  <si>
    <t>up to 6.5 million boe/day</t>
  </si>
  <si>
    <t>storage support - particularly for wind when generation at night corresponds with typical charge time</t>
  </si>
  <si>
    <t>assume average vehicle travels about 50 km/day - battery could easily displace fuel for such distance</t>
  </si>
  <si>
    <t>vehicle class</t>
  </si>
  <si>
    <t>compact sedan</t>
  </si>
  <si>
    <t>mid-size sedan</t>
  </si>
  <si>
    <t>mid-size SUV</t>
  </si>
  <si>
    <t>full-size SUV</t>
  </si>
  <si>
    <t>annual revenue for V2G ancillary services (grid regulation) $4000/vehicle</t>
  </si>
  <si>
    <t>HEV cost premium avg $4000</t>
  </si>
  <si>
    <t>30% ghg reduction</t>
  </si>
  <si>
    <t>O&amp;M (inc. fuel) costs 15% lower</t>
  </si>
  <si>
    <t xml:space="preserve"> -- hybrid buses</t>
  </si>
  <si>
    <t>sector integration - transportation</t>
  </si>
  <si>
    <t>"Hybrid Buses Costs and Benefits" EESI</t>
  </si>
  <si>
    <t>https://www.ttc.ca/Routes/General_Information/General_Information.jsp</t>
  </si>
  <si>
    <t>required battery size [kWh]</t>
  </si>
  <si>
    <t>"Impacts Assessment of PHEV on Electric Utilities and Regional US Power Grids Part 1: Technical Analysis" PNNL</t>
  </si>
  <si>
    <t>Sovacool, B. and Hirsh, R. "Beyond batteries: an examination of the benefits and barriers to PHEVs and a V2G transition"</t>
  </si>
  <si>
    <t>** cost savings dependent on electricity pricing - current avg 110 c/L for gas, 8.0 c/kWh off peak (CAD)</t>
  </si>
  <si>
    <t>base msrp</t>
  </si>
  <si>
    <t>est. tax credit</t>
  </si>
  <si>
    <t>body type</t>
  </si>
  <si>
    <t>seats</t>
  </si>
  <si>
    <t>charge rate</t>
  </si>
  <si>
    <t>bmw i3</t>
  </si>
  <si>
    <t>sedan</t>
  </si>
  <si>
    <t>batt size [kWh]</t>
  </si>
  <si>
    <t>charge rate [kW]</t>
  </si>
  <si>
    <t>chevrolet spark</t>
  </si>
  <si>
    <t>coupe</t>
  </si>
  <si>
    <t>fiat 500 e</t>
  </si>
  <si>
    <t>ford focus</t>
  </si>
  <si>
    <t>ford focus electric</t>
  </si>
  <si>
    <t>kia soul ev</t>
  </si>
  <si>
    <t>mercedes B-class electric</t>
  </si>
  <si>
    <t>mitsubishi i-MiEV</t>
  </si>
  <si>
    <t>nissan LEAF</t>
  </si>
  <si>
    <t>smart electric drive</t>
  </si>
  <si>
    <t>tesla model s</t>
  </si>
  <si>
    <t>volkswagen E-golf</t>
  </si>
  <si>
    <t>tesla model X</t>
  </si>
  <si>
    <t>SUV</t>
  </si>
  <si>
    <t>smart</t>
  </si>
  <si>
    <t>ghg emissions</t>
  </si>
  <si>
    <t>6.9/5.7/6.3</t>
  </si>
  <si>
    <t>130g/km</t>
  </si>
  <si>
    <t>est. tax credit (US)</t>
  </si>
  <si>
    <t>fuel consumption (city/hwy/combined) [L/100km]</t>
  </si>
  <si>
    <t>9.3/6.7/8.1</t>
  </si>
  <si>
    <t>ford explorer</t>
  </si>
  <si>
    <t>suv</t>
  </si>
  <si>
    <t>13.7/9.7</t>
  </si>
  <si>
    <t>EPA range (miles conv to km)</t>
  </si>
  <si>
    <t xml:space="preserve"> -- comparison with gas vehicles</t>
  </si>
  <si>
    <t>no tax credits</t>
  </si>
  <si>
    <t>http://www.plugincars.com/cars</t>
  </si>
  <si>
    <t>http://www.thesmart.ca/ca/en/index.html</t>
  </si>
  <si>
    <t>http://www.ford.ca/cars/focus/specifications/</t>
  </si>
  <si>
    <t>fiat 500</t>
  </si>
  <si>
    <t>8.7/6.9</t>
  </si>
  <si>
    <t>http://www.fiatcanada.com/en/2015/500/</t>
  </si>
  <si>
    <t xml:space="preserve"> --plug-in hybrid</t>
  </si>
  <si>
    <t>cadillac ELR</t>
  </si>
  <si>
    <t>epa range (elec only)</t>
  </si>
  <si>
    <t>battery size</t>
  </si>
  <si>
    <t>chevy volt</t>
  </si>
  <si>
    <t>ford c-max energi</t>
  </si>
  <si>
    <t>wagon</t>
  </si>
  <si>
    <t>ford fusion energi</t>
  </si>
  <si>
    <t>honda accord PH</t>
  </si>
  <si>
    <t>porsche panamera s e-hybrid</t>
  </si>
  <si>
    <t>porsche cayenne s e-hybrid</t>
  </si>
  <si>
    <t>toyota prius PH</t>
  </si>
  <si>
    <t>cost premium avg 200 000 (~500 000 compared to 300 000) - mostly offset by govt</t>
  </si>
  <si>
    <t>orion VII can carry average 51 passengers at peak times - vehicle displacement?</t>
  </si>
  <si>
    <t>demand response - shifting</t>
  </si>
  <si>
    <t>assume x% flexibility - user input</t>
  </si>
  <si>
    <t>assume different flexibilities during different hours</t>
  </si>
  <si>
    <t>DR capacity = load * participation rate * sheddability</t>
  </si>
  <si>
    <t>participation = min (controllability, acceptability)</t>
  </si>
  <si>
    <t>commercial</t>
  </si>
  <si>
    <t xml:space="preserve"> - cooling</t>
  </si>
  <si>
    <t xml:space="preserve"> - heating</t>
  </si>
  <si>
    <t>residential</t>
  </si>
  <si>
    <t xml:space="preserve"> - water heating</t>
  </si>
  <si>
    <t>industrial</t>
  </si>
  <si>
    <t xml:space="preserve"> - agricultural water pumping</t>
  </si>
  <si>
    <t xml:space="preserve"> - data centres</t>
  </si>
  <si>
    <t xml:space="preserve"> - regrigerated warehouses</t>
  </si>
  <si>
    <t>municipal</t>
  </si>
  <si>
    <t xml:space="preserve"> - fresh water pumping</t>
  </si>
  <si>
    <t xml:space="preserve"> - waste water pumping</t>
  </si>
  <si>
    <t>lighting and ventilation are not easily shiftable!</t>
  </si>
  <si>
    <t>41-49</t>
  </si>
  <si>
    <t>sheddability (%)</t>
  </si>
  <si>
    <t>acceptability (%)</t>
  </si>
  <si>
    <t>15-25</t>
  </si>
  <si>
    <t>3-77</t>
  </si>
  <si>
    <t>46-51</t>
  </si>
  <si>
    <t>10-25</t>
  </si>
  <si>
    <t>0-77</t>
  </si>
  <si>
    <t>20-70</t>
  </si>
  <si>
    <t>2-52</t>
  </si>
  <si>
    <t>13-39</t>
  </si>
  <si>
    <t>20-30</t>
  </si>
  <si>
    <t>2-48</t>
  </si>
  <si>
    <t>0-1.5</t>
  </si>
  <si>
    <t>25</t>
  </si>
  <si>
    <t>13-26</t>
  </si>
  <si>
    <t>participation (%)</t>
  </si>
  <si>
    <t>"Grid Integration of Aggregated Demand Response, Part 1: Load Availability Profiles and Constraints for the Western Interconnection." NREL</t>
  </si>
  <si>
    <t>divide year into heating/cooling, keep others year round</t>
  </si>
  <si>
    <t>for multiple end uses, take average of shed * participation?</t>
  </si>
  <si>
    <t>for zeros, use a small non-zero number…</t>
  </si>
  <si>
    <t>** would need demand data by sector</t>
  </si>
  <si>
    <t>controllability (%)</t>
  </si>
  <si>
    <t>average</t>
  </si>
  <si>
    <t>S*P</t>
  </si>
  <si>
    <t>for ranges, take midpoint?</t>
  </si>
  <si>
    <t>0.45*0.20=0.09</t>
  </si>
  <si>
    <t>0.45*0.26=0.117</t>
  </si>
  <si>
    <t>0.25*0.01=0.0025</t>
  </si>
  <si>
    <t>0.25*0.20=0.05</t>
  </si>
  <si>
    <t>summer = 9%</t>
  </si>
  <si>
    <t>winter = 8.6 %</t>
  </si>
  <si>
    <t>summer = 8.35%</t>
  </si>
  <si>
    <t>winter = 2.5%</t>
  </si>
  <si>
    <t>ind/mun fairly flat over day</t>
  </si>
  <si>
    <t>cooling peaks from 12-8pm</t>
  </si>
  <si>
    <t>heating peaks from 7-9 am</t>
  </si>
  <si>
    <t>peaks 7am, 6pm</t>
  </si>
  <si>
    <t>shreddability (%)</t>
  </si>
  <si>
    <t>area</t>
  </si>
  <si>
    <t>area [m^2]</t>
  </si>
  <si>
    <t>CdTe</t>
  </si>
  <si>
    <t>Trina TSM-PDG5-255</t>
  </si>
  <si>
    <t>multi c-Si</t>
  </si>
  <si>
    <t>mono c-Si</t>
  </si>
  <si>
    <t>Canadian Solar CS6V-225MM</t>
  </si>
  <si>
    <t>First Solar FS395</t>
  </si>
  <si>
    <t>diesel</t>
  </si>
  <si>
    <t>longitude</t>
  </si>
  <si>
    <t>latitude</t>
  </si>
  <si>
    <t>total system LCOE</t>
  </si>
  <si>
    <t>transmission investment</t>
  </si>
  <si>
    <t>*(likely conservative) estimate based on the fact that simple cycle is less efficient</t>
  </si>
  <si>
    <t>cycling costs</t>
  </si>
  <si>
    <r>
      <t xml:space="preserve">"Power Plant Cycling Costs" </t>
    </r>
    <r>
      <rPr>
        <i/>
        <sz val="11"/>
        <color theme="1"/>
        <rFont val="Calibri"/>
        <family val="2"/>
        <scheme val="minor"/>
      </rPr>
      <t>Prepared for the National Renewable Energy Laboratory</t>
    </r>
  </si>
  <si>
    <r>
      <t xml:space="preserve">"Cost and Performance Data for Power Generation Technologies" </t>
    </r>
    <r>
      <rPr>
        <i/>
        <sz val="11"/>
        <color theme="1"/>
        <rFont val="Calibri"/>
        <family val="2"/>
        <scheme val="minor"/>
      </rPr>
      <t>Prepared for the National Renewable Energy Laboratory</t>
    </r>
  </si>
  <si>
    <t>$/MW cap.</t>
  </si>
  <si>
    <t>depends on sources data</t>
  </si>
  <si>
    <t>output - last resort</t>
  </si>
  <si>
    <t>Trends in GHG Emissions in the Alberta Electricity Market</t>
  </si>
  <si>
    <t>length</t>
  </si>
  <si>
    <t>plant ID</t>
  </si>
  <si>
    <t>wind offshore</t>
  </si>
  <si>
    <t>PHS</t>
  </si>
  <si>
    <t>CAES</t>
  </si>
  <si>
    <t>batteries</t>
  </si>
  <si>
    <t>fuel oil</t>
  </si>
  <si>
    <t>FES</t>
  </si>
  <si>
    <t>hydrogen</t>
  </si>
  <si>
    <t>thermal</t>
  </si>
  <si>
    <t>vanadium</t>
  </si>
  <si>
    <t>SMES</t>
  </si>
  <si>
    <t>flow battery</t>
  </si>
  <si>
    <t>capacitors</t>
  </si>
  <si>
    <t>supercapacitors</t>
  </si>
  <si>
    <t>capital cost power</t>
  </si>
  <si>
    <t>capital cost capacity</t>
  </si>
  <si>
    <t>annual operating costs</t>
  </si>
  <si>
    <t>$/kWyr</t>
  </si>
  <si>
    <t>(avg) $/kW</t>
  </si>
  <si>
    <t>min</t>
  </si>
  <si>
    <t>max</t>
  </si>
  <si>
    <t>applicable grid system size (MW)</t>
  </si>
  <si>
    <t>storage capacity (kWh)</t>
  </si>
  <si>
    <t>discharge rate</t>
  </si>
  <si>
    <t>kW</t>
  </si>
  <si>
    <t>"Electricity Storage and Renewables for Island Power" IRENA 2012</t>
  </si>
  <si>
    <t>Kousksou et al. "Energy storage: Applications and challenges" Solar Energy Materials &amp; Solar Cells 2014</t>
  </si>
  <si>
    <t>(avg) $/kWh</t>
  </si>
  <si>
    <t>"Energy Technology Perspectives" IEA 2014</t>
  </si>
  <si>
    <t>"Comparison of Lifecycle Greenhouse Gas Emissions of Various Electricity Generation Sources" WNA</t>
  </si>
  <si>
    <t>diesel costs: Lazard LCOE version 8.0</t>
  </si>
  <si>
    <t>assumed fuel oil costs are ~60% of diesel costs based on  http://asian-power.com/regulation/commentary/reducing-diesel-power-plant-hfo-bill</t>
  </si>
  <si>
    <t>region</t>
  </si>
  <si>
    <t>frac pop</t>
  </si>
  <si>
    <t>voltage</t>
  </si>
  <si>
    <t>circuits</t>
  </si>
  <si>
    <t>NG combined</t>
  </si>
  <si>
    <t>NG simple</t>
  </si>
  <si>
    <t>bus</t>
  </si>
  <si>
    <t>reactance</t>
  </si>
  <si>
    <t>name</t>
  </si>
  <si>
    <t>to bus</t>
  </si>
  <si>
    <t>from bus</t>
  </si>
  <si>
    <t>wind_onshore</t>
  </si>
  <si>
    <t>wind_offshore</t>
  </si>
  <si>
    <t>latitude_MERRA</t>
  </si>
  <si>
    <t>longitude_MERRA</t>
  </si>
  <si>
    <t>V_112-3.0</t>
  </si>
  <si>
    <t>TSM-PDG5-255</t>
  </si>
  <si>
    <t>FS395</t>
  </si>
  <si>
    <t>*create dropdown list with these options</t>
  </si>
  <si>
    <t>kind</t>
  </si>
  <si>
    <t>Pb-acid</t>
  </si>
  <si>
    <t>Ni-Cd</t>
  </si>
  <si>
    <t>Na-S</t>
  </si>
  <si>
    <t>Li-ion</t>
  </si>
  <si>
    <t>pumprampmax</t>
  </si>
  <si>
    <t>storagecapacitymax</t>
  </si>
  <si>
    <t>EV</t>
  </si>
  <si>
    <t>solar PV multi c-Si</t>
  </si>
  <si>
    <t>solar PV mono c-Si</t>
  </si>
  <si>
    <t>solar PV thin film</t>
  </si>
  <si>
    <t>Generating Plant IDs</t>
  </si>
  <si>
    <t>Storage Plant IDs</t>
  </si>
  <si>
    <t>capacitor</t>
  </si>
  <si>
    <t>supercapacitor</t>
  </si>
  <si>
    <t>CS6V-225MM</t>
  </si>
  <si>
    <t>TO DO: need to change 'vre plants' sheet so that the area [m^2] and # modules gets updated according to these values, given the module type</t>
  </si>
  <si>
    <t>Col number</t>
  </si>
  <si>
    <t>ramp rate max</t>
  </si>
  <si>
    <t>start up ramp limit</t>
  </si>
  <si>
    <t>cost to commit the unit ($)</t>
  </si>
  <si>
    <t>start up cost</t>
  </si>
  <si>
    <t>cost curve equation</t>
  </si>
  <si>
    <t>0P</t>
  </si>
  <si>
    <t>spinning cost</t>
  </si>
  <si>
    <t>resevoir level</t>
  </si>
  <si>
    <t>initial power</t>
  </si>
  <si>
    <t>initial status</t>
  </si>
  <si>
    <t>hours in status</t>
  </si>
  <si>
    <t>combination of variable cost (P^1) and spinning cost (P^0)</t>
  </si>
  <si>
    <t xml:space="preserve">Notes: </t>
  </si>
  <si>
    <t>[$/ MBTU]</t>
  </si>
  <si>
    <t>shut down cost</t>
  </si>
  <si>
    <t>Non-vre  technology assumptions</t>
  </si>
  <si>
    <t xml:space="preserve">Cost - related Technology Characteristics </t>
  </si>
  <si>
    <t>Operating Characteristics</t>
  </si>
  <si>
    <t>min up time</t>
  </si>
  <si>
    <t>min down time</t>
  </si>
  <si>
    <t>minimum time for which a unit must be on (status =1) after it is committed [hours]</t>
  </si>
  <si>
    <t>[hours]</t>
  </si>
  <si>
    <t xml:space="preserve">minimum time for which a unit must be off (status = 0) after it is de-commited [hours] </t>
  </si>
  <si>
    <t>research these value and add it here</t>
  </si>
  <si>
    <t>minimum up time</t>
  </si>
  <si>
    <t>minimum down time</t>
  </si>
  <si>
    <t>[$ per hour committed]</t>
  </si>
  <si>
    <t>Ramping Characteristics</t>
  </si>
  <si>
    <t>ramp rate min</t>
  </si>
  <si>
    <t>[$ / MWcap]</t>
  </si>
  <si>
    <t>positive change in real power over 1 hour (MW/hr) for a spinning unit (with status = 1)</t>
  </si>
  <si>
    <t>negative change in real power over 1 hou (MW/hr) for a spinning unit (with status =1)</t>
  </si>
  <si>
    <t>negative change in power for spinning unit</t>
  </si>
  <si>
    <t>shut down ramp limit</t>
  </si>
  <si>
    <t>maximum positive change in real power over the first hour after startup (MW/hr)</t>
  </si>
  <si>
    <t>maximum negative change in real power over the last hor before shutdown (MW/hr)</t>
  </si>
  <si>
    <t>[MW/hr p MWcap]</t>
  </si>
  <si>
    <t>start up ramp</t>
  </si>
  <si>
    <t>shut down ramp</t>
  </si>
  <si>
    <t>battery</t>
  </si>
  <si>
    <t>0P + 0</t>
  </si>
  <si>
    <t>col.</t>
  </si>
  <si>
    <t>solar</t>
  </si>
  <si>
    <t>technology type</t>
  </si>
  <si>
    <t>unit capacity [kW]</t>
  </si>
  <si>
    <t>Nils's Paper (Submitted to Energy Economics)</t>
  </si>
  <si>
    <t>[Fraction of installed capacity]</t>
  </si>
  <si>
    <t>Scenario analysis inputs</t>
  </si>
  <si>
    <t>Installed Capacity Metric</t>
  </si>
  <si>
    <t>Flexibility Factor Metric</t>
  </si>
  <si>
    <t xml:space="preserve">Transmission network capacity metric </t>
  </si>
  <si>
    <t>Investment Cost</t>
  </si>
  <si>
    <t>[fraction on installed capacity]</t>
  </si>
  <si>
    <t>[fraction of installed capacity]</t>
  </si>
  <si>
    <t>Cost</t>
  </si>
  <si>
    <t>[$]</t>
  </si>
  <si>
    <t>bus number</t>
  </si>
  <si>
    <t>total installed capacity on bus</t>
  </si>
  <si>
    <t>total transmission capacity to/from bus</t>
  </si>
  <si>
    <t>Max capacity value</t>
  </si>
  <si>
    <t>Operating reserve coeff.</t>
  </si>
  <si>
    <t>Installed capacity by type</t>
  </si>
  <si>
    <t>fraction of load on bus</t>
  </si>
  <si>
    <t>[percentage]</t>
  </si>
  <si>
    <t xml:space="preserve"> VRE Resrouce Metric</t>
  </si>
  <si>
    <t>Proposed wind capacity</t>
  </si>
  <si>
    <t>Proposed multi c-Si solar capacity</t>
  </si>
  <si>
    <t>Proposed mono c-Si solar capacity</t>
  </si>
  <si>
    <t>Proposed thin film solar capacity</t>
  </si>
  <si>
    <t>Total overnight cost in 2014</t>
  </si>
  <si>
    <t>$/kW</t>
  </si>
  <si>
    <t xml:space="preserve">EIA AEO2015 Table 8.2" Cost and Performance characteristics of new central station electricity generating technologies </t>
  </si>
  <si>
    <t>My storage paper with Nils (YSSP report)</t>
  </si>
  <si>
    <t>[$/kW installed]</t>
  </si>
  <si>
    <t>transmission line cost</t>
  </si>
  <si>
    <t>Wind</t>
  </si>
  <si>
    <t>Solar</t>
  </si>
  <si>
    <t>USER: do not alter this sheet</t>
  </si>
  <si>
    <t>VRE generation types</t>
  </si>
  <si>
    <t>Technologies</t>
  </si>
  <si>
    <t>multi_c_Si</t>
  </si>
  <si>
    <t>mono_c_Si</t>
  </si>
  <si>
    <t>thin_film</t>
  </si>
  <si>
    <t>dr_potential</t>
  </si>
  <si>
    <t>over-production</t>
  </si>
  <si>
    <t>under-production</t>
  </si>
  <si>
    <t>maximum</t>
  </si>
  <si>
    <t>minimum</t>
  </si>
  <si>
    <t>maximum hourly dr limit (% of schedule)</t>
  </si>
  <si>
    <t>maximum daily dr (MW)</t>
  </si>
  <si>
    <t>ramping limiatations (MW)</t>
  </si>
  <si>
    <t>increasing_shed</t>
  </si>
  <si>
    <t>decreasing_shed</t>
  </si>
  <si>
    <t>minimum up/down times (hours)</t>
  </si>
  <si>
    <t>uptime</t>
  </si>
  <si>
    <t>downtime</t>
  </si>
  <si>
    <t>constraint:</t>
  </si>
  <si>
    <t>absolute hourly dr limit (MW)</t>
  </si>
  <si>
    <t>index</t>
  </si>
  <si>
    <t>initial values</t>
  </si>
  <si>
    <t>Each unique node must be listed at least once in the 'existing transmission' sheet under the 'from bus' category</t>
  </si>
  <si>
    <t xml:space="preserve"> -- 115 kV double circuit</t>
  </si>
  <si>
    <t xml:space="preserve"> -- 115 kV single circuit</t>
  </si>
  <si>
    <t>line cost</t>
  </si>
  <si>
    <t>city</t>
  </si>
  <si>
    <t>Richmond</t>
  </si>
  <si>
    <t>CHSM_6610P_250</t>
  </si>
  <si>
    <t>FS935</t>
  </si>
  <si>
    <t>FS4122_2</t>
  </si>
  <si>
    <t>CS6X_320P</t>
  </si>
  <si>
    <t>pmax</t>
  </si>
  <si>
    <t>storage content</t>
  </si>
  <si>
    <t>MW At Marginal Cost</t>
  </si>
  <si>
    <t xml:space="preserve">On the demand centres sheet, the dr_potential column needs to add to one. Also the dr_potential value for each city needs to be pro-rated by the percentage of load that that city consumes. The fomula in powersystems.py (Load constraints) for the second OPF is scheduled_load(time) - power(time) &gt;= dr_3 (UC dr) *dr_potential for each city. As such if the dr_3*dr_potenail is greater than the scheduled_load value for that city in that hour, then the OPF would have to have a negative power value, which is obviously impossible, and so it fails.  </t>
  </si>
  <si>
    <t>g</t>
  </si>
  <si>
    <t>pmin</t>
  </si>
  <si>
    <t>Imports</t>
  </si>
  <si>
    <t>unpluggedhours</t>
  </si>
  <si>
    <t>tripenergy</t>
  </si>
  <si>
    <t>Wind_6</t>
  </si>
  <si>
    <t>Wind_7</t>
  </si>
  <si>
    <t>NW_falls_g</t>
  </si>
  <si>
    <t>Wind_11</t>
  </si>
  <si>
    <t>Wind_12</t>
  </si>
  <si>
    <t>Wind_13</t>
  </si>
  <si>
    <t>Wind_20</t>
  </si>
  <si>
    <t>Wind_21</t>
  </si>
  <si>
    <t>Wind_22</t>
  </si>
  <si>
    <t>Wind_23</t>
  </si>
  <si>
    <t>Wind_25</t>
  </si>
  <si>
    <t>Wind_26</t>
  </si>
  <si>
    <t>Wind_30</t>
  </si>
  <si>
    <t>Wind_31</t>
  </si>
  <si>
    <t>Wind_32</t>
  </si>
  <si>
    <t>Wind_33</t>
  </si>
  <si>
    <t>Wind_35</t>
  </si>
  <si>
    <t>Wind_37</t>
  </si>
  <si>
    <t>Wind_48</t>
  </si>
  <si>
    <t>Wind_49</t>
  </si>
  <si>
    <t>Wind_50</t>
  </si>
  <si>
    <t>Wind_51</t>
  </si>
  <si>
    <t>Wind_58</t>
  </si>
  <si>
    <t>Wind_59</t>
  </si>
  <si>
    <t>Wind_60</t>
  </si>
  <si>
    <t>Wind_61</t>
  </si>
  <si>
    <t>St. Peters 59C</t>
  </si>
  <si>
    <t>Point Aconi 89S</t>
  </si>
  <si>
    <t>Point Tupper 1C</t>
  </si>
  <si>
    <t>Annapolis 81V</t>
  </si>
  <si>
    <t>Dickie Brook 24C</t>
  </si>
  <si>
    <t>Donkin Road 97S</t>
  </si>
  <si>
    <t>Cheticamp 103C</t>
  </si>
  <si>
    <t>Dalhousie Mountain 91N</t>
  </si>
  <si>
    <t>Gullivers Cove 98V</t>
  </si>
  <si>
    <t>Pictou 55N</t>
  </si>
  <si>
    <t>Musquodoboit Harbour 87H</t>
  </si>
  <si>
    <t>Seaboard 1S</t>
  </si>
  <si>
    <t>Robinson's Corner 84W</t>
  </si>
  <si>
    <t>Lingan Wind 109S</t>
  </si>
  <si>
    <t>Conway 77V</t>
  </si>
  <si>
    <t>SW Margaree 58C</t>
  </si>
  <si>
    <t>Bridgewater 99W</t>
  </si>
  <si>
    <t>Lakeside 103H</t>
  </si>
  <si>
    <t>NB Border</t>
  </si>
  <si>
    <t>Brushy Hill 120H</t>
  </si>
  <si>
    <t>Lingan 88S</t>
  </si>
  <si>
    <t>Hopewell 79N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</si>
  <si>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</si>
  <si>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</si>
  <si>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</si>
  <si>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</si>
  <si>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</si>
  <si>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</si>
  <si>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</si>
  <si>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</si>
  <si>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</si>
  <si>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</si>
  <si>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</si>
  <si>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</si>
  <si>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</si>
  <si>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</si>
  <si>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</si>
  <si>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</si>
  <si>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</si>
  <si>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V_112-3.1</t>
  </si>
  <si>
    <t>V_112-3.2</t>
  </si>
  <si>
    <t>V_112-3.3</t>
  </si>
  <si>
    <t>V_112-3.10</t>
  </si>
  <si>
    <t>V_112-3.11</t>
  </si>
  <si>
    <t>V_112-3.12</t>
  </si>
  <si>
    <t>V_112-3.13</t>
  </si>
  <si>
    <t>V_112-3.15</t>
  </si>
  <si>
    <t>V_112-3.16</t>
  </si>
  <si>
    <t>V_112-3.20</t>
  </si>
  <si>
    <t>V_112-3.21</t>
  </si>
  <si>
    <t>V_112-3.22</t>
  </si>
  <si>
    <t>V_112-3.23</t>
  </si>
  <si>
    <t>V_112-3.25</t>
  </si>
  <si>
    <t>V_112-3.27</t>
  </si>
  <si>
    <t>V_112-3.38</t>
  </si>
  <si>
    <t>V_112-3.39</t>
  </si>
  <si>
    <t>V_112-3.40</t>
  </si>
  <si>
    <t>V_112-3.41</t>
  </si>
  <si>
    <t>V_112-3.44</t>
  </si>
  <si>
    <t>V_112-3.48</t>
  </si>
  <si>
    <t>V_112-3.49</t>
  </si>
  <si>
    <t>V_112-3.50</t>
  </si>
  <si>
    <t>V_112-3.51</t>
  </si>
  <si>
    <t xml:space="preserve">Lakeside 103H </t>
  </si>
  <si>
    <t xml:space="preserve">Springhill 74N </t>
  </si>
  <si>
    <t xml:space="preserve">Lochaber Road 4C </t>
  </si>
  <si>
    <t xml:space="preserve">Victoria Junction 2S </t>
  </si>
  <si>
    <t>Biomass_1</t>
  </si>
  <si>
    <t>Biomass_2</t>
  </si>
  <si>
    <t>Biomass_3</t>
  </si>
  <si>
    <t>Biomass_4</t>
  </si>
  <si>
    <t>Coal_1</t>
  </si>
  <si>
    <t>Coal_5</t>
  </si>
  <si>
    <t>Coal_7</t>
  </si>
  <si>
    <t>fuel oil_1</t>
  </si>
  <si>
    <t>fuel oil_5</t>
  </si>
  <si>
    <t>fuel oil_6</t>
  </si>
  <si>
    <t>fuel oil_8</t>
  </si>
  <si>
    <t>Natural gas</t>
  </si>
  <si>
    <t>NG_CC</t>
  </si>
  <si>
    <t>NG_CT</t>
  </si>
  <si>
    <t>NG_CG</t>
  </si>
  <si>
    <t>hydro_hourly</t>
  </si>
  <si>
    <t>hydro_daily</t>
  </si>
  <si>
    <t>hydro_monthly</t>
  </si>
  <si>
    <t>biogas</t>
  </si>
  <si>
    <t>NG_CC_1</t>
  </si>
  <si>
    <t>Annapolis</t>
  </si>
  <si>
    <t>Antigonish</t>
  </si>
  <si>
    <t>Cape Bretona</t>
  </si>
  <si>
    <t>Colchester</t>
  </si>
  <si>
    <t>Cumberland</t>
  </si>
  <si>
    <t>Digby</t>
  </si>
  <si>
    <t>Guysborough</t>
  </si>
  <si>
    <t>Hants</t>
  </si>
  <si>
    <t>Inverness</t>
  </si>
  <si>
    <t>Lunenburg</t>
  </si>
  <si>
    <t>Pictou</t>
  </si>
  <si>
    <t>Shelburne</t>
  </si>
  <si>
    <t>Victoria</t>
  </si>
  <si>
    <t>Yarmouth</t>
  </si>
  <si>
    <t>hydro_daily_1</t>
  </si>
  <si>
    <t>hydro_monthly_1</t>
  </si>
  <si>
    <t>Halifax</t>
  </si>
  <si>
    <t>hydro_daily_22</t>
  </si>
  <si>
    <t>hydro_daily_48</t>
  </si>
  <si>
    <t>Onslow 67N</t>
  </si>
  <si>
    <t>Port Hastings 3C</t>
  </si>
  <si>
    <t>Woodbine 101S</t>
  </si>
  <si>
    <t>Load_1</t>
  </si>
  <si>
    <t>Load_2</t>
  </si>
  <si>
    <t>Load_3</t>
  </si>
  <si>
    <t>Load_4</t>
  </si>
  <si>
    <t>Load_5</t>
  </si>
  <si>
    <t>Load_6</t>
  </si>
  <si>
    <t>Load_7</t>
  </si>
  <si>
    <t>Load_8</t>
  </si>
  <si>
    <t>Load_9</t>
  </si>
  <si>
    <t>Load_10</t>
  </si>
  <si>
    <t>Load_11</t>
  </si>
  <si>
    <t>Load_12</t>
  </si>
  <si>
    <t>Load_13</t>
  </si>
  <si>
    <t>Load_14</t>
  </si>
  <si>
    <t>Load_15</t>
  </si>
  <si>
    <t>Load_16</t>
  </si>
  <si>
    <t>Load_17</t>
  </si>
  <si>
    <t>Load_18</t>
  </si>
  <si>
    <t>Load_19</t>
  </si>
  <si>
    <t>Load_20</t>
  </si>
  <si>
    <t xml:space="preserve">Port Hastings 3C </t>
  </si>
  <si>
    <t>bus-old</t>
  </si>
  <si>
    <t>cascade group name</t>
  </si>
  <si>
    <t>number</t>
  </si>
  <si>
    <t>min storage</t>
  </si>
  <si>
    <t>max storage</t>
  </si>
  <si>
    <t>min water discharge</t>
  </si>
  <si>
    <t>max water discharge</t>
  </si>
  <si>
    <t>h factor</t>
  </si>
  <si>
    <t>Wind_62</t>
  </si>
  <si>
    <t>reactance-old</t>
  </si>
  <si>
    <t>importexport</t>
  </si>
  <si>
    <t>75.5P</t>
  </si>
  <si>
    <t>104P</t>
  </si>
  <si>
    <t>3.3P</t>
  </si>
  <si>
    <t>323.7P</t>
  </si>
  <si>
    <t>100P</t>
  </si>
  <si>
    <t>importexport_1</t>
  </si>
  <si>
    <t>oP</t>
  </si>
  <si>
    <t/>
  </si>
  <si>
    <t>Load_21</t>
  </si>
  <si>
    <t>Kings</t>
  </si>
  <si>
    <t>Load_22</t>
  </si>
  <si>
    <t>Queensc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</si>
</sst>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0.0"/>
    <numFmt numFmtId="167" formatCode="_-* #,##0_-;\-* #,##0_-;_-* &quot;-&quot;??_-;_-@_-"/>
    <numFmt numFmtId="168" formatCode="0.0000"/>
    <numFmt numFmtId="169" formatCode="#,##0.00000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rgb="FF9999FF"/>
      <name val="Calibri"/>
      <family val="2"/>
      <scheme val="minor"/>
    </font>
    <font>
      <sz val="9"/>
      <color rgb="FF00B05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color rgb="FF9999FF"/>
      <name val="Calibri"/>
      <family val="2"/>
      <scheme val="minor"/>
    </font>
    <font>
      <sz val="8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rgb="FF0099CC"/>
      <name val="Calibri"/>
      <family val="2"/>
      <scheme val="minor"/>
    </font>
    <font>
      <sz val="8"/>
      <color rgb="FF0099CC"/>
      <name val="Calibri"/>
      <family val="2"/>
      <scheme val="minor"/>
    </font>
    <font>
      <sz val="9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1"/>
      <color theme="1"/>
      <name val="Calibri"/>
      <family val="2"/>
    </font>
    <font>
      <sz val="14"/>
      <name val="Calibri"/>
      <family val="2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999FF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FFFF"/>
        <bgColor indexed="64"/>
      </patternFill>
    </fill>
    <fill>
      <patternFill patternType="gray125">
        <fgColor theme="0" tint="-0.149967955565050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29" fillId="0" borderId="13">
      <alignment horizontal="center" vertical="center" wrapText="1"/>
    </xf>
    <xf numFmtId="3" fontId="31" fillId="0" borderId="13">
      <alignment horizontal="right" vertical="center"/>
    </xf>
    <xf numFmtId="4" fontId="31" fillId="0" borderId="13">
      <alignment horizontal="right" vertical="center"/>
    </xf>
    <xf numFmtId="169" fontId="31" fillId="0" borderId="13">
      <alignment horizontal="right" vertical="center"/>
    </xf>
    <xf numFmtId="3" fontId="32" fillId="28" borderId="13">
      <alignment vertical="center"/>
    </xf>
  </cellStyleXfs>
  <cellXfs count="232">
    <xf numFmtId="0" fontId="0" fillId="0" borderId="0" xfId="0"/>
    <xf numFmtId="0" fontId="4" fillId="0" borderId="0" xfId="2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0" fillId="0" borderId="0" xfId="0" applyNumberFormat="1"/>
    <xf numFmtId="0" fontId="0" fillId="10" borderId="0" xfId="0" applyFill="1"/>
    <xf numFmtId="0" fontId="0" fillId="11" borderId="0" xfId="0" applyFill="1"/>
    <xf numFmtId="2" fontId="0" fillId="12" borderId="0" xfId="0" applyNumberFormat="1" applyFill="1"/>
    <xf numFmtId="0" fontId="0" fillId="12" borderId="0" xfId="0" applyFill="1"/>
    <xf numFmtId="0" fontId="0" fillId="0" borderId="0" xfId="0" applyBorder="1"/>
    <xf numFmtId="0" fontId="7" fillId="0" borderId="0" xfId="4"/>
    <xf numFmtId="166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13" borderId="0" xfId="0" applyFill="1"/>
    <xf numFmtId="49" fontId="0" fillId="13" borderId="0" xfId="0" applyNumberFormat="1" applyFill="1"/>
    <xf numFmtId="49" fontId="0" fillId="13" borderId="2" xfId="0" applyNumberFormat="1" applyFill="1" applyBorder="1"/>
    <xf numFmtId="49" fontId="0" fillId="13" borderId="0" xfId="0" applyNumberFormat="1" applyFill="1" applyBorder="1"/>
    <xf numFmtId="49" fontId="0" fillId="13" borderId="3" xfId="0" applyNumberFormat="1" applyFill="1" applyBorder="1"/>
    <xf numFmtId="0" fontId="0" fillId="13" borderId="2" xfId="0" applyFill="1" applyBorder="1" applyAlignment="1">
      <alignment horizontal="center"/>
    </xf>
    <xf numFmtId="0" fontId="0" fillId="13" borderId="0" xfId="0" applyNumberFormat="1" applyFill="1"/>
    <xf numFmtId="9" fontId="0" fillId="13" borderId="0" xfId="3" applyFont="1" applyFill="1"/>
    <xf numFmtId="9" fontId="0" fillId="13" borderId="3" xfId="0" applyNumberFormat="1" applyFill="1" applyBorder="1" applyAlignment="1">
      <alignment horizontal="center"/>
    </xf>
    <xf numFmtId="10" fontId="0" fillId="13" borderId="1" xfId="3" applyNumberFormat="1" applyFont="1" applyFill="1" applyBorder="1"/>
    <xf numFmtId="10" fontId="0" fillId="13" borderId="0" xfId="3" applyNumberFormat="1" applyFont="1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166" fontId="0" fillId="2" borderId="0" xfId="0" applyNumberFormat="1" applyFill="1"/>
    <xf numFmtId="0" fontId="9" fillId="0" borderId="0" xfId="0" applyFont="1"/>
    <xf numFmtId="0" fontId="0" fillId="18" borderId="0" xfId="0" applyFill="1"/>
    <xf numFmtId="0" fontId="0" fillId="0" borderId="0" xfId="0" applyAlignment="1"/>
    <xf numFmtId="0" fontId="5" fillId="0" borderId="0" xfId="0" applyFont="1"/>
    <xf numFmtId="0" fontId="0" fillId="19" borderId="0" xfId="0" applyFill="1"/>
    <xf numFmtId="2" fontId="0" fillId="19" borderId="0" xfId="0" applyNumberFormat="1" applyFill="1"/>
    <xf numFmtId="0" fontId="0" fillId="20" borderId="0" xfId="0" applyFill="1"/>
    <xf numFmtId="2" fontId="0" fillId="20" borderId="0" xfId="0" applyNumberFormat="1" applyFill="1"/>
    <xf numFmtId="0" fontId="0" fillId="21" borderId="0" xfId="0" applyFill="1"/>
    <xf numFmtId="2" fontId="0" fillId="21" borderId="0" xfId="0" applyNumberFormat="1" applyFill="1"/>
    <xf numFmtId="0" fontId="0" fillId="0" borderId="0" xfId="0" applyAlignment="1">
      <alignment horizontal="left"/>
    </xf>
    <xf numFmtId="0" fontId="8" fillId="14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11" fillId="0" borderId="0" xfId="0" applyFont="1"/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0" fillId="0" borderId="8" xfId="0" applyBorder="1"/>
    <xf numFmtId="0" fontId="10" fillId="0" borderId="0" xfId="0" applyFont="1" applyBorder="1" applyAlignment="1">
      <alignment horizontal="center"/>
    </xf>
    <xf numFmtId="2" fontId="0" fillId="0" borderId="0" xfId="5" applyNumberFormat="1" applyFont="1" applyBorder="1" applyAlignment="1">
      <alignment horizontal="center"/>
    </xf>
    <xf numFmtId="2" fontId="0" fillId="0" borderId="9" xfId="5" applyNumberFormat="1" applyFont="1" applyBorder="1" applyAlignment="1">
      <alignment horizontal="center"/>
    </xf>
    <xf numFmtId="0" fontId="0" fillId="0" borderId="11" xfId="0" applyBorder="1"/>
    <xf numFmtId="0" fontId="0" fillId="0" borderId="4" xfId="0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4" fillId="0" borderId="0" xfId="0" applyFont="1" applyBorder="1" applyAlignment="1"/>
    <xf numFmtId="0" fontId="14" fillId="0" borderId="0" xfId="0" applyFont="1" applyBorder="1" applyAlignment="1">
      <alignment wrapText="1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ont="1" applyBorder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0" fillId="24" borderId="0" xfId="0" applyFill="1"/>
    <xf numFmtId="0" fontId="0" fillId="24" borderId="0" xfId="0" applyFill="1" applyAlignment="1">
      <alignment horizontal="center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9" fontId="0" fillId="24" borderId="0" xfId="0" applyNumberFormat="1" applyFill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0" fillId="0" borderId="6" xfId="0" applyBorder="1"/>
    <xf numFmtId="0" fontId="22" fillId="0" borderId="0" xfId="0" applyFont="1" applyBorder="1" applyAlignment="1">
      <alignment horizontal="center" wrapText="1"/>
    </xf>
    <xf numFmtId="0" fontId="23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9" fontId="0" fillId="0" borderId="0" xfId="0" applyNumberFormat="1" applyFill="1"/>
    <xf numFmtId="0" fontId="0" fillId="0" borderId="0" xfId="0" applyFont="1"/>
    <xf numFmtId="9" fontId="0" fillId="0" borderId="0" xfId="0" applyNumberFormat="1"/>
    <xf numFmtId="0" fontId="24" fillId="0" borderId="8" xfId="0" applyFont="1" applyBorder="1" applyAlignment="1">
      <alignment horizontal="center" wrapText="1"/>
    </xf>
    <xf numFmtId="0" fontId="24" fillId="0" borderId="9" xfId="0" applyFont="1" applyBorder="1" applyAlignment="1">
      <alignment horizontal="center" wrapText="1"/>
    </xf>
    <xf numFmtId="0" fontId="25" fillId="0" borderId="11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1" fontId="0" fillId="0" borderId="0" xfId="5" applyNumberFormat="1" applyFont="1" applyBorder="1" applyAlignment="1">
      <alignment horizontal="center"/>
    </xf>
    <xf numFmtId="164" fontId="0" fillId="0" borderId="0" xfId="5" applyFont="1" applyFill="1"/>
    <xf numFmtId="167" fontId="0" fillId="0" borderId="0" xfId="5" applyNumberFormat="1" applyFont="1" applyFill="1" applyAlignment="1">
      <alignment horizontal="center"/>
    </xf>
    <xf numFmtId="167" fontId="4" fillId="25" borderId="0" xfId="5" applyNumberFormat="1" applyFont="1" applyFill="1" applyAlignment="1">
      <alignment horizontal="center"/>
    </xf>
    <xf numFmtId="0" fontId="0" fillId="25" borderId="0" xfId="0" applyFill="1"/>
    <xf numFmtId="164" fontId="0" fillId="19" borderId="0" xfId="5" applyFont="1" applyFill="1"/>
    <xf numFmtId="167" fontId="0" fillId="0" borderId="9" xfId="5" applyNumberFormat="1" applyFont="1" applyBorder="1" applyAlignment="1">
      <alignment horizontal="center"/>
    </xf>
    <xf numFmtId="167" fontId="0" fillId="0" borderId="0" xfId="5" applyNumberFormat="1" applyFont="1"/>
    <xf numFmtId="0" fontId="0" fillId="15" borderId="0" xfId="0" applyFill="1" applyAlignment="1">
      <alignment horizontal="left"/>
    </xf>
    <xf numFmtId="0" fontId="0" fillId="15" borderId="0" xfId="0" applyFill="1" applyBorder="1" applyAlignment="1">
      <alignment horizontal="left"/>
    </xf>
    <xf numFmtId="9" fontId="0" fillId="0" borderId="0" xfId="3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3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2" fontId="0" fillId="23" borderId="0" xfId="0" applyNumberFormat="1" applyFill="1"/>
    <xf numFmtId="0" fontId="0" fillId="0" borderId="0" xfId="0" applyBorder="1" applyAlignment="1">
      <alignment horizontal="left"/>
    </xf>
    <xf numFmtId="10" fontId="0" fillId="0" borderId="0" xfId="0" applyNumberFormat="1"/>
    <xf numFmtId="0" fontId="4" fillId="0" borderId="0" xfId="0" applyFont="1" applyFill="1" applyBorder="1"/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0" borderId="0" xfId="0" applyFill="1" applyAlignment="1">
      <alignment horizontal="left"/>
    </xf>
    <xf numFmtId="168" fontId="18" fillId="0" borderId="0" xfId="0" applyNumberFormat="1" applyFont="1" applyAlignment="1">
      <alignment horizontal="center"/>
    </xf>
    <xf numFmtId="168" fontId="0" fillId="0" borderId="0" xfId="0" applyNumberFormat="1"/>
    <xf numFmtId="2" fontId="0" fillId="0" borderId="0" xfId="5" applyNumberFormat="1" applyFont="1" applyFill="1" applyBorder="1" applyAlignment="1">
      <alignment horizontal="center"/>
    </xf>
    <xf numFmtId="2" fontId="0" fillId="0" borderId="9" xfId="5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28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167" fontId="0" fillId="0" borderId="0" xfId="5" applyNumberFormat="1" applyFont="1" applyBorder="1" applyAlignment="1">
      <alignment horizontal="center"/>
    </xf>
    <xf numFmtId="167" fontId="4" fillId="0" borderId="4" xfId="5" applyNumberFormat="1" applyFont="1" applyBorder="1" applyAlignment="1">
      <alignment horizontal="center"/>
    </xf>
    <xf numFmtId="43" fontId="0" fillId="0" borderId="0" xfId="0" applyNumberFormat="1" applyAlignment="1"/>
    <xf numFmtId="0" fontId="9" fillId="0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9" fontId="0" fillId="26" borderId="0" xfId="3" applyFont="1" applyFill="1" applyAlignment="1">
      <alignment horizontal="center"/>
    </xf>
    <xf numFmtId="9" fontId="0" fillId="26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left"/>
    </xf>
    <xf numFmtId="166" fontId="4" fillId="0" borderId="0" xfId="0" quotePrefix="1" applyNumberFormat="1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0" fillId="0" borderId="0" xfId="0" applyFont="1" applyAlignment="1">
      <alignment horizontal="center" vertical="center" wrapText="1"/>
    </xf>
    <xf numFmtId="0" fontId="30" fillId="0" borderId="12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0" applyFont="1"/>
    <xf numFmtId="0" fontId="4" fillId="0" borderId="12" xfId="0" applyFont="1" applyBorder="1" applyAlignment="1">
      <alignment horizontal="center"/>
    </xf>
    <xf numFmtId="0" fontId="30" fillId="0" borderId="12" xfId="0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0" fontId="3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9" fontId="31" fillId="0" borderId="0" xfId="9" applyFill="1" applyBorder="1">
      <alignment horizontal="right" vertical="center"/>
    </xf>
    <xf numFmtId="0" fontId="0" fillId="29" borderId="0" xfId="0" applyFill="1" applyAlignment="1">
      <alignment horizontal="center"/>
    </xf>
    <xf numFmtId="0" fontId="0" fillId="29" borderId="0" xfId="0" applyFill="1" applyBorder="1"/>
    <xf numFmtId="0" fontId="0" fillId="29" borderId="0" xfId="0" applyFill="1"/>
    <xf numFmtId="0" fontId="30" fillId="0" borderId="0" xfId="0" applyFont="1" applyFill="1"/>
    <xf numFmtId="9" fontId="30" fillId="0" borderId="0" xfId="3" applyNumberFormat="1" applyFont="1" applyAlignment="1">
      <alignment horizontal="center"/>
    </xf>
    <xf numFmtId="0" fontId="28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0" fillId="22" borderId="0" xfId="0" applyFont="1" applyFill="1" applyAlignment="1">
      <alignment horizontal="center" vertical="center" wrapText="1"/>
    </xf>
    <xf numFmtId="0" fontId="30" fillId="22" borderId="0" xfId="0" applyFont="1" applyFill="1" applyAlignment="1">
      <alignment horizontal="center" vertical="center"/>
    </xf>
    <xf numFmtId="0" fontId="30" fillId="22" borderId="12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9" xfId="0" applyFont="1" applyBorder="1" applyAlignment="1">
      <alignment vertical="center"/>
    </xf>
    <xf numFmtId="0" fontId="33" fillId="0" borderId="4" xfId="0" applyFont="1" applyBorder="1" applyAlignment="1">
      <alignment vertical="center"/>
    </xf>
    <xf numFmtId="0" fontId="34" fillId="0" borderId="4" xfId="0" applyFont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33" fillId="0" borderId="6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wrapText="1"/>
    </xf>
    <xf numFmtId="0" fontId="26" fillId="0" borderId="7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24" fillId="0" borderId="5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</cellXfs>
  <cellStyles count="11">
    <cellStyle name="Comma" xfId="5" builtinId="3"/>
    <cellStyle name="Decimal-2" xfId="8" xr:uid="{00000000-0005-0000-0000-000001000000}"/>
    <cellStyle name="Decimal-6" xfId="9" xr:uid="{00000000-0005-0000-0000-000002000000}"/>
    <cellStyle name="Estimated" xfId="10" xr:uid="{00000000-0005-0000-0000-000003000000}"/>
    <cellStyle name="Hyperlink" xfId="4" builtinId="8"/>
    <cellStyle name="Normal" xfId="0" builtinId="0"/>
    <cellStyle name="Normal 2" xfId="1" xr:uid="{00000000-0005-0000-0000-000006000000}"/>
    <cellStyle name="Normal 3" xfId="2" xr:uid="{00000000-0005-0000-0000-000007000000}"/>
    <cellStyle name="Number" xfId="7" xr:uid="{00000000-0005-0000-0000-000008000000}"/>
    <cellStyle name="Percent" xfId="3" builtinId="5"/>
    <cellStyle name="Text Centre" xfId="6" xr:uid="{00000000-0005-0000-0000-00000A000000}"/>
  </cellStyles>
  <dxfs count="0"/>
  <tableStyles count="0" defaultTableStyle="TableStyleMedium2" defaultPivotStyle="PivotStyleLight16"/>
  <colors>
    <mruColors>
      <color rgb="FF00FFFF"/>
      <color rgb="FFFF99FF"/>
      <color rgb="FFCC00CC"/>
      <color rgb="FF99FF99"/>
      <color rgb="FF800000"/>
      <color rgb="FF00CC66"/>
      <color rgb="FF006666"/>
      <color rgb="FF009999"/>
      <color rgb="FF00CC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hmad/DOCUME~1/MobaXterm/slash/RemoteFiles/1443830_3_14/model%20inputs%20-%20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independent"/>
      <sheetName val="modeled attributes"/>
      <sheetName val="modeled attributes _original"/>
      <sheetName val="scenario analysis"/>
      <sheetName val="vre plants"/>
      <sheetName val="non-vre plants"/>
      <sheetName val="storage"/>
      <sheetName val="EV_aggregator"/>
      <sheetName val="demand response"/>
      <sheetName val="demand centres"/>
      <sheetName val="existing transmission"/>
      <sheetName val="excel input instructions"/>
      <sheetName val="lists"/>
      <sheetName val="Sheet1"/>
    </sheetNames>
    <sheetDataSet>
      <sheetData sheetId="0">
        <row r="5">
          <cell r="A5" t="str">
            <v>coal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B3" t="str">
            <v>Wind</v>
          </cell>
          <cell r="C3" t="str">
            <v>Solar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tc.ca/Routes/General_Information/General_Information.jsp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24B5-C54D-4778-9AA9-DC2F1B5FFAD6}">
  <dimension ref="A1:O114"/>
  <sheetViews>
    <sheetView zoomScale="80" zoomScaleNormal="80" workbookViewId="0">
      <selection activeCell="J14" sqref="J14"/>
    </sheetView>
  </sheetViews>
  <sheetFormatPr defaultRowHeight="15"/>
  <cols>
    <col min="1" max="1" width="12.5703125" customWidth="1"/>
    <col min="2" max="2" width="26" customWidth="1"/>
    <col min="3" max="3" width="16.28515625" customWidth="1"/>
    <col min="4" max="4" width="12.7109375" bestFit="1" customWidth="1"/>
    <col min="5" max="5" width="17.85546875" customWidth="1"/>
    <col min="6" max="6" width="12.7109375" customWidth="1"/>
    <col min="7" max="7" width="23" customWidth="1"/>
    <col min="8" max="8" width="18.85546875" customWidth="1"/>
    <col min="9" max="9" width="20.85546875" customWidth="1"/>
    <col min="10" max="10" width="16.5703125" customWidth="1"/>
    <col min="11" max="11" width="12.140625" customWidth="1"/>
    <col min="12" max="12" width="9.140625" customWidth="1"/>
  </cols>
  <sheetData>
    <row r="1" spans="1:14" ht="19.5" thickBot="1">
      <c r="A1" s="59" t="s">
        <v>307</v>
      </c>
    </row>
    <row r="2" spans="1:14" ht="31.5" customHeight="1">
      <c r="A2" s="73"/>
      <c r="B2" s="218" t="s">
        <v>308</v>
      </c>
      <c r="C2" s="218"/>
      <c r="D2" s="219" t="s">
        <v>309</v>
      </c>
      <c r="E2" s="219"/>
      <c r="F2" s="220" t="s">
        <v>319</v>
      </c>
      <c r="G2" s="220"/>
      <c r="H2" s="220"/>
      <c r="I2" s="221"/>
      <c r="J2" s="54"/>
      <c r="K2" s="204"/>
      <c r="L2" s="205"/>
    </row>
    <row r="3" spans="1:14" ht="33" customHeight="1">
      <c r="A3" s="78" t="s">
        <v>333</v>
      </c>
      <c r="B3" s="206" t="s">
        <v>295</v>
      </c>
      <c r="C3" s="206" t="s">
        <v>306</v>
      </c>
      <c r="D3" s="207" t="s">
        <v>310</v>
      </c>
      <c r="E3" s="207" t="s">
        <v>311</v>
      </c>
      <c r="F3" s="208" t="s">
        <v>292</v>
      </c>
      <c r="G3" s="208" t="s">
        <v>320</v>
      </c>
      <c r="H3" s="208" t="s">
        <v>293</v>
      </c>
      <c r="I3" s="209" t="s">
        <v>325</v>
      </c>
      <c r="J3" s="54"/>
      <c r="K3" s="54"/>
      <c r="L3" s="54"/>
      <c r="M3" s="54"/>
      <c r="N3" s="54"/>
    </row>
    <row r="4" spans="1:14" ht="33" customHeight="1" thickBot="1">
      <c r="A4" s="78"/>
      <c r="B4" s="210" t="s">
        <v>321</v>
      </c>
      <c r="C4" s="210" t="s">
        <v>321</v>
      </c>
      <c r="D4" s="211" t="s">
        <v>313</v>
      </c>
      <c r="E4" s="211" t="s">
        <v>313</v>
      </c>
      <c r="F4" s="212" t="s">
        <v>328</v>
      </c>
      <c r="G4" s="212" t="s">
        <v>328</v>
      </c>
      <c r="H4" s="212" t="s">
        <v>328</v>
      </c>
      <c r="I4" s="213" t="s">
        <v>328</v>
      </c>
      <c r="J4" s="54"/>
      <c r="K4" s="54"/>
      <c r="L4" s="54"/>
      <c r="M4" s="54"/>
      <c r="N4" s="54"/>
    </row>
    <row r="5" spans="1:14">
      <c r="A5" s="78" t="s">
        <v>20</v>
      </c>
      <c r="B5" s="54">
        <v>54</v>
      </c>
      <c r="D5" s="54">
        <v>24</v>
      </c>
      <c r="E5" s="54">
        <v>12</v>
      </c>
      <c r="F5" s="54">
        <v>0.1</v>
      </c>
      <c r="G5" s="54">
        <v>-0.1</v>
      </c>
      <c r="H5" s="158"/>
      <c r="I5" s="159"/>
      <c r="J5" s="54"/>
      <c r="K5" s="54"/>
      <c r="L5" s="54"/>
      <c r="M5" s="54"/>
      <c r="N5" s="54"/>
    </row>
    <row r="6" spans="1:14">
      <c r="A6" s="78" t="s">
        <v>515</v>
      </c>
      <c r="B6" s="54"/>
      <c r="D6" s="54"/>
      <c r="E6" s="54"/>
      <c r="F6" s="54"/>
      <c r="G6" s="54"/>
      <c r="H6" s="158" t="s">
        <v>585</v>
      </c>
      <c r="I6" s="159"/>
      <c r="J6" s="54"/>
      <c r="K6" s="54"/>
      <c r="L6" s="54"/>
      <c r="M6" s="54"/>
      <c r="N6" s="54"/>
    </row>
    <row r="7" spans="1:14">
      <c r="A7" s="78" t="s">
        <v>516</v>
      </c>
      <c r="B7" s="54">
        <v>66</v>
      </c>
      <c r="D7" s="54">
        <v>8</v>
      </c>
      <c r="E7" s="54">
        <v>4</v>
      </c>
      <c r="F7" s="54">
        <v>0.25</v>
      </c>
      <c r="G7" s="54">
        <v>-0.25</v>
      </c>
      <c r="H7" s="158"/>
      <c r="I7" s="159"/>
      <c r="J7" s="54"/>
      <c r="K7" s="54"/>
      <c r="L7" s="54"/>
      <c r="M7" s="54"/>
      <c r="N7" s="54"/>
    </row>
    <row r="8" spans="1:14">
      <c r="A8" s="78" t="s">
        <v>517</v>
      </c>
      <c r="B8" s="54">
        <v>26</v>
      </c>
      <c r="D8" s="54">
        <v>1</v>
      </c>
      <c r="E8" s="54">
        <v>1</v>
      </c>
      <c r="F8" s="54">
        <v>1</v>
      </c>
      <c r="G8" s="54">
        <v>-1</v>
      </c>
      <c r="H8" s="158"/>
      <c r="I8" s="159"/>
      <c r="J8" s="54"/>
      <c r="K8" s="54"/>
      <c r="L8" s="54"/>
      <c r="M8" s="54"/>
      <c r="N8" s="54"/>
    </row>
    <row r="9" spans="1:14">
      <c r="A9" s="78" t="s">
        <v>518</v>
      </c>
      <c r="B9" s="54">
        <v>26</v>
      </c>
      <c r="D9" s="54">
        <v>1</v>
      </c>
      <c r="E9" s="54">
        <v>1</v>
      </c>
      <c r="F9" s="54">
        <v>1</v>
      </c>
      <c r="G9" s="54">
        <v>-1</v>
      </c>
      <c r="H9" s="158"/>
      <c r="I9" s="159"/>
      <c r="J9" s="54"/>
      <c r="K9" s="54"/>
      <c r="L9" s="54"/>
      <c r="M9" s="54"/>
      <c r="N9" s="54"/>
    </row>
    <row r="10" spans="1:14">
      <c r="A10" s="78" t="s">
        <v>209</v>
      </c>
      <c r="B10" s="54"/>
      <c r="D10" s="54">
        <v>1</v>
      </c>
      <c r="E10" s="54">
        <v>1</v>
      </c>
      <c r="F10" s="54">
        <v>0.25</v>
      </c>
      <c r="G10" s="54">
        <v>-0.25</v>
      </c>
      <c r="I10" s="159"/>
      <c r="J10" s="54"/>
      <c r="K10" s="54"/>
      <c r="L10" s="54"/>
      <c r="M10" s="54"/>
      <c r="N10" s="54"/>
    </row>
    <row r="11" spans="1:14">
      <c r="A11" s="78" t="s">
        <v>228</v>
      </c>
      <c r="B11" s="54"/>
      <c r="D11" s="54">
        <v>1</v>
      </c>
      <c r="E11" s="54">
        <v>1</v>
      </c>
      <c r="F11" s="54">
        <v>0.25</v>
      </c>
      <c r="G11" s="54">
        <v>-0.25</v>
      </c>
      <c r="H11" s="158"/>
      <c r="I11" s="159"/>
      <c r="J11" s="54"/>
      <c r="K11" s="54"/>
      <c r="L11" s="54"/>
      <c r="M11" s="54"/>
      <c r="N11" s="54"/>
    </row>
    <row r="12" spans="1:14">
      <c r="A12" s="78" t="s">
        <v>1</v>
      </c>
      <c r="B12" s="54">
        <v>55</v>
      </c>
      <c r="D12" s="54">
        <v>168</v>
      </c>
      <c r="E12" s="54">
        <v>24</v>
      </c>
      <c r="F12" s="54">
        <v>0.01</v>
      </c>
      <c r="G12" s="54">
        <v>-0.01</v>
      </c>
      <c r="H12" s="158"/>
      <c r="I12" s="159"/>
      <c r="J12" s="214"/>
      <c r="L12" s="54"/>
      <c r="M12" s="54"/>
      <c r="N12" s="54"/>
    </row>
    <row r="13" spans="1:14">
      <c r="A13" s="78" t="s">
        <v>2</v>
      </c>
      <c r="B13" s="54"/>
      <c r="C13" s="54"/>
      <c r="D13" s="54"/>
      <c r="E13" s="54"/>
      <c r="F13" s="54">
        <v>1</v>
      </c>
      <c r="G13" s="54">
        <v>-1</v>
      </c>
      <c r="H13" s="54"/>
      <c r="I13" s="54"/>
      <c r="J13" s="54"/>
      <c r="K13" s="54"/>
      <c r="L13" s="54"/>
      <c r="M13" s="54"/>
      <c r="N13" s="54"/>
    </row>
    <row r="14" spans="1:14">
      <c r="A14" s="78" t="s">
        <v>519</v>
      </c>
      <c r="B14" s="54"/>
      <c r="C14" s="54"/>
      <c r="D14" s="54"/>
      <c r="E14" s="54"/>
      <c r="F14" s="54">
        <v>1</v>
      </c>
      <c r="G14" s="54">
        <v>-1</v>
      </c>
      <c r="H14" s="54"/>
      <c r="I14" s="54"/>
      <c r="J14" s="54"/>
      <c r="K14" s="54"/>
      <c r="L14" s="54"/>
      <c r="M14" s="54"/>
      <c r="N14" s="54"/>
    </row>
    <row r="15" spans="1:14">
      <c r="A15" s="78" t="s">
        <v>520</v>
      </c>
      <c r="B15" s="54"/>
      <c r="C15" s="54"/>
      <c r="D15" s="54"/>
      <c r="E15" s="54"/>
      <c r="F15" s="54">
        <v>1</v>
      </c>
      <c r="G15" s="54">
        <v>-1</v>
      </c>
      <c r="H15" s="54"/>
      <c r="I15" s="54"/>
      <c r="J15" s="54"/>
      <c r="K15" s="54"/>
      <c r="L15" s="54"/>
      <c r="M15" s="54"/>
      <c r="N15" s="54"/>
    </row>
    <row r="16" spans="1:14">
      <c r="A16" s="78" t="s">
        <v>521</v>
      </c>
      <c r="B16" s="54"/>
      <c r="C16" s="54"/>
      <c r="D16" s="54"/>
      <c r="E16" s="54"/>
      <c r="F16" s="54">
        <v>1</v>
      </c>
      <c r="G16" s="54">
        <v>-1</v>
      </c>
      <c r="H16" s="54"/>
      <c r="I16" s="54"/>
      <c r="J16" s="54"/>
      <c r="K16" s="54"/>
      <c r="L16" s="54"/>
      <c r="M16" s="54"/>
      <c r="N16" s="54"/>
    </row>
    <row r="17" spans="1:15">
      <c r="A17" s="78" t="s">
        <v>9</v>
      </c>
      <c r="B17" s="54"/>
      <c r="C17" s="54"/>
      <c r="D17" s="54"/>
      <c r="E17" s="54"/>
      <c r="F17" s="54"/>
      <c r="G17" s="54"/>
      <c r="H17" s="158"/>
      <c r="I17" s="158"/>
      <c r="J17" s="54"/>
      <c r="K17" s="54"/>
      <c r="L17" s="54"/>
      <c r="M17" s="54"/>
      <c r="N17" s="54"/>
    </row>
    <row r="18" spans="1:15">
      <c r="A18" s="78" t="s">
        <v>10</v>
      </c>
      <c r="B18" s="54">
        <v>54</v>
      </c>
      <c r="C18" s="54"/>
      <c r="D18" s="54">
        <v>8</v>
      </c>
      <c r="E18" s="54">
        <v>6</v>
      </c>
      <c r="F18" s="54">
        <v>0.05</v>
      </c>
      <c r="G18" s="54">
        <v>-0.05</v>
      </c>
      <c r="H18" s="158"/>
      <c r="I18" s="159"/>
      <c r="J18" s="54"/>
      <c r="K18" s="54"/>
      <c r="L18" s="54"/>
      <c r="M18" s="54"/>
      <c r="N18" s="54"/>
    </row>
    <row r="19" spans="1:15">
      <c r="A19" s="78" t="s">
        <v>522</v>
      </c>
      <c r="B19" s="54">
        <v>54</v>
      </c>
      <c r="C19" s="54"/>
      <c r="D19" s="54">
        <v>8</v>
      </c>
      <c r="E19" s="54">
        <v>6</v>
      </c>
      <c r="F19" s="54">
        <v>0.05</v>
      </c>
      <c r="G19" s="54">
        <v>-0.05</v>
      </c>
      <c r="H19" s="158"/>
      <c r="I19" s="159"/>
      <c r="J19" s="54"/>
      <c r="K19" s="54"/>
      <c r="L19" s="54"/>
      <c r="M19" s="54"/>
      <c r="N19" s="54"/>
    </row>
    <row r="20" spans="1:15">
      <c r="A20" s="78" t="s">
        <v>4</v>
      </c>
      <c r="B20" s="54"/>
      <c r="C20" s="54"/>
      <c r="D20" s="54"/>
      <c r="E20" s="54"/>
      <c r="F20" s="54"/>
      <c r="G20" s="54"/>
      <c r="H20" s="158"/>
      <c r="I20" s="159"/>
      <c r="J20" s="54"/>
      <c r="K20" s="54"/>
      <c r="L20" s="54"/>
      <c r="M20" s="54"/>
      <c r="N20" s="54"/>
    </row>
    <row r="21" spans="1:15">
      <c r="A21" s="78" t="s">
        <v>334</v>
      </c>
      <c r="B21" s="54"/>
      <c r="C21" s="54"/>
      <c r="D21" s="54"/>
      <c r="E21" s="54"/>
      <c r="F21" s="54"/>
      <c r="G21" s="54"/>
      <c r="H21" s="158"/>
      <c r="I21" s="159"/>
      <c r="J21" s="54"/>
      <c r="K21" s="54"/>
      <c r="L21" s="54"/>
      <c r="M21" s="54"/>
      <c r="N21" s="54"/>
    </row>
    <row r="22" spans="1:15">
      <c r="A22" s="78" t="s">
        <v>225</v>
      </c>
      <c r="B22" s="215">
        <v>0</v>
      </c>
      <c r="C22" s="215">
        <v>0</v>
      </c>
      <c r="D22" s="54">
        <v>1</v>
      </c>
      <c r="E22" s="54">
        <v>1</v>
      </c>
      <c r="F22" s="54">
        <v>1</v>
      </c>
      <c r="G22" s="54">
        <v>-1</v>
      </c>
      <c r="H22" s="158"/>
      <c r="I22" s="159"/>
      <c r="J22" s="54"/>
      <c r="K22" s="54"/>
      <c r="L22" s="54"/>
      <c r="M22" s="54"/>
      <c r="N22" s="54"/>
    </row>
    <row r="23" spans="1:15">
      <c r="A23" s="78" t="s">
        <v>226</v>
      </c>
      <c r="B23" s="215"/>
      <c r="C23" s="215"/>
      <c r="D23" s="54"/>
      <c r="E23" s="54"/>
      <c r="F23" s="54"/>
      <c r="G23" s="54"/>
      <c r="H23" s="158"/>
      <c r="I23" s="159"/>
      <c r="J23" s="54"/>
      <c r="K23" s="54"/>
      <c r="L23" s="54"/>
      <c r="M23" s="54"/>
      <c r="N23" s="54"/>
    </row>
    <row r="24" spans="1:15">
      <c r="A24" s="78" t="s">
        <v>331</v>
      </c>
      <c r="B24" s="215"/>
      <c r="C24" s="215"/>
      <c r="D24" s="54"/>
      <c r="E24" s="54"/>
      <c r="F24" s="54"/>
      <c r="G24" s="54"/>
      <c r="H24" s="54"/>
      <c r="I24" s="92"/>
      <c r="J24" s="54"/>
      <c r="K24" s="54"/>
      <c r="L24" s="54"/>
      <c r="M24" s="54"/>
      <c r="N24" s="54"/>
    </row>
    <row r="25" spans="1:15" ht="15.75" thickBot="1">
      <c r="A25" s="82" t="s">
        <v>281</v>
      </c>
      <c r="B25" s="215"/>
      <c r="C25" s="215"/>
      <c r="D25" s="54"/>
      <c r="E25" s="54"/>
      <c r="F25" s="54"/>
      <c r="G25" s="54"/>
      <c r="H25" s="54"/>
      <c r="I25" s="92"/>
      <c r="J25" s="54"/>
      <c r="K25" s="54"/>
      <c r="L25" s="54"/>
      <c r="M25" s="54"/>
      <c r="N25" s="54"/>
    </row>
    <row r="26" spans="1:15">
      <c r="A26" s="78" t="s">
        <v>577</v>
      </c>
      <c r="B26" s="215"/>
      <c r="C26" s="215"/>
      <c r="D26" s="54"/>
      <c r="E26" s="54"/>
      <c r="F26" s="54"/>
      <c r="G26" s="54"/>
      <c r="H26" s="54"/>
      <c r="I26" s="92"/>
      <c r="J26" s="54"/>
      <c r="K26" s="54"/>
      <c r="L26" s="54"/>
      <c r="M26" s="54"/>
      <c r="N26" s="54"/>
    </row>
    <row r="27" spans="1:15" ht="15.75" thickBot="1">
      <c r="A27" s="78" t="s">
        <v>408</v>
      </c>
      <c r="B27" s="94"/>
      <c r="C27" s="94"/>
      <c r="D27" s="83"/>
      <c r="E27" s="83"/>
      <c r="F27" s="83"/>
      <c r="G27" s="83"/>
      <c r="H27" s="83"/>
      <c r="I27" s="95"/>
      <c r="J27" s="54"/>
      <c r="K27" s="54"/>
      <c r="L27" s="54"/>
      <c r="M27" s="54"/>
      <c r="N27" s="54"/>
    </row>
    <row r="28" spans="1:15"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spans="1:15">
      <c r="A29" t="s">
        <v>291</v>
      </c>
      <c r="B29" s="54">
        <f>COLUMN(B3)-2</f>
        <v>0</v>
      </c>
      <c r="C29" s="54">
        <f t="shared" ref="C29:I29" si="0">COLUMN(C3)-2</f>
        <v>1</v>
      </c>
      <c r="D29" s="54">
        <f t="shared" si="0"/>
        <v>2</v>
      </c>
      <c r="E29" s="54">
        <f t="shared" si="0"/>
        <v>3</v>
      </c>
      <c r="F29" s="54">
        <f t="shared" si="0"/>
        <v>4</v>
      </c>
      <c r="G29" s="54">
        <f t="shared" si="0"/>
        <v>5</v>
      </c>
      <c r="H29" s="54">
        <f t="shared" si="0"/>
        <v>6</v>
      </c>
      <c r="I29" s="54">
        <f t="shared" si="0"/>
        <v>7</v>
      </c>
      <c r="J29" s="54"/>
      <c r="K29" s="54"/>
    </row>
    <row r="31" spans="1:15">
      <c r="A31" t="s">
        <v>304</v>
      </c>
      <c r="B31" t="s">
        <v>296</v>
      </c>
      <c r="C31" t="s">
        <v>303</v>
      </c>
    </row>
    <row r="32" spans="1:15">
      <c r="B32" t="s">
        <v>295</v>
      </c>
      <c r="C32" t="s">
        <v>294</v>
      </c>
    </row>
    <row r="33" spans="2:6">
      <c r="B33" t="s">
        <v>306</v>
      </c>
    </row>
    <row r="34" spans="2:6">
      <c r="B34" t="s">
        <v>310</v>
      </c>
      <c r="C34" t="s">
        <v>312</v>
      </c>
      <c r="E34" s="58"/>
      <c r="F34" s="58"/>
    </row>
    <row r="35" spans="2:6">
      <c r="B35" t="s">
        <v>311</v>
      </c>
      <c r="C35" t="s">
        <v>314</v>
      </c>
      <c r="E35" s="58"/>
      <c r="F35" s="58"/>
    </row>
    <row r="36" spans="2:6">
      <c r="B36" t="s">
        <v>292</v>
      </c>
      <c r="C36" t="s">
        <v>322</v>
      </c>
      <c r="D36" s="58"/>
    </row>
    <row r="37" spans="2:6">
      <c r="B37" t="s">
        <v>320</v>
      </c>
      <c r="C37" t="s">
        <v>323</v>
      </c>
      <c r="D37" s="58"/>
    </row>
    <row r="38" spans="2:6">
      <c r="B38" t="s">
        <v>293</v>
      </c>
      <c r="C38" t="s">
        <v>326</v>
      </c>
    </row>
    <row r="39" spans="2:6">
      <c r="B39" t="s">
        <v>325</v>
      </c>
      <c r="C39" t="s">
        <v>327</v>
      </c>
    </row>
    <row r="114" spans="10:10">
      <c r="J114" t="s">
        <v>404</v>
      </c>
    </row>
  </sheetData>
  <mergeCells count="3">
    <mergeCell ref="B2:C2"/>
    <mergeCell ref="D2:E2"/>
    <mergeCell ref="F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Z138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0" sqref="D10"/>
    </sheetView>
  </sheetViews>
  <sheetFormatPr defaultRowHeight="15"/>
  <cols>
    <col min="1" max="1" width="33.140625" bestFit="1" customWidth="1"/>
    <col min="2" max="2" width="15" customWidth="1"/>
    <col min="3" max="3" width="14.140625" customWidth="1"/>
    <col min="4" max="4" width="13.85546875" customWidth="1"/>
    <col min="5" max="5" width="15.28515625" bestFit="1" customWidth="1"/>
    <col min="6" max="6" width="15.5703125" customWidth="1"/>
    <col min="7" max="7" width="15.85546875" customWidth="1"/>
    <col min="8" max="8" width="16.140625" bestFit="1" customWidth="1"/>
    <col min="9" max="9" width="14.42578125" bestFit="1" customWidth="1"/>
    <col min="10" max="10" width="15.42578125" bestFit="1" customWidth="1"/>
    <col min="11" max="11" width="14.42578125" bestFit="1" customWidth="1"/>
    <col min="12" max="16" width="14.42578125" customWidth="1"/>
    <col min="17" max="17" width="9.140625" customWidth="1"/>
    <col min="18" max="18" width="9.7109375" customWidth="1"/>
    <col min="19" max="19" width="7.42578125" customWidth="1"/>
    <col min="20" max="20" width="14.42578125" customWidth="1"/>
    <col min="21" max="21" width="11.7109375" customWidth="1"/>
    <col min="22" max="24" width="14.42578125" customWidth="1"/>
    <col min="25" max="25" width="16.140625" bestFit="1" customWidth="1"/>
  </cols>
  <sheetData>
    <row r="1" spans="1:26">
      <c r="A1" t="s">
        <v>0</v>
      </c>
      <c r="B1" s="57">
        <v>0</v>
      </c>
      <c r="C1" s="57">
        <v>1</v>
      </c>
      <c r="D1" s="57">
        <v>2</v>
      </c>
      <c r="E1" s="57">
        <v>3</v>
      </c>
      <c r="F1" s="57">
        <v>4</v>
      </c>
      <c r="G1" s="57">
        <v>5</v>
      </c>
      <c r="H1" s="57">
        <v>6</v>
      </c>
      <c r="I1" s="57">
        <v>7</v>
      </c>
      <c r="J1" s="57">
        <v>8</v>
      </c>
      <c r="K1" s="57">
        <v>9</v>
      </c>
      <c r="L1" s="57">
        <v>10</v>
      </c>
      <c r="M1" s="57">
        <v>11</v>
      </c>
      <c r="N1" s="57">
        <v>12</v>
      </c>
      <c r="O1" s="57">
        <v>13</v>
      </c>
      <c r="Y1" t="s">
        <v>35</v>
      </c>
    </row>
    <row r="2" spans="1:26" s="58" customFormat="1" ht="15" customHeight="1">
      <c r="I2" s="58" t="s">
        <v>41</v>
      </c>
      <c r="M2" s="58" t="s">
        <v>215</v>
      </c>
      <c r="P2" s="103" t="s">
        <v>315</v>
      </c>
      <c r="Q2" s="103"/>
      <c r="R2" s="103"/>
      <c r="S2" s="103"/>
      <c r="T2" s="103"/>
      <c r="U2" s="103"/>
      <c r="V2" s="104"/>
      <c r="W2" s="106"/>
      <c r="X2" s="106"/>
    </row>
    <row r="3" spans="1:26" s="58" customFormat="1" ht="60">
      <c r="A3" s="105" t="s">
        <v>15</v>
      </c>
      <c r="B3" s="58" t="s">
        <v>11</v>
      </c>
      <c r="C3" s="58" t="s">
        <v>12</v>
      </c>
      <c r="D3" s="58" t="s">
        <v>33</v>
      </c>
      <c r="E3" s="58" t="s">
        <v>213</v>
      </c>
      <c r="F3" s="58" t="s">
        <v>212</v>
      </c>
      <c r="G3" s="58" t="s">
        <v>6</v>
      </c>
      <c r="H3" s="58" t="s">
        <v>7</v>
      </c>
      <c r="I3" s="58" t="s">
        <v>36</v>
      </c>
      <c r="J3" s="58" t="s">
        <v>37</v>
      </c>
      <c r="K3" s="58" t="s">
        <v>38</v>
      </c>
      <c r="L3" s="58" t="s">
        <v>45</v>
      </c>
      <c r="M3" s="58" t="s">
        <v>36</v>
      </c>
      <c r="N3" s="58" t="s">
        <v>37</v>
      </c>
      <c r="O3" s="58" t="s">
        <v>38</v>
      </c>
      <c r="P3" s="103" t="s">
        <v>298</v>
      </c>
      <c r="Q3" s="103" t="s">
        <v>316</v>
      </c>
      <c r="R3" s="103" t="s">
        <v>317</v>
      </c>
      <c r="S3" s="103" t="s">
        <v>306</v>
      </c>
      <c r="T3" s="103" t="s">
        <v>324</v>
      </c>
      <c r="U3" s="103" t="s">
        <v>325</v>
      </c>
      <c r="V3" s="104" t="s">
        <v>352</v>
      </c>
      <c r="W3" s="106" t="s">
        <v>351</v>
      </c>
      <c r="X3" s="106" t="s">
        <v>361</v>
      </c>
    </row>
    <row r="4" spans="1:26" ht="45">
      <c r="B4" t="s">
        <v>14</v>
      </c>
      <c r="C4" t="s">
        <v>14</v>
      </c>
      <c r="D4" t="s">
        <v>14</v>
      </c>
      <c r="E4" t="s">
        <v>14</v>
      </c>
      <c r="F4" t="s">
        <v>14</v>
      </c>
      <c r="H4" t="s">
        <v>22</v>
      </c>
      <c r="I4" t="s">
        <v>21</v>
      </c>
      <c r="L4" t="s">
        <v>42</v>
      </c>
      <c r="M4" t="s">
        <v>218</v>
      </c>
      <c r="P4" t="s">
        <v>318</v>
      </c>
      <c r="Q4" t="s">
        <v>313</v>
      </c>
      <c r="R4" t="s">
        <v>313</v>
      </c>
      <c r="V4" s="104" t="s">
        <v>338</v>
      </c>
      <c r="W4" s="106" t="s">
        <v>338</v>
      </c>
      <c r="X4" s="106" t="s">
        <v>362</v>
      </c>
    </row>
    <row r="5" spans="1:26">
      <c r="A5" t="s">
        <v>20</v>
      </c>
      <c r="B5" s="60">
        <v>60</v>
      </c>
      <c r="C5" s="60">
        <v>4.2</v>
      </c>
      <c r="D5" s="60">
        <v>30.3</v>
      </c>
      <c r="E5" s="60">
        <v>1.2</v>
      </c>
      <c r="F5" s="60">
        <v>95.6</v>
      </c>
      <c r="G5" s="61">
        <f>3412/10459</f>
        <v>0.32622621665551199</v>
      </c>
      <c r="H5" s="62">
        <v>820</v>
      </c>
      <c r="I5" s="63">
        <v>3</v>
      </c>
      <c r="J5" s="63">
        <v>6.5</v>
      </c>
      <c r="K5" s="63">
        <v>10</v>
      </c>
      <c r="L5" s="64">
        <v>2</v>
      </c>
      <c r="M5" s="65">
        <v>59</v>
      </c>
      <c r="N5" s="65">
        <v>65</v>
      </c>
      <c r="O5" s="65">
        <v>105</v>
      </c>
      <c r="P5" s="66">
        <v>10000</v>
      </c>
      <c r="Q5" s="66">
        <v>3</v>
      </c>
      <c r="R5" s="66">
        <v>3</v>
      </c>
      <c r="S5" s="66">
        <v>0</v>
      </c>
      <c r="T5" s="66"/>
      <c r="U5" s="66"/>
      <c r="V5" s="102">
        <v>0.53</v>
      </c>
      <c r="W5" s="98">
        <v>1</v>
      </c>
      <c r="X5" s="136">
        <v>2917</v>
      </c>
      <c r="Y5" s="3" t="s">
        <v>28</v>
      </c>
    </row>
    <row r="6" spans="1:26">
      <c r="A6" t="s">
        <v>515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66">
        <f>P5</f>
        <v>10000</v>
      </c>
      <c r="Q6" s="66">
        <v>4</v>
      </c>
      <c r="R6" s="66">
        <v>3</v>
      </c>
      <c r="S6" s="66">
        <v>0</v>
      </c>
      <c r="T6" s="66"/>
      <c r="U6" s="66"/>
      <c r="V6" s="102"/>
      <c r="W6" s="98">
        <v>1</v>
      </c>
      <c r="X6" s="136"/>
      <c r="Y6" s="5" t="s">
        <v>29</v>
      </c>
    </row>
    <row r="7" spans="1:26">
      <c r="A7" t="s">
        <v>516</v>
      </c>
      <c r="B7" s="60">
        <v>14.3</v>
      </c>
      <c r="C7" s="60">
        <v>1.7</v>
      </c>
      <c r="D7" s="60">
        <v>49.1</v>
      </c>
      <c r="E7" s="60">
        <v>1.2</v>
      </c>
      <c r="F7" s="60">
        <v>66.3</v>
      </c>
      <c r="G7" s="67">
        <v>0.55000000000000004</v>
      </c>
      <c r="H7" s="62">
        <v>490</v>
      </c>
      <c r="I7" s="63">
        <v>1</v>
      </c>
      <c r="J7" s="63">
        <v>2</v>
      </c>
      <c r="K7" s="63">
        <v>4</v>
      </c>
      <c r="L7" s="64">
        <v>5</v>
      </c>
      <c r="M7" s="65">
        <v>35</v>
      </c>
      <c r="N7" s="65">
        <v>55</v>
      </c>
      <c r="O7" s="65">
        <v>79</v>
      </c>
      <c r="P7" s="66">
        <f t="shared" ref="P7:P19" si="0">P6</f>
        <v>10000</v>
      </c>
      <c r="Q7" s="66">
        <v>4</v>
      </c>
      <c r="R7" s="66">
        <v>3</v>
      </c>
      <c r="S7" s="66">
        <v>0</v>
      </c>
      <c r="T7" s="66"/>
      <c r="U7" s="66"/>
      <c r="V7" s="102">
        <v>0.53</v>
      </c>
      <c r="W7" s="98">
        <v>1</v>
      </c>
      <c r="X7" s="136">
        <v>671</v>
      </c>
      <c r="Z7" s="4" t="s">
        <v>30</v>
      </c>
    </row>
    <row r="8" spans="1:26">
      <c r="A8" t="s">
        <v>517</v>
      </c>
      <c r="B8" s="60">
        <v>40.200000000000003</v>
      </c>
      <c r="C8" s="60">
        <v>2.8</v>
      </c>
      <c r="D8" s="60">
        <v>82</v>
      </c>
      <c r="E8" s="60">
        <v>3.4</v>
      </c>
      <c r="F8" s="60">
        <v>128.4</v>
      </c>
      <c r="G8" s="67">
        <v>0.35</v>
      </c>
      <c r="H8" s="68">
        <v>530</v>
      </c>
      <c r="I8" s="63">
        <v>0.5</v>
      </c>
      <c r="J8" s="63">
        <v>0.5</v>
      </c>
      <c r="K8" s="63">
        <v>0.5</v>
      </c>
      <c r="L8" s="64">
        <v>8</v>
      </c>
      <c r="M8" s="65">
        <v>32</v>
      </c>
      <c r="N8" s="65">
        <v>126</v>
      </c>
      <c r="O8" s="65">
        <v>103</v>
      </c>
      <c r="P8" s="66">
        <f t="shared" si="0"/>
        <v>10000</v>
      </c>
      <c r="Q8" s="66">
        <v>4</v>
      </c>
      <c r="R8" s="66">
        <v>3</v>
      </c>
      <c r="S8" s="66">
        <v>0</v>
      </c>
      <c r="T8" s="66"/>
      <c r="U8" s="66"/>
      <c r="V8" s="102">
        <v>1</v>
      </c>
      <c r="W8" s="98">
        <v>1</v>
      </c>
      <c r="X8" s="136">
        <v>968</v>
      </c>
      <c r="Z8" s="6" t="s">
        <v>31</v>
      </c>
    </row>
    <row r="9" spans="1:26">
      <c r="A9" t="s">
        <v>518</v>
      </c>
      <c r="B9" s="60">
        <v>40.200000000000003</v>
      </c>
      <c r="C9" s="60">
        <v>2.8</v>
      </c>
      <c r="D9" s="60">
        <v>82</v>
      </c>
      <c r="E9" s="60">
        <v>3.4</v>
      </c>
      <c r="F9" s="60">
        <v>128.4</v>
      </c>
      <c r="G9" s="67">
        <v>0.35</v>
      </c>
      <c r="H9" s="68">
        <v>530</v>
      </c>
      <c r="I9" s="63">
        <v>0.5</v>
      </c>
      <c r="J9" s="63">
        <v>0.5</v>
      </c>
      <c r="K9" s="63">
        <v>0.5</v>
      </c>
      <c r="L9" s="64">
        <v>8</v>
      </c>
      <c r="M9" s="65">
        <v>32</v>
      </c>
      <c r="N9" s="65">
        <v>126</v>
      </c>
      <c r="O9" s="65">
        <v>103</v>
      </c>
      <c r="P9" s="66">
        <f t="shared" si="0"/>
        <v>10000</v>
      </c>
      <c r="Q9" s="66">
        <v>4</v>
      </c>
      <c r="R9" s="66">
        <v>3</v>
      </c>
      <c r="S9" s="66">
        <v>0</v>
      </c>
      <c r="T9" s="66"/>
      <c r="U9" s="66"/>
      <c r="V9" s="102">
        <v>1</v>
      </c>
      <c r="W9" s="98">
        <v>1</v>
      </c>
      <c r="X9" s="136">
        <v>968</v>
      </c>
      <c r="Z9" s="6"/>
    </row>
    <row r="10" spans="1:26">
      <c r="A10" t="s">
        <v>209</v>
      </c>
      <c r="B10" s="54">
        <v>8</v>
      </c>
      <c r="C10" s="54">
        <v>2</v>
      </c>
      <c r="D10" s="54">
        <v>288</v>
      </c>
      <c r="E10" s="54"/>
      <c r="F10" s="54"/>
      <c r="G10" s="61">
        <f>3412/10713</f>
        <v>0.31849155231961168</v>
      </c>
      <c r="H10" s="69">
        <v>733</v>
      </c>
      <c r="I10" s="54"/>
      <c r="J10" s="54"/>
      <c r="K10" s="54"/>
      <c r="L10" s="54"/>
      <c r="M10" s="54"/>
      <c r="N10" s="54"/>
      <c r="O10" s="54">
        <v>10000000</v>
      </c>
      <c r="P10" s="66">
        <f>P8</f>
        <v>10000</v>
      </c>
      <c r="Q10" s="66"/>
      <c r="R10" s="66"/>
      <c r="S10" s="66">
        <v>0</v>
      </c>
      <c r="T10" s="66"/>
      <c r="U10" s="66"/>
      <c r="V10" s="102">
        <v>0.86</v>
      </c>
      <c r="W10" s="98">
        <v>1</v>
      </c>
      <c r="X10" s="136"/>
    </row>
    <row r="11" spans="1:26">
      <c r="A11" t="s">
        <v>228</v>
      </c>
      <c r="B11" s="54">
        <v>8</v>
      </c>
      <c r="C11" s="54">
        <v>2</v>
      </c>
      <c r="D11" s="54">
        <f>0.6*D10</f>
        <v>172.79999999999998</v>
      </c>
      <c r="E11" s="54"/>
      <c r="F11" s="54"/>
      <c r="G11" s="61">
        <f>3412/10713</f>
        <v>0.31849155231961168</v>
      </c>
      <c r="H11" s="69">
        <v>733</v>
      </c>
      <c r="I11" s="54"/>
      <c r="J11" s="54"/>
      <c r="K11" s="54"/>
      <c r="L11" s="54"/>
      <c r="M11" s="54"/>
      <c r="N11" s="54"/>
      <c r="O11" s="54">
        <v>10000000</v>
      </c>
      <c r="P11" s="66">
        <f t="shared" si="0"/>
        <v>10000</v>
      </c>
      <c r="Q11" s="66"/>
      <c r="R11" s="66"/>
      <c r="S11" s="66">
        <v>0</v>
      </c>
      <c r="T11" s="66"/>
      <c r="U11" s="66"/>
      <c r="V11" s="102">
        <v>0.86</v>
      </c>
      <c r="W11" s="98">
        <v>1</v>
      </c>
      <c r="X11" s="136"/>
    </row>
    <row r="12" spans="1:26">
      <c r="A12" t="s">
        <v>1</v>
      </c>
      <c r="B12" s="60">
        <v>71.400000000000006</v>
      </c>
      <c r="C12" s="60">
        <v>11.8</v>
      </c>
      <c r="D12" s="60">
        <v>11.8</v>
      </c>
      <c r="E12" s="60">
        <v>1.1000000000000001</v>
      </c>
      <c r="F12" s="60">
        <v>96.1</v>
      </c>
      <c r="G12" s="61">
        <f>3412/10449</f>
        <v>0.32653842472963918</v>
      </c>
      <c r="H12" s="62">
        <v>12</v>
      </c>
      <c r="I12" s="70">
        <v>1</v>
      </c>
      <c r="J12" s="54"/>
      <c r="K12" s="70">
        <v>13</v>
      </c>
      <c r="L12" s="64">
        <v>5</v>
      </c>
      <c r="M12" s="54"/>
      <c r="N12" s="54"/>
      <c r="O12" s="54">
        <v>500</v>
      </c>
      <c r="P12" s="66">
        <f t="shared" si="0"/>
        <v>10000</v>
      </c>
      <c r="Q12" s="66">
        <v>10</v>
      </c>
      <c r="R12" s="66">
        <v>3</v>
      </c>
      <c r="S12" s="66">
        <v>0</v>
      </c>
      <c r="T12" s="66"/>
      <c r="U12" s="66"/>
      <c r="V12" s="102">
        <v>0.2</v>
      </c>
      <c r="W12" s="98">
        <v>1</v>
      </c>
      <c r="X12" s="136">
        <v>5366</v>
      </c>
      <c r="Y12" s="8" t="s">
        <v>32</v>
      </c>
    </row>
    <row r="13" spans="1:26">
      <c r="A13" t="s">
        <v>2</v>
      </c>
      <c r="B13" s="60">
        <v>72</v>
      </c>
      <c r="C13" s="60">
        <v>4.0999999999999996</v>
      </c>
      <c r="D13" s="60">
        <v>6.4</v>
      </c>
      <c r="E13" s="60">
        <v>2</v>
      </c>
      <c r="F13" s="60">
        <v>84.5</v>
      </c>
      <c r="G13" s="71">
        <v>0.9</v>
      </c>
      <c r="H13" s="62">
        <v>24</v>
      </c>
      <c r="I13" s="54"/>
      <c r="P13" s="66">
        <f t="shared" si="0"/>
        <v>10000</v>
      </c>
      <c r="V13" s="102">
        <v>0.66</v>
      </c>
      <c r="W13" s="98">
        <v>1</v>
      </c>
      <c r="X13" s="136">
        <v>2651</v>
      </c>
      <c r="Y13" s="7" t="s">
        <v>34</v>
      </c>
    </row>
    <row r="14" spans="1:26">
      <c r="A14" t="s">
        <v>519</v>
      </c>
      <c r="B14" s="60">
        <v>72</v>
      </c>
      <c r="C14" s="60">
        <v>4.0999999999999996</v>
      </c>
      <c r="D14" s="60">
        <v>6.4</v>
      </c>
      <c r="E14" s="60">
        <v>2</v>
      </c>
      <c r="F14" s="60">
        <v>84.5</v>
      </c>
      <c r="G14" s="71">
        <v>0.9</v>
      </c>
      <c r="H14" s="62">
        <v>24</v>
      </c>
      <c r="I14" s="54"/>
      <c r="P14" s="66">
        <f t="shared" si="0"/>
        <v>10000</v>
      </c>
      <c r="V14" s="102">
        <v>0.66</v>
      </c>
      <c r="W14" s="98">
        <v>1</v>
      </c>
      <c r="X14" s="136">
        <v>2651</v>
      </c>
      <c r="Y14" s="7"/>
    </row>
    <row r="15" spans="1:26">
      <c r="A15" t="s">
        <v>520</v>
      </c>
      <c r="B15" s="60">
        <v>72</v>
      </c>
      <c r="C15" s="60">
        <v>4.0999999999999996</v>
      </c>
      <c r="D15" s="60">
        <v>6.4</v>
      </c>
      <c r="E15" s="60">
        <v>2</v>
      </c>
      <c r="F15" s="60">
        <v>84.5</v>
      </c>
      <c r="G15" s="71">
        <v>0.9</v>
      </c>
      <c r="H15" s="62">
        <v>24</v>
      </c>
      <c r="I15" s="54"/>
      <c r="P15" s="66">
        <f t="shared" si="0"/>
        <v>10000</v>
      </c>
      <c r="V15" s="102">
        <v>0.66</v>
      </c>
      <c r="W15" s="98">
        <v>1</v>
      </c>
      <c r="X15" s="136">
        <v>2651</v>
      </c>
      <c r="Y15" s="7"/>
    </row>
    <row r="16" spans="1:26">
      <c r="A16" t="s">
        <v>521</v>
      </c>
      <c r="B16" s="60">
        <v>72</v>
      </c>
      <c r="C16" s="60">
        <v>4.0999999999999996</v>
      </c>
      <c r="D16" s="60">
        <v>6.4</v>
      </c>
      <c r="E16" s="60">
        <v>2</v>
      </c>
      <c r="F16" s="60">
        <v>84.5</v>
      </c>
      <c r="G16" s="71">
        <v>0.9</v>
      </c>
      <c r="H16" s="62">
        <v>24</v>
      </c>
      <c r="I16" s="54"/>
      <c r="P16" s="66">
        <f t="shared" si="0"/>
        <v>10000</v>
      </c>
      <c r="V16" s="102">
        <v>0.66</v>
      </c>
      <c r="W16" s="98">
        <v>1</v>
      </c>
      <c r="X16" s="136">
        <v>2651</v>
      </c>
      <c r="Y16" s="7"/>
    </row>
    <row r="17" spans="1:25">
      <c r="A17" t="s">
        <v>9</v>
      </c>
      <c r="B17" s="60">
        <v>34.200000000000003</v>
      </c>
      <c r="C17" s="60">
        <v>12.2</v>
      </c>
      <c r="D17" s="60">
        <v>0</v>
      </c>
      <c r="E17" s="60">
        <v>1.4</v>
      </c>
      <c r="F17" s="60">
        <v>47.9</v>
      </c>
      <c r="G17" s="71">
        <v>0.16</v>
      </c>
      <c r="H17" s="62">
        <v>38</v>
      </c>
      <c r="I17" s="54"/>
      <c r="P17" s="66">
        <f>P13</f>
        <v>10000</v>
      </c>
      <c r="V17" s="102">
        <v>0.32</v>
      </c>
      <c r="W17" s="98">
        <v>1</v>
      </c>
      <c r="X17" s="136">
        <v>2448</v>
      </c>
      <c r="Y17" s="9" t="s">
        <v>39</v>
      </c>
    </row>
    <row r="18" spans="1:25">
      <c r="A18" t="s">
        <v>10</v>
      </c>
      <c r="B18" s="60">
        <v>47.4</v>
      </c>
      <c r="C18" s="60">
        <v>14.5</v>
      </c>
      <c r="D18" s="60">
        <v>39.5</v>
      </c>
      <c r="E18" s="60">
        <v>1.2</v>
      </c>
      <c r="F18" s="60">
        <v>102.6</v>
      </c>
      <c r="G18" s="72">
        <v>0.23</v>
      </c>
      <c r="H18" s="62">
        <v>230</v>
      </c>
      <c r="I18" s="54"/>
      <c r="P18" s="66">
        <f t="shared" si="0"/>
        <v>10000</v>
      </c>
      <c r="V18" s="102">
        <v>0.53</v>
      </c>
      <c r="W18" s="98">
        <v>1</v>
      </c>
      <c r="X18" s="136">
        <v>3659</v>
      </c>
      <c r="Y18" s="10" t="s">
        <v>40</v>
      </c>
    </row>
    <row r="19" spans="1:25" ht="15" customHeight="1">
      <c r="A19" t="s">
        <v>522</v>
      </c>
      <c r="B19" s="60">
        <v>47.4</v>
      </c>
      <c r="C19" s="60">
        <v>14.5</v>
      </c>
      <c r="D19" s="60">
        <v>39.5</v>
      </c>
      <c r="E19" s="60">
        <v>1.2</v>
      </c>
      <c r="F19" s="60">
        <v>102.6</v>
      </c>
      <c r="G19" s="72">
        <v>0.23</v>
      </c>
      <c r="H19" s="62">
        <v>230</v>
      </c>
      <c r="I19" s="54"/>
      <c r="P19" s="66">
        <f t="shared" si="0"/>
        <v>10000</v>
      </c>
      <c r="V19" s="102">
        <v>0.53</v>
      </c>
      <c r="W19" s="98">
        <v>1</v>
      </c>
      <c r="X19" s="136">
        <v>3659</v>
      </c>
      <c r="Y19" s="11" t="s">
        <v>43</v>
      </c>
    </row>
    <row r="20" spans="1:25">
      <c r="A20" s="2" t="s">
        <v>3</v>
      </c>
      <c r="B20" s="42" t="s">
        <v>11</v>
      </c>
      <c r="C20" t="s">
        <v>12</v>
      </c>
      <c r="D20" s="42" t="s">
        <v>33</v>
      </c>
      <c r="E20" s="42" t="s">
        <v>213</v>
      </c>
      <c r="F20" s="42" t="s">
        <v>212</v>
      </c>
      <c r="G20" t="s">
        <v>6</v>
      </c>
      <c r="W20" s="5"/>
      <c r="X20" s="136"/>
      <c r="Y20" s="13" t="s">
        <v>217</v>
      </c>
    </row>
    <row r="21" spans="1:25"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23</v>
      </c>
      <c r="W21" s="5"/>
      <c r="X21" s="136"/>
      <c r="Y21" s="41" t="s">
        <v>216</v>
      </c>
    </row>
    <row r="22" spans="1:25">
      <c r="A22" t="s">
        <v>4</v>
      </c>
      <c r="B22" s="3">
        <v>64.099999999999994</v>
      </c>
      <c r="C22" s="3">
        <v>13</v>
      </c>
      <c r="D22" s="3">
        <v>0</v>
      </c>
      <c r="E22" s="3">
        <v>3.2</v>
      </c>
      <c r="F22" s="3">
        <v>80.3</v>
      </c>
      <c r="L22" t="b">
        <f>ISBLANK(L6)</f>
        <v>1</v>
      </c>
      <c r="V22" s="98"/>
      <c r="W22" s="107">
        <v>0.2</v>
      </c>
      <c r="X22" s="136">
        <v>19.8</v>
      </c>
    </row>
    <row r="23" spans="1:25">
      <c r="A23" t="s">
        <v>13</v>
      </c>
      <c r="B23" s="3">
        <v>175.4</v>
      </c>
      <c r="C23" s="3">
        <v>22.8</v>
      </c>
      <c r="D23" s="3">
        <v>0</v>
      </c>
      <c r="E23" s="3">
        <v>5.8</v>
      </c>
      <c r="F23" s="3">
        <v>204.1</v>
      </c>
      <c r="V23" s="98"/>
      <c r="W23" s="102"/>
      <c r="X23" s="136">
        <v>6154</v>
      </c>
      <c r="Y23" s="40" t="s">
        <v>214</v>
      </c>
    </row>
    <row r="24" spans="1:25">
      <c r="A24" t="s">
        <v>16</v>
      </c>
      <c r="B24" s="3">
        <v>114.5</v>
      </c>
      <c r="C24" s="3">
        <v>11.4</v>
      </c>
      <c r="D24" s="3">
        <v>0</v>
      </c>
      <c r="E24" s="3">
        <v>4.0999999999999996</v>
      </c>
      <c r="F24" s="3">
        <v>130</v>
      </c>
      <c r="V24" s="98"/>
      <c r="W24" s="107">
        <v>0.6</v>
      </c>
      <c r="X24" s="136">
        <v>3279</v>
      </c>
      <c r="Y24" t="s">
        <v>221</v>
      </c>
    </row>
    <row r="25" spans="1:25">
      <c r="A25" t="s">
        <v>17</v>
      </c>
      <c r="B25" s="3">
        <v>195</v>
      </c>
      <c r="C25" s="3">
        <v>42.1</v>
      </c>
      <c r="D25" s="3">
        <v>0</v>
      </c>
      <c r="E25" s="39">
        <v>6</v>
      </c>
      <c r="F25" s="3">
        <v>243.1</v>
      </c>
      <c r="V25" s="98"/>
      <c r="W25" s="102"/>
      <c r="X25" s="136">
        <v>4052</v>
      </c>
    </row>
    <row r="26" spans="1:25">
      <c r="V26" s="54"/>
      <c r="W26" s="98"/>
      <c r="X26" s="135"/>
      <c r="Y26" t="s">
        <v>253</v>
      </c>
    </row>
    <row r="27" spans="1:25">
      <c r="A27" s="2" t="s">
        <v>5</v>
      </c>
      <c r="V27" s="54"/>
      <c r="W27" s="5"/>
      <c r="X27" s="5"/>
      <c r="Y27" t="s">
        <v>254</v>
      </c>
    </row>
    <row r="28" spans="1:25">
      <c r="V28" s="54"/>
      <c r="W28" s="5"/>
      <c r="X28" s="5"/>
      <c r="Y28" s="14" t="s">
        <v>252</v>
      </c>
    </row>
    <row r="29" spans="1:25">
      <c r="A29" s="43" t="s">
        <v>8</v>
      </c>
      <c r="B29" t="s">
        <v>237</v>
      </c>
      <c r="C29" t="s">
        <v>238</v>
      </c>
      <c r="D29" t="s">
        <v>239</v>
      </c>
      <c r="E29" t="s">
        <v>6</v>
      </c>
      <c r="F29" t="s">
        <v>244</v>
      </c>
      <c r="H29" t="s">
        <v>245</v>
      </c>
      <c r="J29" t="s">
        <v>92</v>
      </c>
      <c r="K29" t="s">
        <v>246</v>
      </c>
      <c r="V29" s="54"/>
      <c r="W29" s="5"/>
      <c r="X29" s="5"/>
    </row>
    <row r="30" spans="1:25">
      <c r="B30" t="s">
        <v>241</v>
      </c>
      <c r="C30" t="s">
        <v>250</v>
      </c>
      <c r="D30" t="s">
        <v>240</v>
      </c>
      <c r="E30" t="s">
        <v>44</v>
      </c>
      <c r="F30" t="s">
        <v>242</v>
      </c>
      <c r="G30" t="s">
        <v>243</v>
      </c>
      <c r="H30" t="s">
        <v>242</v>
      </c>
      <c r="I30" t="s">
        <v>243</v>
      </c>
      <c r="J30" t="s">
        <v>247</v>
      </c>
      <c r="K30" t="s">
        <v>247</v>
      </c>
      <c r="V30" s="54"/>
      <c r="W30" s="5"/>
      <c r="X30" s="134"/>
      <c r="Y30" s="44" t="s">
        <v>248</v>
      </c>
    </row>
    <row r="31" spans="1:25">
      <c r="A31" t="s">
        <v>225</v>
      </c>
      <c r="B31" s="44">
        <f>AVERAGE(1000, 4000)</f>
        <v>2500</v>
      </c>
      <c r="C31" s="44">
        <f>AVERAGE(100, 250)</f>
        <v>175</v>
      </c>
      <c r="D31" s="44">
        <v>5</v>
      </c>
      <c r="E31" s="45">
        <v>0.85</v>
      </c>
      <c r="F31" s="44">
        <v>200</v>
      </c>
      <c r="G31" s="46">
        <v>5000</v>
      </c>
      <c r="J31" s="44">
        <f>AVERAGE(5000, 4000000)</f>
        <v>2002500</v>
      </c>
      <c r="K31" s="44">
        <f>AVERAGE(5000, 4000000)</f>
        <v>2002500</v>
      </c>
      <c r="V31" s="102">
        <v>1</v>
      </c>
      <c r="W31" s="125">
        <v>0.5</v>
      </c>
      <c r="X31" s="138">
        <v>1000</v>
      </c>
      <c r="Y31" s="46" t="s">
        <v>249</v>
      </c>
    </row>
    <row r="32" spans="1:25">
      <c r="A32" t="s">
        <v>226</v>
      </c>
      <c r="B32" s="44">
        <f>AVERAGE(800, 1000)</f>
        <v>900</v>
      </c>
      <c r="C32" s="44">
        <f>AVERAGE(50, 150)</f>
        <v>100</v>
      </c>
      <c r="D32" s="44">
        <v>5</v>
      </c>
      <c r="E32" s="45">
        <v>0.6</v>
      </c>
      <c r="F32" s="46">
        <v>3</v>
      </c>
      <c r="G32" s="46">
        <v>400</v>
      </c>
      <c r="J32" s="44">
        <f>AVERAGE(50000, 300000)</f>
        <v>175000</v>
      </c>
      <c r="K32" s="44">
        <f>AVERAGE(100000, 500000)</f>
        <v>300000</v>
      </c>
      <c r="V32" s="102">
        <v>1</v>
      </c>
      <c r="W32" s="125">
        <v>0.5</v>
      </c>
      <c r="X32" s="138">
        <v>650</v>
      </c>
      <c r="Y32" s="48" t="s">
        <v>251</v>
      </c>
    </row>
    <row r="33" spans="1:25">
      <c r="A33" t="s">
        <v>229</v>
      </c>
      <c r="B33" s="44">
        <f>AVERAGE(2000, 4000)</f>
        <v>3000</v>
      </c>
      <c r="C33" s="44">
        <f>AVERAGE(1500, 3000)</f>
        <v>2250</v>
      </c>
      <c r="D33" s="44">
        <v>15</v>
      </c>
      <c r="E33" s="45">
        <v>0.95</v>
      </c>
      <c r="F33" s="44">
        <v>0.1</v>
      </c>
      <c r="G33" s="44">
        <v>200</v>
      </c>
      <c r="H33" s="44">
        <v>1</v>
      </c>
      <c r="I33" s="44">
        <v>25</v>
      </c>
      <c r="J33" s="44">
        <f>AVERAGE(100, 300)</f>
        <v>200</v>
      </c>
      <c r="K33" s="44">
        <f>AVERAGE(100, 300)</f>
        <v>200</v>
      </c>
      <c r="V33" s="54"/>
      <c r="W33" s="5"/>
      <c r="X33" s="138"/>
      <c r="Y33" s="101" t="s">
        <v>337</v>
      </c>
    </row>
    <row r="34" spans="1:25">
      <c r="A34" t="s">
        <v>227</v>
      </c>
      <c r="E34" s="12"/>
      <c r="V34" s="102">
        <v>1</v>
      </c>
      <c r="W34" s="125">
        <v>0.5</v>
      </c>
      <c r="X34" s="138">
        <v>1500</v>
      </c>
      <c r="Y34" s="137" t="s">
        <v>363</v>
      </c>
    </row>
    <row r="35" spans="1:25">
      <c r="A35" t="s">
        <v>275</v>
      </c>
      <c r="B35" s="44">
        <f>AVERAGE(300, 800)</f>
        <v>550</v>
      </c>
      <c r="C35" s="44">
        <f>AVERAGE(150, 500)</f>
        <v>325</v>
      </c>
      <c r="D35" s="44">
        <v>30</v>
      </c>
      <c r="E35" s="45">
        <v>0.9</v>
      </c>
      <c r="F35" s="44">
        <v>0</v>
      </c>
      <c r="G35" s="44">
        <v>10</v>
      </c>
      <c r="H35" s="44">
        <v>0.5</v>
      </c>
      <c r="I35" s="44">
        <v>10</v>
      </c>
      <c r="J35" s="44">
        <f>AVERAGE(0.1, 1.5)</f>
        <v>0.8</v>
      </c>
      <c r="K35" s="44">
        <f>AVERAGE(0.5, 2)</f>
        <v>1.25</v>
      </c>
      <c r="W35" s="5"/>
      <c r="X35" s="134"/>
      <c r="Y35" s="44" t="s">
        <v>364</v>
      </c>
    </row>
    <row r="36" spans="1:25">
      <c r="A36" t="s">
        <v>276</v>
      </c>
      <c r="B36" s="46">
        <f>AVERAGE(500, 1500)</f>
        <v>1000</v>
      </c>
      <c r="C36" s="46">
        <f>AVERAGE(800, 1500)</f>
        <v>1150</v>
      </c>
      <c r="E36" s="47">
        <v>0.65</v>
      </c>
      <c r="F36" s="46">
        <v>0</v>
      </c>
      <c r="G36" s="46">
        <v>40</v>
      </c>
    </row>
    <row r="37" spans="1:25">
      <c r="A37" t="s">
        <v>277</v>
      </c>
      <c r="B37" s="44">
        <f>AVERAGE(1000, 2000)</f>
        <v>1500</v>
      </c>
      <c r="C37" s="44">
        <f>AVERAGE(125, 250)</f>
        <v>187.5</v>
      </c>
      <c r="D37" s="44">
        <v>15</v>
      </c>
      <c r="E37" s="45">
        <v>0.9</v>
      </c>
      <c r="F37" s="46">
        <v>0.05</v>
      </c>
      <c r="G37" s="46">
        <v>8</v>
      </c>
      <c r="I37" s="5"/>
      <c r="J37" s="44">
        <v>50</v>
      </c>
      <c r="K37" s="44">
        <v>50</v>
      </c>
    </row>
    <row r="38" spans="1:25">
      <c r="A38" t="s">
        <v>278</v>
      </c>
      <c r="B38" s="44">
        <f>AVERAGE(400, 1000)</f>
        <v>700</v>
      </c>
      <c r="C38" s="44">
        <f>AVERAGE(500, 1500)</f>
        <v>1000</v>
      </c>
      <c r="D38" s="44">
        <v>25</v>
      </c>
      <c r="E38" s="45">
        <v>0.95</v>
      </c>
      <c r="F38" s="44">
        <v>0</v>
      </c>
      <c r="G38" s="44">
        <v>10</v>
      </c>
      <c r="H38" s="44">
        <v>0.5</v>
      </c>
      <c r="I38" s="44">
        <v>10</v>
      </c>
      <c r="J38" s="44">
        <f>AVERAGE(0.2, 2)</f>
        <v>1.1000000000000001</v>
      </c>
      <c r="K38" s="44">
        <f>AVERAGE(0.5, 10)</f>
        <v>5.25</v>
      </c>
    </row>
    <row r="39" spans="1:25">
      <c r="A39" t="s">
        <v>232</v>
      </c>
      <c r="B39" s="48">
        <f>AVERAGE(1000, 4000)</f>
        <v>2500</v>
      </c>
      <c r="C39" s="48">
        <f>AVERAGE(350, 800)</f>
        <v>575</v>
      </c>
      <c r="E39" s="49">
        <v>0.85</v>
      </c>
      <c r="F39">
        <v>0.05</v>
      </c>
      <c r="G39">
        <v>10</v>
      </c>
      <c r="H39">
        <v>20</v>
      </c>
      <c r="I39">
        <v>50</v>
      </c>
    </row>
    <row r="40" spans="1:25">
      <c r="A40" t="s">
        <v>230</v>
      </c>
      <c r="B40" s="46">
        <f>AVERAGE(500, 1500)</f>
        <v>1000</v>
      </c>
      <c r="C40" s="46">
        <f>AVERAGE(10, 20)</f>
        <v>15</v>
      </c>
      <c r="E40" s="47">
        <v>0.5</v>
      </c>
      <c r="F40" s="44">
        <v>0.1</v>
      </c>
      <c r="G40" s="44">
        <v>10</v>
      </c>
      <c r="J40" s="44">
        <f>AVERAGE(0.01, 5)</f>
        <v>2.5049999999999999</v>
      </c>
    </row>
    <row r="41" spans="1:25">
      <c r="A41" t="s">
        <v>234</v>
      </c>
      <c r="B41" s="44">
        <f>AVERAGE(1200, 2000)</f>
        <v>1600</v>
      </c>
      <c r="C41" s="44">
        <f>AVERAGE(350, 800)</f>
        <v>575</v>
      </c>
      <c r="D41" s="44">
        <v>30</v>
      </c>
      <c r="E41" s="45">
        <v>0.85</v>
      </c>
      <c r="F41" s="44">
        <v>2.5000000000000001E-2</v>
      </c>
      <c r="G41" s="44">
        <v>10</v>
      </c>
      <c r="H41" s="44">
        <v>20</v>
      </c>
      <c r="I41" s="44">
        <v>50</v>
      </c>
      <c r="J41" s="44">
        <f>AVERAGE(5, 20)</f>
        <v>12.5</v>
      </c>
      <c r="K41" s="44">
        <f>AVERAGE(5, 25)</f>
        <v>15</v>
      </c>
    </row>
    <row r="42" spans="1:25">
      <c r="A42" t="s">
        <v>235</v>
      </c>
      <c r="B42" s="46">
        <v>400</v>
      </c>
      <c r="C42" s="46">
        <v>1000</v>
      </c>
      <c r="E42" s="47">
        <v>0.65</v>
      </c>
      <c r="F42">
        <v>0</v>
      </c>
      <c r="G42" s="46">
        <v>0.05</v>
      </c>
    </row>
    <row r="43" spans="1:25">
      <c r="A43" t="s">
        <v>236</v>
      </c>
      <c r="B43" s="46">
        <v>300</v>
      </c>
      <c r="C43" s="46">
        <v>2000</v>
      </c>
      <c r="E43" s="47">
        <v>0.95</v>
      </c>
      <c r="F43" s="5">
        <v>0</v>
      </c>
      <c r="G43" s="46">
        <v>0.3</v>
      </c>
    </row>
    <row r="44" spans="1:25">
      <c r="A44" t="s">
        <v>233</v>
      </c>
      <c r="B44" s="46">
        <v>300</v>
      </c>
      <c r="C44" s="46">
        <v>10000</v>
      </c>
      <c r="E44" s="49">
        <v>0.95</v>
      </c>
      <c r="F44" s="46">
        <v>0.1</v>
      </c>
      <c r="G44" s="46">
        <v>10</v>
      </c>
    </row>
    <row r="45" spans="1:25">
      <c r="A45" t="s">
        <v>231</v>
      </c>
      <c r="B45" s="46">
        <f>AVERAGE(200, 300)</f>
        <v>250</v>
      </c>
      <c r="C45" s="46">
        <f>AVERAGE(3, 50)</f>
        <v>26.5</v>
      </c>
      <c r="E45" s="47">
        <v>0.6</v>
      </c>
      <c r="F45" s="46">
        <v>0</v>
      </c>
      <c r="G45" s="46">
        <v>300</v>
      </c>
    </row>
    <row r="46" spans="1:25">
      <c r="B46" s="46"/>
      <c r="C46" s="46"/>
      <c r="E46" s="47"/>
      <c r="F46" s="46"/>
      <c r="G46" s="46"/>
    </row>
    <row r="47" spans="1:25">
      <c r="A47" s="43" t="s">
        <v>81</v>
      </c>
      <c r="B47" s="46"/>
      <c r="C47" s="46"/>
      <c r="E47" s="47"/>
      <c r="F47" s="46"/>
      <c r="G47" s="46"/>
    </row>
    <row r="48" spans="1:25">
      <c r="A48" s="126" t="s">
        <v>281</v>
      </c>
      <c r="B48" s="46"/>
      <c r="C48" s="46"/>
      <c r="E48" s="47">
        <v>0.9</v>
      </c>
      <c r="F48" s="46"/>
      <c r="G48" s="46"/>
      <c r="V48">
        <v>1</v>
      </c>
      <c r="W48" s="127">
        <v>0.5</v>
      </c>
      <c r="X48" s="127"/>
    </row>
    <row r="50" spans="1:25">
      <c r="A50" s="43" t="s">
        <v>144</v>
      </c>
    </row>
    <row r="51" spans="1:25">
      <c r="F51" t="s">
        <v>200</v>
      </c>
      <c r="G51" s="22" t="s">
        <v>184</v>
      </c>
      <c r="H51" s="22" t="s">
        <v>164</v>
      </c>
      <c r="I51" s="23" t="s">
        <v>186</v>
      </c>
      <c r="J51" s="22"/>
      <c r="K51" s="22"/>
      <c r="Y51" t="s">
        <v>179</v>
      </c>
    </row>
    <row r="52" spans="1:25" ht="15.75" thickBot="1">
      <c r="A52" t="s">
        <v>145</v>
      </c>
      <c r="D52" t="s">
        <v>149</v>
      </c>
      <c r="G52" s="22"/>
      <c r="H52" s="22"/>
      <c r="I52" s="22"/>
      <c r="J52" s="22"/>
      <c r="K52" s="22"/>
    </row>
    <row r="53" spans="1:25">
      <c r="A53" t="s">
        <v>146</v>
      </c>
      <c r="D53" t="s">
        <v>150</v>
      </c>
      <c r="F53" s="21" t="s">
        <v>162</v>
      </c>
      <c r="G53" s="23" t="s">
        <v>165</v>
      </c>
      <c r="H53" s="23" t="s">
        <v>166</v>
      </c>
      <c r="I53" s="23" t="s">
        <v>188</v>
      </c>
      <c r="J53" s="24" t="s">
        <v>192</v>
      </c>
      <c r="K53" s="25" t="s">
        <v>197</v>
      </c>
    </row>
    <row r="54" spans="1:25" ht="15.75" thickBot="1">
      <c r="D54" t="s">
        <v>151</v>
      </c>
      <c r="F54" s="21" t="s">
        <v>167</v>
      </c>
      <c r="G54" s="23" t="s">
        <v>168</v>
      </c>
      <c r="H54" s="23" t="s">
        <v>169</v>
      </c>
      <c r="I54" s="23" t="s">
        <v>406</v>
      </c>
      <c r="J54" s="26" t="s">
        <v>193</v>
      </c>
      <c r="K54" s="25" t="s">
        <v>198</v>
      </c>
    </row>
    <row r="55" spans="1:25" ht="15.75" thickBot="1">
      <c r="A55" t="s">
        <v>147</v>
      </c>
      <c r="D55" t="s">
        <v>152</v>
      </c>
      <c r="F55" s="21"/>
      <c r="G55" s="23"/>
      <c r="H55" s="23"/>
      <c r="I55" s="22"/>
      <c r="J55" s="22"/>
      <c r="K55" s="22"/>
    </row>
    <row r="56" spans="1:25">
      <c r="A56" t="s">
        <v>148</v>
      </c>
      <c r="D56" t="s">
        <v>150</v>
      </c>
      <c r="F56" s="21" t="s">
        <v>170</v>
      </c>
      <c r="G56" s="23" t="s">
        <v>171</v>
      </c>
      <c r="H56" s="23" t="s">
        <v>172</v>
      </c>
      <c r="I56" s="23" t="s">
        <v>189</v>
      </c>
      <c r="J56" s="24" t="s">
        <v>194</v>
      </c>
      <c r="K56" s="22"/>
    </row>
    <row r="57" spans="1:25" ht="15.75" thickBot="1">
      <c r="D57" t="s">
        <v>151</v>
      </c>
      <c r="F57" s="21" t="s">
        <v>173</v>
      </c>
      <c r="G57" s="23" t="s">
        <v>174</v>
      </c>
      <c r="H57" s="23" t="s">
        <v>175</v>
      </c>
      <c r="I57" s="23" t="s">
        <v>190</v>
      </c>
      <c r="J57" s="26" t="s">
        <v>195</v>
      </c>
      <c r="K57" s="22"/>
    </row>
    <row r="58" spans="1:25">
      <c r="A58" t="s">
        <v>161</v>
      </c>
      <c r="D58" t="s">
        <v>153</v>
      </c>
      <c r="F58" s="21" t="s">
        <v>176</v>
      </c>
      <c r="G58" s="23" t="s">
        <v>177</v>
      </c>
      <c r="H58" s="23" t="s">
        <v>172</v>
      </c>
      <c r="I58" s="23" t="s">
        <v>191</v>
      </c>
      <c r="J58" s="22"/>
      <c r="K58" s="23" t="s">
        <v>199</v>
      </c>
    </row>
    <row r="59" spans="1:25" ht="15.75" thickBot="1">
      <c r="F59" s="21"/>
      <c r="G59" s="23"/>
      <c r="H59" s="23"/>
      <c r="I59" s="22"/>
      <c r="J59" s="22"/>
      <c r="K59" s="22"/>
    </row>
    <row r="60" spans="1:25">
      <c r="A60" t="s">
        <v>183</v>
      </c>
      <c r="D60" t="s">
        <v>154</v>
      </c>
      <c r="F60" t="s">
        <v>163</v>
      </c>
      <c r="G60" s="23" t="s">
        <v>178</v>
      </c>
      <c r="H60" s="23" t="s">
        <v>186</v>
      </c>
      <c r="I60" s="27" t="s">
        <v>185</v>
      </c>
      <c r="J60" s="22"/>
      <c r="K60" s="22" t="s">
        <v>196</v>
      </c>
    </row>
    <row r="61" spans="1:25" ht="15.75" thickBot="1">
      <c r="A61" t="s">
        <v>180</v>
      </c>
      <c r="D61" t="s">
        <v>155</v>
      </c>
      <c r="F61" s="20">
        <v>100</v>
      </c>
      <c r="G61" s="28">
        <v>10</v>
      </c>
      <c r="H61" s="29">
        <f>F61%*G61%</f>
        <v>0.1</v>
      </c>
      <c r="I61" s="30">
        <f>AVERAGE(H61:H63)</f>
        <v>0.06</v>
      </c>
      <c r="J61" s="22"/>
      <c r="K61" s="22"/>
    </row>
    <row r="62" spans="1:25">
      <c r="A62" t="s">
        <v>181</v>
      </c>
      <c r="D62" t="s">
        <v>156</v>
      </c>
      <c r="F62" s="20">
        <v>3</v>
      </c>
      <c r="G62" s="28">
        <v>100</v>
      </c>
      <c r="H62" s="29">
        <f>F62%*G62%</f>
        <v>0.03</v>
      </c>
      <c r="I62" s="22"/>
      <c r="J62" s="23"/>
      <c r="K62" s="22"/>
    </row>
    <row r="63" spans="1:25">
      <c r="A63" t="s">
        <v>182</v>
      </c>
      <c r="D63" t="s">
        <v>157</v>
      </c>
      <c r="F63" s="20">
        <v>5</v>
      </c>
      <c r="G63" s="28">
        <v>100</v>
      </c>
      <c r="H63" s="29">
        <f>F63%*G63%</f>
        <v>0.05</v>
      </c>
      <c r="I63" s="22"/>
      <c r="J63" s="22"/>
      <c r="K63" s="22"/>
    </row>
    <row r="64" spans="1:25" ht="15.75" thickBot="1">
      <c r="A64" t="s">
        <v>187</v>
      </c>
      <c r="D64" t="s">
        <v>158</v>
      </c>
      <c r="F64" s="21"/>
      <c r="G64" s="23"/>
      <c r="H64" s="29"/>
      <c r="I64" s="22"/>
      <c r="J64" s="22"/>
      <c r="K64" s="22"/>
    </row>
    <row r="65" spans="1:25" ht="15.75" thickBot="1">
      <c r="D65" t="s">
        <v>159</v>
      </c>
      <c r="F65" s="20">
        <v>5</v>
      </c>
      <c r="G65" s="28">
        <v>25</v>
      </c>
      <c r="H65" s="31">
        <f>F65%*G65%</f>
        <v>1.2500000000000001E-2</v>
      </c>
      <c r="I65" s="22"/>
      <c r="J65" s="22"/>
      <c r="K65" s="22"/>
    </row>
    <row r="66" spans="1:25">
      <c r="D66" t="s">
        <v>160</v>
      </c>
      <c r="F66" s="20">
        <v>5</v>
      </c>
      <c r="G66" s="28">
        <v>25</v>
      </c>
      <c r="H66" s="32">
        <f>F66%*G66%</f>
        <v>1.2500000000000001E-2</v>
      </c>
      <c r="I66" s="22"/>
      <c r="J66" s="22"/>
      <c r="K66" s="22"/>
    </row>
    <row r="68" spans="1:25">
      <c r="A68" s="43" t="s">
        <v>24</v>
      </c>
    </row>
    <row r="69" spans="1:25">
      <c r="B69" t="s">
        <v>48</v>
      </c>
    </row>
    <row r="70" spans="1:25">
      <c r="A70" t="s">
        <v>47</v>
      </c>
      <c r="B70" s="14">
        <v>8.9999999999999993E-3</v>
      </c>
      <c r="Y70" s="14" t="s">
        <v>50</v>
      </c>
    </row>
    <row r="72" spans="1:25">
      <c r="C72" t="s">
        <v>57</v>
      </c>
    </row>
    <row r="73" spans="1:25">
      <c r="A73" t="s">
        <v>46</v>
      </c>
      <c r="B73" t="s">
        <v>49</v>
      </c>
      <c r="C73" t="s">
        <v>59</v>
      </c>
    </row>
    <row r="74" spans="1:25">
      <c r="A74" t="s">
        <v>394</v>
      </c>
      <c r="B74" s="147">
        <f>B76</f>
        <v>596331.41536281956</v>
      </c>
      <c r="Y74" s="16" t="s">
        <v>58</v>
      </c>
    </row>
    <row r="75" spans="1:25">
      <c r="A75" t="s">
        <v>393</v>
      </c>
      <c r="B75" s="147">
        <f>B77</f>
        <v>954677.07258876308</v>
      </c>
    </row>
    <row r="76" spans="1:25">
      <c r="A76" t="s">
        <v>51</v>
      </c>
      <c r="B76" s="15">
        <f>959700/1.60934</f>
        <v>596331.41536281956</v>
      </c>
    </row>
    <row r="77" spans="1:25">
      <c r="A77" t="s">
        <v>52</v>
      </c>
      <c r="B77" s="15">
        <f>1536400/1.60934</f>
        <v>954677.07258876308</v>
      </c>
    </row>
    <row r="78" spans="1:25">
      <c r="A78" t="s">
        <v>53</v>
      </c>
      <c r="B78" s="15">
        <f>1919450/1.60934</f>
        <v>1192693.8993624717</v>
      </c>
    </row>
    <row r="79" spans="1:25">
      <c r="A79" t="s">
        <v>54</v>
      </c>
      <c r="B79" s="15">
        <f>3071750/1.60934</f>
        <v>1908701.7038040438</v>
      </c>
    </row>
    <row r="80" spans="1:25">
      <c r="A80" t="s">
        <v>55</v>
      </c>
      <c r="B80" s="15">
        <f>1536400/1.60934</f>
        <v>954677.07258876308</v>
      </c>
    </row>
    <row r="81" spans="1:25">
      <c r="A81" t="s">
        <v>56</v>
      </c>
      <c r="B81" s="15">
        <f>1613200/1.60934</f>
        <v>1002398.4987634682</v>
      </c>
    </row>
    <row r="83" spans="1:25">
      <c r="A83" s="43" t="s">
        <v>18</v>
      </c>
      <c r="B83" t="s">
        <v>219</v>
      </c>
    </row>
    <row r="85" spans="1:25">
      <c r="A85" s="43" t="s">
        <v>19</v>
      </c>
      <c r="B85" t="s">
        <v>220</v>
      </c>
    </row>
    <row r="87" spans="1:25">
      <c r="A87" s="43" t="s">
        <v>81</v>
      </c>
    </row>
    <row r="89" spans="1:25">
      <c r="A89" t="s">
        <v>26</v>
      </c>
      <c r="B89" t="s">
        <v>88</v>
      </c>
      <c r="C89" t="s">
        <v>115</v>
      </c>
      <c r="D89" t="s">
        <v>90</v>
      </c>
      <c r="E89" t="s">
        <v>91</v>
      </c>
      <c r="F89" t="s">
        <v>121</v>
      </c>
      <c r="G89" t="s">
        <v>95</v>
      </c>
      <c r="H89" t="s">
        <v>96</v>
      </c>
      <c r="Y89" t="s">
        <v>124</v>
      </c>
    </row>
    <row r="90" spans="1:25">
      <c r="A90" t="s">
        <v>93</v>
      </c>
      <c r="B90">
        <v>43300</v>
      </c>
      <c r="C90">
        <v>7500</v>
      </c>
      <c r="D90" t="s">
        <v>94</v>
      </c>
      <c r="E90">
        <v>4</v>
      </c>
      <c r="F90" s="12">
        <f>81*1.60934</f>
        <v>130.35654</v>
      </c>
      <c r="G90">
        <v>22</v>
      </c>
      <c r="H90">
        <v>6.6</v>
      </c>
    </row>
    <row r="91" spans="1:25">
      <c r="A91" t="s">
        <v>97</v>
      </c>
      <c r="B91">
        <v>26000</v>
      </c>
      <c r="C91">
        <v>7500</v>
      </c>
      <c r="D91" t="s">
        <v>98</v>
      </c>
      <c r="E91">
        <v>4</v>
      </c>
      <c r="F91" s="12">
        <f>82*1.60934</f>
        <v>131.96588</v>
      </c>
      <c r="G91">
        <v>19</v>
      </c>
      <c r="H91">
        <v>3.3</v>
      </c>
    </row>
    <row r="92" spans="1:25">
      <c r="A92" t="s">
        <v>99</v>
      </c>
      <c r="B92">
        <v>32600</v>
      </c>
      <c r="C92">
        <v>7500</v>
      </c>
      <c r="D92" t="s">
        <v>94</v>
      </c>
      <c r="E92">
        <v>4</v>
      </c>
      <c r="F92" s="12">
        <f>87*1.60934</f>
        <v>140.01257999999999</v>
      </c>
      <c r="G92">
        <v>24</v>
      </c>
      <c r="H92">
        <v>6.6</v>
      </c>
    </row>
    <row r="93" spans="1:25">
      <c r="A93" t="s">
        <v>101</v>
      </c>
      <c r="B93">
        <v>30000</v>
      </c>
      <c r="C93">
        <v>7500</v>
      </c>
      <c r="D93" t="s">
        <v>94</v>
      </c>
      <c r="E93">
        <v>5</v>
      </c>
      <c r="F93" s="12">
        <f>76*1.60934</f>
        <v>122.30983999999999</v>
      </c>
      <c r="G93">
        <v>23</v>
      </c>
      <c r="H93">
        <v>6.6</v>
      </c>
    </row>
    <row r="94" spans="1:25">
      <c r="A94" t="s">
        <v>102</v>
      </c>
      <c r="B94">
        <v>34500</v>
      </c>
      <c r="C94">
        <v>7500</v>
      </c>
      <c r="D94" t="s">
        <v>94</v>
      </c>
      <c r="E94">
        <v>5</v>
      </c>
      <c r="F94" s="12">
        <f>93*1.60934</f>
        <v>149.66862</v>
      </c>
      <c r="G94">
        <v>27</v>
      </c>
      <c r="H94">
        <v>6.6</v>
      </c>
    </row>
    <row r="95" spans="1:25">
      <c r="A95" t="s">
        <v>103</v>
      </c>
      <c r="B95">
        <v>42400</v>
      </c>
      <c r="C95">
        <v>7500</v>
      </c>
      <c r="D95" t="s">
        <v>94</v>
      </c>
      <c r="E95">
        <v>5</v>
      </c>
      <c r="F95" s="12">
        <f>85*1.60934</f>
        <v>136.79390000000001</v>
      </c>
      <c r="G95">
        <v>28</v>
      </c>
      <c r="H95" s="19">
        <v>10</v>
      </c>
    </row>
    <row r="96" spans="1:25">
      <c r="A96" t="s">
        <v>104</v>
      </c>
      <c r="B96">
        <v>23800</v>
      </c>
      <c r="C96">
        <v>7500</v>
      </c>
      <c r="D96" t="s">
        <v>94</v>
      </c>
      <c r="E96">
        <v>4</v>
      </c>
      <c r="F96" s="12">
        <f>62*1.60934</f>
        <v>99.779079999999993</v>
      </c>
      <c r="G96">
        <v>16</v>
      </c>
      <c r="H96">
        <v>3.3</v>
      </c>
    </row>
    <row r="97" spans="1:25">
      <c r="A97" t="s">
        <v>105</v>
      </c>
      <c r="B97">
        <v>29800</v>
      </c>
      <c r="C97">
        <v>7500</v>
      </c>
      <c r="D97" t="s">
        <v>94</v>
      </c>
      <c r="E97">
        <v>5</v>
      </c>
      <c r="F97" s="12">
        <f>84*1.60934</f>
        <v>135.18456</v>
      </c>
      <c r="G97">
        <v>24</v>
      </c>
      <c r="H97">
        <v>6.6</v>
      </c>
    </row>
    <row r="98" spans="1:25">
      <c r="A98" t="s">
        <v>106</v>
      </c>
      <c r="B98">
        <v>25700</v>
      </c>
      <c r="C98">
        <v>7500</v>
      </c>
      <c r="D98" t="s">
        <v>98</v>
      </c>
      <c r="E98">
        <v>2</v>
      </c>
      <c r="F98" s="12">
        <f>68*1.60934</f>
        <v>109.43512</v>
      </c>
      <c r="G98">
        <v>17</v>
      </c>
      <c r="H98">
        <v>3.3</v>
      </c>
    </row>
    <row r="99" spans="1:25">
      <c r="A99" t="s">
        <v>107</v>
      </c>
      <c r="B99">
        <v>71000</v>
      </c>
      <c r="C99">
        <v>7500</v>
      </c>
      <c r="D99" t="s">
        <v>94</v>
      </c>
      <c r="E99">
        <v>5</v>
      </c>
      <c r="F99" s="12">
        <f>265*1.60934</f>
        <v>426.4751</v>
      </c>
      <c r="G99">
        <v>85</v>
      </c>
      <c r="H99" s="19">
        <v>10</v>
      </c>
    </row>
    <row r="100" spans="1:25">
      <c r="A100" t="s">
        <v>108</v>
      </c>
      <c r="B100">
        <v>36300</v>
      </c>
      <c r="C100">
        <v>7500</v>
      </c>
      <c r="D100" t="s">
        <v>94</v>
      </c>
      <c r="E100">
        <v>5</v>
      </c>
      <c r="F100" s="12">
        <f>83*1.60934</f>
        <v>133.57522</v>
      </c>
      <c r="G100">
        <v>24</v>
      </c>
      <c r="H100">
        <v>7.2</v>
      </c>
    </row>
    <row r="101" spans="1:25">
      <c r="A101" t="s">
        <v>109</v>
      </c>
      <c r="B101">
        <v>80000</v>
      </c>
      <c r="C101">
        <v>7500</v>
      </c>
      <c r="D101" t="s">
        <v>110</v>
      </c>
      <c r="E101">
        <v>7</v>
      </c>
      <c r="F101" s="12">
        <f>230*1.60934</f>
        <v>370.14819999999997</v>
      </c>
      <c r="G101">
        <v>85</v>
      </c>
      <c r="H101" s="19">
        <v>10</v>
      </c>
    </row>
    <row r="103" spans="1:25">
      <c r="A103" t="s">
        <v>122</v>
      </c>
      <c r="B103" t="s">
        <v>88</v>
      </c>
      <c r="C103" t="s">
        <v>123</v>
      </c>
      <c r="D103" t="s">
        <v>90</v>
      </c>
      <c r="E103" t="s">
        <v>91</v>
      </c>
      <c r="F103" t="s">
        <v>116</v>
      </c>
      <c r="G103" t="s">
        <v>112</v>
      </c>
    </row>
    <row r="104" spans="1:25">
      <c r="A104" t="s">
        <v>111</v>
      </c>
      <c r="B104">
        <v>14930</v>
      </c>
      <c r="D104" t="s">
        <v>98</v>
      </c>
      <c r="E104">
        <v>2</v>
      </c>
      <c r="F104" t="s">
        <v>113</v>
      </c>
      <c r="G104" t="s">
        <v>114</v>
      </c>
      <c r="Y104" t="s">
        <v>125</v>
      </c>
    </row>
    <row r="105" spans="1:25">
      <c r="A105" t="s">
        <v>127</v>
      </c>
      <c r="B105">
        <v>16745</v>
      </c>
      <c r="D105" t="s">
        <v>94</v>
      </c>
      <c r="E105">
        <v>4</v>
      </c>
      <c r="F105" t="s">
        <v>128</v>
      </c>
      <c r="Y105" t="s">
        <v>129</v>
      </c>
    </row>
    <row r="106" spans="1:25">
      <c r="A106" t="s">
        <v>100</v>
      </c>
      <c r="B106">
        <v>17170</v>
      </c>
      <c r="D106" t="s">
        <v>94</v>
      </c>
      <c r="E106">
        <v>5</v>
      </c>
      <c r="F106" t="s">
        <v>117</v>
      </c>
      <c r="Y106" t="s">
        <v>126</v>
      </c>
    </row>
    <row r="107" spans="1:25">
      <c r="A107" t="s">
        <v>118</v>
      </c>
      <c r="B107">
        <v>30700</v>
      </c>
      <c r="D107" t="s">
        <v>119</v>
      </c>
      <c r="E107">
        <v>7</v>
      </c>
      <c r="F107" t="s">
        <v>120</v>
      </c>
      <c r="Y107" t="s">
        <v>125</v>
      </c>
    </row>
    <row r="109" spans="1:25">
      <c r="H109" t="s">
        <v>71</v>
      </c>
      <c r="I109" t="s">
        <v>84</v>
      </c>
      <c r="Y109" t="s">
        <v>85</v>
      </c>
    </row>
    <row r="110" spans="1:25">
      <c r="A110" t="s">
        <v>130</v>
      </c>
      <c r="B110" t="s">
        <v>70</v>
      </c>
      <c r="H110" t="s">
        <v>72</v>
      </c>
      <c r="I110">
        <v>8.6</v>
      </c>
    </row>
    <row r="111" spans="1:25">
      <c r="H111" t="s">
        <v>73</v>
      </c>
      <c r="I111">
        <v>9.9</v>
      </c>
    </row>
    <row r="112" spans="1:25">
      <c r="H112" t="s">
        <v>74</v>
      </c>
      <c r="I112">
        <v>12.5</v>
      </c>
    </row>
    <row r="113" spans="1:25">
      <c r="H113" t="s">
        <v>75</v>
      </c>
      <c r="I113">
        <v>15.2</v>
      </c>
    </row>
    <row r="114" spans="1:25">
      <c r="B114" t="s">
        <v>65</v>
      </c>
      <c r="D114" t="s">
        <v>77</v>
      </c>
      <c r="Y114" t="s">
        <v>86</v>
      </c>
    </row>
    <row r="115" spans="1:25">
      <c r="D115" t="s">
        <v>76</v>
      </c>
    </row>
    <row r="116" spans="1:25">
      <c r="D116" t="s">
        <v>87</v>
      </c>
    </row>
    <row r="117" spans="1:25">
      <c r="B117" t="s">
        <v>60</v>
      </c>
      <c r="D117" t="s">
        <v>62</v>
      </c>
    </row>
    <row r="118" spans="1:25">
      <c r="B118" t="s">
        <v>61</v>
      </c>
      <c r="D118" t="s">
        <v>68</v>
      </c>
    </row>
    <row r="119" spans="1:25">
      <c r="B119" t="s">
        <v>63</v>
      </c>
      <c r="D119" t="s">
        <v>64</v>
      </c>
    </row>
    <row r="120" spans="1:25">
      <c r="D120" t="s">
        <v>69</v>
      </c>
    </row>
    <row r="122" spans="1:25">
      <c r="B122" t="s">
        <v>88</v>
      </c>
      <c r="C122" t="s">
        <v>89</v>
      </c>
      <c r="D122" t="s">
        <v>90</v>
      </c>
      <c r="E122" t="s">
        <v>91</v>
      </c>
      <c r="F122" t="s">
        <v>132</v>
      </c>
      <c r="G122" t="s">
        <v>133</v>
      </c>
      <c r="H122" t="s">
        <v>92</v>
      </c>
      <c r="Y122" t="s">
        <v>124</v>
      </c>
    </row>
    <row r="123" spans="1:25">
      <c r="A123" t="s">
        <v>131</v>
      </c>
      <c r="B123">
        <v>76000</v>
      </c>
      <c r="C123">
        <v>7500</v>
      </c>
      <c r="D123" t="s">
        <v>98</v>
      </c>
      <c r="E123">
        <v>4</v>
      </c>
      <c r="F123" s="12">
        <f>37*1.60934</f>
        <v>59.545580000000001</v>
      </c>
      <c r="G123">
        <v>17</v>
      </c>
      <c r="H123">
        <v>3.3</v>
      </c>
    </row>
    <row r="124" spans="1:25">
      <c r="A124" t="s">
        <v>134</v>
      </c>
      <c r="B124">
        <v>35200</v>
      </c>
      <c r="C124">
        <v>7500</v>
      </c>
      <c r="D124" t="s">
        <v>94</v>
      </c>
      <c r="E124">
        <v>4</v>
      </c>
      <c r="F124" s="12">
        <f>38*1.60934</f>
        <v>61.154919999999997</v>
      </c>
      <c r="G124">
        <v>17</v>
      </c>
      <c r="H124">
        <v>3.3</v>
      </c>
    </row>
    <row r="125" spans="1:25">
      <c r="A125" t="s">
        <v>135</v>
      </c>
      <c r="B125">
        <v>32600</v>
      </c>
      <c r="C125">
        <v>3700</v>
      </c>
      <c r="D125" t="s">
        <v>136</v>
      </c>
      <c r="E125">
        <v>5</v>
      </c>
      <c r="F125" s="12">
        <f>20*1.60934</f>
        <v>32.186799999999998</v>
      </c>
      <c r="G125">
        <v>8</v>
      </c>
      <c r="H125">
        <v>3.3</v>
      </c>
    </row>
    <row r="126" spans="1:25">
      <c r="A126" t="s">
        <v>137</v>
      </c>
      <c r="B126">
        <v>35600</v>
      </c>
      <c r="C126">
        <v>3700</v>
      </c>
      <c r="D126" t="s">
        <v>94</v>
      </c>
      <c r="E126">
        <v>5</v>
      </c>
      <c r="F126" s="12">
        <f>20*1.60934</f>
        <v>32.186799999999998</v>
      </c>
      <c r="G126">
        <v>7</v>
      </c>
      <c r="H126">
        <v>3.3</v>
      </c>
    </row>
    <row r="127" spans="1:25">
      <c r="A127" t="s">
        <v>138</v>
      </c>
      <c r="B127">
        <v>40700</v>
      </c>
      <c r="C127">
        <v>3700</v>
      </c>
      <c r="D127" t="s">
        <v>94</v>
      </c>
      <c r="E127">
        <v>2</v>
      </c>
      <c r="F127" s="12">
        <f>13*1.60934</f>
        <v>20.921420000000001</v>
      </c>
      <c r="G127">
        <v>7</v>
      </c>
      <c r="H127">
        <v>6.6</v>
      </c>
    </row>
    <row r="128" spans="1:25">
      <c r="A128" t="s">
        <v>140</v>
      </c>
      <c r="B128">
        <v>78000</v>
      </c>
      <c r="C128">
        <v>5300</v>
      </c>
      <c r="D128" t="s">
        <v>110</v>
      </c>
      <c r="E128">
        <v>5</v>
      </c>
      <c r="F128" s="12">
        <f>14*1.60934</f>
        <v>22.530760000000001</v>
      </c>
      <c r="G128">
        <v>11</v>
      </c>
      <c r="H128">
        <v>3.6</v>
      </c>
    </row>
    <row r="129" spans="1:25">
      <c r="A129" t="s">
        <v>139</v>
      </c>
      <c r="B129">
        <v>100000</v>
      </c>
      <c r="C129">
        <v>4700</v>
      </c>
      <c r="D129" t="s">
        <v>110</v>
      </c>
      <c r="E129">
        <v>4</v>
      </c>
      <c r="F129" s="12">
        <f>15*1.60934</f>
        <v>24.1401</v>
      </c>
      <c r="G129">
        <v>9</v>
      </c>
      <c r="H129" s="19">
        <v>3</v>
      </c>
    </row>
    <row r="130" spans="1:25">
      <c r="A130" t="s">
        <v>141</v>
      </c>
      <c r="B130">
        <v>30800</v>
      </c>
      <c r="C130">
        <v>2500</v>
      </c>
      <c r="D130" t="s">
        <v>94</v>
      </c>
      <c r="E130">
        <v>5</v>
      </c>
      <c r="F130" s="12">
        <f>11*1.60934</f>
        <v>17.702739999999999</v>
      </c>
      <c r="G130">
        <v>4</v>
      </c>
      <c r="H130">
        <v>3.3</v>
      </c>
    </row>
    <row r="132" spans="1:25">
      <c r="A132" t="s">
        <v>80</v>
      </c>
      <c r="B132" t="s">
        <v>142</v>
      </c>
      <c r="Y132" t="s">
        <v>82</v>
      </c>
    </row>
    <row r="133" spans="1:25">
      <c r="B133" t="s">
        <v>78</v>
      </c>
    </row>
    <row r="134" spans="1:25">
      <c r="B134" t="s">
        <v>66</v>
      </c>
    </row>
    <row r="135" spans="1:25">
      <c r="B135" t="s">
        <v>67</v>
      </c>
    </row>
    <row r="136" spans="1:25">
      <c r="B136" t="s">
        <v>79</v>
      </c>
    </row>
    <row r="138" spans="1:25">
      <c r="B138" t="s">
        <v>143</v>
      </c>
      <c r="Y138" s="18" t="s">
        <v>83</v>
      </c>
    </row>
  </sheetData>
  <hyperlinks>
    <hyperlink ref="Y138" r:id="rId1" xr:uid="{00000000-0004-0000-0100-000000000000}"/>
  </hyperlinks>
  <pageMargins left="0.25" right="0.25" top="0.75" bottom="0.75" header="0.3" footer="0.3"/>
  <pageSetup scale="52" fitToHeight="2" orientation="landscape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8"/>
  <sheetViews>
    <sheetView zoomScale="70" zoomScaleNormal="70" workbookViewId="0">
      <selection activeCell="A5" sqref="A5:A19"/>
    </sheetView>
  </sheetViews>
  <sheetFormatPr defaultRowHeight="15"/>
  <cols>
    <col min="1" max="1" width="14" customWidth="1"/>
    <col min="2" max="2" width="40" customWidth="1"/>
    <col min="3" max="3" width="11.42578125" customWidth="1"/>
    <col min="4" max="4" width="11.28515625" customWidth="1"/>
    <col min="5" max="5" width="9.42578125" customWidth="1"/>
    <col min="6" max="6" width="18.5703125" bestFit="1" customWidth="1"/>
    <col min="7" max="7" width="2.28515625" customWidth="1"/>
    <col min="8" max="8" width="19.28515625" customWidth="1"/>
    <col min="10" max="10" width="22.85546875" bestFit="1" customWidth="1"/>
    <col min="11" max="11" width="21.42578125" customWidth="1"/>
    <col min="12" max="12" width="14.28515625" bestFit="1" customWidth="1"/>
    <col min="13" max="13" width="4.42578125" customWidth="1"/>
    <col min="14" max="14" width="25.42578125" bestFit="1" customWidth="1"/>
    <col min="16" max="16" width="13.28515625" customWidth="1"/>
  </cols>
  <sheetData>
    <row r="1" spans="1:18" ht="19.5" thickBot="1">
      <c r="A1" s="59" t="s">
        <v>339</v>
      </c>
      <c r="B1" s="59"/>
      <c r="M1" s="17"/>
      <c r="N1" s="17"/>
      <c r="O1" s="17"/>
      <c r="P1" s="17"/>
      <c r="Q1" s="17"/>
      <c r="R1" s="17"/>
    </row>
    <row r="2" spans="1:18" ht="36.75" customHeight="1">
      <c r="A2" s="73"/>
      <c r="B2" s="120"/>
      <c r="C2" s="99" t="s">
        <v>340</v>
      </c>
      <c r="D2" s="100" t="s">
        <v>341</v>
      </c>
      <c r="E2" s="222" t="s">
        <v>343</v>
      </c>
      <c r="F2" s="223"/>
      <c r="H2" s="225" t="s">
        <v>342</v>
      </c>
      <c r="I2" s="226"/>
      <c r="J2" s="226"/>
      <c r="K2" s="226"/>
      <c r="L2" s="227"/>
      <c r="M2" s="17"/>
      <c r="N2" s="224" t="s">
        <v>356</v>
      </c>
      <c r="O2" s="224"/>
      <c r="P2" s="224"/>
      <c r="Q2" s="17"/>
      <c r="R2" s="17"/>
    </row>
    <row r="3" spans="1:18" ht="48.75">
      <c r="A3" s="96" t="s">
        <v>333</v>
      </c>
      <c r="B3" s="121" t="s">
        <v>353</v>
      </c>
      <c r="C3" s="108" t="str">
        <f>'site independent'!W3</f>
        <v>Max capacity value</v>
      </c>
      <c r="D3" s="109" t="str">
        <f>'site independent'!V3</f>
        <v>Operating reserve coeff.</v>
      </c>
      <c r="E3" s="112" t="str">
        <f>'site independent'!X3</f>
        <v>Total overnight cost in 2014</v>
      </c>
      <c r="F3" s="113" t="s">
        <v>346</v>
      </c>
      <c r="H3" s="128" t="s">
        <v>348</v>
      </c>
      <c r="I3" s="110" t="s">
        <v>349</v>
      </c>
      <c r="J3" s="110" t="s">
        <v>354</v>
      </c>
      <c r="K3" s="110" t="s">
        <v>350</v>
      </c>
      <c r="L3" s="129" t="s">
        <v>366</v>
      </c>
      <c r="M3" s="17"/>
      <c r="N3" s="111" t="s">
        <v>348</v>
      </c>
      <c r="O3" s="111" t="s">
        <v>357</v>
      </c>
      <c r="P3" s="111" t="s">
        <v>358</v>
      </c>
      <c r="Q3" s="111" t="s">
        <v>359</v>
      </c>
      <c r="R3" s="111" t="s">
        <v>360</v>
      </c>
    </row>
    <row r="4" spans="1:18" ht="35.25" thickBot="1">
      <c r="A4" s="78"/>
      <c r="B4" s="122" t="s">
        <v>25</v>
      </c>
      <c r="C4" s="114" t="s">
        <v>345</v>
      </c>
      <c r="D4" s="115" t="s">
        <v>344</v>
      </c>
      <c r="E4" s="118" t="s">
        <v>365</v>
      </c>
      <c r="F4" s="119" t="s">
        <v>347</v>
      </c>
      <c r="H4" s="130"/>
      <c r="I4" s="116" t="s">
        <v>25</v>
      </c>
      <c r="J4" s="116" t="s">
        <v>355</v>
      </c>
      <c r="K4" s="116" t="s">
        <v>25</v>
      </c>
      <c r="L4" s="131"/>
      <c r="M4" s="17"/>
      <c r="N4" s="117"/>
      <c r="O4" s="117" t="s">
        <v>25</v>
      </c>
      <c r="P4" s="117" t="s">
        <v>25</v>
      </c>
      <c r="Q4" s="117" t="s">
        <v>25</v>
      </c>
      <c r="R4" s="117" t="s">
        <v>25</v>
      </c>
    </row>
    <row r="5" spans="1:18">
      <c r="A5" s="78" t="str">
        <f>'site independent'!A5</f>
        <v>coal</v>
      </c>
      <c r="B5" s="164">
        <f>SUMIF('non-vre plants'!C2:C8,A5,'non-vre plants'!F2:F8)</f>
        <v>1228</v>
      </c>
      <c r="C5" s="79">
        <f>INDEX('site independent'!$A$3:$W$47, MATCH($A5, 'site independent'!$A$3:$A$47, 0), MATCH('scenario analysis'!C$3, 'site independent'!$A$3:$W$3, 0))</f>
        <v>1</v>
      </c>
      <c r="D5" s="79">
        <f>INDEX('site independent'!$A$3:$W$47, MATCH($A5, 'site independent'!$A$3:$A$47, 0), MATCH('scenario analysis'!D$3, 'site independent'!$A$3:$W$3, 0))</f>
        <v>0.53</v>
      </c>
      <c r="E5" s="79">
        <f>INDEX('site independent'!$A$3:$X$47, MATCH($A5, 'site independent'!$A$3:$A$47, 0), MATCH('scenario analysis'!E$3, 'site independent'!$A$3:$X$3, 0))</f>
        <v>2917</v>
      </c>
      <c r="F5" s="139">
        <f>E5*1000*B5</f>
        <v>3582076000</v>
      </c>
      <c r="H5" s="124" t="s">
        <v>413</v>
      </c>
      <c r="I5" s="164">
        <f>SUMIF('non-vre plants'!J2:J9,H5,'non-vre plants'!M2:M9)</f>
        <v>0</v>
      </c>
      <c r="J5" s="34">
        <f>SUMIF('demand centres'!$C$1:$C$50,'scenario analysis'!H5,'demand centres'!$B$1:$B$50)</f>
        <v>0</v>
      </c>
      <c r="K5" s="34" t="e">
        <f t="array" ref="K5">SUMIF('existing transmission'!#REF!,H5, 'existing transmission'!#REF!)+SUMIF('existing transmission'!#REF!,H5, 'existing transmission'!#REF!)</f>
        <v>#REF!</v>
      </c>
      <c r="L5" s="92" t="e">
        <f t="array" ref="L5">SUMIF('existing transmission'!#REF!,H5, 'existing transmission'!#REF!)+SUMIF('existing transmission'!#REF!,H5, 'existing transmission'!#REF!)</f>
        <v>#REF!</v>
      </c>
      <c r="M5" s="140"/>
      <c r="N5" s="148" t="str">
        <f t="array" ref="N5">IFERROR(INDEX(#REF!, MATCH(0, COUNTIF($N$4:N4,#REF!), 0)), "")</f>
        <v/>
      </c>
      <c r="O5" s="132" t="e">
        <f>SUMIFS('vre plants'!#REF!, 'non-vre plants'!$G$2:$G$8, 'scenario analysis'!N5, 'vre plants'!#REF!, "wind_onshore") +SUMIFS('vre plants'!#REF!, 'non-vre plants'!$G$2:$G$8, 'scenario analysis'!N5, 'vre plants'!#REF!,"wind_offshore")</f>
        <v>#REF!</v>
      </c>
      <c r="P5" s="133" t="e">
        <f>SUMIFS('vre plants'!#REF!,'non-vre plants'!$G$2:$G$8,'scenario analysis'!N5,'vre plants'!#REF!,"multi c-Si")</f>
        <v>#REF!</v>
      </c>
      <c r="Q5" s="34" t="e">
        <f>SUMIFS('vre plants'!#REF!, 'non-vre plants'!$G$2:$G$8, 'scenario analysis'!N5, 'vre plants'!#REF!, "mono c-Si")</f>
        <v>#REF!</v>
      </c>
      <c r="R5" s="34" t="e">
        <f>SUMIFS('vre plants'!#REF!,'non-vre plants'!$G$2:$G$8,'scenario analysis'!N5,'vre plants'!#REF!,"thin film")</f>
        <v>#REF!</v>
      </c>
    </row>
    <row r="6" spans="1:18">
      <c r="A6" s="78" t="str">
        <f>'site independent'!A6</f>
        <v>Natural gas</v>
      </c>
      <c r="B6" s="164">
        <f>SUMIF('non-vre plants'!C2:C8,A6,'non-vre plants'!F2:F8)</f>
        <v>0</v>
      </c>
      <c r="C6" s="79">
        <f>INDEX('site independent'!$A$3:$W$47, MATCH($A6, 'site independent'!$A$3:$A$47, 0), MATCH('scenario analysis'!C$3, 'site independent'!$A$3:$W$3, 0))</f>
        <v>1</v>
      </c>
      <c r="D6" s="79">
        <f>INDEX('site independent'!$A$3:$W$47, MATCH($A6, 'site independent'!$A$3:$A$47, 0), MATCH('scenario analysis'!D$3, 'site independent'!$A$3:$W$3, 0))</f>
        <v>0</v>
      </c>
      <c r="E6" s="79">
        <f>INDEX('site independent'!$A$3:$X$47, MATCH($A6, 'site independent'!$A$3:$A$47, 0), MATCH('scenario analysis'!E$3, 'site independent'!$A$3:$X$3, 0))</f>
        <v>0</v>
      </c>
      <c r="F6" s="139">
        <f t="shared" ref="F6:F24" si="0">E6*1000*B6</f>
        <v>0</v>
      </c>
      <c r="H6" s="124" t="str">
        <f t="array" ref="H6">IFERROR(INDEX(#REF!, MATCH(0, COUNTIF($H$4:H5,#REF!), 0)), "")</f>
        <v/>
      </c>
      <c r="I6" s="164">
        <f>SUMIF('non-vre plants'!J3:J9,H6,'non-vre plants'!M3:M9)</f>
        <v>0</v>
      </c>
      <c r="J6" s="34">
        <f>SUMIF('demand centres'!$C$1:$C$50,'scenario analysis'!H6,'demand centres'!$B$1:$B$50)</f>
        <v>0</v>
      </c>
      <c r="K6" s="34" t="e">
        <f t="array" ref="K6">SUMIF('existing transmission'!#REF!,H6, 'existing transmission'!#REF!)+SUMIF('existing transmission'!#REF!,H6, 'existing transmission'!#REF!)</f>
        <v>#REF!</v>
      </c>
      <c r="L6" s="92" t="e">
        <f t="array" ref="L6">SUMIF('existing transmission'!#REF!,H6, 'existing transmission'!#REF!)+SUMIF('existing transmission'!#REF!,H6, 'existing transmission'!#REF!)</f>
        <v>#REF!</v>
      </c>
      <c r="M6" s="140"/>
      <c r="N6" s="148" t="str">
        <f t="array" ref="N6">IFERROR(INDEX(#REF!, MATCH(0, COUNTIF($N$4:N5,#REF!), 0)), "")</f>
        <v/>
      </c>
      <c r="O6" s="132" t="e">
        <f>SUMIFS('vre plants'!#REF!, 'non-vre plants'!$G$2:$G$8, 'scenario analysis'!N6, 'vre plants'!#REF!, "wind_onshore") +SUMIFS('vre plants'!#REF!, 'non-vre plants'!$G$2:$G$8, 'scenario analysis'!N6, 'vre plants'!#REF!,"wind_offshore")</f>
        <v>#REF!</v>
      </c>
      <c r="P6" s="133" t="e">
        <f>SUMIFS('vre plants'!#REF!,'non-vre plants'!$G$2:$G$8,'scenario analysis'!N6,'vre plants'!#REF!,"multi c-Si")</f>
        <v>#REF!</v>
      </c>
      <c r="Q6" s="34" t="e">
        <f>SUMIFS('vre plants'!#REF!, 'non-vre plants'!$G$2:$G$8, 'scenario analysis'!N6, 'vre plants'!#REF!, "mono c-Si")</f>
        <v>#REF!</v>
      </c>
      <c r="R6" s="34" t="e">
        <f>SUMIFS('vre plants'!#REF!,'non-vre plants'!$G$2:$G$8,'scenario analysis'!N6,'vre plants'!#REF!,"thin film")</f>
        <v>#REF!</v>
      </c>
    </row>
    <row r="7" spans="1:18">
      <c r="A7" s="78" t="str">
        <f>'site independent'!A7</f>
        <v>NG_CC</v>
      </c>
      <c r="B7" s="164">
        <f>SUMIF('non-vre plants'!C2:C8,A7,'non-vre plants'!F2:F8)</f>
        <v>0</v>
      </c>
      <c r="C7" s="79">
        <f>INDEX('site independent'!$A$3:$W$47, MATCH($A7, 'site independent'!$A$3:$A$47, 0), MATCH('scenario analysis'!C$3, 'site independent'!$A$3:$W$3, 0))</f>
        <v>1</v>
      </c>
      <c r="D7" s="79">
        <f>INDEX('site independent'!$A$3:$W$47, MATCH($A7, 'site independent'!$A$3:$A$47, 0), MATCH('scenario analysis'!D$3, 'site independent'!$A$3:$W$3, 0))</f>
        <v>0.53</v>
      </c>
      <c r="E7" s="79">
        <f>INDEX('site independent'!$A$3:$X$47, MATCH($A7, 'site independent'!$A$3:$A$47, 0), MATCH('scenario analysis'!E$3, 'site independent'!$A$3:$X$3, 0))</f>
        <v>671</v>
      </c>
      <c r="F7" s="139">
        <f>E7*1000*B7</f>
        <v>0</v>
      </c>
      <c r="H7" s="124" t="str">
        <f t="array" ref="H7">IFERROR(INDEX(#REF!, MATCH(0, COUNTIF($H$4:H6,#REF!), 0)), "")</f>
        <v/>
      </c>
      <c r="I7" s="34" t="e">
        <f>SUMIFS('vre plants'!#REF!,'non-vre plants'!$G$2:$G$8,'scenario analysis'!H7)+SUMIFS(storage!$E$2:$E$75,storage!$I$2:$I$75,'scenario analysis'!H7)+SUMIFS(EV_aggregator!$E$2:$E$75,EV_aggregator!$I$2:$I$75,'scenario analysis'!H7)+SUMIF('non-vre plants'!#REF!,H7,'non-vre plants'!F2:F8)</f>
        <v>#REF!</v>
      </c>
      <c r="J7" s="34">
        <f>SUMIF('demand centres'!$C$1:$C$50,'scenario analysis'!H7,'demand centres'!$B$1:$B$50)</f>
        <v>0</v>
      </c>
      <c r="K7" s="34" t="e">
        <f t="array" ref="K7">SUMIF('existing transmission'!#REF!,H7, 'existing transmission'!#REF!)+SUMIF('existing transmission'!#REF!,H7, 'existing transmission'!#REF!)</f>
        <v>#REF!</v>
      </c>
      <c r="L7" s="92" t="e">
        <f t="array" ref="L7">SUMIF('existing transmission'!#REF!,H7, 'existing transmission'!#REF!)+SUMIF('existing transmission'!#REF!,H7, 'existing transmission'!#REF!)</f>
        <v>#REF!</v>
      </c>
      <c r="M7" s="140"/>
      <c r="N7" s="148" t="str">
        <f t="array" ref="N7">IFERROR(INDEX(#REF!, MATCH(0, COUNTIF($N$4:N6,#REF!), 0)), "")</f>
        <v/>
      </c>
      <c r="O7" s="132" t="e">
        <f>SUMIFS('vre plants'!#REF!, 'non-vre plants'!$G$2:$G$8, 'scenario analysis'!N7, 'vre plants'!#REF!, "wind_onshore") +SUMIFS('vre plants'!#REF!, 'non-vre plants'!$G$2:$G$8, 'scenario analysis'!N7, 'vre plants'!#REF!,"wind_offshore")</f>
        <v>#REF!</v>
      </c>
      <c r="P7" s="133" t="e">
        <f>SUMIFS('vre plants'!#REF!,'non-vre plants'!$G$2:$G$8,'scenario analysis'!N7,'vre plants'!#REF!,"multi c-Si")</f>
        <v>#REF!</v>
      </c>
      <c r="Q7" s="34" t="e">
        <f>SUMIFS('vre plants'!#REF!, 'non-vre plants'!$G$2:$G$8, 'scenario analysis'!N7, 'vre plants'!#REF!, "mono c-Si")</f>
        <v>#REF!</v>
      </c>
      <c r="R7" s="34" t="e">
        <f>SUMIFS('vre plants'!#REF!,'non-vre plants'!$G$2:$G$8,'scenario analysis'!N7,'vre plants'!#REF!,"thin film")</f>
        <v>#REF!</v>
      </c>
    </row>
    <row r="8" spans="1:18">
      <c r="A8" s="78" t="str">
        <f>'site independent'!A8</f>
        <v>NG_CT</v>
      </c>
      <c r="B8" s="164">
        <f>SUMIF('non-vre plants'!C2:C8,A8,'non-vre plants'!F2:F8)</f>
        <v>0</v>
      </c>
      <c r="C8" s="79">
        <f>INDEX('site independent'!$A$3:$W$47, MATCH($A8, 'site independent'!$A$3:$A$47, 0), MATCH('scenario analysis'!C$3, 'site independent'!$A$3:$W$3, 0))</f>
        <v>1</v>
      </c>
      <c r="D8" s="79">
        <f>INDEX('site independent'!$A$3:$W$47, MATCH($A8, 'site independent'!$A$3:$A$47, 0), MATCH('scenario analysis'!D$3, 'site independent'!$A$3:$W$3, 0))</f>
        <v>1</v>
      </c>
      <c r="E8" s="79">
        <f>INDEX('site independent'!$A$3:$X$47, MATCH($A8, 'site independent'!$A$3:$A$47, 0), MATCH('scenario analysis'!E$3, 'site independent'!$A$3:$X$3, 0))</f>
        <v>968</v>
      </c>
      <c r="F8" s="139">
        <f t="shared" si="0"/>
        <v>0</v>
      </c>
      <c r="H8" s="124" t="str">
        <f t="array" ref="H8">IFERROR(INDEX(#REF!, MATCH(0, COUNTIF($H$4:H7,#REF!), 0)), "")</f>
        <v/>
      </c>
      <c r="I8" s="34" t="e">
        <f>SUMIFS('vre plants'!#REF!,'non-vre plants'!$G$2:$G$8,'scenario analysis'!H8)+SUMIFS(storage!$E$2:$E$75,storage!$I$2:$I$75,'scenario analysis'!H8)+SUMIFS(EV_aggregator!$E$2:$E$75,EV_aggregator!$I$2:$I$75,'scenario analysis'!H8)+SUMIF('non-vre plants'!#REF!,H8,'non-vre plants'!F2:F8)</f>
        <v>#REF!</v>
      </c>
      <c r="J8" s="34">
        <f>SUMIF('demand centres'!$C$1:$C$50,'scenario analysis'!H8,'demand centres'!$B$1:$B$50)</f>
        <v>0</v>
      </c>
      <c r="K8" s="34" t="e">
        <f t="array" ref="K8">SUMIF('existing transmission'!#REF!,H8, 'existing transmission'!#REF!)+SUMIF('existing transmission'!#REF!,H8, 'existing transmission'!#REF!)</f>
        <v>#REF!</v>
      </c>
      <c r="L8" s="92" t="e">
        <f t="array" ref="L8">SUMIF('existing transmission'!#REF!,H8, 'existing transmission'!#REF!)+SUMIF('existing transmission'!#REF!,H8, 'existing transmission'!#REF!)</f>
        <v>#REF!</v>
      </c>
      <c r="M8" s="34"/>
      <c r="N8" s="148" t="str">
        <f t="array" ref="N8">IFERROR(INDEX(#REF!, MATCH(0, COUNTIF($N$4:N7,#REF!), 0)), "")</f>
        <v/>
      </c>
      <c r="O8" s="132" t="e">
        <f>SUMIFS('vre plants'!#REF!, 'non-vre plants'!$G$2:$G$8, 'scenario analysis'!N8, 'vre plants'!#REF!, "wind_onshore") +SUMIFS('vre plants'!#REF!, 'non-vre plants'!$G$2:$G$8, 'scenario analysis'!N8, 'vre plants'!#REF!,"wind_offshore")</f>
        <v>#REF!</v>
      </c>
      <c r="P8" s="133" t="e">
        <f>SUMIFS('vre plants'!#REF!,'non-vre plants'!$G$2:$G$8,'scenario analysis'!N8,'vre plants'!#REF!,"multi c-Si")</f>
        <v>#REF!</v>
      </c>
      <c r="Q8" s="34" t="e">
        <f>SUMIFS('vre plants'!#REF!, 'non-vre plants'!$G$2:$G$8, 'scenario analysis'!N8, 'vre plants'!#REF!, "mono c-Si")</f>
        <v>#REF!</v>
      </c>
      <c r="R8" s="34" t="e">
        <f>SUMIFS('vre plants'!#REF!,'non-vre plants'!$G$2:$G$8,'scenario analysis'!N8,'vre plants'!#REF!,"thin film")</f>
        <v>#REF!</v>
      </c>
    </row>
    <row r="9" spans="1:18">
      <c r="A9" s="78" t="str">
        <f>'site independent'!A9</f>
        <v>NG_CG</v>
      </c>
      <c r="B9" s="164">
        <f>SUMIF('non-vre plants'!C2:C8,A9,'non-vre plants'!F2:F8)</f>
        <v>0</v>
      </c>
      <c r="C9" s="79">
        <f>INDEX('site independent'!$A$3:$W$47, MATCH($A9, 'site independent'!$A$3:$A$47, 0), MATCH('scenario analysis'!C$3, 'site independent'!$A$3:$W$3, 0))</f>
        <v>1</v>
      </c>
      <c r="D9" s="79">
        <f>INDEX('site independent'!$A$3:$W$47, MATCH($A9, 'site independent'!$A$3:$A$47, 0), MATCH('scenario analysis'!D$3, 'site independent'!$A$3:$W$3, 0))</f>
        <v>1</v>
      </c>
      <c r="E9" s="79">
        <f>INDEX('site independent'!$A$3:$X$47, MATCH($A9, 'site independent'!$A$3:$A$47, 0), MATCH('scenario analysis'!E$3, 'site independent'!$A$3:$X$3, 0))</f>
        <v>968</v>
      </c>
      <c r="F9" s="139">
        <f t="shared" si="0"/>
        <v>0</v>
      </c>
      <c r="H9" s="124" t="str">
        <f t="array" ref="H9">IFERROR(INDEX(#REF!, MATCH(0, COUNTIF($H$4:H8,#REF!), 0)), "")</f>
        <v/>
      </c>
      <c r="I9" s="34" t="e">
        <f>SUMIFS('vre plants'!#REF!,'non-vre plants'!$G$2:$G$8,'scenario analysis'!H9)+SUMIFS(storage!$E$2:$E$75,storage!$I$2:$I$75,'scenario analysis'!H9)+SUMIFS(EV_aggregator!$E$2:$E$75,EV_aggregator!$I$2:$I$75,'scenario analysis'!H9)+SUMIF('non-vre plants'!#REF!,H9,'non-vre plants'!F2:F8)</f>
        <v>#REF!</v>
      </c>
      <c r="J9" s="34">
        <f>SUMIF('demand centres'!$C$1:$C$50,'scenario analysis'!H9,'demand centres'!$B$1:$B$50)</f>
        <v>0</v>
      </c>
      <c r="K9" s="34" t="e">
        <f t="array" ref="K9">SUMIF('existing transmission'!#REF!,H9, 'existing transmission'!#REF!)+SUMIF('existing transmission'!#REF!,H9, 'existing transmission'!#REF!)</f>
        <v>#REF!</v>
      </c>
      <c r="L9" s="92" t="e">
        <f t="array" ref="L9">SUMIF('existing transmission'!#REF!,H9, 'existing transmission'!#REF!)+SUMIF('existing transmission'!#REF!,H9, 'existing transmission'!#REF!)</f>
        <v>#REF!</v>
      </c>
      <c r="M9" s="34"/>
      <c r="N9" s="148" t="str">
        <f t="array" ref="N9">IFERROR(INDEX(#REF!, MATCH(0, COUNTIF($N$4:N8,#REF!), 0)), "")</f>
        <v/>
      </c>
      <c r="O9" s="132" t="e">
        <f>SUMIFS('vre plants'!#REF!, 'non-vre plants'!$G$2:$G$8, 'scenario analysis'!N9, 'vre plants'!#REF!, "wind_onshore") +SUMIFS('vre plants'!#REF!, 'non-vre plants'!$G$2:$G$8, 'scenario analysis'!N9, 'vre plants'!#REF!,"wind_offshore")</f>
        <v>#REF!</v>
      </c>
      <c r="P9" s="133" t="e">
        <f>SUMIFS('vre plants'!#REF!,'non-vre plants'!$G$2:$G$8,'scenario analysis'!N9,'vre plants'!#REF!,"multi c-Si")</f>
        <v>#REF!</v>
      </c>
      <c r="Q9" s="34" t="e">
        <f>SUMIFS('vre plants'!#REF!, 'non-vre plants'!$G$2:$G$8, 'scenario analysis'!N9, 'vre plants'!#REF!, "mono c-Si")</f>
        <v>#REF!</v>
      </c>
      <c r="R9" s="34" t="e">
        <f>SUMIFS('vre plants'!#REF!,'non-vre plants'!$G$2:$G$8,'scenario analysis'!N9,'vre plants'!#REF!,"thin film")</f>
        <v>#REF!</v>
      </c>
    </row>
    <row r="10" spans="1:18">
      <c r="A10" s="78" t="str">
        <f>'site independent'!A10</f>
        <v>diesel</v>
      </c>
      <c r="B10" s="164">
        <f>SUMIF('non-vre plants'!C2:C8,A10,'non-vre plants'!F2:F8)</f>
        <v>0</v>
      </c>
      <c r="C10" s="79">
        <f>INDEX('site independent'!$A$3:$W$47, MATCH($A10, 'site independent'!$A$3:$A$47, 0), MATCH('scenario analysis'!C$3, 'site independent'!$A$3:$W$3, 0))</f>
        <v>1</v>
      </c>
      <c r="D10" s="79">
        <f>INDEX('site independent'!$A$3:$W$47, MATCH($A10, 'site independent'!$A$3:$A$47, 0), MATCH('scenario analysis'!D$3, 'site independent'!$A$3:$W$3, 0))</f>
        <v>0.86</v>
      </c>
      <c r="E10" s="79">
        <f>INDEX('site independent'!$A$3:$X$47, MATCH($A10, 'site independent'!$A$3:$A$47, 0), MATCH('scenario analysis'!E$3, 'site independent'!$A$3:$X$3, 0))</f>
        <v>0</v>
      </c>
      <c r="F10" s="139">
        <f t="shared" si="0"/>
        <v>0</v>
      </c>
      <c r="H10" s="124" t="str">
        <f t="array" ref="H10">IFERROR(INDEX(#REF!, MATCH(0, COUNTIF($H$4:H9,#REF!), 0)), "")</f>
        <v/>
      </c>
      <c r="I10" s="164">
        <f>SUMIF('non-vre plants'!J7:J9,H10,'non-vre plants'!V7:V9)</f>
        <v>0</v>
      </c>
      <c r="J10" s="34">
        <f>SUMIF('demand centres'!$C$1:$C$50,'scenario analysis'!H10,'demand centres'!$B$1:$B$50)</f>
        <v>0</v>
      </c>
      <c r="K10" s="34" t="e">
        <f t="array" ref="K10">SUMIF('existing transmission'!#REF!,H10, 'existing transmission'!#REF!)+SUMIF('existing transmission'!#REF!,H10, 'existing transmission'!#REF!)</f>
        <v>#REF!</v>
      </c>
      <c r="L10" s="92" t="e">
        <f t="array" ref="L10">SUMIF('existing transmission'!#REF!,H10, 'existing transmission'!#REF!)+SUMIF('existing transmission'!#REF!,H10, 'existing transmission'!#REF!)</f>
        <v>#REF!</v>
      </c>
      <c r="M10" s="34"/>
      <c r="N10" s="148" t="str">
        <f t="array" ref="N10">IFERROR(INDEX(#REF!, MATCH(0, COUNTIF($N$4:N9,#REF!), 0)), "")</f>
        <v/>
      </c>
      <c r="O10" s="132" t="e">
        <f>SUMIFS('vre plants'!#REF!, 'non-vre plants'!$G$2:$G$8, 'scenario analysis'!N10, 'vre plants'!#REF!, "wind_onshore") +SUMIFS('vre plants'!#REF!, 'non-vre plants'!$G$2:$G$8, 'scenario analysis'!N10, 'vre plants'!#REF!,"wind_offshore")</f>
        <v>#REF!</v>
      </c>
      <c r="P10" s="133" t="e">
        <f>SUMIFS('vre plants'!#REF!,'non-vre plants'!$G$2:$G$8,'scenario analysis'!N10,'vre plants'!#REF!,"multi c-Si")</f>
        <v>#REF!</v>
      </c>
      <c r="Q10" s="34" t="e">
        <f>SUMIFS('vre plants'!#REF!, 'non-vre plants'!$G$2:$G$8, 'scenario analysis'!N10, 'vre plants'!#REF!, "mono c-Si")</f>
        <v>#REF!</v>
      </c>
      <c r="R10" s="34" t="e">
        <f>SUMIFS('vre plants'!#REF!,'non-vre plants'!$G$2:$G$8,'scenario analysis'!N10,'vre plants'!#REF!,"thin film")</f>
        <v>#REF!</v>
      </c>
    </row>
    <row r="11" spans="1:18">
      <c r="A11" s="78" t="str">
        <f>'site independent'!A11</f>
        <v>fuel oil</v>
      </c>
      <c r="B11" s="164">
        <f>SUMIF('non-vre plants'!C2:C8,A11,'non-vre plants'!F2:F8)</f>
        <v>0</v>
      </c>
      <c r="C11" s="79">
        <f>INDEX('site independent'!$A$3:$W$47, MATCH($A11, 'site independent'!$A$3:$A$47, 0), MATCH('scenario analysis'!C$3, 'site independent'!$A$3:$W$3, 0))</f>
        <v>1</v>
      </c>
      <c r="D11" s="79">
        <f>INDEX('site independent'!$A$3:$W$47, MATCH($A11, 'site independent'!$A$3:$A$47, 0), MATCH('scenario analysis'!D$3, 'site independent'!$A$3:$W$3, 0))</f>
        <v>0.86</v>
      </c>
      <c r="E11" s="79">
        <f>INDEX('site independent'!$A$3:$X$47, MATCH($A11, 'site independent'!$A$3:$A$47, 0), MATCH('scenario analysis'!E$3, 'site independent'!$A$3:$X$3, 0))</f>
        <v>0</v>
      </c>
      <c r="F11" s="139">
        <f t="shared" si="0"/>
        <v>0</v>
      </c>
      <c r="H11" s="124" t="str">
        <f t="array" ref="H11">IFERROR(INDEX(#REF!, MATCH(0, COUNTIF($H$4:H10,#REF!), 0)), "")</f>
        <v/>
      </c>
      <c r="I11" s="164">
        <f>SUMIF('non-vre plants'!J7:J9,H11,'non-vre plants'!V7:V9)</f>
        <v>0</v>
      </c>
      <c r="J11" s="34">
        <f>SUMIF('demand centres'!$C$1:$C$50,'scenario analysis'!H11,'demand centres'!$B$1:$B$50)</f>
        <v>0</v>
      </c>
      <c r="K11" s="34" t="e">
        <f t="array" ref="K11">SUMIF('existing transmission'!#REF!,H11, 'existing transmission'!#REF!)+SUMIF('existing transmission'!#REF!,H11, 'existing transmission'!#REF!)</f>
        <v>#REF!</v>
      </c>
      <c r="L11" s="92" t="e">
        <f t="array" ref="L11">SUMIF('existing transmission'!#REF!,H11, 'existing transmission'!#REF!)+SUMIF('existing transmission'!#REF!,H11, 'existing transmission'!#REF!)</f>
        <v>#REF!</v>
      </c>
      <c r="M11" s="34"/>
      <c r="N11" s="148" t="str">
        <f t="array" ref="N11">IFERROR(INDEX(#REF!, MATCH(0, COUNTIF($N$4:N10,#REF!), 0)), "")</f>
        <v/>
      </c>
      <c r="O11" s="132" t="e">
        <f>SUMIFS('vre plants'!#REF!, 'non-vre plants'!$G$2:$G$8, 'scenario analysis'!N11, 'vre plants'!#REF!, "wind_onshore") +SUMIFS('vre plants'!#REF!, 'non-vre plants'!$G$2:$G$8, 'scenario analysis'!N11, 'vre plants'!#REF!,"wind_offshore")</f>
        <v>#REF!</v>
      </c>
      <c r="P11" s="133" t="e">
        <f>SUMIFS('vre plants'!#REF!,'non-vre plants'!$G$2:$G$8,'scenario analysis'!N11,'vre plants'!#REF!,"multi c-Si")</f>
        <v>#REF!</v>
      </c>
      <c r="Q11" s="34" t="e">
        <f>SUMIFS('vre plants'!#REF!, 'non-vre plants'!$G$2:$G$8, 'scenario analysis'!N11, 'vre plants'!#REF!, "mono c-Si")</f>
        <v>#REF!</v>
      </c>
      <c r="R11" s="34" t="e">
        <f>SUMIFS('vre plants'!#REF!,'non-vre plants'!$G$2:$G$8,'scenario analysis'!N11,'vre plants'!#REF!,"thin film")</f>
        <v>#REF!</v>
      </c>
    </row>
    <row r="12" spans="1:18">
      <c r="A12" s="78" t="str">
        <f>'site independent'!A12</f>
        <v>nuclear</v>
      </c>
      <c r="B12" s="164">
        <f>SUMIF('non-vre plants'!C2:C8,A12,'non-vre plants'!F2:F8)</f>
        <v>0</v>
      </c>
      <c r="C12" s="79">
        <f>INDEX('site independent'!$A$3:$W$47, MATCH($A12, 'site independent'!$A$3:$A$47, 0), MATCH('scenario analysis'!C$3, 'site independent'!$A$3:$W$3, 0))</f>
        <v>1</v>
      </c>
      <c r="D12" s="79">
        <f>INDEX('site independent'!$A$3:$W$47, MATCH($A12, 'site independent'!$A$3:$A$47, 0), MATCH('scenario analysis'!D$3, 'site independent'!$A$3:$W$3, 0))</f>
        <v>0.2</v>
      </c>
      <c r="E12" s="79">
        <f>INDEX('site independent'!$A$3:$X$47, MATCH($A12, 'site independent'!$A$3:$A$47, 0), MATCH('scenario analysis'!E$3, 'site independent'!$A$3:$X$3, 0))</f>
        <v>5366</v>
      </c>
      <c r="F12" s="139">
        <f t="shared" si="0"/>
        <v>0</v>
      </c>
      <c r="H12" s="124" t="str">
        <f t="array" ref="H12">IFERROR(INDEX(#REF!, MATCH(0, COUNTIF($H$4:H11,#REF!), 0)), "")</f>
        <v/>
      </c>
      <c r="I12" s="34" t="e">
        <f>SUMIFS('vre plants'!#REF!,'non-vre plants'!$G$2:$G$8,'scenario analysis'!H12)+SUMIFS(storage!$E$2:$E$75,storage!$I$2:$I$75,'scenario analysis'!H12)+SUMIFS(EV_aggregator!$E$2:$E$75,EV_aggregator!$I$2:$I$75,'scenario analysis'!H12)+SUMIF('non-vre plants'!#REF!,H12,'non-vre plants'!F2:F8)</f>
        <v>#REF!</v>
      </c>
      <c r="J12" s="34">
        <f>SUMIF('demand centres'!$C$1:$C$50,'scenario analysis'!H12,'demand centres'!$B$1:$B$50)</f>
        <v>0</v>
      </c>
      <c r="K12" s="34" t="e">
        <f t="array" ref="K12">SUMIF('existing transmission'!#REF!,H12, 'existing transmission'!#REF!)+SUMIF('existing transmission'!#REF!,H12, 'existing transmission'!#REF!)</f>
        <v>#REF!</v>
      </c>
      <c r="L12" s="92" t="e">
        <f t="array" ref="L12">SUMIF('existing transmission'!#REF!,H12, 'existing transmission'!#REF!)+SUMIF('existing transmission'!#REF!,H12, 'existing transmission'!#REF!)</f>
        <v>#REF!</v>
      </c>
      <c r="M12" s="34"/>
      <c r="N12" s="148" t="str">
        <f t="array" ref="N12">IFERROR(INDEX(#REF!, MATCH(0, COUNTIF($N$4:N11,#REF!), 0)), "")</f>
        <v/>
      </c>
      <c r="O12" s="132" t="e">
        <f>SUMIFS('vre plants'!#REF!, 'non-vre plants'!$G$2:$G$8, 'scenario analysis'!N12, 'vre plants'!#REF!, "wind_onshore") +SUMIFS('vre plants'!#REF!, 'non-vre plants'!$G$2:$G$8, 'scenario analysis'!N12, 'vre plants'!#REF!,"wind_offshore")</f>
        <v>#REF!</v>
      </c>
      <c r="P12" s="133" t="e">
        <f>SUMIFS('vre plants'!#REF!,'non-vre plants'!$G$2:$G$8,'scenario analysis'!N12,'vre plants'!#REF!,"multi c-Si")</f>
        <v>#REF!</v>
      </c>
      <c r="Q12" s="34" t="e">
        <f>SUMIFS('vre plants'!#REF!, 'non-vre plants'!$G$2:$G$8, 'scenario analysis'!N12, 'vre plants'!#REF!, "mono c-Si")</f>
        <v>#REF!</v>
      </c>
      <c r="R12" s="34" t="e">
        <f>SUMIFS('vre plants'!#REF!,'non-vre plants'!$G$2:$G$8,'scenario analysis'!N12,'vre plants'!#REF!,"thin film")</f>
        <v>#REF!</v>
      </c>
    </row>
    <row r="13" spans="1:18">
      <c r="A13" s="78" t="str">
        <f>'site independent'!A13</f>
        <v>hydro</v>
      </c>
      <c r="B13" s="164">
        <f>SUMIF('non-vre plants'!C2:C8,A13,'non-vre plants'!F2:F8)</f>
        <v>0</v>
      </c>
      <c r="C13" s="79">
        <f>INDEX('site independent'!$A$3:$W$47, MATCH($A13, 'site independent'!$A$3:$A$47, 0), MATCH('scenario analysis'!C$3, 'site independent'!$A$3:$W$3, 0))</f>
        <v>1</v>
      </c>
      <c r="D13" s="79">
        <f>INDEX('site independent'!$A$3:$W$47, MATCH($A13, 'site independent'!$A$3:$A$47, 0), MATCH('scenario analysis'!D$3, 'site independent'!$A$3:$W$3, 0))</f>
        <v>0.66</v>
      </c>
      <c r="E13" s="79">
        <f>INDEX('site independent'!$A$3:$X$47, MATCH($A13, 'site independent'!$A$3:$A$47, 0), MATCH('scenario analysis'!E$3, 'site independent'!$A$3:$X$3, 0))</f>
        <v>2651</v>
      </c>
      <c r="F13" s="139">
        <f t="shared" si="0"/>
        <v>0</v>
      </c>
      <c r="H13" s="124" t="str">
        <f t="array" ref="H13">IFERROR(INDEX(#REF!, MATCH(0, COUNTIF($H$4:H12,#REF!), 0)), "")</f>
        <v/>
      </c>
      <c r="I13" s="34" t="e">
        <f>SUMIFS('vre plants'!#REF!,'non-vre plants'!$G$2:$G$8,'scenario analysis'!H13)+SUMIFS(storage!$E$2:$E$75,storage!$I$2:$I$75,'scenario analysis'!H13)+SUMIFS(EV_aggregator!$E$2:$E$75,EV_aggregator!$I$2:$I$75,'scenario analysis'!H13)+SUMIF('non-vre plants'!#REF!,H13,'non-vre plants'!F3:F8)</f>
        <v>#REF!</v>
      </c>
      <c r="J13" s="34">
        <f>SUMIF('demand centres'!$C$1:$C$50,'scenario analysis'!H13,'demand centres'!$B$1:$B$50)</f>
        <v>0</v>
      </c>
      <c r="K13" s="34" t="e">
        <f t="array" ref="K13">SUMIF('existing transmission'!#REF!,H13, 'existing transmission'!#REF!)+SUMIF('existing transmission'!#REF!,H13, 'existing transmission'!#REF!)</f>
        <v>#REF!</v>
      </c>
      <c r="L13" s="92" t="e">
        <f t="array" ref="L13">SUMIF('existing transmission'!#REF!,H13, 'existing transmission'!#REF!)+SUMIF('existing transmission'!#REF!,H13, 'existing transmission'!#REF!)</f>
        <v>#REF!</v>
      </c>
      <c r="M13" s="34"/>
      <c r="N13" s="148" t="str">
        <f t="array" ref="N13">IFERROR(INDEX(#REF!, MATCH(0, COUNTIF($N$4:N12,#REF!), 0)), "")</f>
        <v/>
      </c>
      <c r="O13" s="132" t="e">
        <f>SUMIFS('vre plants'!#REF!, 'non-vre plants'!$G$2:$G$8, 'scenario analysis'!N13, 'vre plants'!#REF!, "wind_onshore") +SUMIFS('vre plants'!#REF!, 'non-vre plants'!$G$2:$G$8, 'scenario analysis'!N13, 'vre plants'!#REF!,"wind_offshore")</f>
        <v>#REF!</v>
      </c>
      <c r="P13" s="133" t="e">
        <f>SUMIFS('vre plants'!#REF!,'non-vre plants'!$G$2:$G$8,'scenario analysis'!N13,'vre plants'!#REF!,"multi c-Si")</f>
        <v>#REF!</v>
      </c>
      <c r="Q13" s="34" t="e">
        <f>SUMIFS('vre plants'!#REF!, 'non-vre plants'!$G$2:$G$8, 'scenario analysis'!N13, 'vre plants'!#REF!, "mono c-Si")</f>
        <v>#REF!</v>
      </c>
      <c r="R13" s="34" t="e">
        <f>SUMIFS('vre plants'!#REF!,'non-vre plants'!$G$2:$G$8,'scenario analysis'!N13,'vre plants'!#REF!,"thin film")</f>
        <v>#REF!</v>
      </c>
    </row>
    <row r="14" spans="1:18">
      <c r="A14" s="78" t="str">
        <f>'site independent'!A14</f>
        <v>hydro_hourly</v>
      </c>
      <c r="B14" s="164">
        <f>SUMIF('non-vre plants'!C2:C8,A14,'non-vre plants'!F2:F8)</f>
        <v>0</v>
      </c>
      <c r="C14" s="79">
        <f>INDEX('site independent'!$A$3:$W$47, MATCH($A14, 'site independent'!$A$3:$A$47, 0), MATCH('scenario analysis'!C$3, 'site independent'!$A$3:$W$3, 0))</f>
        <v>1</v>
      </c>
      <c r="D14" s="79">
        <f>INDEX('site independent'!$A$3:$W$47, MATCH($A14, 'site independent'!$A$3:$A$47, 0), MATCH('scenario analysis'!D$3, 'site independent'!$A$3:$W$3, 0))</f>
        <v>0.66</v>
      </c>
      <c r="E14" s="79">
        <f>INDEX('site independent'!$A$3:$X$47, MATCH($A14, 'site independent'!$A$3:$A$47, 0), MATCH('scenario analysis'!E$3, 'site independent'!$A$3:$X$3, 0))</f>
        <v>2651</v>
      </c>
      <c r="F14" s="139">
        <f t="shared" si="0"/>
        <v>0</v>
      </c>
      <c r="H14" s="124" t="str">
        <f t="array" ref="H14">IFERROR(INDEX(#REF!, MATCH(0, COUNTIF($H$4:H13,#REF!), 0)), "")</f>
        <v/>
      </c>
      <c r="I14" s="34" t="e">
        <f>SUMIFS('vre plants'!#REF!,'non-vre plants'!$G$2:$G$8,'scenario analysis'!H14)+SUMIFS(storage!$E$2:$E$75,storage!$I$2:$I$75,'scenario analysis'!H14)+SUMIFS(EV_aggregator!$E$2:$E$75,EV_aggregator!$I$2:$I$75,'scenario analysis'!H14)+SUMIF('non-vre plants'!#REF!,H14,'non-vre plants'!F4:F8)</f>
        <v>#REF!</v>
      </c>
      <c r="J14" s="34">
        <f>SUMIF('demand centres'!$C$1:$C$50,'scenario analysis'!H14,'demand centres'!$B$1:$B$50)</f>
        <v>0</v>
      </c>
      <c r="K14" s="34" t="e">
        <f t="array" ref="K14">SUMIF('existing transmission'!#REF!,H14, 'existing transmission'!#REF!)+SUMIF('existing transmission'!#REF!,H14, 'existing transmission'!#REF!)</f>
        <v>#REF!</v>
      </c>
      <c r="L14" s="92" t="e">
        <f t="array" ref="L14">SUMIF('existing transmission'!#REF!,H14, 'existing transmission'!#REF!)+SUMIF('existing transmission'!#REF!,H14, 'existing transmission'!#REF!)</f>
        <v>#REF!</v>
      </c>
      <c r="M14" s="34"/>
      <c r="N14" s="148" t="str">
        <f t="array" ref="N14">IFERROR(INDEX(#REF!, MATCH(0, COUNTIF($N$4:N13,#REF!), 0)), "")</f>
        <v/>
      </c>
      <c r="O14" s="132" t="e">
        <f>SUMIFS('vre plants'!#REF!, 'non-vre plants'!$G$2:$G$8, 'scenario analysis'!N14, 'vre plants'!#REF!, "wind_onshore") +SUMIFS('vre plants'!#REF!, 'non-vre plants'!$G$2:$G$8, 'scenario analysis'!N14, 'vre plants'!#REF!,"wind_offshore")</f>
        <v>#REF!</v>
      </c>
      <c r="P14" s="133" t="e">
        <f>SUMIFS('vre plants'!#REF!,'non-vre plants'!$G$2:$G$8,'scenario analysis'!N14,'vre plants'!#REF!,"multi c-Si")</f>
        <v>#REF!</v>
      </c>
      <c r="Q14" s="34" t="e">
        <f>SUMIFS('vre plants'!#REF!, 'non-vre plants'!$G$2:$G$8, 'scenario analysis'!N14, 'vre plants'!#REF!, "mono c-Si")</f>
        <v>#REF!</v>
      </c>
      <c r="R14" s="34" t="e">
        <f>SUMIFS('vre plants'!#REF!,'non-vre plants'!$G$2:$G$8,'scenario analysis'!N14,'vre plants'!#REF!,"thin film")</f>
        <v>#REF!</v>
      </c>
    </row>
    <row r="15" spans="1:18">
      <c r="A15" s="78" t="str">
        <f>'site independent'!A15</f>
        <v>hydro_daily</v>
      </c>
      <c r="B15" s="164"/>
      <c r="C15" s="79"/>
      <c r="D15" s="79"/>
      <c r="E15" s="79"/>
      <c r="F15" s="164"/>
      <c r="H15" s="124"/>
      <c r="I15" s="34"/>
      <c r="J15" s="34"/>
      <c r="K15" s="34"/>
      <c r="L15" s="92"/>
      <c r="M15" s="34"/>
      <c r="N15" s="148"/>
      <c r="O15" s="132"/>
      <c r="P15" s="133"/>
      <c r="Q15" s="34"/>
      <c r="R15" s="34"/>
    </row>
    <row r="16" spans="1:18">
      <c r="A16" s="78" t="str">
        <f>'site independent'!A16</f>
        <v>hydro_monthly</v>
      </c>
      <c r="B16" s="164"/>
      <c r="C16" s="79"/>
      <c r="D16" s="79"/>
      <c r="E16" s="79"/>
      <c r="F16" s="164"/>
      <c r="H16" s="124"/>
      <c r="I16" s="34"/>
      <c r="J16" s="34"/>
      <c r="K16" s="34"/>
      <c r="L16" s="92"/>
      <c r="M16" s="34"/>
      <c r="N16" s="148"/>
      <c r="O16" s="132"/>
      <c r="P16" s="133"/>
      <c r="Q16" s="34"/>
      <c r="R16" s="34"/>
    </row>
    <row r="17" spans="1:18">
      <c r="A17" s="78" t="str">
        <f>'site independent'!A17</f>
        <v>geothermal</v>
      </c>
      <c r="B17" s="164"/>
      <c r="C17" s="79"/>
      <c r="D17" s="79"/>
      <c r="E17" s="79"/>
      <c r="F17" s="164"/>
      <c r="H17" s="124"/>
      <c r="I17" s="34"/>
      <c r="J17" s="34"/>
      <c r="K17" s="34"/>
      <c r="L17" s="92"/>
      <c r="M17" s="34"/>
      <c r="N17" s="148"/>
      <c r="O17" s="132"/>
      <c r="P17" s="133"/>
      <c r="Q17" s="34"/>
      <c r="R17" s="34"/>
    </row>
    <row r="18" spans="1:18">
      <c r="A18" s="78" t="str">
        <f>'site independent'!A18</f>
        <v>biomass</v>
      </c>
      <c r="B18" s="164"/>
      <c r="C18" s="79"/>
      <c r="D18" s="79"/>
      <c r="E18" s="79"/>
      <c r="F18" s="164"/>
      <c r="H18" s="124"/>
      <c r="I18" s="34"/>
      <c r="J18" s="34"/>
      <c r="K18" s="34"/>
      <c r="L18" s="92"/>
      <c r="M18" s="34"/>
      <c r="N18" s="148"/>
      <c r="O18" s="132"/>
      <c r="P18" s="133"/>
      <c r="Q18" s="34"/>
      <c r="R18" s="34"/>
    </row>
    <row r="19" spans="1:18">
      <c r="A19" s="78" t="str">
        <f>'site independent'!A19</f>
        <v>biogas</v>
      </c>
      <c r="B19" s="164"/>
      <c r="C19" s="79"/>
      <c r="D19" s="79"/>
      <c r="E19" s="79"/>
      <c r="F19" s="164"/>
      <c r="H19" s="124"/>
      <c r="I19" s="34"/>
      <c r="J19" s="34"/>
      <c r="K19" s="34"/>
      <c r="L19" s="92"/>
      <c r="M19" s="34"/>
      <c r="N19" s="148"/>
      <c r="O19" s="132"/>
      <c r="P19" s="133"/>
      <c r="Q19" s="34"/>
      <c r="R19" s="34"/>
    </row>
    <row r="20" spans="1:18">
      <c r="A20" t="s">
        <v>408</v>
      </c>
      <c r="B20" s="164">
        <f>SUMIF('non-vre plants'!C2:C8,A20,'non-vre plants'!F2:F8)</f>
        <v>0</v>
      </c>
      <c r="H20" s="124" t="str">
        <f t="array" ref="H20">IFERROR(INDEX(#REF!, MATCH(0, COUNTIF($H$4:H14,#REF!), 0)), "")</f>
        <v/>
      </c>
      <c r="I20" s="164">
        <f ca="1">SUMIF('non-vre plants'!J8:J9,H20,'non-vre plants'!V9:V9)</f>
        <v>0</v>
      </c>
      <c r="J20" s="34">
        <f>SUMIF('demand centres'!$C$1:$C$50,'scenario analysis'!H20,'demand centres'!$B$1:$B$50)</f>
        <v>0</v>
      </c>
      <c r="K20" s="34" t="e">
        <f t="array" ref="K20">SUMIF('existing transmission'!#REF!,H20, 'existing transmission'!#REF!)+SUMIF('existing transmission'!#REF!,H20, 'existing transmission'!#REF!)</f>
        <v>#REF!</v>
      </c>
      <c r="L20" s="92" t="e">
        <f t="array" ref="L20">SUMIF('existing transmission'!#REF!,H20, 'existing transmission'!#REF!)+SUMIF('existing transmission'!#REF!,H20, 'existing transmission'!#REF!)</f>
        <v>#REF!</v>
      </c>
      <c r="M20" s="34"/>
      <c r="N20" s="148" t="str">
        <f t="array" ref="N20">IFERROR(INDEX(#REF!, MATCH(0, COUNTIF($N$4:N14,#REF!), 0)), "")</f>
        <v/>
      </c>
      <c r="O20" s="132" t="e">
        <f>SUMIFS('vre plants'!#REF!, 'non-vre plants'!$G$2:$G$8, 'scenario analysis'!N20, 'vre plants'!#REF!, "wind_onshore") +SUMIFS('vre plants'!#REF!, 'non-vre plants'!$G$2:$G$8, 'scenario analysis'!N20, 'vre plants'!#REF!,"wind_offshore")</f>
        <v>#REF!</v>
      </c>
      <c r="P20" s="133" t="e">
        <f>SUMIFS('vre plants'!#REF!,'non-vre plants'!$G$2:$G$8,'scenario analysis'!N20,'vre plants'!#REF!,"multi c-Si")</f>
        <v>#REF!</v>
      </c>
      <c r="Q20" s="34" t="e">
        <f>SUMIFS('vre plants'!#REF!, 'non-vre plants'!$G$2:$G$8, 'scenario analysis'!N20, 'vre plants'!#REF!, "mono c-Si")</f>
        <v>#REF!</v>
      </c>
      <c r="R20" s="34" t="e">
        <f>SUMIFS('vre plants'!#REF!,'non-vre plants'!$G$2:$G$8,'scenario analysis'!N20,'vre plants'!#REF!,"thin film")</f>
        <v>#REF!</v>
      </c>
    </row>
    <row r="21" spans="1:18">
      <c r="A21" s="124" t="s">
        <v>4</v>
      </c>
      <c r="B21" s="164" t="e">
        <f>SUMIF('vre plants'!#REF!, "wind_onshore", 'vre plants'!#REF!) + SUMIF('vre plants'!#REF!, "wind_offshore", 'vre plants'!#REF!)</f>
        <v>#REF!</v>
      </c>
      <c r="C21" s="79">
        <f>INDEX('site independent'!$A$3:$W$47, MATCH($A21, 'site independent'!$A$3:$A$47, 0), MATCH('scenario analysis'!C$3, 'site independent'!$A$3:$W$3, 0))</f>
        <v>0.2</v>
      </c>
      <c r="D21" s="79">
        <f>INDEX('site independent'!$A$3:$W$47, MATCH($A21, 'site independent'!$A$3:$A$47, 0), MATCH('scenario analysis'!D$3, 'site independent'!$A$3:$W$3, 0))</f>
        <v>0</v>
      </c>
      <c r="E21" s="79">
        <f>INDEX('site independent'!$A$3:$X$47, MATCH($A21, 'site independent'!$A$3:$A$47, 0), MATCH('scenario analysis'!E$3, 'site independent'!$A$3:$X$3, 0))</f>
        <v>19.8</v>
      </c>
      <c r="F21" s="139" t="e">
        <f>E21*1000*B21</f>
        <v>#REF!</v>
      </c>
      <c r="H21" s="124" t="str">
        <f t="array" ref="H21">IFERROR(INDEX(#REF!, MATCH(0, COUNTIF($H$4:H20,#REF!), 0)), "")</f>
        <v/>
      </c>
      <c r="I21" s="164" t="e">
        <f>SUMIF('non-vre plants'!J9:J9,H21,'non-vre plants'!#REF!)</f>
        <v>#REF!</v>
      </c>
      <c r="J21" s="34">
        <f>SUMIF('demand centres'!$C$1:$C$50,'scenario analysis'!H21,'demand centres'!$B$1:$B$50)</f>
        <v>0</v>
      </c>
      <c r="K21" s="34" t="e">
        <f t="array" ref="K21">SUMIF('existing transmission'!#REF!,H21, 'existing transmission'!#REF!)+SUMIF('existing transmission'!#REF!,H21, 'existing transmission'!#REF!)</f>
        <v>#REF!</v>
      </c>
      <c r="L21" s="92" t="e">
        <f t="array" ref="L21">SUMIF('existing transmission'!#REF!,H21, 'existing transmission'!#REF!)+SUMIF('existing transmission'!#REF!,H21, 'existing transmission'!#REF!)</f>
        <v>#REF!</v>
      </c>
      <c r="M21" s="34"/>
      <c r="N21" s="148" t="str">
        <f t="array" ref="N21">IFERROR(INDEX(#REF!, MATCH(0, COUNTIF($N$4:N20,#REF!), 0)), "")</f>
        <v/>
      </c>
      <c r="O21" s="132" t="e">
        <f>SUMIFS('vre plants'!#REF!, 'non-vre plants'!$G$2:$G$8, 'scenario analysis'!N21, 'vre plants'!#REF!, "wind_onshore") +SUMIFS('vre plants'!#REF!, 'non-vre plants'!$G$2:$G$8, 'scenario analysis'!N21, 'vre plants'!#REF!,"wind_offshore")</f>
        <v>#REF!</v>
      </c>
      <c r="P21" s="133" t="e">
        <f>SUMIFS('vre plants'!#REF!,'non-vre plants'!$G$2:$G$8,'scenario analysis'!N21,'vre plants'!#REF!,"multi c-Si")</f>
        <v>#REF!</v>
      </c>
      <c r="Q21" s="34" t="e">
        <f>SUMIFS('vre plants'!#REF!, 'non-vre plants'!$G$2:$G$8, 'scenario analysis'!N21, 'vre plants'!#REF!, "mono c-Si")</f>
        <v>#REF!</v>
      </c>
      <c r="R21" s="34" t="e">
        <f>SUMIFS('vre plants'!#REF!,'non-vre plants'!$G$2:$G$8,'scenario analysis'!N21,'vre plants'!#REF!,"thin film")</f>
        <v>#REF!</v>
      </c>
    </row>
    <row r="22" spans="1:18">
      <c r="A22" s="124" t="s">
        <v>16</v>
      </c>
      <c r="B22" s="164" t="e">
        <f>SUMIF('vre plants'!#REF!, "multi_c_Si", 'vre plants'!#REF!) + SUMIF('vre plants'!#REF!, "thin film", 'vre plants'!#REF!)+ SUMIF('vre plants'!#REF!, "mono c-Si", 'vre plants'!#REF!)</f>
        <v>#REF!</v>
      </c>
      <c r="C22" s="79">
        <f>INDEX('site independent'!$A$3:$W$47, MATCH($A22, 'site independent'!$A$3:$A$47, 0), MATCH('scenario analysis'!C$3, 'site independent'!$A$3:$W$3, 0))</f>
        <v>0.6</v>
      </c>
      <c r="D22" s="79">
        <f>INDEX('site independent'!$A$3:$W$47, MATCH($A22, 'site independent'!$A$3:$A$47, 0), MATCH('scenario analysis'!D$3, 'site independent'!$A$3:$W$3, 0))</f>
        <v>0</v>
      </c>
      <c r="E22" s="79">
        <f>INDEX('site independent'!$A$3:$X$47, MATCH($A22, 'site independent'!$A$3:$A$47, 0), MATCH('scenario analysis'!E$3, 'site independent'!$A$3:$X$3, 0))</f>
        <v>3279</v>
      </c>
      <c r="F22" s="139" t="e">
        <f>E22*1000*B22</f>
        <v>#REF!</v>
      </c>
      <c r="H22" s="124" t="str">
        <f t="array" ref="H22">IFERROR(INDEX(#REF!, MATCH(0, COUNTIF($H$4:H21,#REF!), 0)), "")</f>
        <v/>
      </c>
      <c r="I22" s="164" t="e">
        <f>SUMIF('non-vre plants'!J9:J9,H22,'non-vre plants'!#REF!)</f>
        <v>#REF!</v>
      </c>
      <c r="J22" s="34">
        <f>SUMIF('demand centres'!$C$1:$C$50,'scenario analysis'!H22,'demand centres'!$B$1:$B$50)</f>
        <v>0</v>
      </c>
      <c r="K22" s="34" t="e">
        <f t="array" ref="K22">SUMIF('existing transmission'!#REF!,H22, 'existing transmission'!#REF!)+SUMIF('existing transmission'!#REF!,H22, 'existing transmission'!#REF!)</f>
        <v>#REF!</v>
      </c>
      <c r="L22" s="92" t="e">
        <f t="array" ref="L22">SUMIF('existing transmission'!#REF!,H22, 'existing transmission'!#REF!)+SUMIF('existing transmission'!#REF!,H22, 'existing transmission'!#REF!)</f>
        <v>#REF!</v>
      </c>
      <c r="M22" s="34"/>
      <c r="N22" s="148" t="str">
        <f t="array" ref="N22">IFERROR(INDEX(#REF!, MATCH(0, COUNTIF($N$4:N21,#REF!), 0)), "")</f>
        <v/>
      </c>
      <c r="O22" s="132" t="e">
        <f>SUMIFS('vre plants'!#REF!, 'non-vre plants'!$G$2:$G$8, 'scenario analysis'!N22, 'vre plants'!#REF!, "wind_onshore") +SUMIFS('vre plants'!#REF!, 'non-vre plants'!$G$2:$G$8, 'scenario analysis'!N22, 'vre plants'!#REF!,"wind_offshore")</f>
        <v>#REF!</v>
      </c>
      <c r="P22" s="133" t="e">
        <f>SUMIFS('vre plants'!#REF!,'non-vre plants'!$G$2:$G$8,'scenario analysis'!N22,'vre plants'!#REF!,"multi c-Si")</f>
        <v>#REF!</v>
      </c>
      <c r="Q22" s="34" t="e">
        <f>SUMIFS('vre plants'!#REF!, 'non-vre plants'!$G$2:$G$8, 'scenario analysis'!N22, 'vre plants'!#REF!, "mono c-Si")</f>
        <v>#REF!</v>
      </c>
      <c r="R22" s="34" t="e">
        <f>SUMIFS('vre plants'!#REF!,'non-vre plants'!$G$2:$G$8,'scenario analysis'!N22,'vre plants'!#REF!,"thin film")</f>
        <v>#REF!</v>
      </c>
    </row>
    <row r="23" spans="1:18" ht="14.25" customHeight="1">
      <c r="A23" s="78" t="s">
        <v>225</v>
      </c>
      <c r="B23" s="164">
        <f>SUMIF(storage!C2:C5,A23,storage!E2:E5)</f>
        <v>0</v>
      </c>
      <c r="C23" s="79">
        <f>INDEX('site independent'!$A$3:$W$47, MATCH($A23, 'site independent'!$A$3:$A$47, 0), MATCH('scenario analysis'!C$3, 'site independent'!$A$3:$W$3, 0))</f>
        <v>0.5</v>
      </c>
      <c r="D23" s="79">
        <f>INDEX('site independent'!$A$3:$W$47, MATCH($A23, 'site independent'!$A$3:$A$47, 0), MATCH('scenario analysis'!D$3, 'site independent'!$A$3:$W$3, 0))</f>
        <v>1</v>
      </c>
      <c r="E23" s="79">
        <f>INDEX('site independent'!$A$3:$X$47, MATCH($A23, 'site independent'!$A$3:$A$47, 0), MATCH('scenario analysis'!E$3, 'site independent'!$A$3:$X$3, 0))</f>
        <v>1000</v>
      </c>
      <c r="F23" s="139">
        <f>E23*1000*B23</f>
        <v>0</v>
      </c>
      <c r="H23" s="124" t="str">
        <f t="array" ref="H23">IFERROR(INDEX(#REF!, MATCH(0, COUNTIF($H$4:H22,#REF!), 0)), "")</f>
        <v/>
      </c>
      <c r="I23" s="34" t="e">
        <f>SUMIFS('vre plants'!#REF!,'non-vre plants'!$G$2:$G$8,'scenario analysis'!H23)+SUMIFS(storage!$E$2:$E$75,storage!$I$2:$I$75,'scenario analysis'!H23)+SUMIFS(EV_aggregator!$E$2:$E$75,EV_aggregator!$I$2:$I$75,'scenario analysis'!H23)+SUMIF('non-vre plants'!#REF!,H23,'non-vre plants'!F2:F8)</f>
        <v>#REF!</v>
      </c>
      <c r="J23" s="34">
        <f>SUMIF('demand centres'!$C$1:$C$50,'scenario analysis'!H23,'demand centres'!$B$1:$B$50)</f>
        <v>0</v>
      </c>
      <c r="K23" s="34" t="e">
        <f t="array" ref="K23">SUMIF('existing transmission'!#REF!,H23, 'existing transmission'!#REF!)+SUMIF('existing transmission'!#REF!,H23, 'existing transmission'!#REF!)</f>
        <v>#REF!</v>
      </c>
      <c r="L23" s="92" t="e">
        <f t="array" ref="L23">SUMIF('existing transmission'!#REF!,H23, 'existing transmission'!#REF!)+SUMIF('existing transmission'!#REF!,H23, 'existing transmission'!#REF!)</f>
        <v>#REF!</v>
      </c>
      <c r="M23" s="34"/>
      <c r="N23" s="148" t="str">
        <f t="array" ref="N23">IFERROR(INDEX(#REF!, MATCH(0, COUNTIF($N$4:N22,#REF!), 0)), "")</f>
        <v/>
      </c>
      <c r="O23" s="132" t="e">
        <f>SUMIFS('vre plants'!#REF!, 'non-vre plants'!$G$2:$G$8, 'scenario analysis'!N23, 'vre plants'!#REF!, "wind_onshore") +SUMIFS('vre plants'!#REF!, 'non-vre plants'!$G$2:$G$8, 'scenario analysis'!N23, 'vre plants'!#REF!,"wind_offshore")</f>
        <v>#REF!</v>
      </c>
      <c r="P23" s="133" t="e">
        <f>SUMIFS('vre plants'!#REF!,'non-vre plants'!$G$2:$G$8,'scenario analysis'!N23,'vre plants'!#REF!,"multi c-Si")</f>
        <v>#REF!</v>
      </c>
      <c r="Q23" s="34" t="e">
        <f>SUMIFS('vre plants'!#REF!, 'non-vre plants'!$G$2:$G$8, 'scenario analysis'!N23, 'vre plants'!#REF!, "mono c-Si")</f>
        <v>#REF!</v>
      </c>
      <c r="R23" s="34" t="e">
        <f>SUMIFS('vre plants'!#REF!,'non-vre plants'!$G$2:$G$8,'scenario analysis'!N23,'vre plants'!#REF!,"thin film")</f>
        <v>#REF!</v>
      </c>
    </row>
    <row r="24" spans="1:18">
      <c r="A24" s="78" t="s">
        <v>227</v>
      </c>
      <c r="B24" s="164">
        <f>SUMIF(storage!$C$2:$C$8, 'scenario analysis'!A24, storage!$E$2:$E$8)</f>
        <v>0</v>
      </c>
      <c r="C24" s="79">
        <f>INDEX('site independent'!$A$3:$W$47, MATCH($A24, 'site independent'!$A$3:$A$47, 0), MATCH('scenario analysis'!C$3, 'site independent'!$A$3:$W$3, 0))</f>
        <v>0.5</v>
      </c>
      <c r="D24" s="79">
        <f>INDEX('site independent'!$A$3:$W$47, MATCH($A24, 'site independent'!$A$3:$A$47, 0), MATCH('scenario analysis'!D$3, 'site independent'!$A$3:$W$3, 0))</f>
        <v>1</v>
      </c>
      <c r="E24" s="79">
        <f>INDEX('site independent'!$A$3:$X$47, MATCH($A24, 'site independent'!$A$3:$A$47, 0), MATCH('scenario analysis'!E$3, 'site independent'!$A$3:$X$3, 0))</f>
        <v>1500</v>
      </c>
      <c r="F24" s="139">
        <f t="shared" si="0"/>
        <v>0</v>
      </c>
      <c r="H24" s="124" t="str">
        <f t="array" ref="H24">IFERROR(INDEX(#REF!, MATCH(0, COUNTIF($H$4:H23,#REF!), 0)), "")</f>
        <v/>
      </c>
      <c r="I24" s="34" t="e">
        <f>SUMIFS('vre plants'!#REF!,'non-vre plants'!$G$2:$G$8,'scenario analysis'!H24)+SUMIFS(storage!$E$2:$E$75,storage!$I$2:$I$75,'scenario analysis'!H24)+SUMIFS(EV_aggregator!$E$2:$E$75,EV_aggregator!$I$2:$I$75,'scenario analysis'!H24)+SUMIF('non-vre plants'!#REF!,H24,'non-vre plants'!F2:F8)</f>
        <v>#REF!</v>
      </c>
      <c r="J24" s="34">
        <f>SUMIF('demand centres'!$C$1:$C$50,'scenario analysis'!H24,'demand centres'!$B$1:$B$50)</f>
        <v>0</v>
      </c>
      <c r="K24" s="34" t="e">
        <f t="array" ref="K24">SUMIF('existing transmission'!#REF!,H24, 'existing transmission'!#REF!)+SUMIF('existing transmission'!#REF!,H24, 'existing transmission'!#REF!)</f>
        <v>#REF!</v>
      </c>
      <c r="L24" s="92" t="e">
        <f t="array" ref="L24">SUMIF('existing transmission'!#REF!,H24, 'existing transmission'!#REF!)+SUMIF('existing transmission'!#REF!,H24, 'existing transmission'!#REF!)</f>
        <v>#REF!</v>
      </c>
      <c r="M24" s="34"/>
      <c r="N24" s="148" t="str">
        <f t="array" ref="N24">IFERROR(INDEX(#REF!, MATCH(0, COUNTIF($N$4:N23,#REF!), 0)), "")</f>
        <v/>
      </c>
      <c r="O24" s="132" t="e">
        <f>SUMIFS('vre plants'!#REF!, 'non-vre plants'!$G$2:$G$8, 'scenario analysis'!N24, 'vre plants'!#REF!, "wind_onshore") +SUMIFS('vre plants'!#REF!, 'non-vre plants'!$G$2:$G$8, 'scenario analysis'!N24, 'vre plants'!#REF!,"wind_offshore")</f>
        <v>#REF!</v>
      </c>
      <c r="P24" s="133" t="e">
        <f>SUMIFS('vre plants'!#REF!,'non-vre plants'!$G$2:$G$8,'scenario analysis'!N24,'vre plants'!#REF!,"multi c-Si")</f>
        <v>#REF!</v>
      </c>
      <c r="Q24" s="34" t="e">
        <f>SUMIFS('vre plants'!#REF!, 'non-vre plants'!$G$2:$G$8, 'scenario analysis'!N24, 'vre plants'!#REF!, "mono c-Si")</f>
        <v>#REF!</v>
      </c>
      <c r="R24" s="34" t="e">
        <f>SUMIFS('vre plants'!#REF!,'non-vre plants'!$G$2:$G$8,'scenario analysis'!N24,'vre plants'!#REF!,"thin film")</f>
        <v>#REF!</v>
      </c>
    </row>
    <row r="25" spans="1:18" ht="15.75" thickBot="1">
      <c r="A25" s="82" t="s">
        <v>281</v>
      </c>
      <c r="B25" s="165">
        <f>SUMIF(EV_aggregator!C2:C10,EV_aggregator!D2:D10)</f>
        <v>0</v>
      </c>
      <c r="C25" s="123" t="e">
        <f>INDEX('site independent'!$A$3:$W$47, MATCH($A25, 'site independent'!$A$3:$A$47, 0), MATCH('scenario analysis'!C$3, 'site independent'!$A$3:$W$3, 0))</f>
        <v>#N/A</v>
      </c>
      <c r="D25" s="123" t="e">
        <f>INDEX('site independent'!$A$3:$W$47, MATCH($A25, 'site independent'!$A$3:$A$47, 0), MATCH('scenario analysis'!D$3, 'site independent'!$A$3:$W$3, 0))</f>
        <v>#N/A</v>
      </c>
      <c r="E25" s="123" t="e">
        <f>INDEX('site independent'!$A$3:$X$47, MATCH($A25, 'site independent'!$A$3:$A$47, 0), MATCH('scenario analysis'!E$3, 'site independent'!$A$3:$X$3, 0))</f>
        <v>#N/A</v>
      </c>
      <c r="F25" s="139" t="e">
        <f>E25*1000*B25</f>
        <v>#N/A</v>
      </c>
      <c r="H25" s="124" t="str">
        <f t="array" ref="H25">IFERROR(INDEX(#REF!, MATCH(0, COUNTIF($H$4:H24,#REF!), 0)), "")</f>
        <v/>
      </c>
      <c r="I25" s="34" t="e">
        <f>SUMIFS('vre plants'!#REF!,'non-vre plants'!$G$2:$G$8,'scenario analysis'!H25)+SUMIFS(storage!$E$2:$E$75,storage!$I$2:$I$75,'scenario analysis'!H25)+SUMIFS(EV_aggregator!$E$2:$E$75,EV_aggregator!$I$2:$I$75,'scenario analysis'!H25)+SUMIF('non-vre plants'!#REF!,H25,'non-vre plants'!F2:F8)</f>
        <v>#REF!</v>
      </c>
      <c r="J25" s="34">
        <f>SUMIF('demand centres'!$C$1:$C$50,'scenario analysis'!H25,'demand centres'!$B$1:$B$50)</f>
        <v>0</v>
      </c>
      <c r="K25" s="34" t="e">
        <f t="array" ref="K25">SUMIF('existing transmission'!#REF!,H25, 'existing transmission'!#REF!)+SUMIF('existing transmission'!#REF!,H25, 'existing transmission'!#REF!)</f>
        <v>#REF!</v>
      </c>
      <c r="L25" s="92" t="e">
        <f t="array" ref="L25">SUMIF('existing transmission'!#REF!,H25, 'existing transmission'!#REF!)+SUMIF('existing transmission'!#REF!,H25, 'existing transmission'!#REF!)</f>
        <v>#REF!</v>
      </c>
      <c r="M25" s="34"/>
      <c r="N25" s="148" t="str">
        <f t="array" ref="N25">IFERROR(INDEX(#REF!, MATCH(0, COUNTIF($N$4:N24,#REF!), 0)), "")</f>
        <v/>
      </c>
      <c r="O25" s="132" t="e">
        <f>SUMIFS('vre plants'!#REF!, 'non-vre plants'!$G$2:$G$8, 'scenario analysis'!N25, 'vre plants'!#REF!, "wind_onshore") +SUMIFS('vre plants'!#REF!, 'non-vre plants'!$G$2:$G$8, 'scenario analysis'!N25, 'vre plants'!#REF!,"wind_offshore")</f>
        <v>#REF!</v>
      </c>
      <c r="P25" s="133" t="e">
        <f>SUMIFS('vre plants'!#REF!,'non-vre plants'!$G$2:$G$8,'scenario analysis'!N25,'vre plants'!#REF!,"multi c-Si")</f>
        <v>#REF!</v>
      </c>
      <c r="Q25" s="34" t="e">
        <f>SUMIFS('vre plants'!#REF!, 'non-vre plants'!$G$2:$G$8, 'scenario analysis'!N25, 'vre plants'!#REF!, "mono c-Si")</f>
        <v>#REF!</v>
      </c>
      <c r="R25" s="34" t="e">
        <f>SUMIFS('vre plants'!#REF!,'non-vre plants'!$G$2:$G$8,'scenario analysis'!N25,'vre plants'!#REF!,"thin film")</f>
        <v>#REF!</v>
      </c>
    </row>
    <row r="26" spans="1:18">
      <c r="C26" s="54"/>
      <c r="D26" s="54"/>
      <c r="E26" s="54"/>
      <c r="F26" s="54"/>
      <c r="H26" s="124" t="str">
        <f t="array" ref="H26">IFERROR(INDEX(#REF!, MATCH(0, COUNTIF($H$4:H25,#REF!), 0)), "")</f>
        <v/>
      </c>
      <c r="I26" s="34" t="e">
        <f>SUMIFS('vre plants'!#REF!,'non-vre plants'!$G$2:$G$8,'scenario analysis'!H26)+SUMIFS(storage!$E$2:$E$75,storage!$I$2:$I$75,'scenario analysis'!H26)+SUMIFS(EV_aggregator!$E$2:$E$75,EV_aggregator!$I$2:$I$75,'scenario analysis'!H26)+SUMIF('non-vre plants'!#REF!,H26,'non-vre plants'!F2:F8)</f>
        <v>#REF!</v>
      </c>
      <c r="J26" s="34">
        <f>SUMIF('demand centres'!$C$1:$C$50,'scenario analysis'!H26,'demand centres'!$B$1:$B$50)</f>
        <v>0</v>
      </c>
      <c r="K26" s="34" t="e">
        <f t="array" ref="K26">SUMIF('existing transmission'!#REF!,H26, 'existing transmission'!#REF!)+SUMIF('existing transmission'!#REF!,H26, 'existing transmission'!#REF!)</f>
        <v>#REF!</v>
      </c>
      <c r="L26" s="92" t="e">
        <f t="array" ref="L26">SUMIF('existing transmission'!#REF!,H26, 'existing transmission'!#REF!)+SUMIF('existing transmission'!#REF!,H26, 'existing transmission'!#REF!)</f>
        <v>#REF!</v>
      </c>
      <c r="M26" s="17"/>
      <c r="N26" s="148" t="str">
        <f t="array" ref="N26">IFERROR(INDEX(#REF!, MATCH(0, COUNTIF($N$4:N25,#REF!), 0)), "")</f>
        <v/>
      </c>
      <c r="O26" s="132" t="e">
        <f>SUMIFS('vre plants'!#REF!, 'non-vre plants'!$G$2:$G$8, 'scenario analysis'!N26, 'vre plants'!#REF!, "wind_onshore") +SUMIFS('vre plants'!#REF!, 'non-vre plants'!$G$2:$G$8, 'scenario analysis'!N26, 'vre plants'!#REF!,"wind_offshore")</f>
        <v>#REF!</v>
      </c>
      <c r="P26" s="133" t="e">
        <f>SUMIFS('vre plants'!#REF!,'non-vre plants'!$G$2:$G$8,'scenario analysis'!N26,'vre plants'!#REF!,"multi c-Si")</f>
        <v>#REF!</v>
      </c>
      <c r="Q26" s="34" t="e">
        <f>SUMIFS('vre plants'!#REF!, 'non-vre plants'!$G$2:$G$8, 'scenario analysis'!N26, 'vre plants'!#REF!, "mono c-Si")</f>
        <v>#REF!</v>
      </c>
      <c r="R26" s="34" t="e">
        <f>SUMIFS('vre plants'!#REF!,'non-vre plants'!$G$2:$G$8,'scenario analysis'!N26,'vre plants'!#REF!,"thin film")</f>
        <v>#REF!</v>
      </c>
    </row>
    <row r="27" spans="1:18">
      <c r="A27" t="s">
        <v>291</v>
      </c>
      <c r="C27" s="54">
        <f>COLUMN(C3)-2</f>
        <v>1</v>
      </c>
      <c r="D27" s="54">
        <f>COLUMN(D3)-2</f>
        <v>2</v>
      </c>
      <c r="E27" s="54"/>
      <c r="F27" s="54"/>
      <c r="H27" s="124" t="str">
        <f t="array" ref="H27">IFERROR(INDEX(#REF!, MATCH(0, COUNTIF($H$4:H26,#REF!), 0)), "")</f>
        <v/>
      </c>
      <c r="I27" s="34" t="e">
        <f>SUMIFS('vre plants'!#REF!,'non-vre plants'!$G$2:$G$8,'scenario analysis'!H27)+SUMIFS(storage!$E$2:$E$75,storage!$I$2:$I$75,'scenario analysis'!H27)+SUMIFS(EV_aggregator!$E$2:$E$75,EV_aggregator!$I$2:$I$75,'scenario analysis'!H27)+SUMIF('non-vre plants'!#REF!,H27,'non-vre plants'!F2:F8)</f>
        <v>#REF!</v>
      </c>
      <c r="J27" s="34">
        <f>SUMIF('demand centres'!$C$1:$C$50,'scenario analysis'!H27,'demand centres'!$B$1:$B$50)</f>
        <v>0</v>
      </c>
      <c r="K27" s="34" t="e">
        <f t="array" ref="K27">SUMIF('existing transmission'!#REF!,H27, 'existing transmission'!#REF!)+SUMIF('existing transmission'!#REF!,H27, 'existing transmission'!#REF!)</f>
        <v>#REF!</v>
      </c>
      <c r="L27" s="92" t="e">
        <f t="array" ref="L27">SUMIF('existing transmission'!#REF!,H27, 'existing transmission'!#REF!)+SUMIF('existing transmission'!#REF!,H27, 'existing transmission'!#REF!)</f>
        <v>#REF!</v>
      </c>
      <c r="M27" s="17"/>
      <c r="N27" s="148" t="str">
        <f t="array" ref="N27">IFERROR(INDEX(#REF!, MATCH(0, COUNTIF($N$4:N26,#REF!), 0)), "")</f>
        <v/>
      </c>
      <c r="O27" s="132" t="e">
        <f>SUMIFS('vre plants'!#REF!, 'non-vre plants'!$G$2:$G$8, 'scenario analysis'!N27, 'vre plants'!#REF!, "wind_onshore") +SUMIFS('vre plants'!#REF!, 'non-vre plants'!$G$2:$G$8, 'scenario analysis'!N27, 'vre plants'!#REF!,"wind_offshore")</f>
        <v>#REF!</v>
      </c>
      <c r="P27" s="133" t="e">
        <f>SUMIFS('vre plants'!#REF!,'non-vre plants'!$G$2:$G$8,'scenario analysis'!N27,'vre plants'!#REF!,"multi c-Si")</f>
        <v>#REF!</v>
      </c>
      <c r="Q27" s="34" t="e">
        <f>SUMIFS('vre plants'!#REF!, 'non-vre plants'!$G$2:$G$8, 'scenario analysis'!N27, 'vre plants'!#REF!, "mono c-Si")</f>
        <v>#REF!</v>
      </c>
      <c r="R27" s="34" t="e">
        <f>SUMIFS('vre plants'!#REF!,'non-vre plants'!$G$2:$G$8,'scenario analysis'!N27,'vre plants'!#REF!,"thin film")</f>
        <v>#REF!</v>
      </c>
    </row>
    <row r="28" spans="1:18">
      <c r="H28" s="124" t="str">
        <f t="array" ref="H28">IFERROR(INDEX(#REF!, MATCH(0, COUNTIF($H$4:H27,#REF!), 0)), "")</f>
        <v/>
      </c>
      <c r="I28" s="164" t="e">
        <f>SUMIF('non-vre plants'!#REF!,H28,'non-vre plants'!#REF!)</f>
        <v>#REF!</v>
      </c>
      <c r="J28" s="34">
        <f>SUMIF('demand centres'!$C$1:$C$50,'scenario analysis'!H28,'demand centres'!$B$1:$B$50)</f>
        <v>0</v>
      </c>
      <c r="K28" s="34" t="e">
        <f t="array" ref="K28">SUMIF('existing transmission'!#REF!,H28, 'existing transmission'!#REF!)+SUMIF('existing transmission'!#REF!,H28, 'existing transmission'!#REF!)</f>
        <v>#REF!</v>
      </c>
      <c r="L28" s="92" t="e">
        <f t="array" ref="L28">SUMIF('existing transmission'!#REF!,H28, 'existing transmission'!#REF!)+SUMIF('existing transmission'!#REF!,H28, 'existing transmission'!#REF!)</f>
        <v>#REF!</v>
      </c>
      <c r="M28" s="17"/>
      <c r="N28" s="148" t="str">
        <f t="array" ref="N28">IFERROR(INDEX(#REF!, MATCH(0, COUNTIF($N$4:N27,#REF!), 0)), "")</f>
        <v/>
      </c>
      <c r="O28" s="132" t="e">
        <f>SUMIFS('vre plants'!#REF!, 'non-vre plants'!$G$2:$G$8, 'scenario analysis'!N28, 'vre plants'!#REF!, "wind_onshore") +SUMIFS('vre plants'!#REF!, 'non-vre plants'!$G$2:$G$8, 'scenario analysis'!N28, 'vre plants'!#REF!,"wind_offshore")</f>
        <v>#REF!</v>
      </c>
      <c r="P28" s="133" t="e">
        <f>SUMIFS('vre plants'!#REF!,'non-vre plants'!$G$2:$G$8,'scenario analysis'!N28,'vre plants'!#REF!,"multi c-Si")</f>
        <v>#REF!</v>
      </c>
      <c r="Q28" s="34" t="e">
        <f>SUMIFS('vre plants'!#REF!, 'non-vre plants'!$G$2:$G$8, 'scenario analysis'!N28, 'vre plants'!#REF!, "mono c-Si")</f>
        <v>#REF!</v>
      </c>
      <c r="R28" s="34" t="e">
        <f>SUMIFS('vre plants'!#REF!,'non-vre plants'!$G$2:$G$8,'scenario analysis'!N28,'vre plants'!#REF!,"thin film")</f>
        <v>#REF!</v>
      </c>
    </row>
    <row r="29" spans="1:18">
      <c r="A29" t="s">
        <v>304</v>
      </c>
      <c r="C29" s="42"/>
      <c r="D29" s="42"/>
      <c r="E29" s="42"/>
      <c r="F29" s="42"/>
      <c r="H29" s="124" t="str">
        <f t="array" ref="H29">IFERROR(INDEX(#REF!, MATCH(0, COUNTIF($H$4:H28,#REF!), 0)), "")</f>
        <v/>
      </c>
      <c r="I29" s="34" t="e">
        <f>SUMIFS('vre plants'!#REF!,'non-vre plants'!$G$2:$G$8,'scenario analysis'!H29)+SUMIFS(storage!$E$2:$E$75,storage!$I$2:$I$75,'scenario analysis'!H29)+SUMIFS(EV_aggregator!$E$2:$E$75,EV_aggregator!$I$2:$I$75,'scenario analysis'!H29)+SUMIF('non-vre plants'!#REF!,H29,'non-vre plants'!F2:F8)</f>
        <v>#REF!</v>
      </c>
      <c r="J29" s="34">
        <f>SUMIF('demand centres'!$C$1:$C$50,'scenario analysis'!H29,'demand centres'!$B$1:$B$50)</f>
        <v>0</v>
      </c>
      <c r="K29" s="34" t="e">
        <f t="array" ref="K29">SUMIF('existing transmission'!#REF!,H29, 'existing transmission'!#REF!)+SUMIF('existing transmission'!#REF!,H29, 'existing transmission'!#REF!)</f>
        <v>#REF!</v>
      </c>
      <c r="L29" s="92" t="e">
        <f t="array" ref="L29">SUMIF('existing transmission'!#REF!,H29, 'existing transmission'!#REF!)+SUMIF('existing transmission'!#REF!,H29, 'existing transmission'!#REF!)</f>
        <v>#REF!</v>
      </c>
      <c r="M29" s="17"/>
      <c r="N29" s="148" t="str">
        <f t="array" ref="N29">IFERROR(INDEX(#REF!, MATCH(0, COUNTIF($N$4:N28,#REF!), 0)), "")</f>
        <v/>
      </c>
      <c r="O29" s="132" t="e">
        <f>SUMIFS('vre plants'!#REF!, 'non-vre plants'!$G$2:$G$8, 'scenario analysis'!N29, 'vre plants'!#REF!, "wind_onshore") +SUMIFS('vre plants'!#REF!, 'non-vre plants'!$G$2:$G$8, 'scenario analysis'!N29, 'vre plants'!#REF!,"wind_offshore")</f>
        <v>#REF!</v>
      </c>
      <c r="P29" s="133" t="e">
        <f>SUMIFS('vre plants'!#REF!,'non-vre plants'!$G$2:$G$8,'scenario analysis'!N29,'vre plants'!#REF!,"multi c-Si")</f>
        <v>#REF!</v>
      </c>
      <c r="Q29" s="34" t="e">
        <f>SUMIFS('vre plants'!#REF!, 'non-vre plants'!$G$2:$G$8, 'scenario analysis'!N29, 'vre plants'!#REF!, "mono c-Si")</f>
        <v>#REF!</v>
      </c>
      <c r="R29" s="34" t="e">
        <f>SUMIFS('vre plants'!#REF!,'non-vre plants'!$G$2:$G$8,'scenario analysis'!N29,'vre plants'!#REF!,"thin film")</f>
        <v>#REF!</v>
      </c>
    </row>
    <row r="30" spans="1:18">
      <c r="C30" s="140" t="e">
        <f t="array" ref="C30">SUM(B5:B25*C5:C25)</f>
        <v>#REF!</v>
      </c>
      <c r="D30" t="e">
        <f t="array" ref="D30">SUM(B5:B25*D5:D25)</f>
        <v>#REF!</v>
      </c>
      <c r="H30" s="124" t="str">
        <f t="array" ref="H30">IFERROR(INDEX(#REF!, MATCH(0, COUNTIF($H$4:H29,#REF!), 0)), "")</f>
        <v/>
      </c>
      <c r="I30" s="34" t="e">
        <f>SUMIFS('vre plants'!#REF!,'non-vre plants'!$G$2:$G$8,'scenario analysis'!H30)+SUMIFS(storage!$E$2:$E$75,storage!$I$2:$I$75,'scenario analysis'!H30)+SUMIFS(EV_aggregator!$E$2:$E$75,EV_aggregator!$I$2:$I$75,'scenario analysis'!H30)+SUMIF('non-vre plants'!#REF!,H30,'non-vre plants'!F2:F8)</f>
        <v>#REF!</v>
      </c>
      <c r="J30" s="34">
        <f>SUMIF('demand centres'!$C$1:$C$50,'scenario analysis'!H30,'demand centres'!$B$1:$B$50)</f>
        <v>0</v>
      </c>
      <c r="K30" s="34" t="e">
        <f t="array" ref="K30">SUMIF('existing transmission'!#REF!,H30, 'existing transmission'!#REF!)+SUMIF('existing transmission'!#REF!,H30, 'existing transmission'!#REF!)</f>
        <v>#REF!</v>
      </c>
      <c r="L30" s="92" t="e">
        <f t="array" ref="L30">SUMIF('existing transmission'!#REF!,H30, 'existing transmission'!#REF!)+SUMIF('existing transmission'!#REF!,H30, 'existing transmission'!#REF!)</f>
        <v>#REF!</v>
      </c>
      <c r="M30" s="17"/>
      <c r="N30" s="148" t="str">
        <f t="array" ref="N30">IFERROR(INDEX(#REF!, MATCH(0, COUNTIF($N$4:N29,#REF!), 0)), "")</f>
        <v/>
      </c>
      <c r="O30" s="132" t="e">
        <f>SUMIFS('vre plants'!#REF!, 'non-vre plants'!$G$2:$G$8, 'scenario analysis'!N30, 'vre plants'!#REF!, "wind_onshore") +SUMIFS('vre plants'!#REF!, 'non-vre plants'!$G$2:$G$8, 'scenario analysis'!N30, 'vre plants'!#REF!,"wind_offshore")</f>
        <v>#REF!</v>
      </c>
      <c r="P30" s="133" t="e">
        <f>SUMIFS('vre plants'!#REF!,'non-vre plants'!$G$2:$G$8,'scenario analysis'!N30,'vre plants'!#REF!,"multi c-Si")</f>
        <v>#REF!</v>
      </c>
      <c r="Q30" s="34" t="e">
        <f>SUMIFS('vre plants'!#REF!, 'non-vre plants'!$G$2:$G$8, 'scenario analysis'!N30, 'vre plants'!#REF!, "mono c-Si")</f>
        <v>#REF!</v>
      </c>
      <c r="R30" s="34" t="e">
        <f>SUMIFS('vre plants'!#REF!,'non-vre plants'!$G$2:$G$8,'scenario analysis'!N30,'vre plants'!#REF!,"thin film")</f>
        <v>#REF!</v>
      </c>
    </row>
    <row r="31" spans="1:18">
      <c r="C31">
        <v>24470</v>
      </c>
      <c r="D31">
        <v>16022.542122040073</v>
      </c>
      <c r="H31" s="124" t="str">
        <f t="array" ref="H31">IFERROR(INDEX(#REF!, MATCH(0, COUNTIF($H$4:H30,#REF!), 0)), "")</f>
        <v/>
      </c>
      <c r="I31" s="34" t="e">
        <f>SUMIFS('vre plants'!#REF!,'non-vre plants'!$G$2:$G$8,'scenario analysis'!H31)+SUMIFS(storage!$E$2:$E$75,storage!$I$2:$I$75,'scenario analysis'!H31)+SUMIFS(EV_aggregator!$E$2:$E$75,EV_aggregator!$I$2:$I$75,'scenario analysis'!H31)+SUMIF('non-vre plants'!#REF!,H31,'non-vre plants'!F2:F8)</f>
        <v>#REF!</v>
      </c>
      <c r="J31" s="34">
        <f>SUMIF('demand centres'!$C$1:$C$50,'scenario analysis'!H31,'demand centres'!$B$1:$B$50)</f>
        <v>0</v>
      </c>
      <c r="K31" s="34" t="e">
        <f t="array" ref="K31">SUMIF('existing transmission'!#REF!,H31, 'existing transmission'!#REF!)+SUMIF('existing transmission'!#REF!,H31, 'existing transmission'!#REF!)</f>
        <v>#REF!</v>
      </c>
      <c r="L31" s="92" t="e">
        <f t="array" ref="L31">SUMIF('existing transmission'!#REF!,H31, 'existing transmission'!#REF!)+SUMIF('existing transmission'!#REF!,H31, 'existing transmission'!#REF!)</f>
        <v>#REF!</v>
      </c>
      <c r="M31" s="17"/>
      <c r="N31" s="148" t="str">
        <f t="array" ref="N31">IFERROR(INDEX(#REF!, MATCH(0, COUNTIF($N$4:N30,#REF!), 0)), "")</f>
        <v/>
      </c>
      <c r="O31" s="132" t="e">
        <f>SUMIFS('vre plants'!#REF!, 'non-vre plants'!$G$2:$G$8, 'scenario analysis'!N31, 'vre plants'!#REF!, "wind_onshore") +SUMIFS('vre plants'!#REF!, 'non-vre plants'!$G$2:$G$8, 'scenario analysis'!N31, 'vre plants'!#REF!,"wind_offshore")</f>
        <v>#REF!</v>
      </c>
      <c r="P31" s="133" t="e">
        <f>SUMIFS('vre plants'!#REF!,'non-vre plants'!$G$2:$G$8,'scenario analysis'!N31,'vre plants'!#REF!,"multi c-Si")</f>
        <v>#REF!</v>
      </c>
      <c r="Q31" s="34" t="e">
        <f>SUMIFS('vre plants'!#REF!, 'non-vre plants'!$G$2:$G$8, 'scenario analysis'!N31, 'vre plants'!#REF!, "mono c-Si")</f>
        <v>#REF!</v>
      </c>
      <c r="R31" s="34" t="e">
        <f>SUMIFS('vre plants'!#REF!,'non-vre plants'!$G$2:$G$8,'scenario analysis'!N31,'vre plants'!#REF!,"thin film")</f>
        <v>#REF!</v>
      </c>
    </row>
    <row r="32" spans="1:18">
      <c r="C32" s="166" t="e">
        <f>C30/C31</f>
        <v>#REF!</v>
      </c>
      <c r="D32" s="58" t="e">
        <f>D30/D31</f>
        <v>#REF!</v>
      </c>
      <c r="E32" s="58"/>
      <c r="F32" s="58"/>
      <c r="H32" s="124" t="str">
        <f t="array" ref="H32">IFERROR(INDEX(#REF!, MATCH(0, COUNTIF($H$4:H31,#REF!), 0)), "")</f>
        <v/>
      </c>
      <c r="I32" s="164" t="e">
        <f>SUMIF('non-vre plants'!#REF!,H32,'non-vre plants'!#REF!)</f>
        <v>#REF!</v>
      </c>
      <c r="J32" s="34">
        <f>SUMIF('demand centres'!$C$1:$C$50,'scenario analysis'!H32,'demand centres'!$B$1:$B$50)</f>
        <v>0</v>
      </c>
      <c r="K32" s="34" t="e">
        <f t="array" ref="K32">SUMIF('existing transmission'!#REF!,H32, 'existing transmission'!#REF!)+SUMIF('existing transmission'!#REF!,H32, 'existing transmission'!#REF!)</f>
        <v>#REF!</v>
      </c>
      <c r="L32" s="92" t="e">
        <f t="array" ref="L32">SUMIF('existing transmission'!#REF!,H32, 'existing transmission'!#REF!)+SUMIF('existing transmission'!#REF!,H32, 'existing transmission'!#REF!)</f>
        <v>#REF!</v>
      </c>
      <c r="M32" s="17"/>
      <c r="N32" s="148" t="str">
        <f t="array" ref="N32">IFERROR(INDEX(#REF!, MATCH(0, COUNTIF($N$4:N31,#REF!), 0)), "")</f>
        <v/>
      </c>
      <c r="O32" s="132" t="e">
        <f>SUMIFS('vre plants'!#REF!, 'non-vre plants'!$G$2:$G$8, 'scenario analysis'!N32, 'vre plants'!#REF!, "wind_onshore") +SUMIFS('vre plants'!#REF!, 'non-vre plants'!$G$2:$G$8, 'scenario analysis'!N32, 'vre plants'!#REF!,"wind_offshore")</f>
        <v>#REF!</v>
      </c>
      <c r="P32" s="133" t="e">
        <f>SUMIFS('vre plants'!#REF!,'non-vre plants'!$G$2:$G$8,'scenario analysis'!N32,'vre plants'!#REF!,"multi c-Si")</f>
        <v>#REF!</v>
      </c>
      <c r="Q32" s="34" t="e">
        <f>SUMIFS('vre plants'!#REF!, 'non-vre plants'!$G$2:$G$8, 'scenario analysis'!N32, 'vre plants'!#REF!, "mono c-Si")</f>
        <v>#REF!</v>
      </c>
      <c r="R32" s="34" t="e">
        <f>SUMIFS('vre plants'!#REF!,'non-vre plants'!$G$2:$G$8,'scenario analysis'!N32,'vre plants'!#REF!,"thin film")</f>
        <v>#REF!</v>
      </c>
    </row>
    <row r="33" spans="3:18">
      <c r="C33" s="42"/>
      <c r="D33" s="58"/>
      <c r="E33" s="58"/>
      <c r="F33" s="58"/>
      <c r="H33" s="124" t="str">
        <f t="array" ref="H33">IFERROR(INDEX(#REF!, MATCH(0, COUNTIF($H$4:H32,#REF!), 0)), "")</f>
        <v/>
      </c>
      <c r="I33" s="34" t="e">
        <f>SUMIFS('vre plants'!#REF!,'non-vre plants'!$G$2:$G$8,'scenario analysis'!H33)+SUMIFS(storage!$E$2:$E$75,storage!$I$2:$I$75,'scenario analysis'!H33)+SUMIFS(EV_aggregator!$E$2:$E$75,EV_aggregator!$I$2:$I$75,'scenario analysis'!H33)+SUMIF('non-vre plants'!#REF!,H33,'non-vre plants'!F2:F8)</f>
        <v>#REF!</v>
      </c>
      <c r="J33" s="34">
        <f>SUMIF('demand centres'!$C$1:$C$50,'scenario analysis'!H33,'demand centres'!$B$1:$B$50)</f>
        <v>0</v>
      </c>
      <c r="K33" s="34" t="e">
        <f t="array" ref="K33">SUMIF('existing transmission'!#REF!,H33, 'existing transmission'!#REF!)+SUMIF('existing transmission'!#REF!,H33, 'existing transmission'!#REF!)</f>
        <v>#REF!</v>
      </c>
      <c r="L33" s="92" t="e">
        <f t="array" ref="L33">SUMIF('existing transmission'!#REF!,H33, 'existing transmission'!#REF!)+SUMIF('existing transmission'!#REF!,H33, 'existing transmission'!#REF!)</f>
        <v>#REF!</v>
      </c>
      <c r="N33" s="148" t="str">
        <f t="array" ref="N33">IFERROR(INDEX(#REF!, MATCH(0, COUNTIF($N$4:N32,#REF!), 0)), "")</f>
        <v/>
      </c>
      <c r="O33" s="132" t="e">
        <f>SUMIFS('vre plants'!#REF!, 'non-vre plants'!$G$2:$G$8, 'scenario analysis'!N33, 'vre plants'!#REF!, "wind_onshore") +SUMIFS('vre plants'!#REF!, 'non-vre plants'!$G$2:$G$8, 'scenario analysis'!N33, 'vre plants'!#REF!,"wind_offshore")</f>
        <v>#REF!</v>
      </c>
      <c r="P33" s="133" t="e">
        <f>SUMIFS('vre plants'!#REF!,'non-vre plants'!$G$2:$G$8,'scenario analysis'!N33,'vre plants'!#REF!,"multi c-Si")</f>
        <v>#REF!</v>
      </c>
      <c r="Q33" s="34" t="e">
        <f>SUMIFS('vre plants'!#REF!, 'non-vre plants'!$G$2:$G$8, 'scenario analysis'!N33, 'vre plants'!#REF!, "mono c-Si")</f>
        <v>#REF!</v>
      </c>
      <c r="R33" s="34" t="e">
        <f>SUMIFS('vre plants'!#REF!,'non-vre plants'!$G$2:$G$8,'scenario analysis'!N33,'vre plants'!#REF!,"thin film")</f>
        <v>#REF!</v>
      </c>
    </row>
    <row r="34" spans="3:18">
      <c r="C34" s="42"/>
      <c r="H34" s="124" t="str">
        <f t="array" ref="H34">IFERROR(INDEX(#REF!, MATCH(0, COUNTIF($H$4:H33,#REF!), 0)), "")</f>
        <v/>
      </c>
      <c r="I34" s="34" t="e">
        <f>SUMIFS('vre plants'!#REF!,'non-vre plants'!$G$2:$G$8,'scenario analysis'!H34)+SUMIFS(storage!$E$2:$E$75,storage!$I$2:$I$75,'scenario analysis'!H34)+SUMIFS(EV_aggregator!$E$2:$E$75,EV_aggregator!$I$2:$I$75,'scenario analysis'!H34)+SUMIF('non-vre plants'!#REF!,H34,'non-vre plants'!F2:F9)</f>
        <v>#REF!</v>
      </c>
      <c r="J34" s="34">
        <f>SUMIF('demand centres'!$C$1:$C$50,'scenario analysis'!H34,'demand centres'!$B$1:$B$50)</f>
        <v>0</v>
      </c>
      <c r="K34" s="34" t="e">
        <f t="array" ref="K34">SUMIF('existing transmission'!#REF!,H34, 'existing transmission'!#REF!)+SUMIF('existing transmission'!#REF!,H34, 'existing transmission'!#REF!)</f>
        <v>#REF!</v>
      </c>
      <c r="L34" s="92" t="e">
        <f t="array" ref="L34">SUMIF('existing transmission'!#REF!,H34, 'existing transmission'!#REF!)+SUMIF('existing transmission'!#REF!,H34, 'existing transmission'!#REF!)</f>
        <v>#REF!</v>
      </c>
      <c r="N34" s="148" t="str">
        <f t="array" ref="N34">IFERROR(INDEX(#REF!, MATCH(0, COUNTIF($N$4:N33,#REF!), 0)), "")</f>
        <v/>
      </c>
      <c r="O34" s="132" t="e">
        <f>SUMIFS('vre plants'!#REF!, 'non-vre plants'!$G$2:$G$8, 'scenario analysis'!N34, 'vre plants'!#REF!, "wind_onshore") +SUMIFS('vre plants'!#REF!, 'non-vre plants'!$G$2:$G$8, 'scenario analysis'!N34, 'vre plants'!#REF!,"wind_offshore")</f>
        <v>#REF!</v>
      </c>
      <c r="P34" s="133" t="e">
        <f>SUMIFS('vre plants'!#REF!,'non-vre plants'!$G$2:$G$8,'scenario analysis'!N34,'vre plants'!#REF!,"multi c-Si")</f>
        <v>#REF!</v>
      </c>
      <c r="Q34" s="34" t="e">
        <f>SUMIFS('vre plants'!#REF!, 'non-vre plants'!$G$2:$G$8, 'scenario analysis'!N34, 'vre plants'!#REF!, "mono c-Si")</f>
        <v>#REF!</v>
      </c>
      <c r="R34" s="34" t="e">
        <f>SUMIFS('vre plants'!#REF!,'non-vre plants'!$G$2:$G$8,'scenario analysis'!N34,'vre plants'!#REF!,"thin film")</f>
        <v>#REF!</v>
      </c>
    </row>
    <row r="35" spans="3:18">
      <c r="C35" s="42"/>
      <c r="H35" s="124" t="str">
        <f t="array" ref="H35">IFERROR(INDEX(#REF!, MATCH(0, COUNTIF($H$4:H34,#REF!), 0)), "")</f>
        <v/>
      </c>
      <c r="I35" s="164">
        <f>SUMIF('non-vre plants'!J10:J10,H35,'non-vre plants'!M10:M10)</f>
        <v>0</v>
      </c>
      <c r="J35" s="34">
        <f>SUMIF('demand centres'!$C$1:$C$50,'scenario analysis'!H35,'demand centres'!$B$1:$B$50)</f>
        <v>0</v>
      </c>
      <c r="K35" s="34" t="e">
        <f t="array" ref="K35">SUMIF('existing transmission'!#REF!,H35, 'existing transmission'!#REF!)+SUMIF('existing transmission'!#REF!,H35, 'existing transmission'!#REF!)</f>
        <v>#REF!</v>
      </c>
      <c r="L35" s="92" t="e">
        <f t="array" ref="L35">SUMIF('existing transmission'!#REF!,H35, 'existing transmission'!#REF!)+SUMIF('existing transmission'!#REF!,H35, 'existing transmission'!#REF!)</f>
        <v>#REF!</v>
      </c>
      <c r="N35" s="148" t="str">
        <f t="array" ref="N35">IFERROR(INDEX(#REF!, MATCH(0, COUNTIF($N$4:N34,#REF!), 0)), "")</f>
        <v/>
      </c>
      <c r="O35" s="132" t="e">
        <f>SUMIFS('vre plants'!#REF!, 'non-vre plants'!$G$2:$G$8, 'scenario analysis'!N35, 'vre plants'!#REF!, "wind_onshore") +SUMIFS('vre plants'!#REF!, 'non-vre plants'!$G$2:$G$8, 'scenario analysis'!N35, 'vre plants'!#REF!,"wind_offshore")</f>
        <v>#REF!</v>
      </c>
      <c r="P35" s="133" t="e">
        <f>SUMIFS('vre plants'!#REF!,'non-vre plants'!$G$2:$G$8,'scenario analysis'!N35,'vre plants'!#REF!,"multi c-Si")</f>
        <v>#REF!</v>
      </c>
      <c r="Q35" s="34" t="e">
        <f>SUMIFS('vre plants'!#REF!, 'non-vre plants'!$G$2:$G$8, 'scenario analysis'!N35, 'vre plants'!#REF!, "mono c-Si")</f>
        <v>#REF!</v>
      </c>
      <c r="R35" s="34" t="e">
        <f>SUMIFS('vre plants'!#REF!,'non-vre plants'!$G$2:$G$8,'scenario analysis'!N35,'vre plants'!#REF!,"thin film")</f>
        <v>#REF!</v>
      </c>
    </row>
    <row r="36" spans="3:18">
      <c r="C36" s="42"/>
      <c r="H36" s="124" t="str">
        <f t="array" ref="H36">IFERROR(INDEX(#REF!, MATCH(0, COUNTIF($H$4:H35,#REF!), 0)), "")</f>
        <v/>
      </c>
      <c r="I36" s="34" t="e">
        <f>SUMIFS('vre plants'!#REF!,'non-vre plants'!$G$2:$G$8,'scenario analysis'!H36)+SUMIFS(storage!$E$2:$E$75,storage!$I$2:$I$75,'scenario analysis'!H36)+SUMIFS(EV_aggregator!$E$2:$E$75,EV_aggregator!$I$2:$I$75,'scenario analysis'!H36)+SUMIF('non-vre plants'!#REF!,H36,'non-vre plants'!F2:F9)</f>
        <v>#REF!</v>
      </c>
      <c r="J36" s="34">
        <f>SUMIF('demand centres'!$C$1:$C$50,'scenario analysis'!H36,'demand centres'!$B$1:$B$50)</f>
        <v>0</v>
      </c>
      <c r="K36" s="34" t="e">
        <f t="array" ref="K36">SUMIF('existing transmission'!#REF!,H36, 'existing transmission'!#REF!)+SUMIF('existing transmission'!#REF!,H36, 'existing transmission'!#REF!)</f>
        <v>#REF!</v>
      </c>
      <c r="L36" s="92" t="e">
        <f t="array" ref="L36">SUMIF('existing transmission'!#REF!,H36, 'existing transmission'!#REF!)+SUMIF('existing transmission'!#REF!,H36, 'existing transmission'!#REF!)</f>
        <v>#REF!</v>
      </c>
      <c r="N36" s="148" t="str">
        <f t="array" ref="N36">IFERROR(INDEX(#REF!, MATCH(0, COUNTIF($N$4:N35,#REF!), 0)), "")</f>
        <v/>
      </c>
      <c r="O36" s="132" t="e">
        <f>SUMIFS('vre plants'!#REF!, 'non-vre plants'!$G$2:$G$8, 'scenario analysis'!N36, 'vre plants'!#REF!, "wind_onshore") +SUMIFS('vre plants'!#REF!, 'non-vre plants'!$G$2:$G$8, 'scenario analysis'!N36, 'vre plants'!#REF!,"wind_offshore")</f>
        <v>#REF!</v>
      </c>
      <c r="P36" s="133" t="e">
        <f>SUMIFS('vre plants'!#REF!,'non-vre plants'!$G$2:$G$8,'scenario analysis'!N36,'vre plants'!#REF!,"multi c-Si")</f>
        <v>#REF!</v>
      </c>
      <c r="Q36" s="34" t="e">
        <f>SUMIFS('vre plants'!#REF!, 'non-vre plants'!$G$2:$G$8, 'scenario analysis'!N36, 'vre plants'!#REF!, "mono c-Si")</f>
        <v>#REF!</v>
      </c>
      <c r="R36" s="34" t="e">
        <f>SUMIFS('vre plants'!#REF!,'non-vre plants'!$G$2:$G$8,'scenario analysis'!N36,'vre plants'!#REF!,"thin film")</f>
        <v>#REF!</v>
      </c>
    </row>
    <row r="37" spans="3:18">
      <c r="C37" s="42"/>
      <c r="H37" s="124" t="str">
        <f t="array" ref="H37">IFERROR(INDEX(#REF!, MATCH(0, COUNTIF($H$4:H36,#REF!), 0)), "")</f>
        <v/>
      </c>
      <c r="I37" s="164">
        <f>SUMIF('non-vre plants'!J10:J10,H37,'non-vre plants'!M10:M10)</f>
        <v>0</v>
      </c>
      <c r="J37" s="34">
        <f>SUMIF('demand centres'!$C$1:$C$50,'scenario analysis'!H37,'demand centres'!$B$1:$B$50)</f>
        <v>0</v>
      </c>
      <c r="K37" s="34" t="e">
        <f t="array" ref="K37">SUMIF('existing transmission'!#REF!,H37, 'existing transmission'!#REF!)+SUMIF('existing transmission'!#REF!,H37, 'existing transmission'!#REF!)</f>
        <v>#REF!</v>
      </c>
      <c r="L37" s="92" t="e">
        <f t="array" ref="L37">SUMIF('existing transmission'!#REF!,H37, 'existing transmission'!#REF!)+SUMIF('existing transmission'!#REF!,H37, 'existing transmission'!#REF!)</f>
        <v>#REF!</v>
      </c>
      <c r="N37" s="148" t="str">
        <f t="array" ref="N37">IFERROR(INDEX(#REF!, MATCH(0, COUNTIF($N$4:N36,#REF!), 0)), "")</f>
        <v/>
      </c>
      <c r="O37" s="132" t="e">
        <f>SUMIFS('vre plants'!#REF!, 'non-vre plants'!$G$2:$G$8, 'scenario analysis'!N37, 'vre plants'!#REF!, "wind_onshore") +SUMIFS('vre plants'!#REF!, 'non-vre plants'!$G$2:$G$8, 'scenario analysis'!N37, 'vre plants'!#REF!,"wind_offshore")</f>
        <v>#REF!</v>
      </c>
      <c r="P37" s="133" t="e">
        <f>SUMIFS('vre plants'!#REF!,'non-vre plants'!$G$2:$G$8,'scenario analysis'!N37,'vre plants'!#REF!,"multi c-Si")</f>
        <v>#REF!</v>
      </c>
      <c r="Q37" s="34" t="e">
        <f>SUMIFS('vre plants'!#REF!, 'non-vre plants'!$G$2:$G$8, 'scenario analysis'!N37, 'vre plants'!#REF!, "mono c-Si")</f>
        <v>#REF!</v>
      </c>
      <c r="R37" s="34" t="e">
        <f>SUMIFS('vre plants'!#REF!,'non-vre plants'!$G$2:$G$8,'scenario analysis'!N37,'vre plants'!#REF!,"thin film")</f>
        <v>#REF!</v>
      </c>
    </row>
    <row r="38" spans="3:18">
      <c r="H38" s="124" t="str">
        <f t="array" ref="H38">IFERROR(INDEX(#REF!, MATCH(0, COUNTIF($H$4:H37,#REF!), 0)), "")</f>
        <v/>
      </c>
      <c r="I38" s="164">
        <f>SUMIF('non-vre plants'!J10:J10,H38,'non-vre plants'!M10:M10)</f>
        <v>0</v>
      </c>
      <c r="J38" s="34">
        <f>SUMIF('demand centres'!$C$1:$C$50,'scenario analysis'!H38,'demand centres'!$B$1:$B$50)</f>
        <v>0</v>
      </c>
      <c r="K38" s="34" t="e">
        <f t="array" ref="K38">SUMIF('existing transmission'!#REF!,H38, 'existing transmission'!#REF!)+SUMIF('existing transmission'!#REF!,H38, 'existing transmission'!#REF!)</f>
        <v>#REF!</v>
      </c>
      <c r="L38" s="92" t="e">
        <f t="array" ref="L38">SUMIF('existing transmission'!#REF!,H38, 'existing transmission'!#REF!)+SUMIF('existing transmission'!#REF!,H38, 'existing transmission'!#REF!)</f>
        <v>#REF!</v>
      </c>
      <c r="N38" s="148" t="str">
        <f t="array" ref="N38">IFERROR(INDEX(#REF!, MATCH(0, COUNTIF($N$4:N37,#REF!), 0)), "")</f>
        <v/>
      </c>
      <c r="O38" s="132" t="e">
        <f>SUMIFS('vre plants'!#REF!, 'non-vre plants'!$G$2:$G$8, 'scenario analysis'!N38, 'vre plants'!#REF!, "wind_onshore") +SUMIFS('vre plants'!#REF!, 'non-vre plants'!$G$2:$G$8, 'scenario analysis'!N38, 'vre plants'!#REF!,"wind_offshore")</f>
        <v>#REF!</v>
      </c>
      <c r="P38" s="133" t="e">
        <f>SUMIFS('vre plants'!#REF!,'non-vre plants'!$G$2:$G$8,'scenario analysis'!N38,'vre plants'!#REF!,"multi c-Si")</f>
        <v>#REF!</v>
      </c>
      <c r="Q38" s="34" t="e">
        <f>SUMIFS('vre plants'!#REF!, 'non-vre plants'!$G$2:$G$8, 'scenario analysis'!N38, 'vre plants'!#REF!, "mono c-Si")</f>
        <v>#REF!</v>
      </c>
      <c r="R38" s="34" t="e">
        <f>SUMIFS('vre plants'!#REF!,'non-vre plants'!$G$2:$G$8,'scenario analysis'!N38,'vre plants'!#REF!,"thin film")</f>
        <v>#REF!</v>
      </c>
    </row>
    <row r="39" spans="3:18">
      <c r="H39" s="124" t="str">
        <f t="array" ref="H39">IFERROR(INDEX(#REF!, MATCH(0, COUNTIF($H$4:H38,#REF!), 0)), "")</f>
        <v/>
      </c>
      <c r="I39" s="164">
        <f>SUMIF('non-vre plants'!J10:J11,H39,'non-vre plants'!M10:M11)</f>
        <v>0</v>
      </c>
      <c r="J39" s="34">
        <f>SUMIF('demand centres'!$C$1:$C$50,'scenario analysis'!H39,'demand centres'!$B$1:$B$50)</f>
        <v>0</v>
      </c>
      <c r="K39" s="34" t="e">
        <f t="array" ref="K39">SUMIF('existing transmission'!#REF!,H39, 'existing transmission'!#REF!)+SUMIF('existing transmission'!#REF!,H39, 'existing transmission'!#REF!)</f>
        <v>#REF!</v>
      </c>
      <c r="L39" s="92" t="e">
        <f t="array" ref="L39">SUMIF('existing transmission'!#REF!,H39, 'existing transmission'!#REF!)+SUMIF('existing transmission'!#REF!,H39, 'existing transmission'!#REF!)</f>
        <v>#REF!</v>
      </c>
      <c r="N39" s="148" t="str">
        <f t="array" ref="N39">IFERROR(INDEX(#REF!, MATCH(0, COUNTIF($N$4:N38,#REF!), 0)), "")</f>
        <v/>
      </c>
      <c r="O39" s="132" t="e">
        <f>SUMIFS('vre plants'!#REF!, 'non-vre plants'!$G$2:$G$8, 'scenario analysis'!N39, 'vre plants'!#REF!, "wind_onshore") +SUMIFS('vre plants'!#REF!, 'non-vre plants'!$G$2:$G$8, 'scenario analysis'!N39, 'vre plants'!#REF!,"wind_offshore")</f>
        <v>#REF!</v>
      </c>
      <c r="P39" s="133" t="e">
        <f>SUMIFS('vre plants'!#REF!,'non-vre plants'!$G$2:$G$8,'scenario analysis'!N39,'vre plants'!#REF!,"multi c-Si")</f>
        <v>#REF!</v>
      </c>
      <c r="Q39" s="34" t="e">
        <f>SUMIFS('vre plants'!#REF!, 'non-vre plants'!$G$2:$G$8, 'scenario analysis'!N39, 'vre plants'!#REF!, "mono c-Si")</f>
        <v>#REF!</v>
      </c>
      <c r="R39" s="34" t="e">
        <f>SUMIFS('vre plants'!#REF!,'non-vre plants'!$G$2:$G$8,'scenario analysis'!N39,'vre plants'!#REF!,"thin film")</f>
        <v>#REF!</v>
      </c>
    </row>
    <row r="40" spans="3:18">
      <c r="H40" s="124" t="str">
        <f t="array" ref="H40">IFERROR(INDEX(#REF!, MATCH(0, COUNTIF($H$4:H39,#REF!), 0)), "")</f>
        <v/>
      </c>
      <c r="I40" s="164">
        <f>SUMIF('non-vre plants'!J10:J12,H40,'non-vre plants'!M10:M12)</f>
        <v>0</v>
      </c>
      <c r="J40" s="34">
        <f>SUMIF('demand centres'!$C$1:$C$50,'scenario analysis'!H40,'demand centres'!$B$1:$B$50)</f>
        <v>0</v>
      </c>
      <c r="K40" s="34" t="e">
        <f t="array" ref="K40">SUMIF('existing transmission'!#REF!,H40, 'existing transmission'!#REF!)+SUMIF('existing transmission'!#REF!,H40, 'existing transmission'!#REF!)</f>
        <v>#REF!</v>
      </c>
      <c r="L40" s="92" t="e">
        <f t="array" ref="L40">SUMIF('existing transmission'!#REF!,H40, 'existing transmission'!#REF!)+SUMIF('existing transmission'!#REF!,H40, 'existing transmission'!#REF!)</f>
        <v>#REF!</v>
      </c>
      <c r="N40" s="148" t="str">
        <f t="array" ref="N40">IFERROR(INDEX(#REF!, MATCH(0, COUNTIF($N$4:N39,#REF!), 0)), "")</f>
        <v/>
      </c>
      <c r="O40" s="132" t="e">
        <f>SUMIFS('vre plants'!#REF!, 'non-vre plants'!$G$2:$G$8, 'scenario analysis'!N40, 'vre plants'!#REF!, "wind_onshore") +SUMIFS('vre plants'!#REF!, 'non-vre plants'!$G$2:$G$8, 'scenario analysis'!N40, 'vre plants'!#REF!,"wind_offshore")</f>
        <v>#REF!</v>
      </c>
      <c r="P40" s="133" t="e">
        <f>SUMIFS('vre plants'!#REF!,'non-vre plants'!$G$2:$G$8,'scenario analysis'!N40,'vre plants'!#REF!,"multi c-Si")</f>
        <v>#REF!</v>
      </c>
      <c r="Q40" s="34" t="e">
        <f>SUMIFS('vre plants'!#REF!, 'non-vre plants'!$G$2:$G$8, 'scenario analysis'!N40, 'vre plants'!#REF!, "mono c-Si")</f>
        <v>#REF!</v>
      </c>
      <c r="R40" s="34" t="e">
        <f>SUMIFS('vre plants'!#REF!,'non-vre plants'!$G$2:$G$8,'scenario analysis'!N40,'vre plants'!#REF!,"thin film")</f>
        <v>#REF!</v>
      </c>
    </row>
    <row r="41" spans="3:18">
      <c r="H41" s="124" t="str">
        <f t="array" ref="H41">IFERROR(INDEX(#REF!, MATCH(0, COUNTIF($H$4:H40,#REF!), 0)), "")</f>
        <v/>
      </c>
      <c r="I41" s="34" t="e">
        <f>SUMIFS('vre plants'!#REF!,'non-vre plants'!$G$2:$G$8,'scenario analysis'!H41)+SUMIFS(storage!$E$2:$E$75,storage!$I$2:$I$75,'scenario analysis'!H41)+SUMIFS(EV_aggregator!$E$2:$E$75,EV_aggregator!$I$2:$I$75,'scenario analysis'!H41)+SUMIF('non-vre plants'!#REF!,H41,'non-vre plants'!F2:F11)</f>
        <v>#REF!</v>
      </c>
      <c r="J41" s="34">
        <f>SUMIF('demand centres'!$C$1:$C$50,'scenario analysis'!H41,'demand centres'!$B$1:$B$50)</f>
        <v>0</v>
      </c>
      <c r="K41" s="34" t="e">
        <f t="array" ref="K41">SUMIF('existing transmission'!#REF!,H41, 'existing transmission'!#REF!)+SUMIF('existing transmission'!#REF!,H41, 'existing transmission'!#REF!)</f>
        <v>#REF!</v>
      </c>
      <c r="L41" s="92" t="e">
        <f t="array" ref="L41">SUMIF('existing transmission'!#REF!,H41, 'existing transmission'!#REF!)+SUMIF('existing transmission'!#REF!,H41, 'existing transmission'!#REF!)</f>
        <v>#REF!</v>
      </c>
      <c r="N41" s="148" t="str">
        <f t="array" ref="N41">IFERROR(INDEX(#REF!, MATCH(0, COUNTIF($N$4:N40,#REF!), 0)), "")</f>
        <v/>
      </c>
      <c r="O41" s="132" t="e">
        <f>SUMIFS('vre plants'!#REF!, 'non-vre plants'!$G$2:$G$8, 'scenario analysis'!N41, 'vre plants'!#REF!, "wind_onshore") +SUMIFS('vre plants'!#REF!, 'non-vre plants'!$G$2:$G$8, 'scenario analysis'!N41, 'vre plants'!#REF!,"wind_offshore")</f>
        <v>#REF!</v>
      </c>
      <c r="P41" s="133" t="e">
        <f>SUMIFS('vre plants'!#REF!,'non-vre plants'!$G$2:$G$8,'scenario analysis'!N41,'vre plants'!#REF!,"multi c-Si")</f>
        <v>#REF!</v>
      </c>
      <c r="Q41" s="34" t="e">
        <f>SUMIFS('vre plants'!#REF!, 'non-vre plants'!$G$2:$G$8, 'scenario analysis'!N41, 'vre plants'!#REF!, "mono c-Si")</f>
        <v>#REF!</v>
      </c>
      <c r="R41" s="34" t="e">
        <f>SUMIFS('vre plants'!#REF!,'non-vre plants'!$G$2:$G$8,'scenario analysis'!N41,'vre plants'!#REF!,"thin film")</f>
        <v>#REF!</v>
      </c>
    </row>
    <row r="42" spans="3:18">
      <c r="H42" s="124" t="str">
        <f t="array" ref="H42">IFERROR(INDEX(#REF!, MATCH(0, COUNTIF($H$4:H41,#REF!), 0)), "")</f>
        <v/>
      </c>
      <c r="I42" s="164">
        <f>SUMIF('non-vre plants'!J10:J13,H42,'non-vre plants'!M10:M13)</f>
        <v>0</v>
      </c>
      <c r="J42" s="34">
        <f>SUMIF('demand centres'!$C$1:$C$50,'scenario analysis'!H42,'demand centres'!$B$1:$B$50)</f>
        <v>0</v>
      </c>
      <c r="K42" s="34" t="e">
        <f t="array" ref="K42">SUMIF('existing transmission'!#REF!,H42, 'existing transmission'!#REF!)+SUMIF('existing transmission'!#REF!,H42, 'existing transmission'!#REF!)</f>
        <v>#REF!</v>
      </c>
      <c r="L42" s="92" t="e">
        <f t="array" ref="L42">SUMIF('existing transmission'!#REF!,H42, 'existing transmission'!#REF!)+SUMIF('existing transmission'!#REF!,H42, 'existing transmission'!#REF!)</f>
        <v>#REF!</v>
      </c>
      <c r="N42" s="148" t="str">
        <f t="array" ref="N42">IFERROR(INDEX(#REF!, MATCH(0, COUNTIF($N$4:N41,#REF!), 0)), "")</f>
        <v/>
      </c>
      <c r="O42" s="132" t="e">
        <f>SUMIFS('vre plants'!#REF!, 'non-vre plants'!$G$2:$G$8, 'scenario analysis'!N42, 'vre plants'!#REF!, "wind_onshore") +SUMIFS('vre plants'!#REF!, 'non-vre plants'!$G$2:$G$8, 'scenario analysis'!N42, 'vre plants'!#REF!,"wind_offshore")</f>
        <v>#REF!</v>
      </c>
      <c r="P42" s="133" t="e">
        <f>SUMIFS('vre plants'!#REF!,'non-vre plants'!$G$2:$G$8,'scenario analysis'!N42,'vre plants'!#REF!,"multi c-Si")</f>
        <v>#REF!</v>
      </c>
      <c r="Q42" s="34" t="e">
        <f>SUMIFS('vre plants'!#REF!, 'non-vre plants'!$G$2:$G$8, 'scenario analysis'!N42, 'vre plants'!#REF!, "mono c-Si")</f>
        <v>#REF!</v>
      </c>
      <c r="R42" s="34" t="e">
        <f>SUMIFS('vre plants'!#REF!,'non-vre plants'!$G$2:$G$8,'scenario analysis'!N42,'vre plants'!#REF!,"thin film")</f>
        <v>#REF!</v>
      </c>
    </row>
    <row r="43" spans="3:18">
      <c r="H43" s="124" t="str">
        <f t="array" ref="H43">IFERROR(INDEX(#REF!, MATCH(0, COUNTIF($H$4:H42,#REF!), 0)), "")</f>
        <v/>
      </c>
      <c r="I43" s="164">
        <f>SUMIF('non-vre plants'!J10:J13,H43,'non-vre plants'!M10:M13)</f>
        <v>0</v>
      </c>
      <c r="J43" s="34">
        <f>SUMIF('demand centres'!$C$1:$C$50,'scenario analysis'!H43,'demand centres'!$B$1:$B$50)</f>
        <v>0</v>
      </c>
      <c r="K43" s="34" t="e">
        <f t="array" ref="K43">SUMIF('existing transmission'!#REF!,H43, 'existing transmission'!#REF!)+SUMIF('existing transmission'!#REF!,H43, 'existing transmission'!#REF!)</f>
        <v>#REF!</v>
      </c>
      <c r="L43" s="92" t="e">
        <f t="array" ref="L43">SUMIF('existing transmission'!#REF!,H43, 'existing transmission'!#REF!)+SUMIF('existing transmission'!#REF!,H43, 'existing transmission'!#REF!)</f>
        <v>#REF!</v>
      </c>
      <c r="N43" s="148" t="str">
        <f t="array" ref="N43">IFERROR(INDEX(#REF!, MATCH(0, COUNTIF($N$4:N42,#REF!), 0)), "")</f>
        <v/>
      </c>
      <c r="O43" s="132" t="e">
        <f>SUMIFS('vre plants'!#REF!, 'non-vre plants'!$G$2:$G$8, 'scenario analysis'!N43, 'vre plants'!#REF!, "wind_onshore") +SUMIFS('vre plants'!#REF!, 'non-vre plants'!$G$2:$G$8, 'scenario analysis'!N43, 'vre plants'!#REF!,"wind_offshore")</f>
        <v>#REF!</v>
      </c>
      <c r="P43" s="133" t="e">
        <f>SUMIFS('vre plants'!#REF!,'non-vre plants'!$G$2:$G$8,'scenario analysis'!N43,'vre plants'!#REF!,"multi c-Si")</f>
        <v>#REF!</v>
      </c>
      <c r="Q43" s="34" t="e">
        <f>SUMIFS('vre plants'!#REF!, 'non-vre plants'!$G$2:$G$8, 'scenario analysis'!N43, 'vre plants'!#REF!, "mono c-Si")</f>
        <v>#REF!</v>
      </c>
      <c r="R43" s="34" t="e">
        <f>SUMIFS('vre plants'!#REF!,'non-vre plants'!$G$2:$G$8,'scenario analysis'!N43,'vre plants'!#REF!,"thin film")</f>
        <v>#REF!</v>
      </c>
    </row>
    <row r="44" spans="3:18">
      <c r="H44" s="124" t="str">
        <f t="array" ref="H44">IFERROR(INDEX(#REF!, MATCH(0, COUNTIF($H$4:H43,#REF!), 0)), "")</f>
        <v/>
      </c>
      <c r="I44" s="164">
        <f>SUMIF('non-vre plants'!J10:J13,H44,'non-vre plants'!M10:M13)</f>
        <v>0</v>
      </c>
      <c r="J44" s="34">
        <f>SUMIF('demand centres'!$C$1:$C$50,'scenario analysis'!H44,'demand centres'!$B$1:$B$50)</f>
        <v>0</v>
      </c>
      <c r="K44" s="34" t="e">
        <f t="array" ref="K44">SUMIF('existing transmission'!#REF!,H44, 'existing transmission'!#REF!)+SUMIF('existing transmission'!#REF!,H44, 'existing transmission'!#REF!)</f>
        <v>#REF!</v>
      </c>
      <c r="L44" s="92" t="e">
        <f t="array" ref="L44">SUMIF('existing transmission'!#REF!,H44, 'existing transmission'!#REF!)+SUMIF('existing transmission'!#REF!,H44, 'existing transmission'!#REF!)</f>
        <v>#REF!</v>
      </c>
      <c r="N44" s="148" t="str">
        <f t="array" ref="N44">IFERROR(INDEX(#REF!, MATCH(0, COUNTIF($N$4:N43,#REF!), 0)), "")</f>
        <v/>
      </c>
      <c r="O44" s="132" t="e">
        <f>SUMIFS('vre plants'!#REF!, 'non-vre plants'!$G$2:$G$8, 'scenario analysis'!N44, 'vre plants'!#REF!, "wind_onshore") +SUMIFS('vre plants'!#REF!, 'non-vre plants'!$G$2:$G$8, 'scenario analysis'!N44, 'vre plants'!#REF!,"wind_offshore")</f>
        <v>#REF!</v>
      </c>
      <c r="P44" s="133" t="e">
        <f>SUMIFS('vre plants'!#REF!,'non-vre plants'!$G$2:$G$8,'scenario analysis'!N44,'vre plants'!#REF!,"multi c-Si")</f>
        <v>#REF!</v>
      </c>
      <c r="Q44" s="34" t="e">
        <f>SUMIFS('vre plants'!#REF!, 'non-vre plants'!$G$2:$G$8, 'scenario analysis'!N44, 'vre plants'!#REF!, "mono c-Si")</f>
        <v>#REF!</v>
      </c>
      <c r="R44" s="34" t="e">
        <f>SUMIFS('vre plants'!#REF!,'non-vre plants'!$G$2:$G$8,'scenario analysis'!N44,'vre plants'!#REF!,"thin film")</f>
        <v>#REF!</v>
      </c>
    </row>
    <row r="45" spans="3:18">
      <c r="H45" s="124" t="str">
        <f t="array" ref="H45">IFERROR(INDEX(#REF!, MATCH(0, COUNTIF($H$4:H44,#REF!), 0)), "")</f>
        <v/>
      </c>
      <c r="I45" s="164">
        <f>SUMIF('non-vre plants'!J10:J14,H45,'non-vre plants'!M10:M14)</f>
        <v>0</v>
      </c>
      <c r="J45" s="34">
        <f>SUMIF('demand centres'!$C$1:$C$50,'scenario analysis'!H45,'demand centres'!$B$1:$B$50)</f>
        <v>0</v>
      </c>
      <c r="K45" s="34" t="e">
        <f t="array" ref="K45">SUMIF('existing transmission'!#REF!,H45, 'existing transmission'!#REF!)+SUMIF('existing transmission'!#REF!,H45, 'existing transmission'!#REF!)</f>
        <v>#REF!</v>
      </c>
      <c r="L45" s="92" t="e">
        <f t="array" ref="L45">SUMIF('existing transmission'!#REF!,H45, 'existing transmission'!#REF!)+SUMIF('existing transmission'!#REF!,H45, 'existing transmission'!#REF!)</f>
        <v>#REF!</v>
      </c>
      <c r="N45" s="148" t="str">
        <f t="array" ref="N45">IFERROR(INDEX(#REF!, MATCH(0, COUNTIF($N$4:N44,#REF!), 0)), "")</f>
        <v/>
      </c>
      <c r="O45" s="132" t="e">
        <f>SUMIFS('vre plants'!#REF!, 'non-vre plants'!$G$2:$G$8, 'scenario analysis'!N45, 'vre plants'!#REF!, "wind_onshore") +SUMIFS('vre plants'!#REF!, 'non-vre plants'!$G$2:$G$8, 'scenario analysis'!N45, 'vre plants'!#REF!,"wind_offshore")</f>
        <v>#REF!</v>
      </c>
      <c r="P45" s="133" t="e">
        <f>SUMIFS('vre plants'!#REF!,'non-vre plants'!$G$2:$G$8,'scenario analysis'!N45,'vre plants'!#REF!,"multi c-Si")</f>
        <v>#REF!</v>
      </c>
      <c r="Q45" s="34" t="e">
        <f>SUMIFS('vre plants'!#REF!, 'non-vre plants'!$G$2:$G$8, 'scenario analysis'!N45, 'vre plants'!#REF!, "mono c-Si")</f>
        <v>#REF!</v>
      </c>
      <c r="R45" s="34" t="e">
        <f>SUMIFS('vre plants'!#REF!,'non-vre plants'!$G$2:$G$8,'scenario analysis'!N45,'vre plants'!#REF!,"thin film")</f>
        <v>#REF!</v>
      </c>
    </row>
    <row r="46" spans="3:18">
      <c r="H46" s="124" t="str">
        <f t="array" ref="H46">IFERROR(INDEX(#REF!, MATCH(0, COUNTIF($H$4:H45,#REF!), 0)), "")</f>
        <v/>
      </c>
      <c r="I46" s="34" t="e">
        <f>SUMIFS('vre plants'!#REF!,'non-vre plants'!$G$2:$G$8,'scenario analysis'!H46)+SUMIFS(storage!$E$2:$E$75,storage!$I$2:$I$75,'scenario analysis'!H46)+SUMIFS(EV_aggregator!$E$2:$E$75,EV_aggregator!$I$2:$I$75,'scenario analysis'!H46)+SUMIF('non-vre plants'!#REF!,H46,'non-vre plants'!F2:F13)</f>
        <v>#REF!</v>
      </c>
      <c r="J46" s="34">
        <f>SUMIF('demand centres'!$C$1:$C$50,'scenario analysis'!H46,'demand centres'!$B$1:$B$50)</f>
        <v>0</v>
      </c>
      <c r="K46" s="34" t="e">
        <f t="array" ref="K46">SUMIF('existing transmission'!#REF!,H46, 'existing transmission'!#REF!)+SUMIF('existing transmission'!#REF!,H46, 'existing transmission'!#REF!)</f>
        <v>#REF!</v>
      </c>
      <c r="L46" s="92" t="e">
        <f t="array" ref="L46">SUMIF('existing transmission'!#REF!,H46, 'existing transmission'!#REF!)+SUMIF('existing transmission'!#REF!,H46, 'existing transmission'!#REF!)</f>
        <v>#REF!</v>
      </c>
      <c r="N46" s="148" t="str">
        <f t="array" ref="N46">IFERROR(INDEX(#REF!, MATCH(0, COUNTIF($N$4:N45,#REF!), 0)), "")</f>
        <v/>
      </c>
      <c r="O46" s="132" t="e">
        <f>SUMIFS('vre plants'!#REF!, 'non-vre plants'!$G$2:$G$8, 'scenario analysis'!N46, 'vre plants'!#REF!, "wind_onshore") +SUMIFS('vre plants'!#REF!, 'non-vre plants'!$G$2:$G$8, 'scenario analysis'!N46, 'vre plants'!#REF!,"wind_offshore")</f>
        <v>#REF!</v>
      </c>
      <c r="P46" s="133" t="e">
        <f>SUMIFS('vre plants'!#REF!,'non-vre plants'!$G$2:$G$8,'scenario analysis'!N46,'vre plants'!#REF!,"multi c-Si")</f>
        <v>#REF!</v>
      </c>
      <c r="Q46" s="34" t="e">
        <f>SUMIFS('vre plants'!#REF!, 'non-vre plants'!$G$2:$G$8, 'scenario analysis'!N46, 'vre plants'!#REF!, "mono c-Si")</f>
        <v>#REF!</v>
      </c>
      <c r="R46" s="34" t="e">
        <f>SUMIFS('vre plants'!#REF!,'non-vre plants'!$G$2:$G$8,'scenario analysis'!N46,'vre plants'!#REF!,"thin film")</f>
        <v>#REF!</v>
      </c>
    </row>
    <row r="47" spans="3:18">
      <c r="D47" s="5"/>
      <c r="H47" s="124" t="str">
        <f t="array" ref="H47">IFERROR(INDEX(#REF!, MATCH(0, COUNTIF($H$4:H46,#REF!), 0)), "")</f>
        <v/>
      </c>
      <c r="I47" s="164">
        <f>SUMIF('non-vre plants'!J10:J14,H47,'non-vre plants'!M10:M14)</f>
        <v>0</v>
      </c>
      <c r="J47" s="34">
        <f>SUMIF('demand centres'!$C$1:$C$50,'scenario analysis'!H47,'demand centres'!$B$1:$B$50)</f>
        <v>0</v>
      </c>
      <c r="K47" s="34" t="e">
        <f t="array" ref="K47">SUMIF('existing transmission'!#REF!,H47, 'existing transmission'!#REF!)+SUMIF('existing transmission'!#REF!,H47, 'existing transmission'!#REF!)</f>
        <v>#REF!</v>
      </c>
      <c r="L47" s="92" t="e">
        <f t="array" ref="L47">SUMIF('existing transmission'!#REF!,H47, 'existing transmission'!#REF!)+SUMIF('existing transmission'!#REF!,H47, 'existing transmission'!#REF!)</f>
        <v>#REF!</v>
      </c>
      <c r="N47" s="148" t="str">
        <f t="array" ref="N47">IFERROR(INDEX(#REF!, MATCH(0, COUNTIF($N$4:N46,#REF!), 0)), "")</f>
        <v/>
      </c>
      <c r="O47" s="132" t="e">
        <f>SUMIFS('vre plants'!#REF!, 'non-vre plants'!$G$2:$G$8, 'scenario analysis'!N47, 'vre plants'!#REF!, "wind_onshore") +SUMIFS('vre plants'!#REF!, 'non-vre plants'!$G$2:$G$8, 'scenario analysis'!N47, 'vre plants'!#REF!,"wind_offshore")</f>
        <v>#REF!</v>
      </c>
      <c r="P47" s="133" t="e">
        <f>SUMIFS('vre plants'!#REF!,'non-vre plants'!$G$2:$G$8,'scenario analysis'!N47,'vre plants'!#REF!,"multi c-Si")</f>
        <v>#REF!</v>
      </c>
      <c r="Q47" s="34" t="e">
        <f>SUMIFS('vre plants'!#REF!, 'non-vre plants'!$G$2:$G$8, 'scenario analysis'!N47, 'vre plants'!#REF!, "mono c-Si")</f>
        <v>#REF!</v>
      </c>
      <c r="R47" s="34" t="e">
        <f>SUMIFS('vre plants'!#REF!,'non-vre plants'!$G$2:$G$8,'scenario analysis'!N47,'vre plants'!#REF!,"thin film")</f>
        <v>#REF!</v>
      </c>
    </row>
    <row r="48" spans="3:18">
      <c r="D48" s="98"/>
      <c r="H48" s="124" t="str">
        <f t="array" ref="H48">IFERROR(INDEX(#REF!, MATCH(0, COUNTIF($H$4:H47,#REF!), 0)), "")</f>
        <v/>
      </c>
      <c r="I48" s="34" t="e">
        <f>SUMIFS('vre plants'!#REF!,'non-vre plants'!$G$2:$G$8,'scenario analysis'!H48)+SUMIFS(storage!$E$2:$E$75,storage!$I$2:$I$75,'scenario analysis'!H48)+SUMIFS(EV_aggregator!$E$2:$E$75,EV_aggregator!$I$2:$I$75,'scenario analysis'!H48)+SUMIF('non-vre plants'!#REF!,H48,'non-vre plants'!F2:F14)</f>
        <v>#REF!</v>
      </c>
      <c r="J48" s="34">
        <f>SUMIF('demand centres'!$C$1:$C$50,'scenario analysis'!H48,'demand centres'!$B$1:$B$50)</f>
        <v>0</v>
      </c>
      <c r="K48" s="34" t="e">
        <f t="array" ref="K48">SUMIF('existing transmission'!#REF!,H48, 'existing transmission'!#REF!)+SUMIF('existing transmission'!#REF!,H48, 'existing transmission'!#REF!)</f>
        <v>#REF!</v>
      </c>
      <c r="L48" s="92" t="e">
        <f t="array" ref="L48">SUMIF('existing transmission'!#REF!,H48, 'existing transmission'!#REF!)+SUMIF('existing transmission'!#REF!,H48, 'existing transmission'!#REF!)</f>
        <v>#REF!</v>
      </c>
      <c r="N48" s="148" t="str">
        <f t="array" ref="N48">IFERROR(INDEX(#REF!, MATCH(0, COUNTIF($N$4:N47,#REF!), 0)), "")</f>
        <v/>
      </c>
      <c r="O48" s="132" t="e">
        <f>SUMIFS('vre plants'!#REF!, 'non-vre plants'!$G$2:$G$8, 'scenario analysis'!N48, 'vre plants'!#REF!, "wind_onshore") +SUMIFS('vre plants'!#REF!, 'non-vre plants'!$G$2:$G$8, 'scenario analysis'!N48, 'vre plants'!#REF!,"wind_offshore")</f>
        <v>#REF!</v>
      </c>
      <c r="P48" s="133" t="e">
        <f>SUMIFS('vre plants'!#REF!,'non-vre plants'!$G$2:$G$8,'scenario analysis'!N48,'vre plants'!#REF!,"multi c-Si")</f>
        <v>#REF!</v>
      </c>
      <c r="Q48" s="34" t="e">
        <f>SUMIFS('vre plants'!#REF!, 'non-vre plants'!$G$2:$G$8, 'scenario analysis'!N48, 'vre plants'!#REF!, "mono c-Si")</f>
        <v>#REF!</v>
      </c>
      <c r="R48" s="34" t="e">
        <f>SUMIFS('vre plants'!#REF!,'non-vre plants'!$G$2:$G$8,'scenario analysis'!N48,'vre plants'!#REF!,"thin film")</f>
        <v>#REF!</v>
      </c>
    </row>
    <row r="49" spans="4:18">
      <c r="D49" s="98"/>
      <c r="H49" s="124" t="str">
        <f t="array" ref="H49">IFERROR(INDEX(#REF!, MATCH(0, COUNTIF($H$4:H48,#REF!), 0)), "")</f>
        <v/>
      </c>
      <c r="I49" s="34" t="e">
        <f>SUMIFS('vre plants'!#REF!,'non-vre plants'!$G$2:$G$8,'scenario analysis'!H49)+SUMIFS(storage!$E$2:$E$75,storage!$I$2:$I$75,'scenario analysis'!H49)+SUMIFS(EV_aggregator!$E$2:$E$75,EV_aggregator!$I$2:$I$75,'scenario analysis'!H49)+SUMIF('non-vre plants'!#REF!,H49,'non-vre plants'!F2:F14)</f>
        <v>#REF!</v>
      </c>
      <c r="J49" s="34">
        <f>SUMIF('demand centres'!$C$1:$C$50,'scenario analysis'!H49,'demand centres'!$B$1:$B$50)</f>
        <v>0</v>
      </c>
      <c r="K49" s="34" t="e">
        <f t="array" ref="K49">SUMIF('existing transmission'!#REF!,H49, 'existing transmission'!#REF!)+SUMIF('existing transmission'!#REF!,H49, 'existing transmission'!#REF!)</f>
        <v>#REF!</v>
      </c>
      <c r="L49" s="92" t="e">
        <f t="array" ref="L49">SUMIF('existing transmission'!#REF!,H49, 'existing transmission'!#REF!)+SUMIF('existing transmission'!#REF!,H49, 'existing transmission'!#REF!)</f>
        <v>#REF!</v>
      </c>
      <c r="N49" s="148" t="str">
        <f t="array" ref="N49">IFERROR(INDEX(#REF!, MATCH(0, COUNTIF($N$4:N48,#REF!), 0)), "")</f>
        <v/>
      </c>
      <c r="O49" s="132" t="e">
        <f>SUMIFS('vre plants'!#REF!, 'non-vre plants'!$G$2:$G$8, 'scenario analysis'!N49, 'vre plants'!#REF!, "wind_onshore") +SUMIFS('vre plants'!#REF!, 'non-vre plants'!$G$2:$G$8, 'scenario analysis'!N49, 'vre plants'!#REF!,"wind_offshore")</f>
        <v>#REF!</v>
      </c>
      <c r="P49" s="133" t="e">
        <f>SUMIFS('vre plants'!#REF!,'non-vre plants'!$G$2:$G$8,'scenario analysis'!N49,'vre plants'!#REF!,"multi c-Si")</f>
        <v>#REF!</v>
      </c>
      <c r="Q49" s="34" t="e">
        <f>SUMIFS('vre plants'!#REF!, 'non-vre plants'!$G$2:$G$8, 'scenario analysis'!N49, 'vre plants'!#REF!, "mono c-Si")</f>
        <v>#REF!</v>
      </c>
      <c r="R49" s="34" t="e">
        <f>SUMIFS('vre plants'!#REF!,'non-vre plants'!$G$2:$G$8,'scenario analysis'!N49,'vre plants'!#REF!,"thin film")</f>
        <v>#REF!</v>
      </c>
    </row>
    <row r="50" spans="4:18">
      <c r="D50" s="98"/>
      <c r="H50" s="124" t="str">
        <f t="array" ref="H50">IFERROR(INDEX(#REF!, MATCH(0, COUNTIF($H$4:H49,#REF!), 0)), "")</f>
        <v/>
      </c>
      <c r="I50" s="164">
        <f>SUMIF('non-vre plants'!J10:J14,H50,'non-vre plants'!M10:M14)</f>
        <v>0</v>
      </c>
      <c r="J50" s="34">
        <f>SUMIF('demand centres'!$C$1:$C$50,'scenario analysis'!H50,'demand centres'!$B$1:$B$50)</f>
        <v>0</v>
      </c>
      <c r="K50" s="34" t="e">
        <f t="array" ref="K50">SUMIF('existing transmission'!#REF!,H50, 'existing transmission'!#REF!)+SUMIF('existing transmission'!#REF!,H50, 'existing transmission'!#REF!)</f>
        <v>#REF!</v>
      </c>
      <c r="L50" s="92" t="e">
        <f t="array" ref="L50">SUMIF('existing transmission'!#REF!,H50, 'existing transmission'!#REF!)+SUMIF('existing transmission'!#REF!,H50, 'existing transmission'!#REF!)</f>
        <v>#REF!</v>
      </c>
      <c r="N50" s="148" t="str">
        <f t="array" ref="N50">IFERROR(INDEX(#REF!, MATCH(0, COUNTIF($N$4:N49,#REF!), 0)), "")</f>
        <v/>
      </c>
      <c r="O50" s="132" t="e">
        <f>SUMIFS('vre plants'!#REF!, 'non-vre plants'!$G$2:$G$8, 'scenario analysis'!N50, 'vre plants'!#REF!, "wind_onshore") +SUMIFS('vre plants'!#REF!, 'non-vre plants'!$G$2:$G$8, 'scenario analysis'!N50, 'vre plants'!#REF!,"wind_offshore")</f>
        <v>#REF!</v>
      </c>
      <c r="P50" s="133" t="e">
        <f>SUMIFS('vre plants'!#REF!,'non-vre plants'!$G$2:$G$8,'scenario analysis'!N50,'vre plants'!#REF!,"multi c-Si")</f>
        <v>#REF!</v>
      </c>
      <c r="Q50" s="34" t="e">
        <f>SUMIFS('vre plants'!#REF!, 'non-vre plants'!$G$2:$G$8, 'scenario analysis'!N50, 'vre plants'!#REF!, "mono c-Si")</f>
        <v>#REF!</v>
      </c>
      <c r="R50" s="34" t="e">
        <f>SUMIFS('vre plants'!#REF!,'non-vre plants'!$G$2:$G$8,'scenario analysis'!N50,'vre plants'!#REF!,"thin film")</f>
        <v>#REF!</v>
      </c>
    </row>
    <row r="51" spans="4:18">
      <c r="D51" s="98"/>
      <c r="H51" s="124" t="str">
        <f t="array" ref="H51">IFERROR(INDEX(#REF!, MATCH(0, COUNTIF($H$4:H50,#REF!), 0)), "")</f>
        <v/>
      </c>
      <c r="I51" s="164">
        <f>SUMIF('non-vre plants'!J10:J14,H51,'non-vre plants'!M10:M14)</f>
        <v>0</v>
      </c>
      <c r="J51" s="34">
        <f>SUMIF('demand centres'!$C$1:$C$50,'scenario analysis'!H51,'demand centres'!$B$1:$B$50)</f>
        <v>0</v>
      </c>
      <c r="K51" s="34" t="e">
        <f t="array" ref="K51">SUMIF('existing transmission'!#REF!,H51, 'existing transmission'!#REF!)+SUMIF('existing transmission'!#REF!,H51, 'existing transmission'!#REF!)</f>
        <v>#REF!</v>
      </c>
      <c r="L51" s="92" t="e">
        <f t="array" ref="L51">SUMIF('existing transmission'!#REF!,H51, 'existing transmission'!#REF!)+SUMIF('existing transmission'!#REF!,H51, 'existing transmission'!#REF!)</f>
        <v>#REF!</v>
      </c>
      <c r="N51" s="148" t="str">
        <f t="array" ref="N51">IFERROR(INDEX(#REF!, MATCH(0, COUNTIF($N$4:N50,#REF!), 0)), "")</f>
        <v/>
      </c>
      <c r="O51" s="132" t="e">
        <f>SUMIFS('vre plants'!#REF!, 'non-vre plants'!$G$2:$G$8, 'scenario analysis'!N51, 'vre plants'!#REF!, "wind_onshore") +SUMIFS('vre plants'!#REF!, 'non-vre plants'!$G$2:$G$8, 'scenario analysis'!N51, 'vre plants'!#REF!,"wind_offshore")</f>
        <v>#REF!</v>
      </c>
      <c r="P51" s="133" t="e">
        <f>SUMIFS('vre plants'!#REF!,'non-vre plants'!$G$2:$G$8,'scenario analysis'!N51,'vre plants'!#REF!,"multi c-Si")</f>
        <v>#REF!</v>
      </c>
      <c r="Q51" s="34" t="e">
        <f>SUMIFS('vre plants'!#REF!, 'non-vre plants'!$G$2:$G$8, 'scenario analysis'!N51, 'vre plants'!#REF!, "mono c-Si")</f>
        <v>#REF!</v>
      </c>
      <c r="R51" s="34" t="e">
        <f>SUMIFS('vre plants'!#REF!,'non-vre plants'!$G$2:$G$8,'scenario analysis'!N51,'vre plants'!#REF!,"thin film")</f>
        <v>#REF!</v>
      </c>
    </row>
    <row r="52" spans="4:18">
      <c r="D52" s="98"/>
      <c r="H52" s="124" t="str">
        <f t="array" ref="H52">IFERROR(INDEX(#REF!, MATCH(0, COUNTIF($H$4:H51,#REF!), 0)), "")</f>
        <v/>
      </c>
      <c r="I52" s="34" t="e">
        <f>SUMIFS('vre plants'!#REF!,'non-vre plants'!$G$2:$G$8,'scenario analysis'!H52)+SUMIFS(storage!$E$2:$E$75,storage!$I$2:$I$75,'scenario analysis'!H52)+SUMIFS(EV_aggregator!$E$2:$E$75,EV_aggregator!$I$2:$I$75,'scenario analysis'!H52)+SUMIF('non-vre plants'!#REF!,H52,'non-vre plants'!F2:F14)</f>
        <v>#REF!</v>
      </c>
      <c r="J52" s="34">
        <f>SUMIF('demand centres'!$C$1:$C$50,'scenario analysis'!H52,'demand centres'!$B$1:$B$50)</f>
        <v>0</v>
      </c>
      <c r="K52" s="34" t="e">
        <f t="array" ref="K52">SUMIF('existing transmission'!#REF!,H52, 'existing transmission'!#REF!)+SUMIF('existing transmission'!#REF!,H52, 'existing transmission'!#REF!)</f>
        <v>#REF!</v>
      </c>
      <c r="L52" s="92" t="e">
        <f t="array" ref="L52">SUMIF('existing transmission'!#REF!,H52, 'existing transmission'!#REF!)+SUMIF('existing transmission'!#REF!,H52, 'existing transmission'!#REF!)</f>
        <v>#REF!</v>
      </c>
      <c r="N52" s="148" t="str">
        <f t="array" ref="N52">IFERROR(INDEX(#REF!, MATCH(0, COUNTIF($N$4:N51,#REF!), 0)), "")</f>
        <v/>
      </c>
      <c r="O52" s="132" t="e">
        <f>SUMIFS('vre plants'!#REF!, 'non-vre plants'!$G$2:$G$8, 'scenario analysis'!N52, 'vre plants'!#REF!, "wind_onshore") +SUMIFS('vre plants'!#REF!, 'non-vre plants'!$G$2:$G$8, 'scenario analysis'!N52, 'vre plants'!#REF!,"wind_offshore")</f>
        <v>#REF!</v>
      </c>
      <c r="P52" s="133" t="e">
        <f>SUMIFS('vre plants'!#REF!,'non-vre plants'!$G$2:$G$8,'scenario analysis'!N52,'vre plants'!#REF!,"multi c-Si")</f>
        <v>#REF!</v>
      </c>
      <c r="Q52" s="34" t="e">
        <f>SUMIFS('vre plants'!#REF!, 'non-vre plants'!$G$2:$G$8, 'scenario analysis'!N52, 'vre plants'!#REF!, "mono c-Si")</f>
        <v>#REF!</v>
      </c>
      <c r="R52" s="34" t="e">
        <f>SUMIFS('vre plants'!#REF!,'non-vre plants'!$G$2:$G$8,'scenario analysis'!N52,'vre plants'!#REF!,"thin film")</f>
        <v>#REF!</v>
      </c>
    </row>
    <row r="53" spans="4:18">
      <c r="D53" s="98"/>
      <c r="H53" s="124" t="str">
        <f t="array" ref="H53">IFERROR(INDEX(#REF!, MATCH(0, COUNTIF($H$4:H52,#REF!), 0)), "")</f>
        <v/>
      </c>
      <c r="I53" s="164">
        <f>SUMIF('non-vre plants'!J10:J14,H53,'non-vre plants'!M10:M14)</f>
        <v>0</v>
      </c>
      <c r="J53" s="34">
        <f>SUMIF('demand centres'!$C$1:$C$50,'scenario analysis'!H53,'demand centres'!$B$1:$B$50)</f>
        <v>0</v>
      </c>
      <c r="K53" s="34" t="e">
        <f t="array" ref="K53">SUMIF('existing transmission'!#REF!,H53, 'existing transmission'!#REF!)+SUMIF('existing transmission'!#REF!,H53, 'existing transmission'!#REF!)</f>
        <v>#REF!</v>
      </c>
      <c r="L53" s="92" t="e">
        <f t="array" ref="L53">SUMIF('existing transmission'!#REF!,H53, 'existing transmission'!#REF!)+SUMIF('existing transmission'!#REF!,H53, 'existing transmission'!#REF!)</f>
        <v>#REF!</v>
      </c>
      <c r="N53" s="148" t="str">
        <f t="array" ref="N53">IFERROR(INDEX(#REF!, MATCH(0, COUNTIF($N$4:N52,#REF!), 0)), "")</f>
        <v/>
      </c>
      <c r="O53" s="132" t="e">
        <f>SUMIFS('vre plants'!#REF!, 'non-vre plants'!$G$2:$G$8, 'scenario analysis'!N53, 'vre plants'!#REF!, "wind_onshore") +SUMIFS('vre plants'!#REF!, 'non-vre plants'!$G$2:$G$8, 'scenario analysis'!N53, 'vre plants'!#REF!,"wind_offshore")</f>
        <v>#REF!</v>
      </c>
      <c r="P53" s="133" t="e">
        <f>SUMIFS('vre plants'!#REF!,'non-vre plants'!$G$2:$G$8,'scenario analysis'!N53,'vre plants'!#REF!,"multi c-Si")</f>
        <v>#REF!</v>
      </c>
      <c r="Q53" s="34" t="e">
        <f>SUMIFS('vre plants'!#REF!, 'non-vre plants'!$G$2:$G$8, 'scenario analysis'!N53, 'vre plants'!#REF!, "mono c-Si")</f>
        <v>#REF!</v>
      </c>
      <c r="R53" s="34" t="e">
        <f>SUMIFS('vre plants'!#REF!,'non-vre plants'!$G$2:$G$8,'scenario analysis'!N53,'vre plants'!#REF!,"thin film")</f>
        <v>#REF!</v>
      </c>
    </row>
    <row r="54" spans="4:18">
      <c r="D54" s="98"/>
      <c r="H54" s="124" t="str">
        <f t="array" ref="H54">IFERROR(INDEX(#REF!, MATCH(0, COUNTIF($H$4:H53,#REF!), 0)), "")</f>
        <v/>
      </c>
      <c r="I54" s="34" t="e">
        <f>SUMIFS('vre plants'!#REF!,'non-vre plants'!$G$2:$G$8,'scenario analysis'!H54)+SUMIFS(storage!$E$2:$E$75,storage!$I$2:$I$75,'scenario analysis'!H54)+SUMIFS(EV_aggregator!$E$2:$E$75,EV_aggregator!$I$2:$I$75,'scenario analysis'!H54)+SUMIF('non-vre plants'!#REF!,H54,'non-vre plants'!F2:F14)</f>
        <v>#REF!</v>
      </c>
      <c r="J54" s="34">
        <f>SUMIF('demand centres'!$C$1:$C$50,'scenario analysis'!H54,'demand centres'!$B$1:$B$50)</f>
        <v>0</v>
      </c>
      <c r="K54" s="34" t="e">
        <f t="array" ref="K54">SUMIF('existing transmission'!#REF!,H54, 'existing transmission'!#REF!)+SUMIF('existing transmission'!#REF!,H54, 'existing transmission'!#REF!)</f>
        <v>#REF!</v>
      </c>
      <c r="L54" s="92" t="e">
        <f t="array" ref="L54">SUMIF('existing transmission'!#REF!,H54, 'existing transmission'!#REF!)+SUMIF('existing transmission'!#REF!,H54, 'existing transmission'!#REF!)</f>
        <v>#REF!</v>
      </c>
      <c r="N54" s="148" t="str">
        <f t="array" ref="N54">IFERROR(INDEX(#REF!, MATCH(0, COUNTIF($N$4:N53,#REF!), 0)), "")</f>
        <v/>
      </c>
      <c r="O54" s="132" t="e">
        <f>SUMIFS('vre plants'!#REF!, 'non-vre plants'!$G$2:$G$8, 'scenario analysis'!N54, 'vre plants'!#REF!, "wind_onshore") +SUMIFS('vre plants'!#REF!, 'non-vre plants'!$G$2:$G$8, 'scenario analysis'!N54, 'vre plants'!#REF!,"wind_offshore")</f>
        <v>#REF!</v>
      </c>
      <c r="P54" s="133" t="e">
        <f>SUMIFS('vre plants'!#REF!,'non-vre plants'!$G$2:$G$8,'scenario analysis'!N54,'vre plants'!#REF!,"multi c-Si")</f>
        <v>#REF!</v>
      </c>
      <c r="Q54" s="34" t="e">
        <f>SUMIFS('vre plants'!#REF!, 'non-vre plants'!$G$2:$G$8, 'scenario analysis'!N54, 'vre plants'!#REF!, "mono c-Si")</f>
        <v>#REF!</v>
      </c>
      <c r="R54" s="34" t="e">
        <f>SUMIFS('vre plants'!#REF!,'non-vre plants'!$G$2:$G$8,'scenario analysis'!N54,'vre plants'!#REF!,"thin film")</f>
        <v>#REF!</v>
      </c>
    </row>
    <row r="55" spans="4:18">
      <c r="D55" s="98"/>
      <c r="H55" s="124" t="str">
        <f t="array" ref="H55">IFERROR(INDEX(#REF!, MATCH(0, COUNTIF($H$4:H54,#REF!), 0)), "")</f>
        <v/>
      </c>
      <c r="I55" s="164">
        <f>SUMIF('non-vre plants'!J10:J14,H55,'non-vre plants'!M10:M14)</f>
        <v>0</v>
      </c>
      <c r="J55" s="34">
        <f>SUMIF('demand centres'!$C$1:$C$50,'scenario analysis'!H55,'demand centres'!$B$1:$B$50)</f>
        <v>0</v>
      </c>
      <c r="K55" s="34" t="e">
        <f t="array" ref="K55">SUMIF('existing transmission'!#REF!,H55, 'existing transmission'!#REF!)+SUMIF('existing transmission'!#REF!,H55, 'existing transmission'!#REF!)</f>
        <v>#REF!</v>
      </c>
      <c r="L55" s="92" t="e">
        <f t="array" ref="L55">SUMIF('existing transmission'!#REF!,H55, 'existing transmission'!#REF!)+SUMIF('existing transmission'!#REF!,H55, 'existing transmission'!#REF!)</f>
        <v>#REF!</v>
      </c>
      <c r="N55" s="148" t="str">
        <f t="array" ref="N55">IFERROR(INDEX(#REF!, MATCH(0, COUNTIF($N$4:N54,#REF!), 0)), "")</f>
        <v/>
      </c>
      <c r="O55" s="132" t="e">
        <f>SUMIFS('vre plants'!#REF!, 'non-vre plants'!$G$2:$G$8, 'scenario analysis'!N55, 'vre plants'!#REF!, "wind_onshore") +SUMIFS('vre plants'!#REF!, 'non-vre plants'!$G$2:$G$8, 'scenario analysis'!N55, 'vre plants'!#REF!,"wind_offshore")</f>
        <v>#REF!</v>
      </c>
      <c r="P55" s="133" t="e">
        <f>SUMIFS('vre plants'!#REF!,'non-vre plants'!$G$2:$G$8,'scenario analysis'!N55,'vre plants'!#REF!,"multi c-Si")</f>
        <v>#REF!</v>
      </c>
      <c r="Q55" s="34" t="e">
        <f>SUMIFS('vre plants'!#REF!, 'non-vre plants'!$G$2:$G$8, 'scenario analysis'!N55, 'vre plants'!#REF!, "mono c-Si")</f>
        <v>#REF!</v>
      </c>
      <c r="R55" s="34" t="e">
        <f>SUMIFS('vre plants'!#REF!,'non-vre plants'!$G$2:$G$8,'scenario analysis'!N55,'vre plants'!#REF!,"thin film")</f>
        <v>#REF!</v>
      </c>
    </row>
    <row r="56" spans="4:18">
      <c r="D56" s="98"/>
      <c r="H56" s="124" t="str">
        <f t="array" ref="H56">IFERROR(INDEX(#REF!, MATCH(0, COUNTIF($H$4:H55,#REF!), 0)), "")</f>
        <v/>
      </c>
      <c r="I56" s="34" t="e">
        <f>SUMIFS('vre plants'!#REF!,'non-vre plants'!$G$2:$G$8,'scenario analysis'!H56)+SUMIFS(storage!$E$2:$E$75,storage!$I$2:$I$75,'scenario analysis'!H56)+SUMIFS(EV_aggregator!$E$2:$E$75,EV_aggregator!$I$2:$I$75,'scenario analysis'!H56)+SUMIF('non-vre plants'!#REF!,H56,'non-vre plants'!F2:F14)</f>
        <v>#REF!</v>
      </c>
      <c r="J56" s="34">
        <f>SUMIF('demand centres'!$C$1:$C$50,'scenario analysis'!H56,'demand centres'!$B$1:$B$50)</f>
        <v>0</v>
      </c>
      <c r="K56" s="34" t="e">
        <f t="array" ref="K56">SUMIF('existing transmission'!#REF!,H56, 'existing transmission'!#REF!)+SUMIF('existing transmission'!#REF!,H56, 'existing transmission'!#REF!)</f>
        <v>#REF!</v>
      </c>
      <c r="L56" s="92" t="e">
        <f t="array" ref="L56">SUMIF('existing transmission'!#REF!,H56, 'existing transmission'!#REF!)+SUMIF('existing transmission'!#REF!,H56, 'existing transmission'!#REF!)</f>
        <v>#REF!</v>
      </c>
      <c r="N56" s="148" t="str">
        <f t="array" ref="N56">IFERROR(INDEX(#REF!, MATCH(0, COUNTIF($N$4:N55,#REF!), 0)), "")</f>
        <v/>
      </c>
      <c r="O56" s="132" t="e">
        <f>SUMIFS('vre plants'!#REF!, 'non-vre plants'!$G$2:$G$8, 'scenario analysis'!N56, 'vre plants'!#REF!, "wind_onshore") +SUMIFS('vre plants'!#REF!, 'non-vre plants'!$G$2:$G$8, 'scenario analysis'!N56, 'vre plants'!#REF!,"wind_offshore")</f>
        <v>#REF!</v>
      </c>
      <c r="P56" s="133" t="e">
        <f>SUMIFS('vre plants'!#REF!,'non-vre plants'!$G$2:$G$8,'scenario analysis'!N56,'vre plants'!#REF!,"multi c-Si")</f>
        <v>#REF!</v>
      </c>
      <c r="Q56" s="34" t="e">
        <f>SUMIFS('vre plants'!#REF!, 'non-vre plants'!$G$2:$G$8, 'scenario analysis'!N56, 'vre plants'!#REF!, "mono c-Si")</f>
        <v>#REF!</v>
      </c>
      <c r="R56" s="34" t="e">
        <f>SUMIFS('vre plants'!#REF!,'non-vre plants'!$G$2:$G$8,'scenario analysis'!N56,'vre plants'!#REF!,"thin film")</f>
        <v>#REF!</v>
      </c>
    </row>
    <row r="57" spans="4:18">
      <c r="D57" s="98"/>
      <c r="H57" s="124" t="str">
        <f t="array" ref="H57">IFERROR(INDEX(#REF!, MATCH(0, COUNTIF($H$4:H56,#REF!), 0)), "")</f>
        <v/>
      </c>
      <c r="I57" s="34" t="e">
        <f>SUMIFS('vre plants'!#REF!,'non-vre plants'!$G$2:$G$8,'scenario analysis'!H57)+SUMIFS(storage!$E$2:$E$75,storage!$I$2:$I$75,'scenario analysis'!H57)+SUMIFS(EV_aggregator!$E$2:$E$75,EV_aggregator!$I$2:$I$75,'scenario analysis'!H57)+SUMIF('non-vre plants'!#REF!,H57,'non-vre plants'!F2:F14)</f>
        <v>#REF!</v>
      </c>
      <c r="J57" s="34">
        <f>SUMIF('demand centres'!$C$1:$C$50,'scenario analysis'!H57,'demand centres'!$B$1:$B$50)</f>
        <v>0</v>
      </c>
      <c r="K57" s="34" t="e">
        <f t="array" ref="K57">SUMIF('existing transmission'!#REF!,H57, 'existing transmission'!#REF!)+SUMIF('existing transmission'!#REF!,H57, 'existing transmission'!#REF!)</f>
        <v>#REF!</v>
      </c>
      <c r="L57" s="92" t="e">
        <f t="array" ref="L57">SUMIF('existing transmission'!#REF!,H57, 'existing transmission'!#REF!)+SUMIF('existing transmission'!#REF!,H57, 'existing transmission'!#REF!)</f>
        <v>#REF!</v>
      </c>
      <c r="N57" s="148" t="str">
        <f t="array" ref="N57">IFERROR(INDEX(#REF!, MATCH(0, COUNTIF($N$4:N56,#REF!), 0)), "")</f>
        <v/>
      </c>
      <c r="O57" s="132" t="e">
        <f>SUMIFS('vre plants'!#REF!, 'non-vre plants'!$G$2:$G$8, 'scenario analysis'!N57, 'vre plants'!#REF!, "wind_onshore") +SUMIFS('vre plants'!#REF!, 'non-vre plants'!$G$2:$G$8, 'scenario analysis'!N57, 'vre plants'!#REF!,"wind_offshore")</f>
        <v>#REF!</v>
      </c>
      <c r="P57" s="133" t="e">
        <f>SUMIFS('vre plants'!#REF!,'non-vre plants'!$G$2:$G$8,'scenario analysis'!N57,'vre plants'!#REF!,"multi c-Si")</f>
        <v>#REF!</v>
      </c>
      <c r="Q57" s="34" t="e">
        <f>SUMIFS('vre plants'!#REF!, 'non-vre plants'!$G$2:$G$8, 'scenario analysis'!N57, 'vre plants'!#REF!, "mono c-Si")</f>
        <v>#REF!</v>
      </c>
      <c r="R57" s="34" t="e">
        <f>SUMIFS('vre plants'!#REF!,'non-vre plants'!$G$2:$G$8,'scenario analysis'!N57,'vre plants'!#REF!,"thin film")</f>
        <v>#REF!</v>
      </c>
    </row>
    <row r="58" spans="4:18">
      <c r="D58" s="98"/>
      <c r="H58" s="124" t="str">
        <f t="array" ref="H58">IFERROR(INDEX(#REF!, MATCH(0, COUNTIF($H$4:H57,#REF!), 0)), "")</f>
        <v/>
      </c>
      <c r="I58" s="164">
        <f>SUMIF('non-vre plants'!J10:J14,H58,'non-vre plants'!M10:M14)</f>
        <v>0</v>
      </c>
      <c r="J58" s="34">
        <f>SUMIF('demand centres'!$C$1:$C$50,'scenario analysis'!H58,'demand centres'!$B$1:$B$50)</f>
        <v>0</v>
      </c>
      <c r="K58" s="34" t="e">
        <f t="array" ref="K58">SUMIF('existing transmission'!#REF!,H58, 'existing transmission'!#REF!)+SUMIF('existing transmission'!#REF!,H58, 'existing transmission'!#REF!)</f>
        <v>#REF!</v>
      </c>
      <c r="L58" s="92" t="e">
        <f t="array" ref="L58">SUMIF('existing transmission'!#REF!,H58, 'existing transmission'!#REF!)+SUMIF('existing transmission'!#REF!,H58, 'existing transmission'!#REF!)</f>
        <v>#REF!</v>
      </c>
      <c r="N58" s="148" t="str">
        <f t="array" ref="N58">IFERROR(INDEX(#REF!, MATCH(0, COUNTIF($N$4:N57,#REF!), 0)), "")</f>
        <v/>
      </c>
      <c r="O58" s="132" t="e">
        <f>SUMIFS('vre plants'!#REF!, 'non-vre plants'!$G$2:$G$8, 'scenario analysis'!N58, 'vre plants'!#REF!, "wind_onshore") +SUMIFS('vre plants'!#REF!, 'non-vre plants'!$G$2:$G$8, 'scenario analysis'!N58, 'vre plants'!#REF!,"wind_offshore")</f>
        <v>#REF!</v>
      </c>
      <c r="P58" s="133" t="e">
        <f>SUMIFS('vre plants'!#REF!,'non-vre plants'!$G$2:$G$8,'scenario analysis'!N58,'vre plants'!#REF!,"multi c-Si")</f>
        <v>#REF!</v>
      </c>
      <c r="Q58" s="34" t="e">
        <f>SUMIFS('vre plants'!#REF!, 'non-vre plants'!$G$2:$G$8, 'scenario analysis'!N58, 'vre plants'!#REF!, "mono c-Si")</f>
        <v>#REF!</v>
      </c>
      <c r="R58" s="34" t="e">
        <f>SUMIFS('vre plants'!#REF!,'non-vre plants'!$G$2:$G$8,'scenario analysis'!N58,'vre plants'!#REF!,"thin film")</f>
        <v>#REF!</v>
      </c>
    </row>
    <row r="59" spans="4:18">
      <c r="D59" s="98"/>
      <c r="H59" s="124" t="str">
        <f t="array" ref="H59">IFERROR(INDEX(#REF!, MATCH(0, COUNTIF($H$4:H58,#REF!), 0)), "")</f>
        <v/>
      </c>
      <c r="I59" s="34" t="e">
        <f>SUMIFS('vre plants'!#REF!,'non-vre plants'!$G$2:$G$8,'scenario analysis'!H59)+SUMIFS(storage!$E$2:$E$75,storage!$I$2:$I$75,'scenario analysis'!H59)+SUMIFS(EV_aggregator!$E$2:$E$75,EV_aggregator!$I$2:$I$75,'scenario analysis'!H59)+SUMIF('non-vre plants'!#REF!,H59,'non-vre plants'!F2:F14)</f>
        <v>#REF!</v>
      </c>
      <c r="J59" s="34">
        <f>SUMIF('demand centres'!$C$1:$C$50,'scenario analysis'!H59,'demand centres'!$B$1:$B$50)</f>
        <v>0</v>
      </c>
      <c r="K59" s="34" t="e">
        <f t="array" ref="K59">SUMIF('existing transmission'!#REF!,H59, 'existing transmission'!#REF!)+SUMIF('existing transmission'!#REF!,H59, 'existing transmission'!#REF!)</f>
        <v>#REF!</v>
      </c>
      <c r="L59" s="92" t="e">
        <f t="array" ref="L59">SUMIF('existing transmission'!#REF!,H59, 'existing transmission'!#REF!)+SUMIF('existing transmission'!#REF!,H59, 'existing transmission'!#REF!)</f>
        <v>#REF!</v>
      </c>
      <c r="N59" s="148" t="str">
        <f t="array" ref="N59">IFERROR(INDEX(#REF!, MATCH(0, COUNTIF($N$4:N58,#REF!), 0)), "")</f>
        <v/>
      </c>
      <c r="O59" s="132" t="e">
        <f>SUMIFS('vre plants'!#REF!, 'non-vre plants'!$G$2:$G$8, 'scenario analysis'!N59, 'vre plants'!#REF!, "wind_onshore") +SUMIFS('vre plants'!#REF!, 'non-vre plants'!$G$2:$G$8, 'scenario analysis'!N59, 'vre plants'!#REF!,"wind_offshore")</f>
        <v>#REF!</v>
      </c>
      <c r="P59" s="133" t="e">
        <f>SUMIFS('vre plants'!#REF!,'non-vre plants'!$G$2:$G$8,'scenario analysis'!N59,'vre plants'!#REF!,"multi c-Si")</f>
        <v>#REF!</v>
      </c>
      <c r="Q59" s="34" t="e">
        <f>SUMIFS('vre plants'!#REF!, 'non-vre plants'!$G$2:$G$8, 'scenario analysis'!N59, 'vre plants'!#REF!, "mono c-Si")</f>
        <v>#REF!</v>
      </c>
      <c r="R59" s="34" t="e">
        <f>SUMIFS('vre plants'!#REF!,'non-vre plants'!$G$2:$G$8,'scenario analysis'!N59,'vre plants'!#REF!,"thin film")</f>
        <v>#REF!</v>
      </c>
    </row>
    <row r="60" spans="4:18">
      <c r="D60" s="98"/>
      <c r="H60" s="124" t="str">
        <f t="array" ref="H60">IFERROR(INDEX(#REF!, MATCH(0, COUNTIF($H$4:H59,#REF!), 0)), "")</f>
        <v/>
      </c>
      <c r="I60" s="164">
        <f>SUMIF('non-vre plants'!J10:J14,H60,'non-vre plants'!M10:M14)</f>
        <v>0</v>
      </c>
      <c r="J60" s="34">
        <f>SUMIF('demand centres'!$C$1:$C$50,'scenario analysis'!H60,'demand centres'!$B$1:$B$50)</f>
        <v>0</v>
      </c>
      <c r="K60" s="34" t="e">
        <f t="array" ref="K60">SUMIF('existing transmission'!#REF!,H60, 'existing transmission'!#REF!)+SUMIF('existing transmission'!#REF!,H60, 'existing transmission'!#REF!)</f>
        <v>#REF!</v>
      </c>
      <c r="L60" s="92" t="e">
        <f t="array" ref="L60">SUMIF('existing transmission'!#REF!,H60, 'existing transmission'!#REF!)+SUMIF('existing transmission'!#REF!,H60, 'existing transmission'!#REF!)</f>
        <v>#REF!</v>
      </c>
      <c r="N60" s="148" t="str">
        <f t="array" ref="N60">IFERROR(INDEX(#REF!, MATCH(0, COUNTIF($N$4:N59,#REF!), 0)), "")</f>
        <v/>
      </c>
      <c r="O60" s="132" t="e">
        <f>SUMIFS('vre plants'!#REF!, 'non-vre plants'!$G$2:$G$8, 'scenario analysis'!N60, 'vre plants'!#REF!, "wind_onshore") +SUMIFS('vre plants'!#REF!, 'non-vre plants'!$G$2:$G$8, 'scenario analysis'!N60, 'vre plants'!#REF!,"wind_offshore")</f>
        <v>#REF!</v>
      </c>
      <c r="P60" s="133" t="e">
        <f>SUMIFS('vre plants'!#REF!,'non-vre plants'!$G$2:$G$8,'scenario analysis'!N60,'vre plants'!#REF!,"multi c-Si")</f>
        <v>#REF!</v>
      </c>
      <c r="Q60" s="34" t="e">
        <f>SUMIFS('vre plants'!#REF!, 'non-vre plants'!$G$2:$G$8, 'scenario analysis'!N60, 'vre plants'!#REF!, "mono c-Si")</f>
        <v>#REF!</v>
      </c>
      <c r="R60" s="34" t="e">
        <f>SUMIFS('vre plants'!#REF!,'non-vre plants'!$G$2:$G$8,'scenario analysis'!N60,'vre plants'!#REF!,"thin film")</f>
        <v>#REF!</v>
      </c>
    </row>
    <row r="61" spans="4:18">
      <c r="D61" s="98"/>
      <c r="H61" s="124" t="str">
        <f t="array" ref="H61">IFERROR(INDEX(#REF!, MATCH(0, COUNTIF($H$4:H60,#REF!), 0)), "")</f>
        <v/>
      </c>
      <c r="I61" s="164">
        <f>SUMIF('non-vre plants'!J10:J14,H61,'non-vre plants'!M10:M14)</f>
        <v>0</v>
      </c>
      <c r="J61" s="34">
        <f>SUMIF('demand centres'!$C$1:$C$50,'scenario analysis'!H61,'demand centres'!$B$1:$B$50)</f>
        <v>0</v>
      </c>
      <c r="K61" s="34" t="e">
        <f t="array" ref="K61">SUMIF('existing transmission'!#REF!,H61, 'existing transmission'!#REF!)+SUMIF('existing transmission'!#REF!,H61, 'existing transmission'!#REF!)</f>
        <v>#REF!</v>
      </c>
      <c r="L61" s="92" t="e">
        <f t="array" ref="L61">SUMIF('existing transmission'!#REF!,H61, 'existing transmission'!#REF!)+SUMIF('existing transmission'!#REF!,H61, 'existing transmission'!#REF!)</f>
        <v>#REF!</v>
      </c>
      <c r="N61" s="148" t="str">
        <f t="array" ref="N61">IFERROR(INDEX(#REF!, MATCH(0, COUNTIF($N$4:N60,#REF!), 0)), "")</f>
        <v/>
      </c>
      <c r="O61" s="132" t="e">
        <f>SUMIFS('vre plants'!#REF!, 'non-vre plants'!$G$2:$G$8, 'scenario analysis'!N61, 'vre plants'!#REF!, "wind_onshore") +SUMIFS('vre plants'!#REF!, 'non-vre plants'!$G$2:$G$8, 'scenario analysis'!N61, 'vre plants'!#REF!,"wind_offshore")</f>
        <v>#REF!</v>
      </c>
      <c r="P61" s="133" t="e">
        <f>SUMIFS('vre plants'!#REF!,'non-vre plants'!$G$2:$G$8,'scenario analysis'!N61,'vre plants'!#REF!,"multi c-Si")</f>
        <v>#REF!</v>
      </c>
      <c r="Q61" s="34" t="e">
        <f>SUMIFS('vre plants'!#REF!, 'non-vre plants'!$G$2:$G$8, 'scenario analysis'!N61, 'vre plants'!#REF!, "mono c-Si")</f>
        <v>#REF!</v>
      </c>
      <c r="R61" s="34" t="e">
        <f>SUMIFS('vre plants'!#REF!,'non-vre plants'!$G$2:$G$8,'scenario analysis'!N61,'vre plants'!#REF!,"thin film")</f>
        <v>#REF!</v>
      </c>
    </row>
    <row r="62" spans="4:18">
      <c r="D62" s="98"/>
      <c r="H62" s="124" t="str">
        <f t="array" ref="H62">IFERROR(INDEX(#REF!, MATCH(0, COUNTIF($H$4:H61,#REF!), 0)), "")</f>
        <v/>
      </c>
      <c r="I62" s="164">
        <f>SUMIF('non-vre plants'!J10:J14,H62,'non-vre plants'!M10:M14)</f>
        <v>0</v>
      </c>
      <c r="J62" s="34">
        <f>SUMIF('demand centres'!$C$1:$C$50,'scenario analysis'!H62,'demand centres'!$B$1:$B$50)</f>
        <v>0</v>
      </c>
      <c r="K62" s="34" t="e">
        <f t="array" ref="K62">SUMIF('existing transmission'!#REF!,H62, 'existing transmission'!#REF!)+SUMIF('existing transmission'!#REF!,H62, 'existing transmission'!#REF!)</f>
        <v>#REF!</v>
      </c>
      <c r="L62" s="92" t="e">
        <f t="array" ref="L62">SUMIF('existing transmission'!#REF!,H62, 'existing transmission'!#REF!)+SUMIF('existing transmission'!#REF!,H62, 'existing transmission'!#REF!)</f>
        <v>#REF!</v>
      </c>
      <c r="N62" s="148" t="str">
        <f t="array" ref="N62">IFERROR(INDEX(#REF!, MATCH(0, COUNTIF($N$4:N61,#REF!), 0)), "")</f>
        <v/>
      </c>
      <c r="O62" s="132" t="e">
        <f>SUMIFS('vre plants'!#REF!, 'non-vre plants'!$G$2:$G$8, 'scenario analysis'!N62, 'vre plants'!#REF!, "wind_onshore") +SUMIFS('vre plants'!#REF!, 'non-vre plants'!$G$2:$G$8, 'scenario analysis'!N62, 'vre plants'!#REF!,"wind_offshore")</f>
        <v>#REF!</v>
      </c>
      <c r="P62" s="133" t="e">
        <f>SUMIFS('vre plants'!#REF!,'non-vre plants'!$G$2:$G$8,'scenario analysis'!N62,'vre plants'!#REF!,"multi c-Si")</f>
        <v>#REF!</v>
      </c>
      <c r="Q62" s="34" t="e">
        <f>SUMIFS('vre plants'!#REF!, 'non-vre plants'!$G$2:$G$8, 'scenario analysis'!N62, 'vre plants'!#REF!, "mono c-Si")</f>
        <v>#REF!</v>
      </c>
      <c r="R62" s="34" t="e">
        <f>SUMIFS('vre plants'!#REF!,'non-vre plants'!$G$2:$G$8,'scenario analysis'!N62,'vre plants'!#REF!,"thin film")</f>
        <v>#REF!</v>
      </c>
    </row>
    <row r="63" spans="4:18">
      <c r="D63" s="98"/>
      <c r="H63" s="124" t="str">
        <f t="array" ref="H63">IFERROR(INDEX(#REF!, MATCH(0, COUNTIF($H$4:H62,#REF!), 0)), "")</f>
        <v/>
      </c>
      <c r="I63" s="164">
        <f>SUMIF('non-vre plants'!J10:J14,H63,'non-vre plants'!M10:M14)</f>
        <v>0</v>
      </c>
      <c r="J63" s="34">
        <f>SUMIF('demand centres'!$C$1:$C$50,'scenario analysis'!H63,'demand centres'!$B$1:$B$50)</f>
        <v>0</v>
      </c>
      <c r="K63" s="34" t="e">
        <f t="array" ref="K63">SUMIF('existing transmission'!#REF!,H63, 'existing transmission'!#REF!)+SUMIF('existing transmission'!#REF!,H63, 'existing transmission'!#REF!)</f>
        <v>#REF!</v>
      </c>
      <c r="L63" s="92" t="e">
        <f t="array" ref="L63">SUMIF('existing transmission'!#REF!,H63, 'existing transmission'!#REF!)+SUMIF('existing transmission'!#REF!,H63, 'existing transmission'!#REF!)</f>
        <v>#REF!</v>
      </c>
      <c r="N63" s="148" t="str">
        <f t="array" ref="N63">IFERROR(INDEX(#REF!, MATCH(0, COUNTIF($N$4:N62,#REF!), 0)), "")</f>
        <v/>
      </c>
      <c r="O63" s="132" t="e">
        <f>SUMIFS('vre plants'!#REF!, 'non-vre plants'!$G$2:$G$8, 'scenario analysis'!N63, 'vre plants'!#REF!, "wind_onshore") +SUMIFS('vre plants'!#REF!, 'non-vre plants'!$G$2:$G$8, 'scenario analysis'!N63, 'vre plants'!#REF!,"wind_offshore")</f>
        <v>#REF!</v>
      </c>
      <c r="P63" s="133" t="e">
        <f>SUMIFS('vre plants'!#REF!,'non-vre plants'!$G$2:$G$8,'scenario analysis'!N63,'vre plants'!#REF!,"multi c-Si")</f>
        <v>#REF!</v>
      </c>
      <c r="Q63" s="34" t="e">
        <f>SUMIFS('vre plants'!#REF!, 'non-vre plants'!$G$2:$G$8, 'scenario analysis'!N63, 'vre plants'!#REF!, "mono c-Si")</f>
        <v>#REF!</v>
      </c>
      <c r="R63" s="34" t="e">
        <f>SUMIFS('vre plants'!#REF!,'non-vre plants'!$G$2:$G$8,'scenario analysis'!N63,'vre plants'!#REF!,"thin film")</f>
        <v>#REF!</v>
      </c>
    </row>
    <row r="64" spans="4:18">
      <c r="H64" s="124" t="str">
        <f t="array" ref="H64">IFERROR(INDEX(#REF!, MATCH(0, COUNTIF($H$4:H63,#REF!), 0)), "")</f>
        <v/>
      </c>
      <c r="I64" s="164">
        <f>SUMIF('non-vre plants'!J10:J14,H64,'non-vre plants'!M10:M14)</f>
        <v>0</v>
      </c>
      <c r="J64" s="34">
        <f>SUMIF('demand centres'!$C$1:$C$50,'scenario analysis'!H64,'demand centres'!$B$1:$B$50)</f>
        <v>0</v>
      </c>
      <c r="K64" s="34" t="e">
        <f t="array" ref="K64">SUMIF('existing transmission'!#REF!,H64, 'existing transmission'!#REF!)+SUMIF('existing transmission'!#REF!,H64, 'existing transmission'!#REF!)</f>
        <v>#REF!</v>
      </c>
      <c r="L64" s="92" t="e">
        <f t="array" ref="L64">SUMIF('existing transmission'!#REF!,H64, 'existing transmission'!#REF!)+SUMIF('existing transmission'!#REF!,H64, 'existing transmission'!#REF!)</f>
        <v>#REF!</v>
      </c>
      <c r="N64" s="148" t="str">
        <f t="array" ref="N64">IFERROR(INDEX(#REF!, MATCH(0, COUNTIF($N$4:N63,#REF!), 0)), "")</f>
        <v/>
      </c>
      <c r="O64" s="132" t="e">
        <f>SUMIFS('vre plants'!#REF!, 'non-vre plants'!$G$2:$G$8, 'scenario analysis'!N64, 'vre plants'!#REF!, "wind_onshore") +SUMIFS('vre plants'!#REF!, 'non-vre plants'!$G$2:$G$8, 'scenario analysis'!N64, 'vre plants'!#REF!,"wind_offshore")</f>
        <v>#REF!</v>
      </c>
      <c r="P64" s="133" t="e">
        <f>SUMIFS('vre plants'!#REF!,'non-vre plants'!$G$2:$G$8,'scenario analysis'!N64,'vre plants'!#REF!,"multi c-Si")</f>
        <v>#REF!</v>
      </c>
      <c r="Q64" s="34" t="e">
        <f>SUMIFS('vre plants'!#REF!, 'non-vre plants'!$G$2:$G$8, 'scenario analysis'!N64, 'vre plants'!#REF!, "mono c-Si")</f>
        <v>#REF!</v>
      </c>
      <c r="R64" s="34" t="e">
        <f>SUMIFS('vre plants'!#REF!,'non-vre plants'!$G$2:$G$8,'scenario analysis'!N64,'vre plants'!#REF!,"thin film")</f>
        <v>#REF!</v>
      </c>
    </row>
    <row r="65" spans="8:18">
      <c r="H65" s="124" t="str">
        <f t="array" ref="H65">IFERROR(INDEX(#REF!, MATCH(0, COUNTIF($H$4:H64,#REF!), 0)), "")</f>
        <v/>
      </c>
      <c r="I65" s="34" t="e">
        <f>SUMIFS('vre plants'!#REF!,'non-vre plants'!$G$2:$G$8,'scenario analysis'!H65)+SUMIFS(storage!$E$2:$E$75,storage!$I$2:$I$75,'scenario analysis'!H65)+SUMIFS(EV_aggregator!$E$2:$E$75,EV_aggregator!$I$2:$I$75,'scenario analysis'!H65)+SUMIF('non-vre plants'!#REF!,H65,'non-vre plants'!F2:F14)</f>
        <v>#REF!</v>
      </c>
      <c r="J65" s="34">
        <f>SUMIF('demand centres'!$C$1:$C$50,'scenario analysis'!H65,'demand centres'!$B$1:$B$50)</f>
        <v>0</v>
      </c>
      <c r="K65" s="34" t="e">
        <f t="array" ref="K65">SUMIF('existing transmission'!#REF!,H65, 'existing transmission'!#REF!)+SUMIF('existing transmission'!#REF!,H65, 'existing transmission'!#REF!)</f>
        <v>#REF!</v>
      </c>
      <c r="L65" s="92" t="e">
        <f t="array" ref="L65">SUMIF('existing transmission'!#REF!,H65, 'existing transmission'!#REF!)+SUMIF('existing transmission'!#REF!,H65, 'existing transmission'!#REF!)</f>
        <v>#REF!</v>
      </c>
      <c r="N65" s="148" t="str">
        <f t="array" ref="N65">IFERROR(INDEX(#REF!, MATCH(0, COUNTIF($N$4:N64,#REF!), 0)), "")</f>
        <v/>
      </c>
      <c r="O65" s="132" t="e">
        <f>SUMIFS('vre plants'!#REF!, 'non-vre plants'!$G$2:$G$8, 'scenario analysis'!N65, 'vre plants'!#REF!, "wind_onshore") +SUMIFS('vre plants'!#REF!, 'non-vre plants'!$G$2:$G$8, 'scenario analysis'!N65, 'vre plants'!#REF!,"wind_offshore")</f>
        <v>#REF!</v>
      </c>
      <c r="P65" s="133" t="e">
        <f>SUMIFS('vre plants'!#REF!,'non-vre plants'!$G$2:$G$8,'scenario analysis'!N65,'vre plants'!#REF!,"multi c-Si")</f>
        <v>#REF!</v>
      </c>
      <c r="Q65" s="34" t="e">
        <f>SUMIFS('vre plants'!#REF!, 'non-vre plants'!$G$2:$G$8, 'scenario analysis'!N65, 'vre plants'!#REF!, "mono c-Si")</f>
        <v>#REF!</v>
      </c>
      <c r="R65" s="34" t="e">
        <f>SUMIFS('vre plants'!#REF!,'non-vre plants'!$G$2:$G$8,'scenario analysis'!N65,'vre plants'!#REF!,"thin film")</f>
        <v>#REF!</v>
      </c>
    </row>
    <row r="66" spans="8:18">
      <c r="H66" s="124" t="str">
        <f t="array" ref="H66">IFERROR(INDEX(#REF!, MATCH(0, COUNTIF($H$4:H65,#REF!), 0)), "")</f>
        <v/>
      </c>
      <c r="I66" s="164">
        <f ca="1">SUMIF('non-vre plants'!J10:J15,H66,'non-vre plants'!M10:M14)</f>
        <v>0</v>
      </c>
      <c r="J66" s="34">
        <f>SUMIF('demand centres'!$C$1:$C$50,'scenario analysis'!H66,'demand centres'!$B$1:$B$50)</f>
        <v>0</v>
      </c>
      <c r="K66" s="34" t="e">
        <f t="array" ref="K66">SUMIF('existing transmission'!#REF!,H66, 'existing transmission'!#REF!)+SUMIF('existing transmission'!#REF!,H66, 'existing transmission'!#REF!)</f>
        <v>#REF!</v>
      </c>
      <c r="L66" s="92" t="e">
        <f t="array" ref="L66">SUMIF('existing transmission'!#REF!,H66, 'existing transmission'!#REF!)+SUMIF('existing transmission'!#REF!,H66, 'existing transmission'!#REF!)</f>
        <v>#REF!</v>
      </c>
      <c r="N66" s="148" t="str">
        <f t="array" ref="N66">IFERROR(INDEX(#REF!, MATCH(0, COUNTIF($N$4:N65,#REF!), 0)), "")</f>
        <v/>
      </c>
      <c r="O66" s="132" t="e">
        <f>SUMIFS('vre plants'!#REF!, 'non-vre plants'!$G$2:$G$8, 'scenario analysis'!N66, 'vre plants'!#REF!, "wind_onshore") +SUMIFS('vre plants'!#REF!, 'non-vre plants'!$G$2:$G$8, 'scenario analysis'!N66, 'vre plants'!#REF!,"wind_offshore")</f>
        <v>#REF!</v>
      </c>
      <c r="P66" s="133" t="e">
        <f>SUMIFS('vre plants'!#REF!,'non-vre plants'!$G$2:$G$8,'scenario analysis'!N66,'vre plants'!#REF!,"multi c-Si")</f>
        <v>#REF!</v>
      </c>
      <c r="Q66" s="34" t="e">
        <f>SUMIFS('vre plants'!#REF!, 'non-vre plants'!$G$2:$G$8, 'scenario analysis'!N66, 'vre plants'!#REF!, "mono c-Si")</f>
        <v>#REF!</v>
      </c>
      <c r="R66" s="34" t="e">
        <f>SUMIFS('vre plants'!#REF!,'non-vre plants'!$G$2:$G$8,'scenario analysis'!N66,'vre plants'!#REF!,"thin film")</f>
        <v>#REF!</v>
      </c>
    </row>
    <row r="67" spans="8:18">
      <c r="H67" s="124" t="str">
        <f t="array" ref="H67">IFERROR(INDEX(#REF!, MATCH(0, COUNTIF($H$4:H66,#REF!), 0)), "")</f>
        <v/>
      </c>
      <c r="I67" s="34" t="e">
        <f>SUMIFS('vre plants'!#REF!,'non-vre plants'!$G$2:$G$8,'scenario analysis'!H67)+SUMIFS(storage!$E$2:$E$75,storage!$I$2:$I$75,'scenario analysis'!H67)+SUMIFS(EV_aggregator!$E$2:$E$75,EV_aggregator!$I$2:$I$75,'scenario analysis'!H67)+SUMIF('non-vre plants'!#REF!,H67,'non-vre plants'!F2:F14)</f>
        <v>#REF!</v>
      </c>
      <c r="J67" s="34">
        <f>SUMIF('demand centres'!$C$1:$C$50,'scenario analysis'!H67,'demand centres'!$B$1:$B$50)</f>
        <v>0</v>
      </c>
      <c r="K67" s="34" t="e">
        <f t="array" ref="K67">SUMIF('existing transmission'!#REF!,H67, 'existing transmission'!#REF!)+SUMIF('existing transmission'!#REF!,H67, 'existing transmission'!#REF!)</f>
        <v>#REF!</v>
      </c>
      <c r="L67" s="92" t="e">
        <f t="array" ref="L67">SUMIF('existing transmission'!#REF!,H67, 'existing transmission'!#REF!)+SUMIF('existing transmission'!#REF!,H67, 'existing transmission'!#REF!)</f>
        <v>#REF!</v>
      </c>
      <c r="N67" s="148" t="str">
        <f t="array" ref="N67">IFERROR(INDEX(#REF!, MATCH(0, COUNTIF($N$4:N66,#REF!), 0)), "")</f>
        <v/>
      </c>
      <c r="O67" s="132" t="e">
        <f>SUMIFS('vre plants'!#REF!, 'non-vre plants'!$G$2:$G$8, 'scenario analysis'!N67, 'vre plants'!#REF!, "wind_onshore") +SUMIFS('vre plants'!#REF!, 'non-vre plants'!$G$2:$G$8, 'scenario analysis'!N67, 'vre plants'!#REF!,"wind_offshore")</f>
        <v>#REF!</v>
      </c>
      <c r="P67" s="133" t="e">
        <f>SUMIFS('vre plants'!#REF!,'non-vre plants'!$G$2:$G$8,'scenario analysis'!N67,'vre plants'!#REF!,"multi c-Si")</f>
        <v>#REF!</v>
      </c>
      <c r="Q67" s="34" t="e">
        <f>SUMIFS('vre plants'!#REF!, 'non-vre plants'!$G$2:$G$8, 'scenario analysis'!N67, 'vre plants'!#REF!, "mono c-Si")</f>
        <v>#REF!</v>
      </c>
      <c r="R67" s="34" t="e">
        <f>SUMIFS('vre plants'!#REF!,'non-vre plants'!$G$2:$G$8,'scenario analysis'!N67,'vre plants'!#REF!,"thin film")</f>
        <v>#REF!</v>
      </c>
    </row>
    <row r="68" spans="8:18">
      <c r="H68" s="124" t="str">
        <f t="array" ref="H68">IFERROR(INDEX(#REF!, MATCH(0, COUNTIF($H$4:H67,#REF!), 0)), "")</f>
        <v/>
      </c>
      <c r="I68" s="164">
        <f ca="1">SUMIF('non-vre plants'!J10:J15,H68,'non-vre plants'!M10:M14)</f>
        <v>0</v>
      </c>
      <c r="J68" s="34">
        <f>SUMIF('demand centres'!$C$1:$C$50,'scenario analysis'!H68,'demand centres'!$B$1:$B$50)</f>
        <v>0</v>
      </c>
      <c r="K68" s="34" t="e">
        <f t="array" ref="K68">SUMIF('existing transmission'!#REF!,H68, 'existing transmission'!#REF!)+SUMIF('existing transmission'!#REF!,H68, 'existing transmission'!#REF!)</f>
        <v>#REF!</v>
      </c>
      <c r="L68" s="92" t="e">
        <f t="array" ref="L68">SUMIF('existing transmission'!#REF!,H68, 'existing transmission'!#REF!)+SUMIF('existing transmission'!#REF!,H68, 'existing transmission'!#REF!)</f>
        <v>#REF!</v>
      </c>
      <c r="N68" s="148" t="str">
        <f t="array" ref="N68">IFERROR(INDEX(#REF!, MATCH(0, COUNTIF($N$4:N67,#REF!), 0)), "")</f>
        <v/>
      </c>
      <c r="O68" s="132" t="e">
        <f>SUMIFS('vre plants'!#REF!, 'non-vre plants'!$G$2:$G$8, 'scenario analysis'!N68, 'vre plants'!#REF!, "wind_onshore") +SUMIFS('vre plants'!#REF!, 'non-vre plants'!$G$2:$G$8, 'scenario analysis'!N68, 'vre plants'!#REF!,"wind_offshore")</f>
        <v>#REF!</v>
      </c>
      <c r="P68" s="133" t="e">
        <f>SUMIFS('vre plants'!#REF!,'non-vre plants'!$G$2:$G$8,'scenario analysis'!N68,'vre plants'!#REF!,"multi c-Si")</f>
        <v>#REF!</v>
      </c>
      <c r="Q68" s="34" t="e">
        <f>SUMIFS('vre plants'!#REF!, 'non-vre plants'!$G$2:$G$8, 'scenario analysis'!N68, 'vre plants'!#REF!, "mono c-Si")</f>
        <v>#REF!</v>
      </c>
      <c r="R68" s="34" t="e">
        <f>SUMIFS('vre plants'!#REF!,'non-vre plants'!$G$2:$G$8,'scenario analysis'!N68,'vre plants'!#REF!,"thin film")</f>
        <v>#REF!</v>
      </c>
    </row>
    <row r="69" spans="8:18">
      <c r="H69" s="124" t="str">
        <f t="array" ref="H69">IFERROR(INDEX(#REF!, MATCH(0, COUNTIF($H$4:H68,#REF!), 0)), "")</f>
        <v/>
      </c>
      <c r="I69" s="164">
        <f ca="1">SUMIF('non-vre plants'!J10:J15,H69,'non-vre plants'!M10:M14)</f>
        <v>0</v>
      </c>
      <c r="J69" s="34">
        <f>SUMIF('demand centres'!$C$1:$C$50,'scenario analysis'!H69,'demand centres'!$B$1:$B$50)</f>
        <v>0</v>
      </c>
      <c r="K69" s="34" t="e">
        <f t="array" ref="K69">SUMIF('existing transmission'!#REF!,H69, 'existing transmission'!#REF!)+SUMIF('existing transmission'!#REF!,H69, 'existing transmission'!#REF!)</f>
        <v>#REF!</v>
      </c>
      <c r="L69" s="92" t="e">
        <f t="array" ref="L69">SUMIF('existing transmission'!#REF!,H69, 'existing transmission'!#REF!)+SUMIF('existing transmission'!#REF!,H69, 'existing transmission'!#REF!)</f>
        <v>#REF!</v>
      </c>
      <c r="N69" s="148" t="str">
        <f t="array" ref="N69">IFERROR(INDEX(#REF!, MATCH(0, COUNTIF($N$4:N68,#REF!), 0)), "")</f>
        <v/>
      </c>
      <c r="O69" s="132" t="e">
        <f>SUMIFS('vre plants'!#REF!, 'non-vre plants'!$G$2:$G$8, 'scenario analysis'!N69, 'vre plants'!#REF!, "wind_onshore") +SUMIFS('vre plants'!#REF!, 'non-vre plants'!$G$2:$G$8, 'scenario analysis'!N69, 'vre plants'!#REF!,"wind_offshore")</f>
        <v>#REF!</v>
      </c>
      <c r="P69" s="133" t="e">
        <f>SUMIFS('vre plants'!#REF!,'non-vre plants'!$G$2:$G$8,'scenario analysis'!N69,'vre plants'!#REF!,"multi c-Si")</f>
        <v>#REF!</v>
      </c>
      <c r="Q69" s="34" t="e">
        <f>SUMIFS('vre plants'!#REF!, 'non-vre plants'!$G$2:$G$8, 'scenario analysis'!N69, 'vre plants'!#REF!, "mono c-Si")</f>
        <v>#REF!</v>
      </c>
      <c r="R69" s="34" t="e">
        <f>SUMIFS('vre plants'!#REF!,'non-vre plants'!$G$2:$G$8,'scenario analysis'!N69,'vre plants'!#REF!,"thin film")</f>
        <v>#REF!</v>
      </c>
    </row>
    <row r="70" spans="8:18">
      <c r="H70" s="124" t="str">
        <f t="array" ref="H70">IFERROR(INDEX(#REF!, MATCH(0, COUNTIF($H$4:H69,#REF!), 0)), "")</f>
        <v/>
      </c>
      <c r="I70" s="34" t="e">
        <f>SUMIFS('vre plants'!#REF!,'non-vre plants'!$G$2:$G$8,'scenario analysis'!H70)+SUMIFS(storage!$E$2:$E$75,storage!$I$2:$I$75,'scenario analysis'!H70)+SUMIFS(EV_aggregator!$E$2:$E$75,EV_aggregator!$I$2:$I$75,'scenario analysis'!H70)+SUMIF('non-vre plants'!#REF!,H70,'non-vre plants'!F2:F14)</f>
        <v>#REF!</v>
      </c>
      <c r="J70" s="34">
        <f>SUMIF('demand centres'!$C$1:$C$50,'scenario analysis'!H70,'demand centres'!$B$1:$B$50)</f>
        <v>0</v>
      </c>
      <c r="K70" s="34" t="e">
        <f t="array" ref="K70">SUMIF('existing transmission'!#REF!,H70, 'existing transmission'!#REF!)+SUMIF('existing transmission'!#REF!,H70, 'existing transmission'!#REF!)</f>
        <v>#REF!</v>
      </c>
      <c r="L70" s="92" t="e">
        <f t="array" ref="L70">SUMIF('existing transmission'!#REF!,H70, 'existing transmission'!#REF!)+SUMIF('existing transmission'!#REF!,H70, 'existing transmission'!#REF!)</f>
        <v>#REF!</v>
      </c>
      <c r="N70" s="148" t="str">
        <f t="array" ref="N70">IFERROR(INDEX(#REF!, MATCH(0, COUNTIF($N$4:N69,#REF!), 0)), "")</f>
        <v/>
      </c>
      <c r="O70" s="132" t="e">
        <f>SUMIFS('vre plants'!#REF!, 'non-vre plants'!$G$2:$G$8, 'scenario analysis'!N70, 'vre plants'!#REF!, "wind_onshore") +SUMIFS('vre plants'!#REF!, 'non-vre plants'!$G$2:$G$8, 'scenario analysis'!N70, 'vre plants'!#REF!,"wind_offshore")</f>
        <v>#REF!</v>
      </c>
      <c r="P70" s="133" t="e">
        <f>SUMIFS('vre plants'!#REF!,'non-vre plants'!$G$2:$G$8,'scenario analysis'!N70,'vre plants'!#REF!,"multi c-Si")</f>
        <v>#REF!</v>
      </c>
      <c r="Q70" s="34" t="e">
        <f>SUMIFS('vre plants'!#REF!, 'non-vre plants'!$G$2:$G$8, 'scenario analysis'!N70, 'vre plants'!#REF!, "mono c-Si")</f>
        <v>#REF!</v>
      </c>
      <c r="R70" s="34" t="e">
        <f>SUMIFS('vre plants'!#REF!,'non-vre plants'!$G$2:$G$8,'scenario analysis'!N70,'vre plants'!#REF!,"thin film")</f>
        <v>#REF!</v>
      </c>
    </row>
    <row r="71" spans="8:18">
      <c r="H71" s="124" t="str">
        <f t="array" ref="H71">IFERROR(INDEX(#REF!, MATCH(0, COUNTIF($H$4:H70,#REF!), 0)), "")</f>
        <v/>
      </c>
      <c r="I71" s="34" t="e">
        <f>SUMIFS('vre plants'!#REF!,'non-vre plants'!$G$2:$G$8,'scenario analysis'!H71)+SUMIFS(storage!$E$2:$E$75,storage!$I$2:$I$75,'scenario analysis'!H71)+SUMIFS(EV_aggregator!$E$2:$E$75,EV_aggregator!$I$2:$I$75,'scenario analysis'!H71)+SUMIF('non-vre plants'!#REF!,H71,'non-vre plants'!F2:F14)</f>
        <v>#REF!</v>
      </c>
      <c r="J71" s="34">
        <f>SUMIF('demand centres'!$C$1:$C$50,'scenario analysis'!H71,'demand centres'!$B$1:$B$50)</f>
        <v>0</v>
      </c>
      <c r="K71" s="34" t="e">
        <f t="array" ref="K71">SUMIF('existing transmission'!#REF!,H71, 'existing transmission'!#REF!)+SUMIF('existing transmission'!#REF!,H71, 'existing transmission'!#REF!)</f>
        <v>#REF!</v>
      </c>
      <c r="L71" s="92" t="e">
        <f t="array" ref="L71">SUMIF('existing transmission'!#REF!,H71, 'existing transmission'!#REF!)+SUMIF('existing transmission'!#REF!,H71, 'existing transmission'!#REF!)</f>
        <v>#REF!</v>
      </c>
      <c r="N71" s="148" t="str">
        <f t="array" ref="N71">IFERROR(INDEX(#REF!, MATCH(0, COUNTIF($N$4:N70,#REF!), 0)), "")</f>
        <v/>
      </c>
      <c r="O71" s="132" t="e">
        <f>SUMIFS('vre plants'!#REF!, 'non-vre plants'!$G$2:$G$8, 'scenario analysis'!N71, 'vre plants'!#REF!, "wind_onshore") +SUMIFS('vre plants'!#REF!, 'non-vre plants'!$G$2:$G$8, 'scenario analysis'!N71, 'vre plants'!#REF!,"wind_offshore")</f>
        <v>#REF!</v>
      </c>
      <c r="P71" s="133" t="e">
        <f>SUMIFS('vre plants'!#REF!,'non-vre plants'!$G$2:$G$8,'scenario analysis'!N71,'vre plants'!#REF!,"multi c-Si")</f>
        <v>#REF!</v>
      </c>
      <c r="Q71" s="34" t="e">
        <f>SUMIFS('vre plants'!#REF!, 'non-vre plants'!$G$2:$G$8, 'scenario analysis'!N71, 'vre plants'!#REF!, "mono c-Si")</f>
        <v>#REF!</v>
      </c>
      <c r="R71" s="34" t="e">
        <f>SUMIFS('vre plants'!#REF!,'non-vre plants'!$G$2:$G$8,'scenario analysis'!N71,'vre plants'!#REF!,"thin film")</f>
        <v>#REF!</v>
      </c>
    </row>
    <row r="72" spans="8:18">
      <c r="H72" s="124" t="str">
        <f t="array" ref="H72">IFERROR(INDEX(#REF!, MATCH(0, COUNTIF($H$4:H71,#REF!), 0)), "")</f>
        <v/>
      </c>
      <c r="I72" s="164">
        <f ca="1">SUMIF('non-vre plants'!J10:J15,H72,'non-vre plants'!M10:M14)</f>
        <v>0</v>
      </c>
      <c r="J72" s="34">
        <f>SUMIF('demand centres'!$C$1:$C$50,'scenario analysis'!H72,'demand centres'!$B$1:$B$50)</f>
        <v>0</v>
      </c>
      <c r="K72" s="34" t="e">
        <f t="array" ref="K72">SUMIF('existing transmission'!#REF!,H72, 'existing transmission'!#REF!)+SUMIF('existing transmission'!#REF!,H72, 'existing transmission'!#REF!)</f>
        <v>#REF!</v>
      </c>
      <c r="L72" s="92" t="e">
        <f t="array" ref="L72">SUMIF('existing transmission'!#REF!,H72, 'existing transmission'!#REF!)+SUMIF('existing transmission'!#REF!,H72, 'existing transmission'!#REF!)</f>
        <v>#REF!</v>
      </c>
      <c r="N72" s="148" t="str">
        <f t="array" ref="N72">IFERROR(INDEX(#REF!, MATCH(0, COUNTIF($N$4:N71,#REF!), 0)), "")</f>
        <v/>
      </c>
      <c r="O72" s="132" t="e">
        <f>SUMIFS('vre plants'!#REF!, 'non-vre plants'!$G$2:$G$8, 'scenario analysis'!N72, 'vre plants'!#REF!, "wind_onshore") +SUMIFS('vre plants'!#REF!, 'non-vre plants'!$G$2:$G$8, 'scenario analysis'!N72, 'vre plants'!#REF!,"wind_offshore")</f>
        <v>#REF!</v>
      </c>
      <c r="P72" s="133" t="e">
        <f>SUMIFS('vre plants'!#REF!,'non-vre plants'!$G$2:$G$8,'scenario analysis'!N72,'vre plants'!#REF!,"multi c-Si")</f>
        <v>#REF!</v>
      </c>
      <c r="Q72" s="34" t="e">
        <f>SUMIFS('vre plants'!#REF!, 'non-vre plants'!$G$2:$G$8, 'scenario analysis'!N72, 'vre plants'!#REF!, "mono c-Si")</f>
        <v>#REF!</v>
      </c>
      <c r="R72" s="34" t="e">
        <f>SUMIFS('vre plants'!#REF!,'non-vre plants'!$G$2:$G$8,'scenario analysis'!N72,'vre plants'!#REF!,"thin film")</f>
        <v>#REF!</v>
      </c>
    </row>
    <row r="73" spans="8:18">
      <c r="H73" s="124" t="str">
        <f t="array" ref="H73">IFERROR(INDEX(#REF!, MATCH(0, COUNTIF($H$4:H72,#REF!), 0)), "")</f>
        <v/>
      </c>
      <c r="I73" s="34" t="e">
        <f>SUMIFS('vre plants'!#REF!,'non-vre plants'!$G$2:$G$8,'scenario analysis'!H73)+SUMIFS(storage!$E$2:$E$75,storage!$I$2:$I$75,'scenario analysis'!H73)+SUMIFS(EV_aggregator!$E$2:$E$75,EV_aggregator!$I$2:$I$75,'scenario analysis'!H73)+SUMIF('non-vre plants'!#REF!,H73,'non-vre plants'!F2:F14)</f>
        <v>#REF!</v>
      </c>
      <c r="J73" s="34">
        <f>SUMIF('demand centres'!$C$1:$C$50,'scenario analysis'!H73,'demand centres'!$B$1:$B$50)</f>
        <v>0</v>
      </c>
      <c r="K73" s="34" t="e">
        <f t="array" ref="K73">SUMIF('existing transmission'!#REF!,H73, 'existing transmission'!#REF!)+SUMIF('existing transmission'!#REF!,H73, 'existing transmission'!#REF!)</f>
        <v>#REF!</v>
      </c>
      <c r="L73" s="92" t="e">
        <f t="array" ref="L73">SUMIF('existing transmission'!#REF!,H73, 'existing transmission'!#REF!)+SUMIF('existing transmission'!#REF!,H73, 'existing transmission'!#REF!)</f>
        <v>#REF!</v>
      </c>
      <c r="N73" s="148" t="str">
        <f t="array" ref="N73">IFERROR(INDEX(#REF!, MATCH(0, COUNTIF($N$4:N72,#REF!), 0)), "")</f>
        <v/>
      </c>
      <c r="O73" s="132" t="e">
        <f>SUMIFS('vre plants'!#REF!, 'non-vre plants'!$G$2:$G$8, 'scenario analysis'!N73, 'vre plants'!#REF!, "wind_onshore") +SUMIFS('vre plants'!#REF!, 'non-vre plants'!$G$2:$G$8, 'scenario analysis'!N73, 'vre plants'!#REF!,"wind_offshore")</f>
        <v>#REF!</v>
      </c>
      <c r="P73" s="133" t="e">
        <f>SUMIFS('vre plants'!#REF!,'non-vre plants'!$G$2:$G$8,'scenario analysis'!N73,'vre plants'!#REF!,"multi c-Si")</f>
        <v>#REF!</v>
      </c>
      <c r="Q73" s="34" t="e">
        <f>SUMIFS('vre plants'!#REF!, 'non-vre plants'!$G$2:$G$8, 'scenario analysis'!N73, 'vre plants'!#REF!, "mono c-Si")</f>
        <v>#REF!</v>
      </c>
      <c r="R73" s="34" t="e">
        <f>SUMIFS('vre plants'!#REF!,'non-vre plants'!$G$2:$G$8,'scenario analysis'!N73,'vre plants'!#REF!,"thin film")</f>
        <v>#REF!</v>
      </c>
    </row>
    <row r="74" spans="8:18">
      <c r="H74" s="124" t="str">
        <f t="array" ref="H74">IFERROR(INDEX(#REF!, MATCH(0, COUNTIF($H$4:H73,#REF!), 0)), "")</f>
        <v/>
      </c>
      <c r="I74" s="164">
        <f ca="1">SUMIF('non-vre plants'!J10:J15,H74,'non-vre plants'!M10:M14)</f>
        <v>0</v>
      </c>
      <c r="J74" s="34">
        <f>SUMIF('demand centres'!$C$1:$C$50,'scenario analysis'!H74,'demand centres'!$B$1:$B$50)</f>
        <v>0</v>
      </c>
      <c r="K74" s="34" t="e">
        <f t="array" ref="K74">SUMIF('existing transmission'!#REF!,H74, 'existing transmission'!#REF!)+SUMIF('existing transmission'!#REF!,H74, 'existing transmission'!#REF!)</f>
        <v>#REF!</v>
      </c>
      <c r="L74" s="92" t="e">
        <f t="array" ref="L74">SUMIF('existing transmission'!#REF!,H74, 'existing transmission'!#REF!)+SUMIF('existing transmission'!#REF!,H74, 'existing transmission'!#REF!)</f>
        <v>#REF!</v>
      </c>
      <c r="N74" s="148" t="str">
        <f t="array" ref="N74">IFERROR(INDEX(#REF!, MATCH(0, COUNTIF($N$4:N73,#REF!), 0)), "")</f>
        <v/>
      </c>
      <c r="O74" s="132" t="e">
        <f>SUMIFS('vre plants'!#REF!, 'non-vre plants'!$G$2:$G$8, 'scenario analysis'!N74, 'vre plants'!#REF!, "wind_onshore") +SUMIFS('vre plants'!#REF!, 'non-vre plants'!$G$2:$G$8, 'scenario analysis'!N74, 'vre plants'!#REF!,"wind_offshore")</f>
        <v>#REF!</v>
      </c>
      <c r="P74" s="133" t="e">
        <f>SUMIFS('vre plants'!#REF!,'non-vre plants'!$G$2:$G$8,'scenario analysis'!N74,'vre plants'!#REF!,"multi c-Si")</f>
        <v>#REF!</v>
      </c>
      <c r="Q74" s="34" t="e">
        <f>SUMIFS('vre plants'!#REF!, 'non-vre plants'!$G$2:$G$8, 'scenario analysis'!N74, 'vre plants'!#REF!, "mono c-Si")</f>
        <v>#REF!</v>
      </c>
      <c r="R74" s="34" t="e">
        <f>SUMIFS('vre plants'!#REF!,'non-vre plants'!$G$2:$G$8,'scenario analysis'!N74,'vre plants'!#REF!,"thin film")</f>
        <v>#REF!</v>
      </c>
    </row>
    <row r="75" spans="8:18">
      <c r="H75" s="124" t="str">
        <f t="array" ref="H75">IFERROR(INDEX(#REF!, MATCH(0, COUNTIF($H$4:H74,#REF!), 0)), "")</f>
        <v/>
      </c>
      <c r="I75" s="164">
        <f ca="1">SUMIF('non-vre plants'!J11:J15,H75,'non-vre plants'!M11:M14)</f>
        <v>0</v>
      </c>
      <c r="J75" s="34">
        <f>SUMIF('demand centres'!$C$1:$C$50,'scenario analysis'!H75,'demand centres'!$B$1:$B$50)</f>
        <v>0</v>
      </c>
      <c r="K75" s="34" t="e">
        <f>SUMIF('existing transmission'!#REF!,H75, 'existing transmission'!#REF!)+SUMIF('existing transmission'!#REF!,H75, 'existing transmission'!#REF!)</f>
        <v>#REF!</v>
      </c>
      <c r="L75" s="92" t="e">
        <f t="array" ref="L75">SUMIF('existing transmission'!#REF!,H75, 'existing transmission'!#REF!)+SUMIF('existing transmission'!#REF!,H75, 'existing transmission'!#REF!)</f>
        <v>#REF!</v>
      </c>
      <c r="N75" s="148" t="str">
        <f t="array" ref="N75">IFERROR(INDEX(#REF!, MATCH(0, COUNTIF($N$4:N74,#REF!), 0)), "")</f>
        <v/>
      </c>
      <c r="O75" s="132" t="e">
        <f>SUMIFS('vre plants'!#REF!, 'non-vre plants'!$G$2:$G$8, 'scenario analysis'!N75, 'vre plants'!#REF!, "wind_onshore") +SUMIFS('vre plants'!#REF!, 'non-vre plants'!$G$2:$G$8, 'scenario analysis'!N75, 'vre plants'!#REF!,"wind_offshore")</f>
        <v>#REF!</v>
      </c>
      <c r="P75" s="133" t="e">
        <f>SUMIFS('vre plants'!#REF!,'non-vre plants'!$G$2:$G$8,'scenario analysis'!N75,'vre plants'!#REF!,"multi c-Si")</f>
        <v>#REF!</v>
      </c>
      <c r="Q75" s="34" t="e">
        <f>SUMIFS('vre plants'!#REF!, 'non-vre plants'!$G$2:$G$8, 'scenario analysis'!N75, 'vre plants'!#REF!, "mono c-Si")</f>
        <v>#REF!</v>
      </c>
      <c r="R75" s="34" t="e">
        <f>SUMIFS('vre plants'!#REF!,'non-vre plants'!$G$2:$G$8,'scenario analysis'!N75,'vre plants'!#REF!,"thin film")</f>
        <v>#REF!</v>
      </c>
    </row>
    <row r="76" spans="8:18">
      <c r="H76" s="124" t="str">
        <f t="array" ref="H76">IFERROR(INDEX(#REF!, MATCH(0, COUNTIF($H$4:H75,#REF!), 0)), "")</f>
        <v/>
      </c>
      <c r="I76" s="34" t="e">
        <f>SUMIFS('vre plants'!#REF!,'non-vre plants'!$G$2:$G$8,'scenario analysis'!H76)+SUMIFS(storage!$E$2:$E$75,storage!$I$2:$I$75,'scenario analysis'!H76)+SUMIFS(EV_aggregator!$E$2:$E$75,EV_aggregator!$I$2:$I$75,'scenario analysis'!H76)+SUMIF('non-vre plants'!#REF!,H76,'non-vre plants'!F2:F14)</f>
        <v>#REF!</v>
      </c>
      <c r="J76" s="34">
        <f>SUMIF('demand centres'!$C$1:$C$50,'scenario analysis'!H76,'demand centres'!$B$1:$B$50)</f>
        <v>0</v>
      </c>
      <c r="K76" s="34" t="e">
        <f t="array" ref="K76">SUMIF('existing transmission'!#REF!,H76, 'existing transmission'!#REF!)+SUMIF('existing transmission'!#REF!,H76, 'existing transmission'!#REF!)</f>
        <v>#REF!</v>
      </c>
      <c r="L76" s="92" t="e">
        <f t="array" ref="L76">SUMIF('existing transmission'!#REF!,H76, 'existing transmission'!#REF!)+SUMIF('existing transmission'!#REF!,H76, 'existing transmission'!#REF!)</f>
        <v>#REF!</v>
      </c>
      <c r="N76" s="148" t="str">
        <f t="array" ref="N76">IFERROR(INDEX(#REF!, MATCH(0, COUNTIF($N$4:N75,#REF!), 0)), "")</f>
        <v/>
      </c>
      <c r="O76" s="132" t="e">
        <f>SUMIFS('vre plants'!#REF!, 'non-vre plants'!$G$2:$G$8, 'scenario analysis'!N76, 'vre plants'!#REF!, "wind_onshore") +SUMIFS('vre plants'!#REF!, 'non-vre plants'!$G$2:$G$8, 'scenario analysis'!N76, 'vre plants'!#REF!,"wind_offshore")</f>
        <v>#REF!</v>
      </c>
      <c r="P76" s="133" t="e">
        <f>SUMIFS('vre plants'!#REF!,'non-vre plants'!$G$2:$G$8,'scenario analysis'!N76,'vre plants'!#REF!,"multi c-Si")</f>
        <v>#REF!</v>
      </c>
      <c r="Q76" s="34" t="e">
        <f>SUMIFS('vre plants'!#REF!, 'non-vre plants'!$G$2:$G$8, 'scenario analysis'!N76, 'vre plants'!#REF!, "mono c-Si")</f>
        <v>#REF!</v>
      </c>
      <c r="R76" s="34" t="e">
        <f>SUMIFS('vre plants'!#REF!,'non-vre plants'!$G$2:$G$8,'scenario analysis'!N76,'vre plants'!#REF!,"thin film")</f>
        <v>#REF!</v>
      </c>
    </row>
    <row r="77" spans="8:18">
      <c r="H77" s="124" t="str">
        <f t="array" ref="H77">IFERROR(INDEX(#REF!, MATCH(0, COUNTIF($H$4:H76,#REF!), 0)), "")</f>
        <v/>
      </c>
      <c r="I77" s="34" t="e">
        <f>SUMIFS('vre plants'!#REF!,'non-vre plants'!$G$2:$G$8,'scenario analysis'!H77)+SUMIFS(storage!$E$2:$E$75,storage!$I$2:$I$75,'scenario analysis'!H77)+SUMIFS(EV_aggregator!$E$2:$E$75,EV_aggregator!$I$2:$I$75,'scenario analysis'!H77)+SUMIF('non-vre plants'!#REF!,H77,'non-vre plants'!F2:F14)</f>
        <v>#REF!</v>
      </c>
      <c r="J77" s="34">
        <f>SUMIF('demand centres'!$C$1:$C$50,'scenario analysis'!H77,'demand centres'!$B$1:$B$50)</f>
        <v>0</v>
      </c>
      <c r="K77" s="34" t="e">
        <f t="array" ref="K77">SUMIF('existing transmission'!#REF!,H77, 'existing transmission'!#REF!)+SUMIF('existing transmission'!#REF!,H77, 'existing transmission'!#REF!)</f>
        <v>#REF!</v>
      </c>
      <c r="L77" s="92" t="e">
        <f t="array" ref="L77">SUMIF('existing transmission'!#REF!,H77, 'existing transmission'!#REF!)+SUMIF('existing transmission'!#REF!,H77, 'existing transmission'!#REF!)</f>
        <v>#REF!</v>
      </c>
      <c r="N77" s="148" t="str">
        <f t="array" ref="N77">IFERROR(INDEX(#REF!, MATCH(0, COUNTIF($N$4:N76,#REF!), 0)), "")</f>
        <v/>
      </c>
      <c r="O77" s="132" t="e">
        <f>SUMIFS('vre plants'!#REF!, 'non-vre plants'!$G$2:$G$8, 'scenario analysis'!N77, 'vre plants'!#REF!, "wind_onshore") +SUMIFS('vre plants'!#REF!, 'non-vre plants'!$G$2:$G$8, 'scenario analysis'!N77, 'vre plants'!#REF!,"wind_offshore")</f>
        <v>#REF!</v>
      </c>
      <c r="P77" s="133" t="e">
        <f>SUMIFS('vre plants'!#REF!,'non-vre plants'!$G$2:$G$8,'scenario analysis'!N77,'vre plants'!#REF!,"multi c-Si")</f>
        <v>#REF!</v>
      </c>
      <c r="Q77" s="34" t="e">
        <f>SUMIFS('vre plants'!#REF!, 'non-vre plants'!$G$2:$G$8, 'scenario analysis'!N77, 'vre plants'!#REF!, "mono c-Si")</f>
        <v>#REF!</v>
      </c>
      <c r="R77" s="34" t="e">
        <f>SUMIFS('vre plants'!#REF!,'non-vre plants'!$G$2:$G$8,'scenario analysis'!N77,'vre plants'!#REF!,"thin film")</f>
        <v>#REF!</v>
      </c>
    </row>
    <row r="78" spans="8:18">
      <c r="H78" s="124" t="str">
        <f t="array" ref="H78">IFERROR(INDEX(#REF!, MATCH(0, COUNTIF($H$4:H77,#REF!), 0)), "")</f>
        <v/>
      </c>
      <c r="I78" s="34" t="e">
        <f>SUMIFS('vre plants'!#REF!,'non-vre plants'!$G$2:$G$8,'scenario analysis'!H78)+SUMIFS(storage!$E$2:$E$75,storage!$I$2:$I$75,'scenario analysis'!H78)+SUMIFS(EV_aggregator!$E$2:$E$75,EV_aggregator!$I$2:$I$75,'scenario analysis'!H78)+SUMIF('non-vre plants'!#REF!,H78,'non-vre plants'!F2:F14)</f>
        <v>#REF!</v>
      </c>
      <c r="J78" s="34">
        <f>SUMIF('demand centres'!$C$1:$C$50,'scenario analysis'!H78,'demand centres'!$B$1:$B$50)</f>
        <v>0</v>
      </c>
      <c r="K78" s="34" t="e">
        <f t="array" ref="K78">SUMIF('existing transmission'!#REF!,H78, 'existing transmission'!#REF!)+SUMIF('existing transmission'!#REF!,H78, 'existing transmission'!#REF!)</f>
        <v>#REF!</v>
      </c>
      <c r="L78" s="92" t="e">
        <f t="array" ref="L78">SUMIF('existing transmission'!#REF!,H78, 'existing transmission'!#REF!)+SUMIF('existing transmission'!#REF!,H78, 'existing transmission'!#REF!)</f>
        <v>#REF!</v>
      </c>
      <c r="N78" s="148" t="str">
        <f t="array" ref="N78">IFERROR(INDEX(#REF!, MATCH(0, COUNTIF($N$4:N77,#REF!), 0)), "")</f>
        <v/>
      </c>
      <c r="O78" s="132" t="e">
        <f>SUMIFS('vre plants'!#REF!, 'non-vre plants'!$G$2:$G$8, 'scenario analysis'!N78, 'vre plants'!#REF!, "wind_onshore") +SUMIFS('vre plants'!#REF!, 'non-vre plants'!$G$2:$G$8, 'scenario analysis'!N78, 'vre plants'!#REF!,"wind_offshore")</f>
        <v>#REF!</v>
      </c>
      <c r="P78" s="133" t="e">
        <f>SUMIFS('vre plants'!#REF!,'non-vre plants'!$G$2:$G$8,'scenario analysis'!N78,'vre plants'!#REF!,"multi c-Si")</f>
        <v>#REF!</v>
      </c>
      <c r="Q78" s="34" t="e">
        <f>SUMIFS('vre plants'!#REF!, 'non-vre plants'!$G$2:$G$8, 'scenario analysis'!N78, 'vre plants'!#REF!, "mono c-Si")</f>
        <v>#REF!</v>
      </c>
      <c r="R78" s="34" t="e">
        <f>SUMIFS('vre plants'!#REF!,'non-vre plants'!$G$2:$G$8,'scenario analysis'!N78,'vre plants'!#REF!,"thin film")</f>
        <v>#REF!</v>
      </c>
    </row>
    <row r="79" spans="8:18">
      <c r="H79" s="124" t="str">
        <f t="array" ref="H79">IFERROR(INDEX(#REF!, MATCH(0, COUNTIF($H$4:H78,#REF!), 0)), "")</f>
        <v/>
      </c>
      <c r="I79" s="34" t="e">
        <f>SUMIFS('vre plants'!#REF!,'non-vre plants'!$G$2:$G$8,'scenario analysis'!H79)+SUMIFS(storage!$E$2:$E$75,storage!$I$2:$I$75,'scenario analysis'!H79)+SUMIFS(EV_aggregator!$E$2:$E$75,EV_aggregator!$I$2:$I$75,'scenario analysis'!H79)+SUMIF('non-vre plants'!#REF!,H79,'non-vre plants'!F2:F14)</f>
        <v>#REF!</v>
      </c>
      <c r="J79" s="34">
        <f>SUMIF('demand centres'!$C$1:$C$50,'scenario analysis'!H79,'demand centres'!$B$1:$B$50)</f>
        <v>0</v>
      </c>
      <c r="K79" s="34" t="e">
        <f t="array" ref="K79">SUMIF('existing transmission'!#REF!,H79, 'existing transmission'!#REF!)+SUMIF('existing transmission'!#REF!,H79, 'existing transmission'!#REF!)</f>
        <v>#REF!</v>
      </c>
      <c r="L79" s="92" t="e">
        <f t="array" ref="L79">SUMIF('existing transmission'!#REF!,H79, 'existing transmission'!#REF!)+SUMIF('existing transmission'!#REF!,H79, 'existing transmission'!#REF!)</f>
        <v>#REF!</v>
      </c>
      <c r="N79" s="148" t="str">
        <f t="array" ref="N79">IFERROR(INDEX(#REF!, MATCH(0, COUNTIF($N$4:N78,#REF!), 0)), "")</f>
        <v/>
      </c>
      <c r="O79" s="132" t="e">
        <f>SUMIFS('vre plants'!#REF!, 'non-vre plants'!$G$2:$G$8, 'scenario analysis'!N79, 'vre plants'!#REF!, "wind_onshore") +SUMIFS('vre plants'!#REF!, 'non-vre plants'!$G$2:$G$8, 'scenario analysis'!N79, 'vre plants'!#REF!,"wind_offshore")</f>
        <v>#REF!</v>
      </c>
      <c r="P79" s="133" t="e">
        <f>SUMIFS('vre plants'!#REF!,'non-vre plants'!$G$2:$G$8,'scenario analysis'!N79,'vre plants'!#REF!,"multi c-Si")</f>
        <v>#REF!</v>
      </c>
      <c r="Q79" s="34" t="e">
        <f>SUMIFS('vre plants'!#REF!, 'non-vre plants'!$G$2:$G$8, 'scenario analysis'!N79, 'vre plants'!#REF!, "mono c-Si")</f>
        <v>#REF!</v>
      </c>
      <c r="R79" s="34" t="e">
        <f>SUMIFS('vre plants'!#REF!,'non-vre plants'!$G$2:$G$8,'scenario analysis'!N79,'vre plants'!#REF!,"thin film")</f>
        <v>#REF!</v>
      </c>
    </row>
    <row r="80" spans="8:18">
      <c r="H80" s="124"/>
      <c r="N80" s="148"/>
    </row>
    <row r="81" spans="8:14">
      <c r="H81" s="124"/>
      <c r="N81" s="148"/>
    </row>
    <row r="82" spans="8:14">
      <c r="H82" s="124"/>
      <c r="N82" s="148"/>
    </row>
    <row r="83" spans="8:14">
      <c r="H83" s="124"/>
      <c r="N83" s="148"/>
    </row>
    <row r="84" spans="8:14">
      <c r="H84" s="124"/>
      <c r="N84" s="148"/>
    </row>
    <row r="85" spans="8:14">
      <c r="H85" s="124"/>
      <c r="N85" s="148"/>
    </row>
    <row r="86" spans="8:14">
      <c r="H86" s="124"/>
      <c r="N86" s="148"/>
    </row>
    <row r="87" spans="8:14">
      <c r="H87" s="124"/>
      <c r="N87" s="148"/>
    </row>
    <row r="88" spans="8:14">
      <c r="H88" s="124"/>
      <c r="N88" s="148"/>
    </row>
    <row r="89" spans="8:14">
      <c r="H89" s="124"/>
      <c r="N89" s="148"/>
    </row>
    <row r="90" spans="8:14">
      <c r="H90" s="124"/>
      <c r="N90" s="148"/>
    </row>
    <row r="91" spans="8:14">
      <c r="H91" s="124"/>
      <c r="N91" s="148"/>
    </row>
    <row r="92" spans="8:14">
      <c r="H92" s="124"/>
      <c r="N92" s="148"/>
    </row>
    <row r="93" spans="8:14">
      <c r="H93" s="124"/>
      <c r="N93" s="148"/>
    </row>
    <row r="94" spans="8:14">
      <c r="H94" s="124"/>
      <c r="N94" s="148"/>
    </row>
    <row r="95" spans="8:14">
      <c r="H95" s="124"/>
      <c r="N95" s="148"/>
    </row>
    <row r="96" spans="8:14">
      <c r="H96" s="124"/>
      <c r="N96" s="148"/>
    </row>
    <row r="97" spans="8:14">
      <c r="H97" s="124"/>
      <c r="N97" s="148"/>
    </row>
    <row r="98" spans="8:14">
      <c r="H98" s="124"/>
      <c r="N98" s="148"/>
    </row>
    <row r="99" spans="8:14">
      <c r="H99" s="124"/>
      <c r="N99" s="148"/>
    </row>
    <row r="100" spans="8:14">
      <c r="H100" s="124"/>
      <c r="N100" s="148"/>
    </row>
    <row r="101" spans="8:14">
      <c r="H101" s="124"/>
      <c r="N101" s="148"/>
    </row>
    <row r="102" spans="8:14">
      <c r="H102" s="124"/>
    </row>
    <row r="103" spans="8:14">
      <c r="H103" s="124"/>
    </row>
    <row r="104" spans="8:14">
      <c r="H104" s="124"/>
    </row>
    <row r="105" spans="8:14">
      <c r="H105" s="124"/>
    </row>
    <row r="106" spans="8:14">
      <c r="H106" s="124"/>
    </row>
    <row r="107" spans="8:14">
      <c r="H107" s="124"/>
    </row>
    <row r="108" spans="8:14">
      <c r="H108" s="124"/>
    </row>
  </sheetData>
  <mergeCells count="3">
    <mergeCell ref="E2:F2"/>
    <mergeCell ref="N2:P2"/>
    <mergeCell ref="H2:L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R45"/>
  <sheetViews>
    <sheetView topLeftCell="A19" zoomScaleNormal="100" workbookViewId="0">
      <selection activeCell="L26" sqref="L26:L27"/>
    </sheetView>
  </sheetViews>
  <sheetFormatPr defaultRowHeight="15"/>
  <cols>
    <col min="1" max="1" width="10.42578125" style="185" customWidth="1"/>
    <col min="2" max="2" width="9.42578125" style="54" bestFit="1" customWidth="1"/>
    <col min="3" max="3" width="20.140625" style="54" customWidth="1"/>
    <col min="4" max="5" width="15.85546875" style="182" customWidth="1"/>
    <col min="6" max="6" width="13.28515625" customWidth="1"/>
    <col min="7" max="7" width="28.7109375" customWidth="1"/>
    <col min="8" max="8" width="32.140625" style="5" customWidth="1"/>
    <col min="9" max="10" width="18.85546875" customWidth="1"/>
    <col min="11" max="11" width="17.7109375" customWidth="1"/>
    <col min="12" max="12" width="18.7109375" customWidth="1"/>
  </cols>
  <sheetData>
    <row r="1" spans="1:18">
      <c r="A1" s="186" t="s">
        <v>223</v>
      </c>
      <c r="B1" s="151" t="s">
        <v>263</v>
      </c>
      <c r="C1" s="151" t="s">
        <v>274</v>
      </c>
      <c r="D1" s="151" t="s">
        <v>211</v>
      </c>
      <c r="E1" s="151" t="s">
        <v>210</v>
      </c>
      <c r="F1" s="152" t="s">
        <v>25</v>
      </c>
      <c r="G1" s="152" t="s">
        <v>261</v>
      </c>
      <c r="H1" s="152" t="s">
        <v>567</v>
      </c>
      <c r="I1" s="152" t="s">
        <v>335</v>
      </c>
      <c r="J1" s="152" t="s">
        <v>336</v>
      </c>
      <c r="K1" s="152" t="s">
        <v>268</v>
      </c>
      <c r="L1" s="152" t="s">
        <v>269</v>
      </c>
      <c r="M1" s="55"/>
      <c r="N1" s="55"/>
      <c r="O1" s="55"/>
      <c r="P1" s="55"/>
      <c r="Q1" s="55"/>
    </row>
    <row r="2" spans="1:18">
      <c r="A2" s="184" t="s">
        <v>367</v>
      </c>
      <c r="B2" s="184" t="s">
        <v>411</v>
      </c>
      <c r="C2" s="182" t="s">
        <v>266</v>
      </c>
      <c r="D2" s="182">
        <v>46.152863699999997</v>
      </c>
      <c r="E2" s="182">
        <v>-60.407057500000001</v>
      </c>
      <c r="F2" s="182">
        <v>4</v>
      </c>
      <c r="G2" s="188" t="s">
        <v>545</v>
      </c>
      <c r="H2" s="187" t="s">
        <v>503</v>
      </c>
      <c r="I2" s="190" t="s">
        <v>270</v>
      </c>
      <c r="J2" s="182">
        <v>3075</v>
      </c>
      <c r="K2" s="182">
        <f t="shared" ref="K2:K26" si="0">ROUND((D2+90)*2, 0)</f>
        <v>272</v>
      </c>
      <c r="L2" s="182">
        <f t="shared" ref="L2:L27" si="1">ROUND((E2+180)*(3/2), 0)</f>
        <v>179</v>
      </c>
      <c r="M2" s="56"/>
      <c r="N2" s="97"/>
      <c r="O2" s="97"/>
      <c r="P2" s="97"/>
      <c r="Q2" s="98"/>
      <c r="R2" s="5"/>
    </row>
    <row r="3" spans="1:18">
      <c r="A3" s="184" t="s">
        <v>367</v>
      </c>
      <c r="B3" s="184" t="s">
        <v>412</v>
      </c>
      <c r="C3" s="182" t="s">
        <v>266</v>
      </c>
      <c r="D3" s="182">
        <v>45.993000000000002</v>
      </c>
      <c r="E3" s="182">
        <v>-59.907743199999999</v>
      </c>
      <c r="F3" s="182">
        <v>2.2999999999999998</v>
      </c>
      <c r="G3" s="188" t="s">
        <v>545</v>
      </c>
      <c r="H3" s="187" t="s">
        <v>442</v>
      </c>
      <c r="I3" s="190" t="s">
        <v>270</v>
      </c>
      <c r="J3" s="182">
        <v>3075</v>
      </c>
      <c r="K3" s="182">
        <f t="shared" si="0"/>
        <v>272</v>
      </c>
      <c r="L3" s="182">
        <f t="shared" si="1"/>
        <v>180</v>
      </c>
      <c r="M3" s="56"/>
      <c r="N3" s="97"/>
      <c r="O3" s="97"/>
      <c r="P3" s="97"/>
      <c r="Q3" s="98"/>
      <c r="R3" s="5"/>
    </row>
    <row r="4" spans="1:18">
      <c r="A4" s="183" t="s">
        <v>367</v>
      </c>
      <c r="B4" s="184" t="s">
        <v>414</v>
      </c>
      <c r="C4" s="182" t="s">
        <v>266</v>
      </c>
      <c r="D4" s="182">
        <v>44.770708200000001</v>
      </c>
      <c r="E4" s="182">
        <v>-63.837890899999998</v>
      </c>
      <c r="F4" s="182">
        <v>10</v>
      </c>
      <c r="G4" s="188" t="s">
        <v>454</v>
      </c>
      <c r="H4" s="187" t="s">
        <v>500</v>
      </c>
      <c r="I4" s="187" t="s">
        <v>476</v>
      </c>
      <c r="J4" s="182">
        <v>3075</v>
      </c>
      <c r="K4" s="182">
        <f t="shared" si="0"/>
        <v>270</v>
      </c>
      <c r="L4" s="182">
        <f t="shared" si="1"/>
        <v>174</v>
      </c>
      <c r="M4" s="56"/>
    </row>
    <row r="5" spans="1:18">
      <c r="A5" s="183" t="s">
        <v>367</v>
      </c>
      <c r="B5" s="184" t="s">
        <v>415</v>
      </c>
      <c r="C5" s="182" t="s">
        <v>266</v>
      </c>
      <c r="D5" s="182">
        <v>46.624806999999997</v>
      </c>
      <c r="E5" s="182">
        <v>-61.009511000000003</v>
      </c>
      <c r="F5" s="182">
        <v>0.9</v>
      </c>
      <c r="G5" s="188" t="s">
        <v>454</v>
      </c>
      <c r="H5" s="187" t="s">
        <v>443</v>
      </c>
      <c r="I5" s="187" t="s">
        <v>477</v>
      </c>
      <c r="J5" s="182">
        <v>3075</v>
      </c>
      <c r="K5" s="182">
        <f t="shared" si="0"/>
        <v>273</v>
      </c>
      <c r="L5" s="182">
        <f t="shared" si="1"/>
        <v>178</v>
      </c>
      <c r="M5" s="56"/>
    </row>
    <row r="6" spans="1:18">
      <c r="A6" s="183" t="s">
        <v>367</v>
      </c>
      <c r="B6" s="184" t="s">
        <v>416</v>
      </c>
      <c r="C6" s="182" t="s">
        <v>266</v>
      </c>
      <c r="D6" s="182">
        <v>45.726212400000001</v>
      </c>
      <c r="E6" s="182">
        <v>-61.416717800000001</v>
      </c>
      <c r="F6" s="182">
        <v>1.99</v>
      </c>
      <c r="G6" s="188" t="s">
        <v>544</v>
      </c>
      <c r="H6" s="187" t="s">
        <v>566</v>
      </c>
      <c r="I6" s="187" t="s">
        <v>478</v>
      </c>
      <c r="J6" s="182">
        <v>3075</v>
      </c>
      <c r="K6" s="182">
        <f t="shared" si="0"/>
        <v>271</v>
      </c>
      <c r="L6" s="182">
        <f t="shared" si="1"/>
        <v>178</v>
      </c>
      <c r="M6" s="56"/>
      <c r="N6" s="17"/>
      <c r="O6" s="17"/>
    </row>
    <row r="7" spans="1:18">
      <c r="A7" s="183" t="s">
        <v>367</v>
      </c>
      <c r="B7" s="184" t="s">
        <v>417</v>
      </c>
      <c r="C7" s="182" t="s">
        <v>266</v>
      </c>
      <c r="D7" s="182">
        <v>45.626445799999999</v>
      </c>
      <c r="E7" s="182">
        <v>-62.901342</v>
      </c>
      <c r="F7" s="182">
        <v>1.4</v>
      </c>
      <c r="G7" s="188" t="s">
        <v>544</v>
      </c>
      <c r="H7" s="187" t="s">
        <v>446</v>
      </c>
      <c r="I7" s="187" t="s">
        <v>479</v>
      </c>
      <c r="J7" s="182">
        <v>3075</v>
      </c>
      <c r="K7" s="182">
        <f t="shared" si="0"/>
        <v>271</v>
      </c>
      <c r="L7" s="182">
        <f t="shared" si="1"/>
        <v>176</v>
      </c>
      <c r="M7" s="17"/>
      <c r="N7" s="17"/>
      <c r="O7" s="17"/>
    </row>
    <row r="8" spans="1:18">
      <c r="A8" s="183" t="s">
        <v>367</v>
      </c>
      <c r="B8" s="184" t="s">
        <v>418</v>
      </c>
      <c r="C8" s="182" t="s">
        <v>266</v>
      </c>
      <c r="D8" s="182">
        <v>44.758806700000001</v>
      </c>
      <c r="E8" s="182">
        <v>-63.204289799999998</v>
      </c>
      <c r="F8" s="182">
        <v>2.2999999999999998</v>
      </c>
      <c r="G8" s="188" t="s">
        <v>544</v>
      </c>
      <c r="H8" s="187" t="s">
        <v>447</v>
      </c>
      <c r="I8" s="187" t="s">
        <v>480</v>
      </c>
      <c r="J8" s="182">
        <v>3075</v>
      </c>
      <c r="K8" s="182">
        <f t="shared" si="0"/>
        <v>270</v>
      </c>
      <c r="L8" s="182">
        <f t="shared" si="1"/>
        <v>175</v>
      </c>
      <c r="M8" s="17"/>
      <c r="N8" s="17"/>
      <c r="O8" s="17"/>
    </row>
    <row r="9" spans="1:18">
      <c r="A9" s="183" t="s">
        <v>367</v>
      </c>
      <c r="B9" s="184" t="s">
        <v>419</v>
      </c>
      <c r="C9" s="182" t="s">
        <v>266</v>
      </c>
      <c r="D9" s="182">
        <v>46.195</v>
      </c>
      <c r="E9" s="182">
        <v>-60.083892200000001</v>
      </c>
      <c r="F9" s="182">
        <v>5.4</v>
      </c>
      <c r="G9" s="188" t="s">
        <v>545</v>
      </c>
      <c r="H9" s="187" t="s">
        <v>503</v>
      </c>
      <c r="I9" s="187" t="s">
        <v>481</v>
      </c>
      <c r="J9" s="182">
        <v>3075</v>
      </c>
      <c r="K9" s="182">
        <f t="shared" si="0"/>
        <v>272</v>
      </c>
      <c r="L9" s="182">
        <f t="shared" si="1"/>
        <v>180</v>
      </c>
      <c r="M9" s="17"/>
      <c r="N9" s="17"/>
      <c r="O9" s="17"/>
    </row>
    <row r="10" spans="1:18">
      <c r="A10" s="183" t="s">
        <v>367</v>
      </c>
      <c r="B10" s="184" t="s">
        <v>420</v>
      </c>
      <c r="C10" s="182" t="s">
        <v>266</v>
      </c>
      <c r="D10" s="182">
        <v>46.218029299999998</v>
      </c>
      <c r="E10" s="182">
        <v>-59.980964200000003</v>
      </c>
      <c r="F10" s="182">
        <v>0.8</v>
      </c>
      <c r="G10" s="188" t="s">
        <v>545</v>
      </c>
      <c r="H10" s="187" t="s">
        <v>448</v>
      </c>
      <c r="I10" s="187" t="s">
        <v>482</v>
      </c>
      <c r="J10" s="182">
        <v>3075</v>
      </c>
      <c r="K10" s="182">
        <f t="shared" si="0"/>
        <v>272</v>
      </c>
      <c r="L10" s="182">
        <f t="shared" si="1"/>
        <v>180</v>
      </c>
    </row>
    <row r="11" spans="1:18">
      <c r="A11" s="183" t="s">
        <v>367</v>
      </c>
      <c r="B11" s="184" t="s">
        <v>421</v>
      </c>
      <c r="C11" s="182" t="s">
        <v>266</v>
      </c>
      <c r="D11" s="182">
        <v>44.600650000000002</v>
      </c>
      <c r="E11" s="182">
        <v>-63.680402000000001</v>
      </c>
      <c r="F11" s="182">
        <v>0.6</v>
      </c>
      <c r="G11" s="188" t="s">
        <v>454</v>
      </c>
      <c r="H11" s="187" t="s">
        <v>500</v>
      </c>
      <c r="I11" s="187" t="s">
        <v>483</v>
      </c>
      <c r="J11" s="182">
        <v>3075</v>
      </c>
      <c r="K11" s="182">
        <f t="shared" si="0"/>
        <v>269</v>
      </c>
      <c r="L11" s="182">
        <f t="shared" si="1"/>
        <v>174</v>
      </c>
    </row>
    <row r="12" spans="1:18">
      <c r="A12" s="183" t="s">
        <v>367</v>
      </c>
      <c r="B12" s="184" t="s">
        <v>422</v>
      </c>
      <c r="C12" s="182" t="s">
        <v>266</v>
      </c>
      <c r="D12" s="182">
        <v>44.765327999999997</v>
      </c>
      <c r="E12" s="182">
        <v>-65.511803</v>
      </c>
      <c r="F12" s="182">
        <v>2</v>
      </c>
      <c r="G12" s="188" t="s">
        <v>456</v>
      </c>
      <c r="H12" s="187" t="s">
        <v>440</v>
      </c>
      <c r="I12" s="187" t="s">
        <v>484</v>
      </c>
      <c r="J12" s="182">
        <v>3075</v>
      </c>
      <c r="K12" s="182">
        <f t="shared" si="0"/>
        <v>270</v>
      </c>
      <c r="L12" s="182">
        <f t="shared" si="1"/>
        <v>172</v>
      </c>
    </row>
    <row r="13" spans="1:18">
      <c r="A13" s="183" t="s">
        <v>367</v>
      </c>
      <c r="B13" s="184" t="s">
        <v>423</v>
      </c>
      <c r="C13" s="182" t="s">
        <v>266</v>
      </c>
      <c r="D13" s="182">
        <v>46.244821600000002</v>
      </c>
      <c r="E13" s="182">
        <v>-60.348755400000002</v>
      </c>
      <c r="F13" s="182">
        <v>4</v>
      </c>
      <c r="G13" s="188" t="s">
        <v>544</v>
      </c>
      <c r="H13" s="187" t="s">
        <v>503</v>
      </c>
      <c r="I13" s="187" t="s">
        <v>485</v>
      </c>
      <c r="J13" s="182">
        <v>3075</v>
      </c>
      <c r="K13" s="182">
        <f t="shared" si="0"/>
        <v>272</v>
      </c>
      <c r="L13" s="182">
        <f t="shared" si="1"/>
        <v>179</v>
      </c>
    </row>
    <row r="14" spans="1:18">
      <c r="A14" s="183" t="s">
        <v>367</v>
      </c>
      <c r="B14" s="184" t="s">
        <v>424</v>
      </c>
      <c r="C14" s="182" t="s">
        <v>266</v>
      </c>
      <c r="D14" s="182">
        <v>45.493281400000001</v>
      </c>
      <c r="E14" s="182">
        <v>-62.624534099999998</v>
      </c>
      <c r="F14" s="182">
        <v>1.99</v>
      </c>
      <c r="G14" s="188" t="s">
        <v>544</v>
      </c>
      <c r="H14" s="187" t="s">
        <v>502</v>
      </c>
      <c r="I14" s="187" t="s">
        <v>486</v>
      </c>
      <c r="J14" s="182">
        <v>3075</v>
      </c>
      <c r="K14" s="182">
        <f t="shared" si="0"/>
        <v>271</v>
      </c>
      <c r="L14" s="182">
        <f t="shared" si="1"/>
        <v>176</v>
      </c>
    </row>
    <row r="15" spans="1:18">
      <c r="A15" s="183" t="s">
        <v>367</v>
      </c>
      <c r="B15" s="184" t="s">
        <v>425</v>
      </c>
      <c r="C15" s="182" t="s">
        <v>266</v>
      </c>
      <c r="D15" s="182">
        <v>45.569014000000003</v>
      </c>
      <c r="E15" s="182">
        <v>-61.0744568</v>
      </c>
      <c r="F15" s="182">
        <v>1.99</v>
      </c>
      <c r="G15" s="188" t="s">
        <v>544</v>
      </c>
      <c r="H15" s="187" t="s">
        <v>437</v>
      </c>
      <c r="I15" s="187" t="s">
        <v>487</v>
      </c>
      <c r="J15" s="182">
        <v>3075</v>
      </c>
      <c r="K15" s="182">
        <f t="shared" si="0"/>
        <v>271</v>
      </c>
      <c r="L15" s="182">
        <f t="shared" si="1"/>
        <v>178</v>
      </c>
    </row>
    <row r="16" spans="1:18">
      <c r="A16" s="183" t="s">
        <v>367</v>
      </c>
      <c r="B16" s="184" t="s">
        <v>426</v>
      </c>
      <c r="C16" s="182" t="s">
        <v>266</v>
      </c>
      <c r="D16" s="182">
        <v>44.727771300000001</v>
      </c>
      <c r="E16" s="182">
        <v>-64.254383899999993</v>
      </c>
      <c r="F16" s="182">
        <v>2</v>
      </c>
      <c r="G16" s="188" t="s">
        <v>544</v>
      </c>
      <c r="H16" s="187" t="s">
        <v>449</v>
      </c>
      <c r="I16" s="187" t="s">
        <v>488</v>
      </c>
      <c r="J16" s="182">
        <v>3075</v>
      </c>
      <c r="K16" s="182">
        <f t="shared" si="0"/>
        <v>269</v>
      </c>
      <c r="L16" s="182">
        <f t="shared" si="1"/>
        <v>174</v>
      </c>
    </row>
    <row r="17" spans="1:12">
      <c r="A17" s="183" t="s">
        <v>367</v>
      </c>
      <c r="B17" s="184" t="s">
        <v>427</v>
      </c>
      <c r="C17" s="182" t="s">
        <v>266</v>
      </c>
      <c r="D17" s="182">
        <v>44.537155599999998</v>
      </c>
      <c r="E17" s="182">
        <v>-63.609822200000004</v>
      </c>
      <c r="F17" s="182">
        <v>4.5999999999999996</v>
      </c>
      <c r="G17" s="188" t="s">
        <v>454</v>
      </c>
      <c r="H17" s="187" t="s">
        <v>500</v>
      </c>
      <c r="I17" s="187" t="s">
        <v>489</v>
      </c>
      <c r="J17" s="182">
        <v>3075</v>
      </c>
      <c r="K17" s="182">
        <f t="shared" si="0"/>
        <v>269</v>
      </c>
      <c r="L17" s="182">
        <f t="shared" si="1"/>
        <v>175</v>
      </c>
    </row>
    <row r="18" spans="1:12">
      <c r="A18" s="183" t="s">
        <v>367</v>
      </c>
      <c r="B18" s="184" t="s">
        <v>428</v>
      </c>
      <c r="C18" s="182" t="s">
        <v>266</v>
      </c>
      <c r="D18" s="182">
        <v>46.245257500000001</v>
      </c>
      <c r="E18" s="182">
        <v>-60.038675300000001</v>
      </c>
      <c r="F18" s="182">
        <v>16.3</v>
      </c>
      <c r="G18" s="188" t="s">
        <v>457</v>
      </c>
      <c r="H18" s="187" t="s">
        <v>450</v>
      </c>
      <c r="I18" s="187" t="s">
        <v>490</v>
      </c>
      <c r="J18" s="182">
        <v>3075</v>
      </c>
      <c r="K18" s="182">
        <f t="shared" si="0"/>
        <v>272</v>
      </c>
      <c r="L18" s="182">
        <f t="shared" si="1"/>
        <v>180</v>
      </c>
    </row>
    <row r="19" spans="1:12">
      <c r="A19" s="183" t="s">
        <v>367</v>
      </c>
      <c r="B19" s="184" t="s">
        <v>429</v>
      </c>
      <c r="C19" s="182" t="s">
        <v>266</v>
      </c>
      <c r="D19" s="182">
        <v>44.786040700000001</v>
      </c>
      <c r="E19" s="182">
        <v>-65.490460100000007</v>
      </c>
      <c r="F19" s="182">
        <v>2</v>
      </c>
      <c r="G19" s="188" t="s">
        <v>544</v>
      </c>
      <c r="H19" s="187" t="s">
        <v>451</v>
      </c>
      <c r="I19" s="187" t="s">
        <v>491</v>
      </c>
      <c r="J19" s="182">
        <v>3075</v>
      </c>
      <c r="K19" s="182">
        <f t="shared" si="0"/>
        <v>270</v>
      </c>
      <c r="L19" s="182">
        <f t="shared" si="1"/>
        <v>172</v>
      </c>
    </row>
    <row r="20" spans="1:12">
      <c r="A20" s="183" t="s">
        <v>367</v>
      </c>
      <c r="B20" s="184" t="s">
        <v>430</v>
      </c>
      <c r="C20" s="182" t="s">
        <v>266</v>
      </c>
      <c r="D20" s="182">
        <v>45.666789700000002</v>
      </c>
      <c r="E20" s="182">
        <v>-62.688006000000001</v>
      </c>
      <c r="F20" s="182">
        <v>1.6</v>
      </c>
      <c r="G20" s="188" t="s">
        <v>544</v>
      </c>
      <c r="H20" s="187" t="s">
        <v>446</v>
      </c>
      <c r="I20" s="187" t="s">
        <v>492</v>
      </c>
      <c r="J20" s="182">
        <v>3075</v>
      </c>
      <c r="K20" s="182">
        <f t="shared" si="0"/>
        <v>271</v>
      </c>
      <c r="L20" s="182">
        <f t="shared" si="1"/>
        <v>176</v>
      </c>
    </row>
    <row r="21" spans="1:12">
      <c r="A21" s="183" t="s">
        <v>367</v>
      </c>
      <c r="B21" s="184" t="s">
        <v>431</v>
      </c>
      <c r="C21" s="182" t="s">
        <v>266</v>
      </c>
      <c r="D21" s="182">
        <v>46.322000000000003</v>
      </c>
      <c r="E21" s="182">
        <v>-60.319975999999997</v>
      </c>
      <c r="F21" s="182">
        <v>1.9</v>
      </c>
      <c r="G21" s="188" t="s">
        <v>438</v>
      </c>
      <c r="H21" s="187" t="s">
        <v>438</v>
      </c>
      <c r="I21" s="187" t="s">
        <v>493</v>
      </c>
      <c r="J21" s="182">
        <v>3075</v>
      </c>
      <c r="K21" s="182">
        <f t="shared" si="0"/>
        <v>273</v>
      </c>
      <c r="L21" s="182">
        <f t="shared" si="1"/>
        <v>180</v>
      </c>
    </row>
    <row r="22" spans="1:12">
      <c r="A22" s="183" t="s">
        <v>367</v>
      </c>
      <c r="B22" s="184" t="s">
        <v>432</v>
      </c>
      <c r="C22" s="182" t="s">
        <v>266</v>
      </c>
      <c r="D22" s="182">
        <v>45.571972899999999</v>
      </c>
      <c r="E22" s="182">
        <v>-61.311174299999998</v>
      </c>
      <c r="F22" s="182">
        <v>22.8</v>
      </c>
      <c r="G22" s="188" t="s">
        <v>544</v>
      </c>
      <c r="H22" s="187" t="s">
        <v>439</v>
      </c>
      <c r="I22" s="187" t="s">
        <v>494</v>
      </c>
      <c r="J22" s="182">
        <v>3075</v>
      </c>
      <c r="K22" s="182">
        <f t="shared" si="0"/>
        <v>271</v>
      </c>
      <c r="L22" s="182">
        <f t="shared" si="1"/>
        <v>178</v>
      </c>
    </row>
    <row r="23" spans="1:12">
      <c r="A23" s="183" t="s">
        <v>367</v>
      </c>
      <c r="B23" s="184" t="s">
        <v>433</v>
      </c>
      <c r="C23" s="182" t="s">
        <v>266</v>
      </c>
      <c r="D23" s="182">
        <v>45.6114915</v>
      </c>
      <c r="E23" s="182">
        <v>-64.023903300000001</v>
      </c>
      <c r="F23" s="182">
        <v>2.1</v>
      </c>
      <c r="G23" s="188" t="s">
        <v>454</v>
      </c>
      <c r="H23" s="187" t="s">
        <v>501</v>
      </c>
      <c r="I23" s="187" t="s">
        <v>496</v>
      </c>
      <c r="J23" s="182">
        <v>3075</v>
      </c>
      <c r="K23" s="182">
        <f t="shared" si="0"/>
        <v>271</v>
      </c>
      <c r="L23" s="182">
        <f t="shared" si="1"/>
        <v>174</v>
      </c>
    </row>
    <row r="24" spans="1:12">
      <c r="A24" s="183" t="s">
        <v>367</v>
      </c>
      <c r="B24" s="184" t="s">
        <v>434</v>
      </c>
      <c r="C24" s="182" t="s">
        <v>266</v>
      </c>
      <c r="D24" s="182">
        <v>46.330736799999997</v>
      </c>
      <c r="E24" s="182">
        <v>-61.176833100000003</v>
      </c>
      <c r="F24" s="182">
        <v>1.99</v>
      </c>
      <c r="G24" s="188" t="s">
        <v>454</v>
      </c>
      <c r="H24" s="187" t="s">
        <v>452</v>
      </c>
      <c r="I24" s="187" t="s">
        <v>497</v>
      </c>
      <c r="J24" s="182">
        <v>3075</v>
      </c>
      <c r="K24" s="182">
        <f t="shared" si="0"/>
        <v>273</v>
      </c>
      <c r="L24" s="182">
        <f t="shared" si="1"/>
        <v>178</v>
      </c>
    </row>
    <row r="25" spans="1:12">
      <c r="A25" s="183" t="s">
        <v>367</v>
      </c>
      <c r="B25" s="184" t="s">
        <v>435</v>
      </c>
      <c r="C25" s="182" t="s">
        <v>266</v>
      </c>
      <c r="D25" s="182">
        <v>44.541873000000002</v>
      </c>
      <c r="E25" s="182">
        <v>-63.603571000000002</v>
      </c>
      <c r="F25" s="182">
        <v>7.05</v>
      </c>
      <c r="G25" s="188" t="s">
        <v>454</v>
      </c>
      <c r="H25" s="187" t="s">
        <v>500</v>
      </c>
      <c r="I25" s="187" t="s">
        <v>498</v>
      </c>
      <c r="J25" s="182">
        <v>3075</v>
      </c>
      <c r="K25" s="182">
        <f t="shared" si="0"/>
        <v>269</v>
      </c>
      <c r="L25" s="182">
        <f t="shared" si="1"/>
        <v>175</v>
      </c>
    </row>
    <row r="26" spans="1:12">
      <c r="A26" s="183" t="s">
        <v>367</v>
      </c>
      <c r="B26" s="184" t="s">
        <v>436</v>
      </c>
      <c r="C26" s="201" t="s">
        <v>266</v>
      </c>
      <c r="D26" s="201">
        <v>44.419494999999998</v>
      </c>
      <c r="E26" s="201">
        <v>-66.221981</v>
      </c>
      <c r="F26" s="201">
        <v>502</v>
      </c>
      <c r="G26" s="202" t="s">
        <v>453</v>
      </c>
      <c r="H26" s="203" t="s">
        <v>445</v>
      </c>
      <c r="I26" s="203" t="s">
        <v>499</v>
      </c>
      <c r="J26" s="201">
        <v>3075</v>
      </c>
      <c r="K26" s="201">
        <f t="shared" si="0"/>
        <v>269</v>
      </c>
      <c r="L26" s="182">
        <f t="shared" si="1"/>
        <v>171</v>
      </c>
    </row>
    <row r="27" spans="1:12">
      <c r="A27" s="183" t="s">
        <v>367</v>
      </c>
      <c r="B27" s="184" t="s">
        <v>575</v>
      </c>
      <c r="C27" s="201" t="s">
        <v>266</v>
      </c>
      <c r="D27" s="201">
        <v>45.316090600000003</v>
      </c>
      <c r="E27" s="201">
        <v>-60.999510700000002</v>
      </c>
      <c r="F27" s="201">
        <v>266</v>
      </c>
      <c r="G27" s="202" t="s">
        <v>543</v>
      </c>
      <c r="H27" s="203" t="s">
        <v>441</v>
      </c>
      <c r="I27" s="203" t="s">
        <v>495</v>
      </c>
      <c r="J27" s="201">
        <v>3075</v>
      </c>
      <c r="K27" s="201">
        <f>ROUND((D27+90)*2, 0)</f>
        <v>271</v>
      </c>
      <c r="L27" s="182">
        <f t="shared" si="1"/>
        <v>179</v>
      </c>
    </row>
    <row r="28" spans="1:12">
      <c r="C28" s="182"/>
      <c r="F28" s="182"/>
      <c r="G28" s="188"/>
      <c r="H28" s="187"/>
      <c r="I28" s="187"/>
      <c r="J28" s="182"/>
      <c r="K28" s="182"/>
    </row>
    <row r="29" spans="1:12">
      <c r="C29" s="182"/>
      <c r="F29" s="182"/>
      <c r="G29" s="188"/>
      <c r="H29" s="187"/>
      <c r="I29" s="187"/>
      <c r="J29" s="182"/>
      <c r="K29" s="182"/>
    </row>
    <row r="30" spans="1:12">
      <c r="C30" s="182"/>
      <c r="F30" s="182"/>
      <c r="G30" s="188"/>
      <c r="H30" s="187"/>
      <c r="I30" s="187"/>
      <c r="J30" s="182"/>
      <c r="K30" s="182"/>
    </row>
    <row r="31" spans="1:12">
      <c r="C31" s="182"/>
      <c r="F31" s="182"/>
      <c r="G31" s="188"/>
      <c r="H31" s="187"/>
      <c r="I31" s="187"/>
      <c r="J31" s="182"/>
      <c r="K31" s="182"/>
    </row>
    <row r="32" spans="1:12">
      <c r="C32" s="182"/>
      <c r="F32" s="182"/>
      <c r="G32" s="188"/>
      <c r="H32" s="187"/>
      <c r="I32" s="187"/>
      <c r="J32" s="182"/>
      <c r="K32" s="182"/>
    </row>
    <row r="33" spans="3:11">
      <c r="C33" s="182"/>
      <c r="F33" s="182"/>
      <c r="G33" s="188"/>
      <c r="H33" s="187"/>
      <c r="I33" s="187"/>
      <c r="J33" s="182"/>
      <c r="K33" s="182"/>
    </row>
    <row r="34" spans="3:11">
      <c r="C34" s="182"/>
      <c r="F34" s="182"/>
      <c r="G34" s="188"/>
      <c r="H34" s="187"/>
      <c r="I34" s="187"/>
      <c r="J34" s="182"/>
      <c r="K34" s="182"/>
    </row>
    <row r="35" spans="3:11">
      <c r="C35" s="182"/>
      <c r="F35" s="182"/>
      <c r="G35" s="188"/>
      <c r="H35" s="187"/>
      <c r="I35" s="187"/>
      <c r="J35" s="182"/>
      <c r="K35" s="182"/>
    </row>
    <row r="36" spans="3:11">
      <c r="C36" s="182"/>
      <c r="F36" s="182"/>
      <c r="G36" s="188"/>
      <c r="H36" s="187"/>
      <c r="I36" s="187"/>
      <c r="J36" s="182"/>
      <c r="K36" s="182"/>
    </row>
    <row r="37" spans="3:11">
      <c r="C37" s="182"/>
      <c r="F37" s="182"/>
      <c r="G37" s="188"/>
      <c r="H37" s="187"/>
      <c r="I37" s="190"/>
      <c r="J37" s="182"/>
      <c r="K37" s="182"/>
    </row>
    <row r="38" spans="3:11">
      <c r="C38" s="182"/>
      <c r="F38" s="182"/>
      <c r="G38" s="188"/>
      <c r="H38" s="187"/>
      <c r="I38" s="190"/>
      <c r="J38" s="182"/>
      <c r="K38" s="182"/>
    </row>
    <row r="39" spans="3:11">
      <c r="C39" s="182"/>
      <c r="F39" s="182"/>
      <c r="G39" s="188"/>
      <c r="H39" s="187"/>
      <c r="I39" s="190"/>
      <c r="J39" s="182"/>
      <c r="K39" s="182"/>
    </row>
    <row r="40" spans="3:11">
      <c r="C40" s="182"/>
      <c r="F40" s="182"/>
      <c r="G40" s="188"/>
      <c r="H40" s="187"/>
      <c r="I40" s="190"/>
      <c r="J40" s="182"/>
      <c r="K40" s="182"/>
    </row>
    <row r="41" spans="3:11">
      <c r="C41" s="182"/>
      <c r="F41" s="182"/>
      <c r="G41" s="188"/>
      <c r="H41" s="187"/>
      <c r="I41" s="190"/>
      <c r="J41" s="182"/>
      <c r="K41" s="182"/>
    </row>
    <row r="42" spans="3:11">
      <c r="C42" s="182"/>
      <c r="F42" s="182"/>
      <c r="G42" s="188"/>
      <c r="H42" s="187"/>
      <c r="I42" s="187"/>
      <c r="J42" s="182"/>
      <c r="K42" s="182"/>
    </row>
    <row r="43" spans="3:11">
      <c r="C43" s="182"/>
      <c r="F43" s="182"/>
      <c r="G43" s="188"/>
      <c r="H43" s="187"/>
      <c r="I43" s="187"/>
      <c r="J43" s="182"/>
      <c r="K43" s="182"/>
    </row>
    <row r="44" spans="3:11">
      <c r="C44" s="182"/>
      <c r="F44" s="182"/>
      <c r="G44" s="188"/>
      <c r="H44" s="187"/>
      <c r="I44" s="187"/>
      <c r="J44" s="182"/>
      <c r="K44" s="182"/>
    </row>
    <row r="45" spans="3:11">
      <c r="C45" s="182"/>
      <c r="F45" s="182"/>
      <c r="G45" s="188"/>
      <c r="H45" s="187"/>
      <c r="I45" s="187"/>
      <c r="J45" s="182"/>
      <c r="K45" s="182"/>
    </row>
  </sheetData>
  <sortState xmlns:xlrd2="http://schemas.microsoft.com/office/spreadsheetml/2017/richdata2" ref="O6:P26">
    <sortCondition ref="O6:O26"/>
    <sortCondition ref="P6:P26"/>
  </sortState>
  <phoneticPr fontId="23" type="noConversion"/>
  <dataValidations count="10">
    <dataValidation type="custom" allowBlank="1" showInputMessage="1" showErrorMessage="1" sqref="M2:M3 J2:J26" xr:uid="{3BEBD562-CD0A-4F01-BBC4-F064984FD261}">
      <formula1>M2&lt;U2</formula1>
    </dataValidation>
    <dataValidation type="custom" allowBlank="1" showInputMessage="1" showErrorMessage="1" sqref="M4:M5" xr:uid="{D3EDEDED-86B8-403D-97B6-F3E2E1F9466D}">
      <formula1>P4&lt;#REF!</formula1>
    </dataValidation>
    <dataValidation type="custom" allowBlank="1" showInputMessage="1" showErrorMessage="1" sqref="F2:F7" xr:uid="{5ACE56CA-D3E8-4928-B10C-5BE417E20D05}">
      <formula1>J2&lt;R2</formula1>
    </dataValidation>
    <dataValidation type="custom" allowBlank="1" showInputMessage="1" showErrorMessage="1" sqref="J27:J45" xr:uid="{DDD6504A-AF47-4714-9388-8BF16B8775C3}">
      <formula1>#REF!&lt;#REF!</formula1>
    </dataValidation>
    <dataValidation type="list" allowBlank="1" showInputMessage="1" showErrorMessage="1" sqref="C27:C45" xr:uid="{8B37B4D2-44DD-4074-A970-C88BD106CE50}">
      <formula1>INDIRECT(#REF!)</formula1>
    </dataValidation>
    <dataValidation type="custom" allowBlank="1" showInputMessage="1" showErrorMessage="1" sqref="F37:F43" xr:uid="{169DE4A2-6104-4741-B7AB-6788666A03E8}">
      <formula1>J37&lt;#REF!</formula1>
    </dataValidation>
    <dataValidation type="custom" allowBlank="1" showInputMessage="1" showErrorMessage="1" sqref="M6" xr:uid="{8C6B8B42-C4C7-41BA-9766-7808FE9C7205}">
      <formula1>P6&lt;X4</formula1>
    </dataValidation>
    <dataValidation type="list" allowBlank="1" showInputMessage="1" showErrorMessage="1" sqref="C2:C26" xr:uid="{7E4511A7-64F9-46A1-B77D-2ABFD63FD0DF}">
      <formula1>INDIRECT($A2)</formula1>
    </dataValidation>
    <dataValidation type="list" allowBlank="1" showInputMessage="1" showErrorMessage="1" sqref="I2:I45" xr:uid="{67CDEA4B-C69A-4C6F-ABB2-2734D227AE35}">
      <formula1>INDIRECT(C2)</formula1>
    </dataValidation>
    <dataValidation type="list" allowBlank="1" showInputMessage="1" showErrorMessage="1" sqref="A2:A27" xr:uid="{B80F50AD-BB4C-4D2D-AF7D-1C041DFF3106}">
      <formula1>VRE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5"/>
  <sheetViews>
    <sheetView zoomScale="80" zoomScaleNormal="80" workbookViewId="0">
      <selection activeCell="B18" sqref="B18"/>
    </sheetView>
  </sheetViews>
  <sheetFormatPr defaultRowHeight="15"/>
  <cols>
    <col min="1" max="1" width="35.28515625" style="171" customWidth="1"/>
    <col min="2" max="2" width="19.140625" style="171" customWidth="1"/>
    <col min="3" max="4" width="19.5703125" style="182" customWidth="1"/>
    <col min="5" max="5" width="8" style="189" customWidth="1"/>
    <col min="6" max="6" width="18.42578125" style="182" customWidth="1"/>
    <col min="7" max="7" width="35.7109375" style="182" customWidth="1"/>
    <col min="8" max="8" width="23.7109375" style="173" customWidth="1"/>
    <col min="9" max="9" width="11.85546875" style="173" bestFit="1" customWidth="1"/>
    <col min="10" max="10" width="14" style="173" bestFit="1" customWidth="1"/>
    <col min="11" max="11" width="9.140625" style="173"/>
    <col min="12" max="12" width="14.28515625" style="191" customWidth="1"/>
    <col min="13" max="13" width="30.5703125" style="191" customWidth="1"/>
    <col min="14" max="16384" width="9.140625" style="171"/>
  </cols>
  <sheetData>
    <row r="1" spans="1:22" s="176" customFormat="1" ht="30">
      <c r="A1" s="176" t="s">
        <v>223</v>
      </c>
      <c r="B1" s="176" t="s">
        <v>263</v>
      </c>
      <c r="C1" s="176" t="s">
        <v>274</v>
      </c>
      <c r="D1" s="176" t="s">
        <v>296</v>
      </c>
      <c r="E1" s="176" t="s">
        <v>407</v>
      </c>
      <c r="F1" s="176" t="s">
        <v>25</v>
      </c>
      <c r="G1" s="176" t="s">
        <v>261</v>
      </c>
      <c r="H1" s="176" t="s">
        <v>300</v>
      </c>
      <c r="I1" s="176" t="s">
        <v>301</v>
      </c>
      <c r="J1" s="176" t="s">
        <v>302</v>
      </c>
      <c r="K1" s="176" t="s">
        <v>403</v>
      </c>
      <c r="L1" s="168" t="s">
        <v>568</v>
      </c>
      <c r="M1" s="168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6</v>
      </c>
    </row>
    <row r="2" spans="1:22" ht="18.75">
      <c r="A2" s="182" t="s">
        <v>504</v>
      </c>
      <c r="B2" s="182" t="str">
        <f t="shared" ref="B2:B8" si="0">A2</f>
        <v>Biomass_1</v>
      </c>
      <c r="C2" s="182" t="s">
        <v>10</v>
      </c>
      <c r="D2" t="s">
        <v>582</v>
      </c>
      <c r="E2" s="189">
        <f>ROUND(F2*0.1,0)</f>
        <v>0</v>
      </c>
      <c r="F2" s="182">
        <v>2</v>
      </c>
      <c r="G2" s="188" t="s">
        <v>456</v>
      </c>
      <c r="L2" s="192"/>
      <c r="M2" s="192"/>
      <c r="N2" s="172"/>
      <c r="O2" s="172"/>
    </row>
    <row r="3" spans="1:22" ht="18.75">
      <c r="A3" s="182" t="s">
        <v>505</v>
      </c>
      <c r="B3" s="182" t="str">
        <f t="shared" si="0"/>
        <v>Biomass_2</v>
      </c>
      <c r="C3" s="182" t="s">
        <v>10</v>
      </c>
      <c r="D3" t="s">
        <v>582</v>
      </c>
      <c r="E3" s="189">
        <f t="shared" ref="E3:E5" si="1">ROUND(F3*0.1,0)</f>
        <v>3</v>
      </c>
      <c r="F3" s="182">
        <v>30</v>
      </c>
      <c r="G3" s="188" t="s">
        <v>453</v>
      </c>
      <c r="L3" s="192"/>
      <c r="M3" s="192"/>
      <c r="N3" s="172"/>
      <c r="O3" s="172"/>
    </row>
    <row r="4" spans="1:22" ht="18.75">
      <c r="A4" s="182" t="s">
        <v>506</v>
      </c>
      <c r="B4" s="182" t="str">
        <f t="shared" si="0"/>
        <v>Biomass_3</v>
      </c>
      <c r="C4" s="182" t="s">
        <v>10</v>
      </c>
      <c r="D4" t="s">
        <v>582</v>
      </c>
      <c r="E4" s="189">
        <f t="shared" si="1"/>
        <v>6</v>
      </c>
      <c r="F4" s="182">
        <v>61</v>
      </c>
      <c r="G4" s="188" t="s">
        <v>456</v>
      </c>
      <c r="L4" s="192"/>
      <c r="M4" s="192"/>
      <c r="N4" s="172"/>
      <c r="O4" s="172"/>
    </row>
    <row r="5" spans="1:22" ht="18.75">
      <c r="A5" s="182" t="s">
        <v>507</v>
      </c>
      <c r="B5" s="182" t="str">
        <f t="shared" si="0"/>
        <v>Biomass_4</v>
      </c>
      <c r="C5" s="182" t="s">
        <v>10</v>
      </c>
      <c r="D5" t="s">
        <v>582</v>
      </c>
      <c r="E5" s="189">
        <f t="shared" si="1"/>
        <v>0</v>
      </c>
      <c r="F5" s="182">
        <v>1.2</v>
      </c>
      <c r="G5" s="188" t="s">
        <v>544</v>
      </c>
      <c r="L5" s="192"/>
      <c r="N5" s="172"/>
      <c r="O5" s="172"/>
    </row>
    <row r="6" spans="1:22" ht="18.75">
      <c r="A6" s="182" t="s">
        <v>508</v>
      </c>
      <c r="B6" s="182" t="str">
        <f t="shared" si="0"/>
        <v>Coal_1</v>
      </c>
      <c r="C6" s="182" t="s">
        <v>20</v>
      </c>
      <c r="D6" t="s">
        <v>579</v>
      </c>
      <c r="E6" s="189">
        <v>0</v>
      </c>
      <c r="F6" s="182">
        <v>603</v>
      </c>
      <c r="G6" s="188" t="s">
        <v>457</v>
      </c>
      <c r="L6" s="192"/>
      <c r="N6" s="172"/>
      <c r="O6" s="172"/>
    </row>
    <row r="7" spans="1:22" ht="18.75">
      <c r="A7" s="182" t="s">
        <v>509</v>
      </c>
      <c r="B7" s="182" t="str">
        <f t="shared" si="0"/>
        <v>Coal_5</v>
      </c>
      <c r="C7" s="182" t="s">
        <v>20</v>
      </c>
      <c r="D7" t="s">
        <v>579</v>
      </c>
      <c r="E7" s="189">
        <v>0</v>
      </c>
      <c r="F7" s="182">
        <v>315</v>
      </c>
      <c r="G7" s="188" t="s">
        <v>438</v>
      </c>
      <c r="H7" s="216"/>
      <c r="I7"/>
      <c r="L7" s="192"/>
      <c r="N7" s="172"/>
      <c r="O7" s="172"/>
      <c r="V7" s="188" t="s">
        <v>458</v>
      </c>
    </row>
    <row r="8" spans="1:22" ht="18.75">
      <c r="A8" s="182" t="s">
        <v>510</v>
      </c>
      <c r="B8" s="182" t="str">
        <f t="shared" si="0"/>
        <v>Coal_7</v>
      </c>
      <c r="C8" s="182" t="s">
        <v>20</v>
      </c>
      <c r="D8" t="s">
        <v>579</v>
      </c>
      <c r="E8" s="189">
        <v>0</v>
      </c>
      <c r="F8" s="182">
        <v>310</v>
      </c>
      <c r="G8" s="188" t="s">
        <v>543</v>
      </c>
      <c r="H8" s="216"/>
      <c r="I8"/>
      <c r="L8" s="192"/>
      <c r="N8" s="172"/>
      <c r="O8" s="172"/>
      <c r="V8" s="188" t="s">
        <v>457</v>
      </c>
    </row>
    <row r="9" spans="1:22" ht="18.75">
      <c r="A9" s="182" t="s">
        <v>523</v>
      </c>
      <c r="B9" s="182" t="s">
        <v>523</v>
      </c>
      <c r="C9" s="182" t="s">
        <v>516</v>
      </c>
      <c r="D9" t="s">
        <v>578</v>
      </c>
      <c r="E9" s="189">
        <f>ROUND(F9*0.2,0)</f>
        <v>29</v>
      </c>
      <c r="F9" s="182">
        <v>143</v>
      </c>
      <c r="G9" s="188" t="s">
        <v>456</v>
      </c>
      <c r="H9" s="216"/>
      <c r="I9"/>
      <c r="L9" s="192"/>
      <c r="V9" s="188" t="s">
        <v>543</v>
      </c>
    </row>
    <row r="10" spans="1:22" ht="18.75">
      <c r="A10" s="182" t="s">
        <v>511</v>
      </c>
      <c r="B10" s="182" t="str">
        <f t="shared" ref="B10:B13" si="2">A10</f>
        <v>fuel oil_1</v>
      </c>
      <c r="C10" s="182" t="s">
        <v>228</v>
      </c>
      <c r="D10" t="s">
        <v>581</v>
      </c>
      <c r="E10" s="189">
        <v>0</v>
      </c>
      <c r="F10" s="182">
        <v>120</v>
      </c>
      <c r="G10" s="188" t="s">
        <v>456</v>
      </c>
      <c r="H10" s="217"/>
      <c r="I10"/>
      <c r="L10" s="192"/>
      <c r="M10" s="192"/>
      <c r="V10" s="188" t="s">
        <v>545</v>
      </c>
    </row>
    <row r="11" spans="1:22" ht="18.75">
      <c r="A11" s="182" t="s">
        <v>512</v>
      </c>
      <c r="B11" s="182" t="str">
        <f t="shared" si="2"/>
        <v>fuel oil_5</v>
      </c>
      <c r="C11" s="182" t="s">
        <v>228</v>
      </c>
      <c r="D11" t="s">
        <v>581</v>
      </c>
      <c r="E11" s="189">
        <v>0</v>
      </c>
      <c r="F11" s="182">
        <v>24</v>
      </c>
      <c r="G11" s="188" t="s">
        <v>453</v>
      </c>
      <c r="H11" s="216"/>
      <c r="I11"/>
      <c r="L11" s="192"/>
      <c r="M11" s="192"/>
    </row>
    <row r="12" spans="1:22" ht="18.75">
      <c r="A12" s="182" t="s">
        <v>513</v>
      </c>
      <c r="B12" s="182" t="str">
        <f t="shared" si="2"/>
        <v>fuel oil_6</v>
      </c>
      <c r="C12" s="182" t="s">
        <v>228</v>
      </c>
      <c r="D12" t="s">
        <v>581</v>
      </c>
      <c r="E12" s="189">
        <v>0</v>
      </c>
      <c r="F12" s="182">
        <v>60</v>
      </c>
      <c r="G12" s="188" t="s">
        <v>544</v>
      </c>
      <c r="H12" s="216"/>
      <c r="I12"/>
      <c r="L12" s="192"/>
      <c r="M12" s="192"/>
    </row>
    <row r="13" spans="1:22" ht="18.75">
      <c r="A13" s="182" t="s">
        <v>514</v>
      </c>
      <c r="B13" s="182" t="str">
        <f t="shared" si="2"/>
        <v>fuel oil_8</v>
      </c>
      <c r="C13" s="182" t="s">
        <v>228</v>
      </c>
      <c r="D13" t="s">
        <v>581</v>
      </c>
      <c r="E13" s="189">
        <v>0</v>
      </c>
      <c r="F13" s="182">
        <v>350</v>
      </c>
      <c r="G13" s="188" t="s">
        <v>456</v>
      </c>
      <c r="H13" s="216"/>
      <c r="I13"/>
      <c r="L13" s="192"/>
      <c r="M13" s="192"/>
    </row>
    <row r="14" spans="1:22" ht="18.75">
      <c r="A14" s="182" t="s">
        <v>538</v>
      </c>
      <c r="B14" s="182" t="str">
        <f>A14</f>
        <v>hydro_daily_1</v>
      </c>
      <c r="C14" s="182" t="s">
        <v>520</v>
      </c>
      <c r="D14" t="s">
        <v>580</v>
      </c>
      <c r="E14" s="182">
        <v>0</v>
      </c>
      <c r="F14" s="182">
        <v>98.5</v>
      </c>
      <c r="G14" s="188" t="s">
        <v>456</v>
      </c>
      <c r="L14" s="192"/>
      <c r="M14" s="192"/>
    </row>
    <row r="15" spans="1:22" ht="18.75">
      <c r="A15" s="182" t="s">
        <v>541</v>
      </c>
      <c r="B15" s="182" t="str">
        <f t="shared" ref="B15:B17" si="3">A15</f>
        <v>hydro_daily_22</v>
      </c>
      <c r="C15" s="182" t="s">
        <v>520</v>
      </c>
      <c r="D15" t="s">
        <v>580</v>
      </c>
      <c r="E15" s="182">
        <v>0</v>
      </c>
      <c r="F15" s="182">
        <v>82</v>
      </c>
      <c r="G15" s="188" t="s">
        <v>453</v>
      </c>
      <c r="L15" s="192"/>
      <c r="M15" s="192"/>
    </row>
    <row r="16" spans="1:22" ht="18.75">
      <c r="A16" s="182" t="s">
        <v>542</v>
      </c>
      <c r="B16" s="182" t="str">
        <f t="shared" si="3"/>
        <v>hydro_daily_48</v>
      </c>
      <c r="C16" s="182" t="s">
        <v>520</v>
      </c>
      <c r="D16" t="s">
        <v>580</v>
      </c>
      <c r="E16" s="182">
        <v>0</v>
      </c>
      <c r="F16" s="182">
        <v>216</v>
      </c>
      <c r="G16" s="188" t="s">
        <v>545</v>
      </c>
      <c r="L16" s="192"/>
      <c r="M16" s="192"/>
    </row>
    <row r="17" spans="1:13" ht="18.75">
      <c r="A17" s="182" t="s">
        <v>539</v>
      </c>
      <c r="B17" s="182" t="str">
        <f t="shared" si="3"/>
        <v>hydro_monthly_1</v>
      </c>
      <c r="C17" s="182" t="s">
        <v>521</v>
      </c>
      <c r="D17" t="s">
        <v>580</v>
      </c>
      <c r="E17" s="182">
        <v>0</v>
      </c>
      <c r="F17" s="182">
        <v>153</v>
      </c>
      <c r="G17" s="188" t="s">
        <v>545</v>
      </c>
      <c r="L17" s="192"/>
      <c r="M17" s="192"/>
    </row>
    <row r="18" spans="1:13" ht="18.75">
      <c r="A18" s="172" t="s">
        <v>583</v>
      </c>
      <c r="B18" s="172" t="s">
        <v>583</v>
      </c>
      <c r="C18" s="172" t="s">
        <v>577</v>
      </c>
      <c r="D18" s="182" t="s">
        <v>584</v>
      </c>
      <c r="E18" s="189">
        <v>0</v>
      </c>
      <c r="F18" s="182">
        <v>1</v>
      </c>
      <c r="G18" s="202" t="s">
        <v>543</v>
      </c>
      <c r="L18" s="192"/>
      <c r="M18" s="192"/>
    </row>
    <row r="19" spans="1:13" ht="18.75">
      <c r="A19" s="172"/>
      <c r="B19" s="172"/>
      <c r="L19" s="192"/>
      <c r="M19" s="192"/>
    </row>
    <row r="20" spans="1:13" ht="18.75">
      <c r="A20" s="172"/>
      <c r="B20" s="172"/>
      <c r="L20" s="192"/>
      <c r="M20" s="192"/>
    </row>
    <row r="21" spans="1:13" ht="18.75">
      <c r="A21" s="172"/>
      <c r="B21" s="172"/>
      <c r="L21" s="192"/>
      <c r="M21" s="192"/>
    </row>
    <row r="22" spans="1:13" ht="18.75">
      <c r="A22" s="172"/>
      <c r="B22" s="172"/>
      <c r="L22" s="192"/>
      <c r="M22" s="192"/>
    </row>
    <row r="23" spans="1:13" ht="18.75">
      <c r="A23" s="172"/>
      <c r="B23" s="172"/>
      <c r="L23" s="192"/>
      <c r="M23" s="192"/>
    </row>
    <row r="24" spans="1:13" ht="18.75">
      <c r="A24" s="172"/>
      <c r="B24" s="172"/>
      <c r="L24" s="192"/>
      <c r="M24" s="192"/>
    </row>
    <row r="25" spans="1:13" ht="18.75">
      <c r="A25" s="172"/>
      <c r="B25" s="172"/>
      <c r="L25" s="192"/>
      <c r="M25" s="192"/>
    </row>
    <row r="26" spans="1:13" ht="18.75">
      <c r="L26" s="192"/>
      <c r="M26" s="192"/>
    </row>
    <row r="27" spans="1:13" ht="18.75">
      <c r="L27" s="192"/>
      <c r="M27" s="192"/>
    </row>
    <row r="28" spans="1:13" ht="18.75">
      <c r="L28" s="192"/>
      <c r="M28" s="192"/>
    </row>
    <row r="29" spans="1:13" ht="18.75">
      <c r="L29" s="192"/>
      <c r="M29" s="192"/>
    </row>
    <row r="30" spans="1:13" ht="18.75">
      <c r="L30" s="192"/>
      <c r="M30" s="192"/>
    </row>
    <row r="31" spans="1:13" ht="18.75">
      <c r="L31" s="192"/>
      <c r="M31" s="192"/>
    </row>
    <row r="32" spans="1:13" ht="18.75">
      <c r="L32" s="192"/>
      <c r="M32" s="192"/>
    </row>
    <row r="33" spans="12:13" ht="18.75">
      <c r="L33" s="192"/>
      <c r="M33" s="192"/>
    </row>
    <row r="34" spans="12:13" ht="18.75">
      <c r="L34" s="192"/>
      <c r="M34" s="192"/>
    </row>
    <row r="35" spans="12:13" ht="18.75">
      <c r="L35" s="192"/>
      <c r="M35" s="192"/>
    </row>
  </sheetData>
  <phoneticPr fontId="2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00"/>
  </sheetPr>
  <dimension ref="A1:Q16"/>
  <sheetViews>
    <sheetView zoomScale="80" zoomScaleNormal="80" workbookViewId="0">
      <selection activeCell="A4" sqref="A4:XFD4"/>
    </sheetView>
  </sheetViews>
  <sheetFormatPr defaultRowHeight="15"/>
  <cols>
    <col min="1" max="1" width="13.28515625" customWidth="1"/>
    <col min="2" max="2" width="16.42578125" bestFit="1" customWidth="1"/>
    <col min="3" max="5" width="8" customWidth="1"/>
    <col min="6" max="6" width="10.42578125" customWidth="1"/>
    <col min="7" max="7" width="8" customWidth="1"/>
    <col min="8" max="8" width="8.85546875" customWidth="1"/>
    <col min="9" max="13" width="8" customWidth="1"/>
    <col min="14" max="14" width="8.85546875" customWidth="1"/>
  </cols>
  <sheetData>
    <row r="1" spans="1:17" s="58" customFormat="1" ht="60">
      <c r="A1" s="163" t="s">
        <v>223</v>
      </c>
      <c r="B1" s="163" t="s">
        <v>263</v>
      </c>
      <c r="C1" s="163" t="s">
        <v>274</v>
      </c>
      <c r="D1" s="163" t="s">
        <v>407</v>
      </c>
      <c r="E1" s="163" t="s">
        <v>25</v>
      </c>
      <c r="F1" s="106" t="s">
        <v>280</v>
      </c>
      <c r="G1" s="106" t="s">
        <v>279</v>
      </c>
      <c r="H1" s="163" t="s">
        <v>299</v>
      </c>
      <c r="I1" s="163" t="s">
        <v>261</v>
      </c>
      <c r="J1" s="160" t="s">
        <v>296</v>
      </c>
      <c r="K1" s="163" t="s">
        <v>300</v>
      </c>
      <c r="L1" s="163" t="s">
        <v>301</v>
      </c>
      <c r="M1" s="163" t="s">
        <v>302</v>
      </c>
      <c r="N1" s="163" t="s">
        <v>403</v>
      </c>
      <c r="O1" s="106"/>
      <c r="P1" s="106"/>
      <c r="Q1" s="106"/>
    </row>
    <row r="2" spans="1:17">
      <c r="A2" s="98"/>
      <c r="B2" s="98"/>
      <c r="C2" s="98"/>
      <c r="D2" s="98"/>
      <c r="E2" s="98"/>
      <c r="F2" s="98"/>
      <c r="G2" s="98"/>
      <c r="H2" s="98"/>
      <c r="I2" s="33"/>
      <c r="J2" s="98"/>
      <c r="K2" s="98"/>
      <c r="L2" s="98"/>
      <c r="M2" s="98"/>
      <c r="N2" s="5"/>
      <c r="O2" s="5"/>
      <c r="P2" s="5"/>
      <c r="Q2" s="5"/>
    </row>
    <row r="3" spans="1:17">
      <c r="A3" s="98"/>
      <c r="C3" s="98"/>
      <c r="D3" s="98"/>
      <c r="E3" s="98"/>
      <c r="F3" s="98"/>
      <c r="G3" s="98"/>
      <c r="H3" s="98"/>
      <c r="I3" s="98"/>
      <c r="J3" s="98"/>
      <c r="K3" s="5"/>
      <c r="L3" s="5"/>
      <c r="M3" s="5"/>
      <c r="N3" s="5"/>
      <c r="O3" s="5"/>
      <c r="P3" s="5"/>
      <c r="Q3" s="5"/>
    </row>
    <row r="4" spans="1:17" s="195" customFormat="1">
      <c r="A4" s="193"/>
      <c r="B4" s="193"/>
      <c r="C4" s="193"/>
      <c r="D4" s="193"/>
      <c r="E4" s="193"/>
      <c r="F4" s="193"/>
      <c r="G4" s="193"/>
      <c r="H4" s="193"/>
      <c r="I4" s="194"/>
      <c r="J4" s="193"/>
    </row>
    <row r="5" spans="1:17">
      <c r="A5" s="98"/>
      <c r="B5" s="98"/>
      <c r="C5" s="98"/>
      <c r="D5" s="98"/>
      <c r="E5" s="98"/>
      <c r="F5" s="98"/>
      <c r="G5" s="98"/>
      <c r="H5" s="98"/>
      <c r="I5" s="98"/>
      <c r="J5" s="98"/>
      <c r="K5" s="5"/>
      <c r="L5" s="5"/>
      <c r="M5" s="5"/>
      <c r="N5" s="5"/>
      <c r="O5" s="5"/>
      <c r="P5" s="5"/>
      <c r="Q5" s="5"/>
    </row>
    <row r="6" spans="1:17">
      <c r="A6" s="98"/>
      <c r="B6" s="98"/>
      <c r="C6" s="98"/>
      <c r="D6" s="98"/>
      <c r="E6" s="98"/>
      <c r="F6" s="98"/>
      <c r="G6" s="98"/>
      <c r="H6" s="155"/>
      <c r="I6" s="98"/>
      <c r="J6" s="5"/>
      <c r="K6" s="5"/>
      <c r="L6" s="5"/>
      <c r="M6" s="5"/>
      <c r="N6" s="5"/>
      <c r="O6" s="5"/>
      <c r="P6" s="5"/>
      <c r="Q6" s="5"/>
    </row>
    <row r="7" spans="1:17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5"/>
      <c r="P7" s="5"/>
      <c r="Q7" s="5"/>
    </row>
    <row r="8" spans="1:17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5"/>
      <c r="P8" s="5"/>
      <c r="Q8" s="5"/>
    </row>
    <row r="9" spans="1:17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1:17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1:17">
      <c r="A11" s="53"/>
      <c r="B11" s="56"/>
      <c r="C11" s="56"/>
      <c r="D11" s="53"/>
      <c r="E11" s="56"/>
      <c r="F11" s="56"/>
      <c r="G11" s="56"/>
      <c r="H11" s="56"/>
      <c r="I11" s="56"/>
    </row>
    <row r="12" spans="1:17">
      <c r="A12" s="33"/>
      <c r="B12" s="33"/>
      <c r="C12" s="33"/>
      <c r="D12" s="33"/>
      <c r="E12" s="33"/>
      <c r="F12" s="33"/>
      <c r="G12" s="33"/>
      <c r="H12" s="33"/>
      <c r="I12" s="33"/>
    </row>
    <row r="13" spans="1:17">
      <c r="A13" s="33"/>
      <c r="B13" s="33"/>
      <c r="C13" s="33"/>
      <c r="D13" s="33"/>
      <c r="E13" s="33"/>
      <c r="F13" s="33"/>
      <c r="G13" s="33"/>
      <c r="H13" s="33"/>
      <c r="I13" s="33"/>
    </row>
    <row r="14" spans="1:17">
      <c r="A14" s="33"/>
      <c r="B14" s="33"/>
      <c r="C14" s="33"/>
      <c r="D14" s="33"/>
      <c r="E14" s="33"/>
      <c r="F14" s="33"/>
      <c r="G14" s="33"/>
      <c r="H14" s="33"/>
      <c r="I14" s="33"/>
    </row>
    <row r="15" spans="1:17">
      <c r="A15" s="33"/>
      <c r="B15" s="33"/>
      <c r="C15" s="33"/>
      <c r="D15" s="33"/>
      <c r="E15" s="33"/>
      <c r="F15" s="33"/>
      <c r="G15" s="33"/>
      <c r="H15" s="33"/>
      <c r="I15" s="33"/>
    </row>
    <row r="16" spans="1:17">
      <c r="A16" s="33"/>
      <c r="B16" s="33"/>
      <c r="C16" s="33"/>
      <c r="D16" s="33"/>
      <c r="E16" s="33"/>
      <c r="F16" s="33"/>
      <c r="G16" s="33"/>
      <c r="H16" s="33"/>
      <c r="I16" s="33"/>
    </row>
  </sheetData>
  <dataValidations count="3">
    <dataValidation type="custom" allowBlank="1" showInputMessage="1" showErrorMessage="1" sqref="I2" xr:uid="{00000000-0002-0000-0600-000000000000}">
      <formula1>M1&lt;T2</formula1>
    </dataValidation>
    <dataValidation type="custom" allowBlank="1" showInputMessage="1" showErrorMessage="1" sqref="I4" xr:uid="{00000000-0002-0000-0600-000001000000}">
      <formula1>I15&lt;V25*10^6</formula1>
    </dataValidation>
    <dataValidation type="custom" allowBlank="1" showInputMessage="1" showErrorMessage="1" sqref="B3" xr:uid="{00000000-0002-0000-0600-000002000000}">
      <formula1>E3&lt;M3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9"/>
  <sheetViews>
    <sheetView zoomScale="80" zoomScaleNormal="80" workbookViewId="0">
      <selection activeCell="J10" sqref="A2:J10"/>
    </sheetView>
  </sheetViews>
  <sheetFormatPr defaultRowHeight="15"/>
  <cols>
    <col min="1" max="1" width="16" customWidth="1"/>
    <col min="2" max="2" width="12.7109375" customWidth="1"/>
    <col min="3" max="3" width="6.5703125" customWidth="1"/>
    <col min="4" max="4" width="8.5703125" customWidth="1"/>
    <col min="5" max="5" width="9" customWidth="1"/>
    <col min="6" max="6" width="6.7109375" customWidth="1"/>
    <col min="7" max="7" width="17.28515625" customWidth="1"/>
    <col min="8" max="8" width="10.5703125" customWidth="1"/>
    <col min="9" max="9" width="11.5703125" customWidth="1"/>
    <col min="16" max="16" width="11" customWidth="1"/>
  </cols>
  <sheetData>
    <row r="1" spans="1:15" s="169" customFormat="1" ht="53.25" customHeight="1">
      <c r="A1" s="168" t="s">
        <v>223</v>
      </c>
      <c r="B1" s="168" t="s">
        <v>263</v>
      </c>
      <c r="C1" s="168" t="s">
        <v>274</v>
      </c>
      <c r="D1" s="168" t="s">
        <v>25</v>
      </c>
      <c r="E1" s="168" t="s">
        <v>280</v>
      </c>
      <c r="F1" s="169" t="s">
        <v>279</v>
      </c>
      <c r="G1" s="169" t="s">
        <v>409</v>
      </c>
      <c r="H1" s="169" t="s">
        <v>410</v>
      </c>
      <c r="I1" s="168" t="s">
        <v>261</v>
      </c>
      <c r="J1" s="168" t="s">
        <v>300</v>
      </c>
      <c r="K1" s="168" t="s">
        <v>301</v>
      </c>
      <c r="L1" s="168" t="s">
        <v>302</v>
      </c>
      <c r="M1" s="168" t="s">
        <v>403</v>
      </c>
      <c r="N1" s="170" t="s">
        <v>296</v>
      </c>
      <c r="O1" s="169" t="s">
        <v>407</v>
      </c>
    </row>
    <row r="2" spans="1:15">
      <c r="A2" s="177"/>
      <c r="B2" s="177"/>
      <c r="C2" s="177"/>
      <c r="D2" s="177"/>
      <c r="E2" s="177"/>
      <c r="F2" s="177"/>
      <c r="G2" s="178"/>
      <c r="H2" s="179"/>
      <c r="I2" s="180"/>
      <c r="J2" s="181"/>
      <c r="K2" s="181"/>
      <c r="L2" s="181"/>
      <c r="M2" s="177"/>
      <c r="N2" s="180"/>
      <c r="O2" s="180"/>
    </row>
    <row r="3" spans="1:15">
      <c r="A3" s="177"/>
      <c r="B3" s="177"/>
      <c r="C3" s="177"/>
      <c r="D3" s="177"/>
      <c r="E3" s="177"/>
      <c r="F3" s="177"/>
      <c r="G3" s="178"/>
      <c r="H3" s="179"/>
      <c r="I3" s="180"/>
      <c r="J3" s="181"/>
      <c r="K3" s="181"/>
      <c r="L3" s="181"/>
      <c r="M3" s="177"/>
      <c r="N3" s="180"/>
      <c r="O3" s="180"/>
    </row>
    <row r="4" spans="1:15">
      <c r="A4" s="177"/>
      <c r="B4" s="177"/>
      <c r="C4" s="177"/>
      <c r="D4" s="177"/>
      <c r="E4" s="177"/>
      <c r="F4" s="177"/>
      <c r="G4" s="178"/>
      <c r="H4" s="179"/>
      <c r="I4" s="180"/>
      <c r="J4" s="181"/>
      <c r="K4" s="181"/>
      <c r="L4" s="181"/>
      <c r="M4" s="177"/>
      <c r="N4" s="180"/>
      <c r="O4" s="180"/>
    </row>
    <row r="5" spans="1:15">
      <c r="A5" s="177"/>
      <c r="B5" s="177"/>
      <c r="C5" s="177"/>
      <c r="D5" s="177"/>
      <c r="E5" s="177"/>
      <c r="F5" s="177"/>
      <c r="G5" s="178"/>
      <c r="H5" s="179"/>
      <c r="I5" s="180"/>
      <c r="J5" s="180"/>
      <c r="K5" s="180"/>
      <c r="L5" s="180"/>
      <c r="M5" s="177"/>
      <c r="N5" s="180"/>
      <c r="O5" s="180"/>
    </row>
    <row r="6" spans="1:15">
      <c r="A6" s="177"/>
      <c r="B6" s="177"/>
      <c r="C6" s="177"/>
      <c r="D6" s="177"/>
      <c r="E6" s="177"/>
      <c r="F6" s="177"/>
      <c r="G6" s="178"/>
      <c r="H6" s="179"/>
      <c r="I6" s="180"/>
      <c r="J6" s="180"/>
      <c r="K6" s="180"/>
      <c r="L6" s="180"/>
      <c r="M6" s="177"/>
      <c r="N6" s="180"/>
      <c r="O6" s="180"/>
    </row>
    <row r="7" spans="1:15">
      <c r="A7" s="177"/>
      <c r="B7" s="177"/>
      <c r="C7" s="177"/>
      <c r="D7" s="177"/>
      <c r="E7" s="177"/>
      <c r="F7" s="177"/>
      <c r="G7" s="178"/>
      <c r="H7" s="179"/>
      <c r="I7" s="180"/>
      <c r="J7" s="180"/>
      <c r="K7" s="180"/>
      <c r="L7" s="180"/>
      <c r="M7" s="177"/>
      <c r="N7" s="180"/>
      <c r="O7" s="180"/>
    </row>
    <row r="8" spans="1:15">
      <c r="A8" s="177"/>
      <c r="B8" s="177"/>
      <c r="C8" s="177"/>
      <c r="D8" s="177"/>
      <c r="E8" s="177"/>
      <c r="F8" s="177"/>
      <c r="G8" s="178"/>
      <c r="H8" s="179"/>
      <c r="I8" s="180"/>
      <c r="J8" s="180"/>
      <c r="K8" s="180"/>
      <c r="L8" s="180"/>
      <c r="M8" s="177"/>
      <c r="N8" s="180"/>
      <c r="O8" s="180"/>
    </row>
    <row r="9" spans="1:15">
      <c r="A9" s="177"/>
      <c r="B9" s="177"/>
      <c r="C9" s="177"/>
      <c r="D9" s="177"/>
      <c r="E9" s="177"/>
      <c r="F9" s="177"/>
      <c r="G9" s="178"/>
      <c r="H9" s="179"/>
      <c r="I9" s="180"/>
      <c r="J9" s="180"/>
      <c r="K9" s="180"/>
      <c r="L9" s="180"/>
      <c r="M9" s="177"/>
      <c r="N9" s="180"/>
      <c r="O9" s="180"/>
    </row>
    <row r="10" spans="1:15">
      <c r="A10" s="177"/>
      <c r="B10" s="177"/>
      <c r="C10" s="177"/>
      <c r="D10" s="177"/>
      <c r="E10" s="177"/>
      <c r="F10" s="177"/>
      <c r="G10" s="178"/>
      <c r="H10" s="179"/>
      <c r="I10" s="180"/>
      <c r="J10" s="180"/>
      <c r="K10" s="180"/>
      <c r="L10" s="180"/>
      <c r="M10" s="177"/>
      <c r="N10" s="180"/>
      <c r="O10" s="180"/>
    </row>
    <row r="11" spans="1:15">
      <c r="A11" s="167"/>
      <c r="B11" s="167"/>
      <c r="C11" s="167"/>
      <c r="D11" s="167"/>
      <c r="E11" s="167"/>
      <c r="F11" s="167"/>
      <c r="G11" s="167"/>
      <c r="H11" s="167"/>
      <c r="I11" s="167"/>
    </row>
    <row r="12" spans="1:15">
      <c r="A12" s="167"/>
      <c r="B12" s="167"/>
      <c r="C12" s="167"/>
      <c r="D12" s="167"/>
      <c r="E12" s="167"/>
      <c r="F12" s="167"/>
      <c r="G12" s="167"/>
      <c r="H12" s="167"/>
      <c r="I12" s="167"/>
    </row>
    <row r="13" spans="1:15">
      <c r="A13" s="167"/>
      <c r="B13" s="167"/>
      <c r="C13" s="167"/>
      <c r="D13" s="167"/>
      <c r="E13" s="167"/>
      <c r="F13" s="167"/>
      <c r="G13" s="167"/>
      <c r="H13" s="167"/>
      <c r="I13" s="167"/>
    </row>
    <row r="14" spans="1:15">
      <c r="A14" s="167"/>
      <c r="B14" s="167"/>
      <c r="C14" s="167"/>
      <c r="D14" s="167"/>
      <c r="E14" s="167"/>
      <c r="F14" s="167"/>
      <c r="G14" s="167"/>
      <c r="H14" s="167"/>
      <c r="I14" s="167"/>
    </row>
    <row r="15" spans="1:15">
      <c r="A15" s="167"/>
      <c r="B15" s="167"/>
      <c r="C15" s="167"/>
      <c r="D15" s="167"/>
      <c r="E15" s="167"/>
      <c r="F15" s="167"/>
      <c r="G15" s="167"/>
      <c r="H15" s="167"/>
      <c r="I15" s="167"/>
    </row>
    <row r="16" spans="1:15">
      <c r="A16" s="167"/>
      <c r="B16" s="167"/>
      <c r="C16" s="167"/>
      <c r="D16" s="167"/>
      <c r="E16" s="167"/>
      <c r="F16" s="167"/>
      <c r="G16" s="167"/>
      <c r="H16" s="167"/>
      <c r="I16" s="167"/>
    </row>
    <row r="17" spans="1:9">
      <c r="A17" s="167"/>
      <c r="B17" s="167"/>
      <c r="C17" s="167"/>
      <c r="D17" s="167"/>
      <c r="E17" s="167"/>
      <c r="F17" s="167"/>
      <c r="G17" s="167"/>
      <c r="H17" s="167"/>
      <c r="I17" s="167"/>
    </row>
    <row r="18" spans="1:9">
      <c r="A18" s="167"/>
      <c r="B18" s="167"/>
      <c r="C18" s="167"/>
      <c r="D18" s="167"/>
      <c r="E18" s="167"/>
      <c r="F18" s="167"/>
      <c r="G18" s="167"/>
      <c r="H18" s="167"/>
      <c r="I18" s="167"/>
    </row>
    <row r="19" spans="1:9">
      <c r="A19" s="167"/>
      <c r="B19" s="167"/>
      <c r="C19" s="167"/>
      <c r="D19" s="167"/>
      <c r="E19" s="167"/>
      <c r="F19" s="167"/>
      <c r="G19" s="167"/>
      <c r="H19" s="167"/>
      <c r="I19" s="167"/>
    </row>
    <row r="20" spans="1:9">
      <c r="A20" s="167"/>
      <c r="B20" s="167"/>
      <c r="C20" s="167"/>
      <c r="D20" s="167"/>
      <c r="E20" s="167"/>
      <c r="F20" s="167"/>
      <c r="G20" s="68"/>
      <c r="H20" s="167"/>
      <c r="I20" s="167"/>
    </row>
    <row r="21" spans="1:9">
      <c r="A21" s="167"/>
      <c r="B21" s="167"/>
      <c r="C21" s="167"/>
      <c r="D21" s="167"/>
      <c r="E21" s="167"/>
      <c r="F21" s="167"/>
      <c r="G21" s="68"/>
      <c r="H21" s="167"/>
      <c r="I21" s="167"/>
    </row>
    <row r="22" spans="1:9">
      <c r="A22" s="167"/>
      <c r="B22" s="167"/>
      <c r="C22" s="167"/>
      <c r="D22" s="167"/>
      <c r="E22" s="167"/>
      <c r="F22" s="167"/>
      <c r="G22" s="68"/>
      <c r="H22" s="167"/>
      <c r="I22" s="167"/>
    </row>
    <row r="23" spans="1:9">
      <c r="A23" s="167"/>
      <c r="B23" s="167"/>
      <c r="C23" s="167"/>
      <c r="D23" s="167"/>
      <c r="E23" s="167"/>
      <c r="F23" s="167"/>
      <c r="G23" s="68"/>
      <c r="H23" s="167"/>
      <c r="I23" s="167"/>
    </row>
    <row r="24" spans="1:9">
      <c r="A24" s="167"/>
      <c r="B24" s="167"/>
      <c r="C24" s="167"/>
      <c r="D24" s="167"/>
      <c r="E24" s="167"/>
      <c r="F24" s="167"/>
      <c r="G24" s="68"/>
      <c r="H24" s="167"/>
      <c r="I24" s="167"/>
    </row>
    <row r="25" spans="1:9">
      <c r="A25" s="167"/>
      <c r="B25" s="167"/>
      <c r="C25" s="167"/>
      <c r="D25" s="167"/>
      <c r="E25" s="167"/>
      <c r="F25" s="167"/>
      <c r="G25" s="68"/>
      <c r="H25" s="167"/>
      <c r="I25" s="167"/>
    </row>
    <row r="26" spans="1:9">
      <c r="A26" s="167"/>
      <c r="B26" s="167"/>
      <c r="C26" s="167"/>
      <c r="D26" s="167"/>
      <c r="E26" s="167"/>
      <c r="F26" s="167"/>
      <c r="G26" s="68"/>
      <c r="H26" s="167"/>
      <c r="I26" s="167"/>
    </row>
    <row r="27" spans="1:9">
      <c r="A27" s="167"/>
      <c r="B27" s="167"/>
      <c r="C27" s="167"/>
      <c r="D27" s="167"/>
      <c r="E27" s="167"/>
      <c r="F27" s="167"/>
      <c r="G27" s="68"/>
      <c r="H27" s="167"/>
      <c r="I27" s="167"/>
    </row>
    <row r="28" spans="1:9">
      <c r="A28" s="167"/>
      <c r="B28" s="167"/>
      <c r="C28" s="167"/>
      <c r="D28" s="167"/>
      <c r="E28" s="167"/>
      <c r="F28" s="167"/>
      <c r="G28" s="68"/>
      <c r="H28" s="167"/>
      <c r="I28" s="167"/>
    </row>
    <row r="29" spans="1:9">
      <c r="G29" s="5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6600"/>
  </sheetPr>
  <dimension ref="A1:C19"/>
  <sheetViews>
    <sheetView workbookViewId="0">
      <selection activeCell="C3" sqref="C3"/>
    </sheetView>
  </sheetViews>
  <sheetFormatPr defaultRowHeight="15"/>
  <cols>
    <col min="1" max="1" width="38" bestFit="1" customWidth="1"/>
    <col min="2" max="2" width="16.7109375" style="54" customWidth="1"/>
    <col min="3" max="3" width="17.7109375" style="54" customWidth="1"/>
  </cols>
  <sheetData>
    <row r="1" spans="1:3">
      <c r="A1" t="s">
        <v>390</v>
      </c>
      <c r="B1" s="54">
        <v>1</v>
      </c>
      <c r="C1" s="54">
        <v>2</v>
      </c>
    </row>
    <row r="2" spans="1:3">
      <c r="B2" s="54" t="s">
        <v>301</v>
      </c>
      <c r="C2" s="54" t="s">
        <v>302</v>
      </c>
    </row>
    <row r="3" spans="1:3">
      <c r="A3" t="s">
        <v>391</v>
      </c>
      <c r="B3" s="54">
        <v>0</v>
      </c>
      <c r="C3" s="54">
        <v>0</v>
      </c>
    </row>
    <row r="5" spans="1:3">
      <c r="A5" t="s">
        <v>388</v>
      </c>
    </row>
    <row r="6" spans="1:3">
      <c r="B6" s="54" t="s">
        <v>376</v>
      </c>
      <c r="C6" s="54" t="s">
        <v>377</v>
      </c>
    </row>
    <row r="7" spans="1:3">
      <c r="A7" t="s">
        <v>380</v>
      </c>
      <c r="B7" s="174">
        <v>1.3</v>
      </c>
      <c r="C7" s="175">
        <v>0.7</v>
      </c>
    </row>
    <row r="8" spans="1:3">
      <c r="B8" s="143"/>
      <c r="C8" s="144"/>
    </row>
    <row r="9" spans="1:3">
      <c r="B9" s="143" t="s">
        <v>378</v>
      </c>
      <c r="C9" s="144" t="s">
        <v>379</v>
      </c>
    </row>
    <row r="10" spans="1:3">
      <c r="A10" t="s">
        <v>389</v>
      </c>
      <c r="B10" s="153">
        <v>6000</v>
      </c>
      <c r="C10" s="153">
        <v>2</v>
      </c>
    </row>
    <row r="12" spans="1:3">
      <c r="B12" s="54" t="s">
        <v>378</v>
      </c>
    </row>
    <row r="13" spans="1:3">
      <c r="A13" t="s">
        <v>381</v>
      </c>
      <c r="B13" s="153">
        <f>B10*24</f>
        <v>144000</v>
      </c>
    </row>
    <row r="15" spans="1:3">
      <c r="B15" s="54" t="s">
        <v>383</v>
      </c>
      <c r="C15" s="54" t="s">
        <v>384</v>
      </c>
    </row>
    <row r="16" spans="1:3">
      <c r="A16" t="s">
        <v>382</v>
      </c>
      <c r="B16" s="153">
        <v>1000</v>
      </c>
      <c r="C16" s="153">
        <v>-1000</v>
      </c>
    </row>
    <row r="18" spans="1:3">
      <c r="B18" s="54" t="s">
        <v>386</v>
      </c>
      <c r="C18" s="54" t="s">
        <v>387</v>
      </c>
    </row>
    <row r="19" spans="1:3">
      <c r="A19" t="s">
        <v>385</v>
      </c>
      <c r="B19" s="154">
        <v>1</v>
      </c>
      <c r="C19" s="15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6600"/>
  </sheetPr>
  <dimension ref="A1:E111"/>
  <sheetViews>
    <sheetView tabSelected="1" zoomScale="70" zoomScaleNormal="70" workbookViewId="0">
      <selection activeCell="I23" sqref="I23"/>
    </sheetView>
  </sheetViews>
  <sheetFormatPr defaultRowHeight="15"/>
  <cols>
    <col min="1" max="1" width="19.140625" bestFit="1" customWidth="1"/>
    <col min="2" max="2" width="18.5703125" customWidth="1"/>
    <col min="3" max="3" width="22.28515625" bestFit="1" customWidth="1"/>
    <col min="4" max="4" width="19.85546875" customWidth="1"/>
    <col min="5" max="5" width="22.85546875" customWidth="1"/>
  </cols>
  <sheetData>
    <row r="1" spans="1:5">
      <c r="A1" s="2" t="s">
        <v>396</v>
      </c>
      <c r="B1" s="2" t="s">
        <v>256</v>
      </c>
      <c r="C1" s="2" t="s">
        <v>261</v>
      </c>
      <c r="D1" s="2" t="s">
        <v>375</v>
      </c>
      <c r="E1" s="2" t="s">
        <v>255</v>
      </c>
    </row>
    <row r="2" spans="1:5">
      <c r="A2" s="196" t="s">
        <v>546</v>
      </c>
      <c r="B2" s="197">
        <v>1</v>
      </c>
      <c r="C2" s="196" t="s">
        <v>453</v>
      </c>
      <c r="D2" s="196">
        <v>0.04</v>
      </c>
      <c r="E2" s="196" t="s">
        <v>533</v>
      </c>
    </row>
    <row r="3" spans="1:5">
      <c r="A3" s="196" t="s">
        <v>547</v>
      </c>
      <c r="B3" s="197">
        <v>1</v>
      </c>
      <c r="C3" s="196" t="s">
        <v>453</v>
      </c>
      <c r="D3" s="196">
        <v>0.02</v>
      </c>
      <c r="E3" s="196" t="s">
        <v>535</v>
      </c>
    </row>
    <row r="4" spans="1:5">
      <c r="A4" s="196" t="s">
        <v>548</v>
      </c>
      <c r="B4" s="197">
        <v>1</v>
      </c>
      <c r="C4" s="196" t="s">
        <v>453</v>
      </c>
      <c r="D4" s="196">
        <v>0.03</v>
      </c>
      <c r="E4" s="196" t="s">
        <v>537</v>
      </c>
    </row>
    <row r="5" spans="1:5">
      <c r="A5" s="196" t="s">
        <v>549</v>
      </c>
      <c r="B5" s="197">
        <v>1</v>
      </c>
      <c r="C5" s="196" t="s">
        <v>453</v>
      </c>
      <c r="D5" s="196">
        <v>0.02</v>
      </c>
      <c r="E5" s="196" t="s">
        <v>529</v>
      </c>
    </row>
    <row r="6" spans="1:5">
      <c r="A6" s="196" t="s">
        <v>550</v>
      </c>
      <c r="B6" s="197">
        <v>1</v>
      </c>
      <c r="C6" s="196" t="s">
        <v>453</v>
      </c>
      <c r="D6" s="196">
        <v>0.02</v>
      </c>
      <c r="E6" s="196" t="s">
        <v>524</v>
      </c>
    </row>
    <row r="7" spans="1:5">
      <c r="A7" s="196" t="s">
        <v>551</v>
      </c>
      <c r="B7" s="197">
        <v>1</v>
      </c>
      <c r="C7" s="196" t="s">
        <v>456</v>
      </c>
      <c r="D7" s="196">
        <v>0.05</v>
      </c>
      <c r="E7" s="196" t="s">
        <v>531</v>
      </c>
    </row>
    <row r="8" spans="1:5">
      <c r="A8" s="196" t="s">
        <v>552</v>
      </c>
      <c r="B8" s="197">
        <v>0.5</v>
      </c>
      <c r="C8" s="196" t="s">
        <v>456</v>
      </c>
      <c r="D8" s="196">
        <v>0.22</v>
      </c>
      <c r="E8" s="196" t="s">
        <v>540</v>
      </c>
    </row>
    <row r="9" spans="1:5">
      <c r="A9" s="196" t="s">
        <v>553</v>
      </c>
      <c r="B9" s="197">
        <v>0.5</v>
      </c>
      <c r="C9" s="196" t="s">
        <v>444</v>
      </c>
      <c r="D9" s="196">
        <v>2.5000000000000001E-2</v>
      </c>
      <c r="E9" s="196" t="s">
        <v>534</v>
      </c>
    </row>
    <row r="10" spans="1:5">
      <c r="A10" s="196" t="s">
        <v>554</v>
      </c>
      <c r="B10" s="197">
        <v>0.5</v>
      </c>
      <c r="C10" s="196" t="s">
        <v>458</v>
      </c>
      <c r="D10" s="196">
        <v>2.5000000000000001E-2</v>
      </c>
      <c r="E10" s="196" t="s">
        <v>534</v>
      </c>
    </row>
    <row r="11" spans="1:5">
      <c r="A11" s="196" t="s">
        <v>555</v>
      </c>
      <c r="B11" s="197">
        <v>0.5</v>
      </c>
      <c r="C11" s="196" t="s">
        <v>454</v>
      </c>
      <c r="D11" s="196">
        <v>0.22</v>
      </c>
      <c r="E11" s="196" t="s">
        <v>540</v>
      </c>
    </row>
    <row r="12" spans="1:5">
      <c r="A12" s="196" t="s">
        <v>556</v>
      </c>
      <c r="B12" s="197">
        <v>0.33</v>
      </c>
      <c r="C12" s="196" t="s">
        <v>457</v>
      </c>
      <c r="D12" s="196">
        <v>3.6299999999999999E-2</v>
      </c>
      <c r="E12" s="196" t="s">
        <v>526</v>
      </c>
    </row>
    <row r="13" spans="1:5">
      <c r="A13" s="196" t="s">
        <v>557</v>
      </c>
      <c r="B13" s="197">
        <v>1</v>
      </c>
      <c r="C13" s="196" t="s">
        <v>455</v>
      </c>
      <c r="D13" s="196">
        <v>0.03</v>
      </c>
      <c r="E13" s="196" t="s">
        <v>528</v>
      </c>
    </row>
    <row r="14" spans="1:5">
      <c r="A14" s="196" t="s">
        <v>558</v>
      </c>
      <c r="B14" s="197">
        <v>0.01</v>
      </c>
      <c r="C14" s="196" t="s">
        <v>543</v>
      </c>
      <c r="D14" s="196">
        <v>5.0000000000000001E-4</v>
      </c>
      <c r="E14" s="196" t="s">
        <v>527</v>
      </c>
    </row>
    <row r="15" spans="1:5">
      <c r="A15" s="196" t="s">
        <v>559</v>
      </c>
      <c r="B15" s="197">
        <v>0.33</v>
      </c>
      <c r="C15" s="196" t="s">
        <v>438</v>
      </c>
      <c r="D15" s="196">
        <v>3.6299999999999999E-2</v>
      </c>
      <c r="E15" s="196" t="s">
        <v>526</v>
      </c>
    </row>
    <row r="16" spans="1:5">
      <c r="A16" s="196" t="s">
        <v>560</v>
      </c>
      <c r="B16" s="197">
        <v>1</v>
      </c>
      <c r="C16" s="196" t="s">
        <v>438</v>
      </c>
      <c r="D16" s="196">
        <v>0.01</v>
      </c>
      <c r="E16" s="196" t="s">
        <v>536</v>
      </c>
    </row>
    <row r="17" spans="1:5">
      <c r="A17" s="196" t="s">
        <v>561</v>
      </c>
      <c r="B17" s="197">
        <v>1</v>
      </c>
      <c r="C17" s="196" t="s">
        <v>544</v>
      </c>
      <c r="D17" s="196">
        <v>0.02</v>
      </c>
      <c r="E17" s="196" t="s">
        <v>532</v>
      </c>
    </row>
    <row r="18" spans="1:5">
      <c r="A18" s="196" t="s">
        <v>562</v>
      </c>
      <c r="B18" s="197">
        <v>1</v>
      </c>
      <c r="C18" s="196" t="s">
        <v>544</v>
      </c>
      <c r="D18" s="196">
        <v>0.01</v>
      </c>
      <c r="E18" s="196" t="s">
        <v>530</v>
      </c>
    </row>
    <row r="19" spans="1:5">
      <c r="A19" s="196" t="s">
        <v>563</v>
      </c>
      <c r="B19" s="197">
        <v>1</v>
      </c>
      <c r="C19" s="196" t="s">
        <v>544</v>
      </c>
      <c r="D19" s="196">
        <v>0.02</v>
      </c>
      <c r="E19" s="196" t="s">
        <v>525</v>
      </c>
    </row>
    <row r="20" spans="1:5">
      <c r="A20" s="196" t="s">
        <v>564</v>
      </c>
      <c r="B20" s="197">
        <v>0.33</v>
      </c>
      <c r="C20" s="196" t="s">
        <v>545</v>
      </c>
      <c r="D20" s="196">
        <v>3.6299999999999999E-2</v>
      </c>
      <c r="E20" s="196" t="s">
        <v>526</v>
      </c>
    </row>
    <row r="21" spans="1:5">
      <c r="A21" s="196" t="s">
        <v>565</v>
      </c>
      <c r="B21" s="197">
        <v>1</v>
      </c>
      <c r="C21" s="196" t="s">
        <v>545</v>
      </c>
      <c r="D21" s="196">
        <v>0.01</v>
      </c>
      <c r="E21" s="196" t="s">
        <v>397</v>
      </c>
    </row>
    <row r="22" spans="1:5">
      <c r="A22" t="s">
        <v>586</v>
      </c>
      <c r="B22" s="145">
        <v>1</v>
      </c>
      <c r="C22" t="s">
        <v>545</v>
      </c>
      <c r="D22">
        <v>0.06</v>
      </c>
      <c r="E22" t="s">
        <v>587</v>
      </c>
    </row>
    <row r="23" spans="1:5">
      <c r="A23" t="s">
        <v>588</v>
      </c>
      <c r="B23" s="145">
        <v>1</v>
      </c>
      <c r="C23" t="s">
        <v>545</v>
      </c>
      <c r="D23">
        <v>0.01</v>
      </c>
      <c r="E23" t="s">
        <v>589</v>
      </c>
    </row>
    <row r="24" spans="1:5">
      <c r="B24" s="145"/>
      <c r="D24" s="156"/>
    </row>
    <row r="25" spans="1:5">
      <c r="B25" s="145"/>
      <c r="D25" s="156"/>
    </row>
    <row r="26" spans="1:5">
      <c r="B26" s="145"/>
      <c r="D26" s="156"/>
    </row>
    <row r="27" spans="1:5">
      <c r="B27" s="145"/>
      <c r="D27" s="156"/>
    </row>
    <row r="28" spans="1:5">
      <c r="B28" s="145"/>
      <c r="D28" s="156"/>
    </row>
    <row r="29" spans="1:5">
      <c r="B29" s="145"/>
      <c r="D29" s="156"/>
    </row>
    <row r="30" spans="1:5">
      <c r="B30" s="145"/>
      <c r="D30" s="156"/>
    </row>
    <row r="31" spans="1:5">
      <c r="B31" s="145"/>
      <c r="D31" s="156"/>
    </row>
    <row r="32" spans="1:5">
      <c r="B32" s="145"/>
      <c r="D32" s="156"/>
    </row>
    <row r="33" spans="2:4">
      <c r="B33" s="145"/>
      <c r="D33" s="156"/>
    </row>
    <row r="34" spans="2:4">
      <c r="B34" s="145"/>
      <c r="D34" s="156"/>
    </row>
    <row r="35" spans="2:4">
      <c r="B35" s="145"/>
      <c r="D35" s="156"/>
    </row>
    <row r="36" spans="2:4">
      <c r="B36" s="145"/>
      <c r="D36" s="156"/>
    </row>
    <row r="37" spans="2:4">
      <c r="B37" s="145"/>
      <c r="D37" s="156"/>
    </row>
    <row r="38" spans="2:4">
      <c r="B38" s="145"/>
      <c r="D38" s="156"/>
    </row>
    <row r="39" spans="2:4">
      <c r="B39" s="145"/>
      <c r="D39" s="156"/>
    </row>
    <row r="40" spans="2:4">
      <c r="B40" s="145"/>
      <c r="D40" s="156"/>
    </row>
    <row r="41" spans="2:4">
      <c r="B41" s="145"/>
      <c r="D41" s="156"/>
    </row>
    <row r="42" spans="2:4">
      <c r="B42" s="145"/>
      <c r="D42" s="156"/>
    </row>
    <row r="43" spans="2:4">
      <c r="B43" s="145"/>
      <c r="D43" s="156"/>
    </row>
    <row r="44" spans="2:4">
      <c r="B44" s="145"/>
      <c r="D44" s="156"/>
    </row>
    <row r="45" spans="2:4">
      <c r="B45" s="145"/>
      <c r="D45" s="156"/>
    </row>
    <row r="46" spans="2:4">
      <c r="B46" s="145"/>
      <c r="D46" s="156"/>
    </row>
    <row r="47" spans="2:4">
      <c r="B47" s="145"/>
      <c r="D47" s="156"/>
    </row>
    <row r="48" spans="2:4">
      <c r="B48" s="145"/>
      <c r="D48" s="156"/>
    </row>
    <row r="49" spans="1:5">
      <c r="B49" s="145"/>
      <c r="D49" s="156"/>
    </row>
    <row r="50" spans="1:5">
      <c r="B50" s="145"/>
      <c r="D50" s="156"/>
    </row>
    <row r="51" spans="1:5">
      <c r="A51" s="150"/>
      <c r="B51" s="149"/>
      <c r="D51" s="156"/>
    </row>
    <row r="52" spans="1:5">
      <c r="A52" s="150"/>
      <c r="B52" s="149"/>
      <c r="D52" s="156"/>
    </row>
    <row r="53" spans="1:5">
      <c r="A53" s="150"/>
      <c r="B53" s="149"/>
      <c r="D53" s="157"/>
    </row>
    <row r="54" spans="1:5">
      <c r="A54" s="150"/>
      <c r="B54" s="149"/>
      <c r="D54" s="146"/>
    </row>
    <row r="55" spans="1:5">
      <c r="A55" s="150"/>
      <c r="B55" s="150"/>
      <c r="C55" s="150"/>
      <c r="D55" s="150"/>
      <c r="E55" s="150"/>
    </row>
    <row r="56" spans="1:5">
      <c r="A56" s="150"/>
      <c r="B56" s="150"/>
      <c r="C56" s="150"/>
      <c r="D56" s="150"/>
      <c r="E56" s="150"/>
    </row>
    <row r="57" spans="1:5">
      <c r="A57" s="150"/>
      <c r="B57" s="150"/>
      <c r="C57" s="150"/>
      <c r="D57" s="150"/>
      <c r="E57" s="150"/>
    </row>
    <row r="58" spans="1:5">
      <c r="A58" s="150"/>
      <c r="B58" s="150"/>
      <c r="C58" s="150"/>
      <c r="D58" s="150"/>
      <c r="E58" s="150"/>
    </row>
    <row r="59" spans="1:5">
      <c r="A59" s="150"/>
      <c r="B59" s="150"/>
      <c r="C59" s="150"/>
      <c r="D59" s="150"/>
      <c r="E59" s="150"/>
    </row>
    <row r="60" spans="1:5">
      <c r="A60" s="150"/>
      <c r="B60" s="150"/>
      <c r="C60" s="150"/>
      <c r="D60" s="150"/>
      <c r="E60" s="150"/>
    </row>
    <row r="61" spans="1:5">
      <c r="A61" s="150"/>
      <c r="B61" s="150"/>
      <c r="C61" s="150"/>
      <c r="D61" s="150"/>
      <c r="E61" s="150"/>
    </row>
    <row r="62" spans="1:5">
      <c r="A62" s="150"/>
      <c r="B62" s="150"/>
      <c r="C62" s="150"/>
      <c r="D62" s="150"/>
      <c r="E62" s="150"/>
    </row>
    <row r="63" spans="1:5">
      <c r="A63" s="150"/>
      <c r="B63" s="150"/>
      <c r="C63" s="150"/>
      <c r="D63" s="150"/>
      <c r="E63" s="150"/>
    </row>
    <row r="64" spans="1:5">
      <c r="A64" s="150"/>
      <c r="B64" s="150"/>
      <c r="C64" s="150"/>
      <c r="D64" s="150"/>
      <c r="E64" s="150"/>
    </row>
    <row r="65" spans="1:5">
      <c r="A65" s="150"/>
      <c r="B65" s="150"/>
      <c r="C65" s="150"/>
      <c r="D65" s="150"/>
      <c r="E65" s="150"/>
    </row>
    <row r="66" spans="1:5">
      <c r="A66" s="150"/>
      <c r="B66" s="150"/>
      <c r="C66" s="150"/>
      <c r="D66" s="150"/>
      <c r="E66" s="150"/>
    </row>
    <row r="67" spans="1:5">
      <c r="A67" s="150"/>
      <c r="B67" s="150"/>
      <c r="C67" s="150"/>
      <c r="D67" s="150"/>
      <c r="E67" s="150"/>
    </row>
    <row r="68" spans="1:5">
      <c r="A68" s="150"/>
      <c r="B68" s="150"/>
      <c r="C68" s="150"/>
      <c r="D68" s="150"/>
      <c r="E68" s="150"/>
    </row>
    <row r="69" spans="1:5">
      <c r="A69" s="150"/>
      <c r="B69" s="150"/>
      <c r="C69" s="150"/>
      <c r="D69" s="150"/>
      <c r="E69" s="150"/>
    </row>
    <row r="70" spans="1:5">
      <c r="A70" s="150"/>
      <c r="B70" s="150"/>
      <c r="C70" s="150"/>
      <c r="D70" s="150"/>
      <c r="E70" s="150"/>
    </row>
    <row r="71" spans="1:5">
      <c r="A71" s="150"/>
      <c r="B71" s="150"/>
      <c r="C71" s="150"/>
      <c r="D71" s="150"/>
      <c r="E71" s="150"/>
    </row>
    <row r="72" spans="1:5">
      <c r="A72" s="150"/>
      <c r="B72" s="150"/>
      <c r="C72" s="150"/>
      <c r="D72" s="150"/>
      <c r="E72" s="150"/>
    </row>
    <row r="73" spans="1:5">
      <c r="A73" s="150"/>
      <c r="B73" s="150"/>
      <c r="C73" s="150"/>
      <c r="D73" s="150"/>
      <c r="E73" s="150"/>
    </row>
    <row r="74" spans="1:5">
      <c r="A74" s="150"/>
      <c r="B74" s="150"/>
      <c r="C74" s="150"/>
      <c r="D74" s="150"/>
      <c r="E74" s="150"/>
    </row>
    <row r="75" spans="1:5">
      <c r="A75" s="150"/>
      <c r="B75" s="150"/>
      <c r="C75" s="150"/>
      <c r="D75" s="150"/>
      <c r="E75" s="150"/>
    </row>
    <row r="76" spans="1:5">
      <c r="A76" s="150"/>
      <c r="B76" s="150"/>
      <c r="C76" s="150"/>
      <c r="D76" s="150"/>
      <c r="E76" s="150"/>
    </row>
    <row r="77" spans="1:5">
      <c r="A77" s="150"/>
      <c r="B77" s="150"/>
      <c r="C77" s="150"/>
      <c r="D77" s="150"/>
      <c r="E77" s="150"/>
    </row>
    <row r="78" spans="1:5">
      <c r="A78" s="150"/>
      <c r="B78" s="150"/>
      <c r="C78" s="150"/>
      <c r="D78" s="150"/>
      <c r="E78" s="150"/>
    </row>
    <row r="79" spans="1:5">
      <c r="A79" s="150"/>
      <c r="B79" s="150"/>
      <c r="C79" s="150"/>
      <c r="D79" s="150"/>
      <c r="E79" s="150"/>
    </row>
    <row r="80" spans="1:5">
      <c r="A80" s="150"/>
      <c r="B80" s="150"/>
      <c r="C80" s="150"/>
      <c r="D80" s="150"/>
      <c r="E80" s="150"/>
    </row>
    <row r="81" spans="1:5">
      <c r="A81" s="150"/>
      <c r="B81" s="150"/>
      <c r="C81" s="150"/>
      <c r="D81" s="150"/>
      <c r="E81" s="150"/>
    </row>
    <row r="82" spans="1:5">
      <c r="A82" s="150"/>
      <c r="B82" s="150"/>
      <c r="C82" s="150"/>
      <c r="D82" s="150"/>
      <c r="E82" s="150"/>
    </row>
    <row r="83" spans="1:5">
      <c r="A83" s="150"/>
      <c r="B83" s="150"/>
      <c r="C83" s="150"/>
      <c r="D83" s="150"/>
      <c r="E83" s="150"/>
    </row>
    <row r="84" spans="1:5">
      <c r="A84" s="150"/>
      <c r="B84" s="150"/>
      <c r="C84" s="150"/>
      <c r="D84" s="150"/>
      <c r="E84" s="150"/>
    </row>
    <row r="85" spans="1:5">
      <c r="A85" s="150"/>
      <c r="B85" s="150"/>
      <c r="C85" s="150"/>
      <c r="D85" s="150"/>
      <c r="E85" s="150"/>
    </row>
    <row r="86" spans="1:5">
      <c r="A86" s="150"/>
      <c r="B86" s="150"/>
      <c r="C86" s="150"/>
      <c r="D86" s="150"/>
      <c r="E86" s="150"/>
    </row>
    <row r="87" spans="1:5">
      <c r="A87" s="150"/>
      <c r="B87" s="150"/>
      <c r="C87" s="150"/>
      <c r="D87" s="150"/>
      <c r="E87" s="150"/>
    </row>
    <row r="88" spans="1:5">
      <c r="A88" s="150"/>
      <c r="B88" s="150"/>
      <c r="C88" s="150"/>
      <c r="D88" s="150"/>
      <c r="E88" s="150"/>
    </row>
    <row r="89" spans="1:5">
      <c r="A89" s="150"/>
      <c r="B89" s="150"/>
      <c r="C89" s="150"/>
      <c r="D89" s="150"/>
      <c r="E89" s="150"/>
    </row>
    <row r="90" spans="1:5">
      <c r="A90" s="150"/>
      <c r="B90" s="150"/>
      <c r="C90" s="150"/>
      <c r="D90" s="150"/>
      <c r="E90" s="150"/>
    </row>
    <row r="91" spans="1:5">
      <c r="A91" s="150"/>
      <c r="B91" s="150"/>
      <c r="C91" s="150"/>
      <c r="D91" s="150"/>
      <c r="E91" s="150"/>
    </row>
    <row r="92" spans="1:5">
      <c r="A92" s="150"/>
      <c r="B92" s="150"/>
      <c r="C92" s="150"/>
      <c r="D92" s="150"/>
      <c r="E92" s="150"/>
    </row>
    <row r="93" spans="1:5">
      <c r="A93" s="150"/>
      <c r="B93" s="150"/>
      <c r="C93" s="150"/>
      <c r="D93" s="150"/>
      <c r="E93" s="150"/>
    </row>
    <row r="94" spans="1:5">
      <c r="A94" s="150"/>
      <c r="B94" s="150"/>
      <c r="C94" s="150"/>
      <c r="D94" s="150"/>
      <c r="E94" s="150"/>
    </row>
    <row r="95" spans="1:5">
      <c r="A95" s="150"/>
      <c r="B95" s="150"/>
      <c r="C95" s="150"/>
      <c r="D95" s="150"/>
      <c r="E95" s="150"/>
    </row>
    <row r="96" spans="1:5">
      <c r="A96" s="150"/>
      <c r="B96" s="150"/>
      <c r="C96" s="150"/>
      <c r="D96" s="150"/>
      <c r="E96" s="150"/>
    </row>
    <row r="97" spans="1:5">
      <c r="A97" s="150"/>
      <c r="B97" s="150"/>
      <c r="C97" s="150"/>
      <c r="D97" s="150"/>
      <c r="E97" s="150"/>
    </row>
    <row r="98" spans="1:5">
      <c r="A98" s="150"/>
      <c r="B98" s="150"/>
      <c r="C98" s="150"/>
      <c r="D98" s="150"/>
      <c r="E98" s="150"/>
    </row>
    <row r="99" spans="1:5">
      <c r="A99" s="150"/>
      <c r="B99" s="150"/>
      <c r="C99" s="150"/>
      <c r="D99" s="150"/>
      <c r="E99" s="150"/>
    </row>
    <row r="100" spans="1:5">
      <c r="A100" s="150"/>
      <c r="B100" s="150"/>
      <c r="C100" s="150"/>
      <c r="D100" s="150"/>
      <c r="E100" s="150"/>
    </row>
    <row r="101" spans="1:5">
      <c r="A101" s="150"/>
      <c r="B101" s="150"/>
      <c r="C101" s="150"/>
      <c r="D101" s="150"/>
      <c r="E101" s="150"/>
    </row>
    <row r="102" spans="1:5">
      <c r="A102" s="150"/>
      <c r="B102" s="150"/>
      <c r="C102" s="150"/>
      <c r="D102" s="150"/>
      <c r="E102" s="150"/>
    </row>
    <row r="103" spans="1:5">
      <c r="A103" s="150"/>
      <c r="B103" s="150"/>
      <c r="C103" s="150"/>
      <c r="D103" s="150"/>
      <c r="E103" s="150"/>
    </row>
    <row r="104" spans="1:5">
      <c r="A104" s="150"/>
      <c r="B104" s="150"/>
      <c r="C104" s="150"/>
      <c r="D104" s="150"/>
      <c r="E104" s="150"/>
    </row>
    <row r="105" spans="1:5">
      <c r="A105" s="150"/>
      <c r="B105" s="150"/>
      <c r="C105" s="150"/>
      <c r="D105" s="150"/>
      <c r="E105" s="150"/>
    </row>
    <row r="106" spans="1:5">
      <c r="A106" s="150"/>
      <c r="B106" s="150"/>
      <c r="C106" s="150"/>
      <c r="D106" s="150"/>
      <c r="E106" s="150"/>
    </row>
    <row r="107" spans="1:5">
      <c r="A107" s="150"/>
      <c r="B107" s="150"/>
      <c r="C107" s="150"/>
      <c r="D107" s="150"/>
      <c r="E107" s="150"/>
    </row>
    <row r="108" spans="1:5">
      <c r="A108" s="150"/>
      <c r="B108" s="150"/>
      <c r="C108" s="150"/>
      <c r="D108" s="150"/>
      <c r="E108" s="150"/>
    </row>
    <row r="109" spans="1:5">
      <c r="A109" s="150"/>
      <c r="B109" s="150"/>
      <c r="C109" s="150"/>
      <c r="D109" s="150"/>
      <c r="E109" s="150"/>
    </row>
    <row r="110" spans="1:5">
      <c r="A110" s="150"/>
      <c r="B110" s="150"/>
      <c r="C110" s="150"/>
      <c r="D110" s="150"/>
      <c r="E110" s="150"/>
    </row>
    <row r="111" spans="1:5">
      <c r="A111" s="150"/>
      <c r="B111" s="150"/>
      <c r="C111" s="150"/>
      <c r="D111" s="150"/>
      <c r="E111" s="15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6600"/>
  </sheetPr>
  <dimension ref="A1:U244"/>
  <sheetViews>
    <sheetView zoomScaleNormal="100" workbookViewId="0">
      <selection activeCell="G4" sqref="G4"/>
    </sheetView>
  </sheetViews>
  <sheetFormatPr defaultRowHeight="15"/>
  <cols>
    <col min="1" max="1" width="27.85546875" style="185" bestFit="1" customWidth="1"/>
    <col min="2" max="2" width="29.5703125" style="171" customWidth="1"/>
    <col min="3" max="3" width="26.85546875" style="171" customWidth="1"/>
    <col min="4" max="4" width="15.85546875" style="171" customWidth="1"/>
    <col min="5" max="5" width="12.42578125" style="199" customWidth="1"/>
    <col min="6" max="6" width="15.85546875" style="171" customWidth="1"/>
    <col min="7" max="7" width="13" style="172" customWidth="1"/>
    <col min="8" max="8" width="11" style="200" customWidth="1"/>
    <col min="9" max="9" width="26.42578125" style="200" customWidth="1"/>
    <col min="10" max="10" width="14.140625" style="200" customWidth="1"/>
    <col min="11" max="11" width="11" style="98" customWidth="1"/>
    <col min="12" max="13" width="11" style="5" customWidth="1"/>
    <col min="15" max="15" width="26" customWidth="1"/>
    <col min="16" max="16" width="47.140625" style="5" customWidth="1"/>
    <col min="17" max="20" width="11" style="5" customWidth="1"/>
    <col min="21" max="21" width="24.28515625" customWidth="1"/>
  </cols>
  <sheetData>
    <row r="1" spans="1:21">
      <c r="A1" t="s">
        <v>263</v>
      </c>
      <c r="B1" s="171" t="s">
        <v>265</v>
      </c>
      <c r="C1" s="171" t="s">
        <v>264</v>
      </c>
      <c r="D1" s="171" t="s">
        <v>257</v>
      </c>
      <c r="E1" s="199" t="s">
        <v>258</v>
      </c>
      <c r="F1" s="171" t="s">
        <v>222</v>
      </c>
      <c r="G1" s="198" t="s">
        <v>402</v>
      </c>
      <c r="H1" s="200" t="s">
        <v>576</v>
      </c>
      <c r="I1" s="200" t="s">
        <v>262</v>
      </c>
      <c r="J1" s="200" t="s">
        <v>395</v>
      </c>
      <c r="K1" s="161"/>
      <c r="O1" s="188" t="s">
        <v>453</v>
      </c>
      <c r="P1" s="172"/>
      <c r="Q1" s="172"/>
      <c r="U1" s="185"/>
    </row>
    <row r="2" spans="1:21">
      <c r="A2" s="185" t="s">
        <v>459</v>
      </c>
      <c r="B2" s="188" t="s">
        <v>543</v>
      </c>
      <c r="C2" s="188" t="s">
        <v>456</v>
      </c>
      <c r="D2" s="188">
        <v>230</v>
      </c>
      <c r="F2" s="188">
        <v>90</v>
      </c>
      <c r="H2" s="200" cm="1">
        <f t="array" ref="H2">_xlfn.IFS($D2=138,$F2*0.5,$D2=230,$F2*0.4,$D2=345,$F2*0.3,$D2=400,$F2*0.3,$D2=500,$F2*0.3)</f>
        <v>36</v>
      </c>
      <c r="I2" s="200">
        <f>H2/1000</f>
        <v>3.5999999999999997E-2</v>
      </c>
      <c r="K2" s="161"/>
      <c r="O2" s="188" t="s">
        <v>456</v>
      </c>
      <c r="P2" s="172"/>
      <c r="Q2" s="172"/>
      <c r="U2" s="185"/>
    </row>
    <row r="3" spans="1:21">
      <c r="A3" s="185" t="s">
        <v>460</v>
      </c>
      <c r="B3" s="188" t="s">
        <v>543</v>
      </c>
      <c r="C3" s="188" t="s">
        <v>456</v>
      </c>
      <c r="D3" s="188">
        <v>230</v>
      </c>
      <c r="F3" s="188">
        <v>90</v>
      </c>
      <c r="H3" s="200" cm="1">
        <f t="array" ref="H3">_xlfn.IFS($D3=138,$F3*0.5,$D3=230,$F3*0.4,$D3=345,$F3*0.3,$D3=400,$F3*0.3,$D3=500,$F3*0.3)</f>
        <v>36</v>
      </c>
      <c r="I3" s="200">
        <f t="shared" ref="I3:I18" si="0">H3/1000</f>
        <v>3.5999999999999997E-2</v>
      </c>
      <c r="K3" s="161"/>
      <c r="O3" s="188" t="s">
        <v>444</v>
      </c>
      <c r="P3" s="172"/>
      <c r="Q3" s="172"/>
      <c r="U3" s="185"/>
    </row>
    <row r="4" spans="1:21">
      <c r="A4" s="185" t="s">
        <v>461</v>
      </c>
      <c r="B4" s="188" t="s">
        <v>543</v>
      </c>
      <c r="C4" s="188" t="s">
        <v>544</v>
      </c>
      <c r="D4" s="188">
        <v>230</v>
      </c>
      <c r="F4" s="188">
        <v>175</v>
      </c>
      <c r="H4" s="200" cm="1">
        <f t="array" ref="H4">_xlfn.IFS($D4=138,$F4*0.5,$D4=230,$F4*0.4,$D4=345,$F4*0.3,$D4=400,$F4*0.3,$D4=500,$F4*0.3)</f>
        <v>70</v>
      </c>
      <c r="I4" s="200">
        <f t="shared" si="0"/>
        <v>7.0000000000000007E-2</v>
      </c>
      <c r="K4" s="161"/>
      <c r="O4" s="188" t="s">
        <v>458</v>
      </c>
      <c r="P4" s="172"/>
      <c r="Q4" s="172"/>
      <c r="U4" s="185"/>
    </row>
    <row r="5" spans="1:21">
      <c r="A5" s="185" t="s">
        <v>462</v>
      </c>
      <c r="B5" s="188" t="s">
        <v>544</v>
      </c>
      <c r="C5" s="188" t="s">
        <v>444</v>
      </c>
      <c r="D5" s="188">
        <v>230</v>
      </c>
      <c r="F5" s="188">
        <v>140</v>
      </c>
      <c r="H5" s="200" cm="1">
        <f t="array" ref="H5">_xlfn.IFS($D5=138,$F5*0.5,$D5=230,$F5*0.4,$D5=345,$F5*0.3,$D5=400,$F5*0.3,$D5=500,$F5*0.3)</f>
        <v>56</v>
      </c>
      <c r="I5" s="200">
        <f t="shared" si="0"/>
        <v>5.6000000000000001E-2</v>
      </c>
      <c r="K5" s="161"/>
      <c r="O5" s="188" t="s">
        <v>454</v>
      </c>
      <c r="P5" s="172"/>
      <c r="Q5" s="172"/>
      <c r="U5" s="185"/>
    </row>
    <row r="6" spans="1:21">
      <c r="A6" s="185" t="s">
        <v>463</v>
      </c>
      <c r="B6" s="188" t="s">
        <v>543</v>
      </c>
      <c r="C6" s="188" t="s">
        <v>544</v>
      </c>
      <c r="D6" s="188">
        <v>230</v>
      </c>
      <c r="F6" s="188">
        <v>175</v>
      </c>
      <c r="H6" s="200" cm="1">
        <f t="array" ref="H6">_xlfn.IFS($D6=138,$F6*0.5,$D6=230,$F6*0.4,$D6=345,$F6*0.3,$D6=400,$F6*0.3,$D6=500,$F6*0.3)</f>
        <v>70</v>
      </c>
      <c r="I6" s="200">
        <f t="shared" si="0"/>
        <v>7.0000000000000007E-2</v>
      </c>
      <c r="K6" s="161"/>
      <c r="O6" s="188" t="s">
        <v>457</v>
      </c>
      <c r="P6" s="172"/>
      <c r="Q6" s="172"/>
      <c r="U6" s="185"/>
    </row>
    <row r="7" spans="1:21">
      <c r="A7" s="185" t="s">
        <v>464</v>
      </c>
      <c r="B7" s="188" t="s">
        <v>456</v>
      </c>
      <c r="C7" s="188" t="s">
        <v>453</v>
      </c>
      <c r="D7" s="188">
        <v>230</v>
      </c>
      <c r="F7" s="188">
        <v>95</v>
      </c>
      <c r="H7" s="200" cm="1">
        <f t="array" ref="H7">_xlfn.IFS($D7=138,$F7*0.5,$D7=230,$F7*0.4,$D7=345,$F7*0.3,$D7=400,$F7*0.3,$D7=500,$F7*0.3)</f>
        <v>38</v>
      </c>
      <c r="I7" s="200">
        <f t="shared" si="0"/>
        <v>3.7999999999999999E-2</v>
      </c>
      <c r="K7" s="161"/>
      <c r="O7" s="188" t="s">
        <v>455</v>
      </c>
      <c r="P7" s="172"/>
      <c r="Q7" s="172"/>
      <c r="U7" s="185"/>
    </row>
    <row r="8" spans="1:21">
      <c r="A8" s="185" t="s">
        <v>465</v>
      </c>
      <c r="B8" s="188" t="s">
        <v>456</v>
      </c>
      <c r="C8" s="188" t="s">
        <v>453</v>
      </c>
      <c r="D8" s="188">
        <v>230</v>
      </c>
      <c r="F8" s="188">
        <v>95</v>
      </c>
      <c r="H8" s="200" cm="1">
        <f t="array" ref="H8">_xlfn.IFS($D8=138,$F8*0.5,$D8=230,$F8*0.4,$D8=345,$F8*0.3,$D8=400,$F8*0.3,$D8=500,$F8*0.3)</f>
        <v>38</v>
      </c>
      <c r="I8" s="200">
        <f t="shared" si="0"/>
        <v>3.7999999999999999E-2</v>
      </c>
      <c r="K8" s="161"/>
      <c r="O8" s="188" t="s">
        <v>543</v>
      </c>
      <c r="P8" s="172"/>
      <c r="Q8" s="172"/>
      <c r="U8" s="185"/>
    </row>
    <row r="9" spans="1:21">
      <c r="A9" s="185" t="s">
        <v>466</v>
      </c>
      <c r="B9" s="188" t="s">
        <v>544</v>
      </c>
      <c r="C9" s="188" t="s">
        <v>457</v>
      </c>
      <c r="D9" s="188">
        <v>230</v>
      </c>
      <c r="F9" s="188">
        <v>160</v>
      </c>
      <c r="H9" s="200" cm="1">
        <f t="array" ref="H9">_xlfn.IFS($D9=138,$F9*0.5,$D9=230,$F9*0.4,$D9=345,$F9*0.3,$D9=400,$F9*0.3,$D9=500,$F9*0.3)</f>
        <v>64</v>
      </c>
      <c r="I9" s="200">
        <f t="shared" si="0"/>
        <v>6.4000000000000001E-2</v>
      </c>
      <c r="K9" s="161"/>
      <c r="O9" s="188" t="s">
        <v>438</v>
      </c>
      <c r="P9" s="172"/>
      <c r="Q9" s="172"/>
      <c r="U9" s="185"/>
    </row>
    <row r="10" spans="1:21">
      <c r="A10" s="185" t="s">
        <v>467</v>
      </c>
      <c r="B10" s="188" t="s">
        <v>544</v>
      </c>
      <c r="C10" s="188" t="s">
        <v>457</v>
      </c>
      <c r="D10" s="188">
        <v>230</v>
      </c>
      <c r="F10" s="188">
        <v>160</v>
      </c>
      <c r="H10" s="200" cm="1">
        <f t="array" ref="H10">_xlfn.IFS($D10=138,$F10*0.5,$D10=230,$F10*0.4,$D10=345,$F10*0.3,$D10=400,$F10*0.3,$D10=500,$F10*0.3)</f>
        <v>64</v>
      </c>
      <c r="I10" s="200">
        <f t="shared" si="0"/>
        <v>6.4000000000000001E-2</v>
      </c>
      <c r="K10" s="161"/>
      <c r="O10" s="188" t="s">
        <v>544</v>
      </c>
      <c r="P10" s="172"/>
      <c r="Q10" s="172"/>
      <c r="U10" s="185"/>
    </row>
    <row r="11" spans="1:21">
      <c r="A11" s="185" t="s">
        <v>468</v>
      </c>
      <c r="B11" s="188" t="s">
        <v>457</v>
      </c>
      <c r="C11" s="188" t="s">
        <v>545</v>
      </c>
      <c r="D11" s="188">
        <v>230</v>
      </c>
      <c r="F11" s="188">
        <v>40</v>
      </c>
      <c r="H11" s="200" cm="1">
        <f t="array" ref="H11">_xlfn.IFS($D11=138,$F11*0.5,$D11=230,$F11*0.4,$D11=345,$F11*0.3,$D11=400,$F11*0.3,$D11=500,$F11*0.3)</f>
        <v>16</v>
      </c>
      <c r="I11" s="200">
        <f t="shared" si="0"/>
        <v>1.6E-2</v>
      </c>
      <c r="K11" s="161"/>
      <c r="O11" s="188" t="s">
        <v>545</v>
      </c>
      <c r="P11" s="172"/>
      <c r="Q11" s="172"/>
      <c r="U11" s="185"/>
    </row>
    <row r="12" spans="1:21">
      <c r="A12" s="185" t="s">
        <v>469</v>
      </c>
      <c r="B12" s="188" t="s">
        <v>438</v>
      </c>
      <c r="C12" s="188" t="s">
        <v>545</v>
      </c>
      <c r="D12" s="188">
        <v>230</v>
      </c>
      <c r="F12" s="188">
        <v>45</v>
      </c>
      <c r="H12" s="200" cm="1">
        <f t="array" ref="H12">_xlfn.IFS($D12=138,$F12*0.5,$D12=230,$F12*0.4,$D12=345,$F12*0.3,$D12=400,$F12*0.3,$D12=500,$F12*0.3)</f>
        <v>18</v>
      </c>
      <c r="I12" s="200">
        <f t="shared" si="0"/>
        <v>1.7999999999999999E-2</v>
      </c>
      <c r="K12" s="161"/>
      <c r="U12" s="185"/>
    </row>
    <row r="13" spans="1:21">
      <c r="A13" s="185" t="s">
        <v>470</v>
      </c>
      <c r="B13" s="188" t="s">
        <v>543</v>
      </c>
      <c r="C13" s="188" t="s">
        <v>456</v>
      </c>
      <c r="D13" s="188">
        <v>230</v>
      </c>
      <c r="F13" s="188">
        <v>90</v>
      </c>
      <c r="H13" s="200" cm="1">
        <f t="array" ref="H13">_xlfn.IFS($D13=138,$F13*0.5,$D13=230,$F13*0.4,$D13=345,$F13*0.3,$D13=400,$F13*0.3,$D13=500,$F13*0.3)</f>
        <v>36</v>
      </c>
      <c r="I13" s="200">
        <f t="shared" si="0"/>
        <v>3.5999999999999997E-2</v>
      </c>
      <c r="K13" s="161"/>
      <c r="U13" s="185"/>
    </row>
    <row r="14" spans="1:21">
      <c r="A14" s="185" t="s">
        <v>471</v>
      </c>
      <c r="B14" s="188" t="s">
        <v>543</v>
      </c>
      <c r="C14" s="188" t="s">
        <v>444</v>
      </c>
      <c r="D14" s="188">
        <v>230</v>
      </c>
      <c r="F14" s="188">
        <v>40</v>
      </c>
      <c r="H14" s="200" cm="1">
        <f t="array" ref="H14">_xlfn.IFS($D14=138,$F14*0.5,$D14=230,$F14*0.4,$D14=345,$F14*0.3,$D14=400,$F14*0.3,$D14=500,$F14*0.3)</f>
        <v>16</v>
      </c>
      <c r="I14" s="200">
        <f t="shared" si="0"/>
        <v>1.6E-2</v>
      </c>
      <c r="K14" s="161"/>
      <c r="U14" s="185"/>
    </row>
    <row r="15" spans="1:21">
      <c r="A15" s="185" t="s">
        <v>472</v>
      </c>
      <c r="B15" s="188" t="s">
        <v>543</v>
      </c>
      <c r="C15" s="188" t="s">
        <v>455</v>
      </c>
      <c r="D15" s="188">
        <v>345</v>
      </c>
      <c r="F15" s="188">
        <v>100</v>
      </c>
      <c r="H15" s="200" cm="1">
        <f t="array" ref="H15">_xlfn.IFS($D15=138,$F15*0.5,$D15=230,$F15*0.4,$D15=345,$F15*0.3,$D15=400,$F15*0.3,$D15=500,$F15*0.3)</f>
        <v>30</v>
      </c>
      <c r="I15" s="200">
        <f t="shared" si="0"/>
        <v>0.03</v>
      </c>
      <c r="K15" s="161"/>
      <c r="U15" s="185"/>
    </row>
    <row r="16" spans="1:21">
      <c r="A16" s="185" t="s">
        <v>473</v>
      </c>
      <c r="B16" s="188" t="s">
        <v>543</v>
      </c>
      <c r="C16" s="188" t="s">
        <v>454</v>
      </c>
      <c r="D16" s="188">
        <v>345</v>
      </c>
      <c r="F16" s="188">
        <v>100</v>
      </c>
      <c r="H16" s="200" cm="1">
        <f t="array" ref="H16">_xlfn.IFS($D16=138,$F16*0.5,$D16=230,$F16*0.4,$D16=345,$F16*0.3,$D16=400,$F16*0.3,$D16=500,$F16*0.3)</f>
        <v>30</v>
      </c>
      <c r="I16" s="200">
        <f t="shared" si="0"/>
        <v>0.03</v>
      </c>
      <c r="K16" s="161"/>
      <c r="U16" s="185"/>
    </row>
    <row r="17" spans="1:21">
      <c r="A17" s="185" t="s">
        <v>474</v>
      </c>
      <c r="B17" s="188" t="s">
        <v>543</v>
      </c>
      <c r="C17" s="188" t="s">
        <v>458</v>
      </c>
      <c r="D17" s="188">
        <v>345</v>
      </c>
      <c r="F17" s="188">
        <v>45</v>
      </c>
      <c r="H17" s="200" cm="1">
        <f t="array" ref="H17">_xlfn.IFS($D17=138,$F17*0.5,$D17=230,$F17*0.4,$D17=345,$F17*0.3,$D17=400,$F17*0.3,$D17=500,$F17*0.3)</f>
        <v>13.5</v>
      </c>
      <c r="I17" s="200">
        <f t="shared" si="0"/>
        <v>1.35E-2</v>
      </c>
      <c r="K17" s="161"/>
      <c r="U17" s="185"/>
    </row>
    <row r="18" spans="1:21">
      <c r="A18" s="185" t="s">
        <v>475</v>
      </c>
      <c r="B18" s="188" t="s">
        <v>458</v>
      </c>
      <c r="C18" s="188" t="s">
        <v>545</v>
      </c>
      <c r="D18" s="188">
        <v>345</v>
      </c>
      <c r="F18" s="188">
        <v>320</v>
      </c>
      <c r="H18" s="200" cm="1">
        <f t="array" ref="H18">_xlfn.IFS($D18=138,$F18*0.5,$D18=230,$F18*0.4,$D18=345,$F18*0.3,$D18=400,$F18*0.3,$D18=500,$F18*0.3)</f>
        <v>96</v>
      </c>
      <c r="I18" s="200">
        <f t="shared" si="0"/>
        <v>9.6000000000000002E-2</v>
      </c>
      <c r="K18" s="161"/>
      <c r="U18" s="185"/>
    </row>
    <row r="19" spans="1:21">
      <c r="K19" s="161"/>
      <c r="U19" s="185"/>
    </row>
    <row r="20" spans="1:21">
      <c r="K20" s="161"/>
      <c r="U20" s="185"/>
    </row>
    <row r="21" spans="1:21">
      <c r="K21" s="161"/>
      <c r="U21" s="185"/>
    </row>
    <row r="22" spans="1:21">
      <c r="K22" s="161"/>
      <c r="U22" s="185"/>
    </row>
    <row r="23" spans="1:21">
      <c r="K23" s="161"/>
      <c r="U23" s="185"/>
    </row>
    <row r="24" spans="1:21">
      <c r="K24" s="161"/>
      <c r="U24" s="185"/>
    </row>
    <row r="25" spans="1:21">
      <c r="K25" s="161"/>
      <c r="U25" s="185"/>
    </row>
    <row r="26" spans="1:21">
      <c r="K26" s="161"/>
      <c r="U26" s="185"/>
    </row>
    <row r="27" spans="1:21">
      <c r="K27" s="161"/>
      <c r="U27" s="185"/>
    </row>
    <row r="28" spans="1:21">
      <c r="K28" s="161"/>
      <c r="U28" s="185"/>
    </row>
    <row r="29" spans="1:21">
      <c r="K29" s="161"/>
      <c r="U29" s="185"/>
    </row>
    <row r="30" spans="1:21">
      <c r="K30" s="161"/>
      <c r="U30" s="185"/>
    </row>
    <row r="31" spans="1:21">
      <c r="K31" s="161"/>
      <c r="U31" s="185"/>
    </row>
    <row r="32" spans="1:21">
      <c r="K32" s="161"/>
      <c r="U32" s="185"/>
    </row>
    <row r="33" spans="11:21">
      <c r="K33" s="161"/>
      <c r="U33" s="185"/>
    </row>
    <row r="34" spans="11:21">
      <c r="K34" s="161"/>
      <c r="U34" s="185"/>
    </row>
    <row r="35" spans="11:21">
      <c r="K35" s="161"/>
      <c r="U35" s="185"/>
    </row>
    <row r="36" spans="11:21">
      <c r="K36" s="161"/>
      <c r="U36" s="185"/>
    </row>
    <row r="37" spans="11:21">
      <c r="K37" s="161"/>
      <c r="U37" s="185"/>
    </row>
    <row r="38" spans="11:21">
      <c r="K38" s="161"/>
      <c r="U38" s="185"/>
    </row>
    <row r="39" spans="11:21">
      <c r="K39" s="161"/>
      <c r="U39" s="185"/>
    </row>
    <row r="40" spans="11:21">
      <c r="K40" s="161"/>
      <c r="U40" s="185"/>
    </row>
    <row r="41" spans="11:21">
      <c r="K41" s="161"/>
      <c r="U41" s="185"/>
    </row>
    <row r="42" spans="11:21">
      <c r="K42" s="161"/>
      <c r="U42" s="185"/>
    </row>
    <row r="43" spans="11:21">
      <c r="K43" s="161"/>
      <c r="U43" s="185"/>
    </row>
    <row r="44" spans="11:21">
      <c r="K44" s="161"/>
      <c r="U44" s="185"/>
    </row>
    <row r="45" spans="11:21">
      <c r="K45" s="161"/>
      <c r="U45" s="185"/>
    </row>
    <row r="46" spans="11:21">
      <c r="K46" s="161"/>
      <c r="U46" s="185"/>
    </row>
    <row r="47" spans="11:21">
      <c r="K47" s="161"/>
      <c r="U47" s="185"/>
    </row>
    <row r="48" spans="11:21">
      <c r="K48" s="161"/>
      <c r="U48" s="185"/>
    </row>
    <row r="49" spans="11:21">
      <c r="K49" s="161"/>
      <c r="U49" s="185"/>
    </row>
    <row r="50" spans="11:21">
      <c r="K50" s="161"/>
      <c r="U50" s="185"/>
    </row>
    <row r="51" spans="11:21">
      <c r="K51" s="161"/>
      <c r="U51" s="185"/>
    </row>
    <row r="52" spans="11:21">
      <c r="K52" s="161"/>
      <c r="U52" s="185"/>
    </row>
    <row r="53" spans="11:21">
      <c r="K53" s="161"/>
      <c r="U53" s="185"/>
    </row>
    <row r="54" spans="11:21">
      <c r="K54" s="161"/>
      <c r="S54"/>
      <c r="U54" s="185"/>
    </row>
    <row r="55" spans="11:21">
      <c r="K55" s="161"/>
      <c r="S55"/>
      <c r="U55" s="185"/>
    </row>
    <row r="56" spans="11:21">
      <c r="K56" s="161"/>
      <c r="L56" s="161"/>
      <c r="U56" s="185"/>
    </row>
    <row r="57" spans="11:21">
      <c r="K57" s="161"/>
      <c r="L57" s="161"/>
      <c r="U57" s="185"/>
    </row>
    <row r="58" spans="11:21">
      <c r="K58" s="161"/>
      <c r="L58" s="161"/>
      <c r="U58" s="185"/>
    </row>
    <row r="59" spans="11:21">
      <c r="K59" s="161"/>
      <c r="L59" s="161"/>
      <c r="U59" s="185"/>
    </row>
    <row r="60" spans="11:21">
      <c r="K60" s="161"/>
      <c r="L60" s="161"/>
      <c r="U60" s="185"/>
    </row>
    <row r="61" spans="11:21">
      <c r="K61" s="161"/>
      <c r="L61" s="161"/>
      <c r="U61" s="185"/>
    </row>
    <row r="62" spans="11:21">
      <c r="K62" s="161"/>
      <c r="L62" s="161"/>
      <c r="U62" s="185"/>
    </row>
    <row r="63" spans="11:21">
      <c r="K63" s="161"/>
      <c r="L63" s="161"/>
      <c r="U63" s="185"/>
    </row>
    <row r="64" spans="11:21">
      <c r="K64" s="161"/>
      <c r="L64" s="161"/>
      <c r="U64" s="185"/>
    </row>
    <row r="65" spans="11:21">
      <c r="K65" s="161"/>
      <c r="L65" s="161"/>
      <c r="U65" s="185"/>
    </row>
    <row r="66" spans="11:21">
      <c r="K66" s="161"/>
      <c r="L66" s="161"/>
      <c r="U66" s="185"/>
    </row>
    <row r="67" spans="11:21">
      <c r="K67" s="161"/>
      <c r="L67" s="161"/>
      <c r="U67" s="185"/>
    </row>
    <row r="68" spans="11:21">
      <c r="K68" s="161"/>
      <c r="L68" s="161"/>
      <c r="U68" s="185"/>
    </row>
    <row r="69" spans="11:21">
      <c r="K69" s="161"/>
      <c r="U69" s="185"/>
    </row>
    <row r="70" spans="11:21">
      <c r="K70" s="161"/>
      <c r="L70" s="161"/>
      <c r="U70" s="185"/>
    </row>
    <row r="71" spans="11:21">
      <c r="K71" s="161"/>
      <c r="L71" s="161"/>
      <c r="U71" s="185"/>
    </row>
    <row r="72" spans="11:21">
      <c r="K72" s="161"/>
      <c r="L72" s="161"/>
      <c r="U72" s="185"/>
    </row>
    <row r="73" spans="11:21">
      <c r="K73" s="161"/>
      <c r="L73" s="161"/>
      <c r="U73" s="185"/>
    </row>
    <row r="74" spans="11:21">
      <c r="K74" s="161"/>
      <c r="L74" s="161"/>
      <c r="S74"/>
      <c r="U74" s="185"/>
    </row>
    <row r="75" spans="11:21">
      <c r="K75" s="161"/>
      <c r="L75" s="161"/>
      <c r="S75"/>
      <c r="U75" s="185"/>
    </row>
    <row r="76" spans="11:21">
      <c r="K76" s="161"/>
      <c r="L76" s="161"/>
      <c r="S76"/>
      <c r="U76" s="185"/>
    </row>
    <row r="77" spans="11:21">
      <c r="K77" s="161"/>
      <c r="L77" s="161"/>
      <c r="U77" s="185"/>
    </row>
    <row r="78" spans="11:21">
      <c r="K78" s="161"/>
      <c r="L78" s="161"/>
      <c r="U78" s="185"/>
    </row>
    <row r="79" spans="11:21">
      <c r="K79" s="161"/>
      <c r="L79" s="161"/>
      <c r="U79" s="185"/>
    </row>
    <row r="80" spans="11:21">
      <c r="K80" s="161"/>
      <c r="L80" s="161"/>
      <c r="U80" s="185"/>
    </row>
    <row r="81" spans="11:21">
      <c r="K81" s="161"/>
      <c r="L81" s="161"/>
      <c r="U81" s="185"/>
    </row>
    <row r="82" spans="11:21">
      <c r="K82" s="161"/>
      <c r="L82" s="161"/>
      <c r="U82" s="185"/>
    </row>
    <row r="83" spans="11:21">
      <c r="K83" s="161"/>
      <c r="L83" s="161"/>
      <c r="U83" s="185"/>
    </row>
    <row r="84" spans="11:21">
      <c r="K84" s="161"/>
      <c r="L84" s="161"/>
      <c r="U84" s="185"/>
    </row>
    <row r="85" spans="11:21">
      <c r="K85" s="161"/>
      <c r="L85" s="161"/>
      <c r="U85" s="185"/>
    </row>
    <row r="86" spans="11:21">
      <c r="K86" s="161"/>
      <c r="L86" s="161"/>
      <c r="U86" s="185"/>
    </row>
    <row r="87" spans="11:21">
      <c r="K87" s="161"/>
      <c r="L87" s="161"/>
      <c r="U87" s="185"/>
    </row>
    <row r="88" spans="11:21">
      <c r="K88" s="161"/>
      <c r="L88" s="161"/>
      <c r="U88" s="185"/>
    </row>
    <row r="89" spans="11:21">
      <c r="K89" s="161"/>
      <c r="L89" s="161"/>
      <c r="U89" s="185"/>
    </row>
    <row r="90" spans="11:21">
      <c r="K90" s="161"/>
      <c r="L90" s="161"/>
      <c r="U90" s="185"/>
    </row>
    <row r="91" spans="11:21">
      <c r="K91" s="161"/>
      <c r="L91" s="161"/>
      <c r="U91" s="185"/>
    </row>
    <row r="92" spans="11:21">
      <c r="K92" s="161"/>
      <c r="L92" s="161"/>
      <c r="U92" s="185"/>
    </row>
    <row r="93" spans="11:21">
      <c r="K93" s="161"/>
      <c r="L93" s="161"/>
      <c r="U93" s="185"/>
    </row>
    <row r="94" spans="11:21">
      <c r="K94" s="161"/>
      <c r="L94" s="161"/>
      <c r="U94" s="185"/>
    </row>
    <row r="95" spans="11:21">
      <c r="K95" s="161"/>
      <c r="L95" s="161"/>
      <c r="U95" s="185"/>
    </row>
    <row r="96" spans="11:21">
      <c r="K96" s="162"/>
      <c r="L96" s="162"/>
      <c r="U96" s="185"/>
    </row>
    <row r="97" spans="11:21">
      <c r="L97" s="98"/>
      <c r="U97" s="185"/>
    </row>
    <row r="98" spans="11:21">
      <c r="L98" s="98"/>
      <c r="U98" s="185"/>
    </row>
    <row r="99" spans="11:21">
      <c r="L99" s="98"/>
      <c r="U99" s="185"/>
    </row>
    <row r="100" spans="11:21">
      <c r="L100" s="161"/>
      <c r="U100" s="185"/>
    </row>
    <row r="101" spans="11:21">
      <c r="L101" s="161"/>
      <c r="U101" s="185"/>
    </row>
    <row r="102" spans="11:21">
      <c r="L102" s="98"/>
      <c r="U102" s="185"/>
    </row>
    <row r="103" spans="11:21">
      <c r="K103" s="162"/>
      <c r="L103" s="162"/>
      <c r="U103" s="185"/>
    </row>
    <row r="104" spans="11:21">
      <c r="K104" s="161"/>
      <c r="L104" s="161"/>
      <c r="U104" s="185"/>
    </row>
    <row r="105" spans="11:21">
      <c r="K105" s="161"/>
      <c r="L105" s="161"/>
      <c r="U105" s="185"/>
    </row>
    <row r="106" spans="11:21">
      <c r="K106" s="161"/>
      <c r="L106" s="161"/>
      <c r="U106" s="185"/>
    </row>
    <row r="107" spans="11:21">
      <c r="K107" s="161"/>
      <c r="L107" s="161"/>
      <c r="U107" s="185"/>
    </row>
    <row r="108" spans="11:21">
      <c r="K108" s="162"/>
      <c r="L108" s="162"/>
      <c r="U108" s="185"/>
    </row>
    <row r="109" spans="11:21">
      <c r="K109" s="161"/>
      <c r="L109" s="161"/>
      <c r="U109" s="185"/>
    </row>
    <row r="110" spans="11:21">
      <c r="K110" s="161"/>
      <c r="L110" s="161"/>
      <c r="U110" s="185"/>
    </row>
    <row r="111" spans="11:21">
      <c r="K111" s="161"/>
      <c r="L111" s="161"/>
      <c r="U111" s="185"/>
    </row>
    <row r="112" spans="11:21">
      <c r="K112" s="161"/>
      <c r="L112" s="161"/>
      <c r="U112" s="185"/>
    </row>
    <row r="113" spans="11:21">
      <c r="K113" s="161"/>
      <c r="L113" s="161"/>
      <c r="U113" s="185"/>
    </row>
    <row r="114" spans="11:21">
      <c r="K114" s="161"/>
      <c r="L114" s="161"/>
      <c r="U114" s="185"/>
    </row>
    <row r="115" spans="11:21">
      <c r="K115" s="161"/>
      <c r="L115" s="161"/>
      <c r="U115" s="185"/>
    </row>
    <row r="116" spans="11:21">
      <c r="U116" s="185"/>
    </row>
    <row r="117" spans="11:21">
      <c r="U117" s="185"/>
    </row>
    <row r="118" spans="11:21">
      <c r="U118" s="185"/>
    </row>
    <row r="119" spans="11:21">
      <c r="U119" s="185"/>
    </row>
    <row r="120" spans="11:21">
      <c r="U120" s="185"/>
    </row>
    <row r="121" spans="11:21">
      <c r="U121" s="185"/>
    </row>
    <row r="122" spans="11:21">
      <c r="U122" s="185"/>
    </row>
    <row r="123" spans="11:21">
      <c r="U123" s="185"/>
    </row>
    <row r="124" spans="11:21">
      <c r="U124" s="185"/>
    </row>
    <row r="125" spans="11:21">
      <c r="U125" s="185"/>
    </row>
    <row r="126" spans="11:21">
      <c r="U126" s="185"/>
    </row>
    <row r="127" spans="11:21">
      <c r="U127" s="185"/>
    </row>
    <row r="128" spans="11:21">
      <c r="U128" s="185"/>
    </row>
    <row r="129" spans="21:21">
      <c r="U129" s="185"/>
    </row>
    <row r="130" spans="21:21">
      <c r="U130" s="185"/>
    </row>
    <row r="131" spans="21:21">
      <c r="U131" s="185"/>
    </row>
    <row r="132" spans="21:21">
      <c r="U132" s="185"/>
    </row>
    <row r="133" spans="21:21">
      <c r="U133" s="185"/>
    </row>
    <row r="134" spans="21:21">
      <c r="U134" s="185"/>
    </row>
    <row r="135" spans="21:21">
      <c r="U135" s="185"/>
    </row>
    <row r="136" spans="21:21">
      <c r="U136" s="185"/>
    </row>
    <row r="137" spans="21:21">
      <c r="U137" s="185"/>
    </row>
    <row r="138" spans="21:21">
      <c r="U138" s="185"/>
    </row>
    <row r="139" spans="21:21">
      <c r="U139" s="185"/>
    </row>
    <row r="140" spans="21:21">
      <c r="U140" s="185"/>
    </row>
    <row r="141" spans="21:21">
      <c r="U141" s="185"/>
    </row>
    <row r="142" spans="21:21">
      <c r="U142" s="185"/>
    </row>
    <row r="143" spans="21:21">
      <c r="U143" s="185"/>
    </row>
    <row r="144" spans="21:21">
      <c r="U144" s="185"/>
    </row>
    <row r="145" spans="21:21">
      <c r="U145" s="185"/>
    </row>
    <row r="146" spans="21:21">
      <c r="U146" s="185"/>
    </row>
    <row r="147" spans="21:21">
      <c r="U147" s="185"/>
    </row>
    <row r="148" spans="21:21">
      <c r="U148" s="185"/>
    </row>
    <row r="149" spans="21:21">
      <c r="U149" s="185"/>
    </row>
    <row r="150" spans="21:21">
      <c r="U150" s="185"/>
    </row>
    <row r="151" spans="21:21">
      <c r="U151" s="185"/>
    </row>
    <row r="152" spans="21:21">
      <c r="U152" s="185"/>
    </row>
    <row r="153" spans="21:21">
      <c r="U153" s="185"/>
    </row>
    <row r="154" spans="21:21">
      <c r="U154" s="185"/>
    </row>
    <row r="155" spans="21:21">
      <c r="U155" s="185"/>
    </row>
    <row r="156" spans="21:21">
      <c r="U156" s="185"/>
    </row>
    <row r="157" spans="21:21">
      <c r="U157" s="185"/>
    </row>
    <row r="158" spans="21:21">
      <c r="U158" s="185"/>
    </row>
    <row r="159" spans="21:21">
      <c r="U159" s="185"/>
    </row>
    <row r="160" spans="21:21">
      <c r="U160" s="185"/>
    </row>
    <row r="161" spans="21:21">
      <c r="U161" s="185"/>
    </row>
    <row r="162" spans="21:21">
      <c r="U162" s="185"/>
    </row>
    <row r="163" spans="21:21">
      <c r="U163" s="185"/>
    </row>
    <row r="164" spans="21:21">
      <c r="U164" s="185"/>
    </row>
    <row r="165" spans="21:21">
      <c r="U165" s="185"/>
    </row>
    <row r="166" spans="21:21">
      <c r="U166" s="185"/>
    </row>
    <row r="167" spans="21:21">
      <c r="U167" s="185"/>
    </row>
    <row r="168" spans="21:21">
      <c r="U168" s="185"/>
    </row>
    <row r="169" spans="21:21">
      <c r="U169" s="185"/>
    </row>
    <row r="170" spans="21:21">
      <c r="U170" s="185"/>
    </row>
    <row r="171" spans="21:21">
      <c r="U171" s="185"/>
    </row>
    <row r="172" spans="21:21">
      <c r="U172" s="185"/>
    </row>
    <row r="173" spans="21:21">
      <c r="U173" s="185"/>
    </row>
    <row r="174" spans="21:21">
      <c r="U174" s="185"/>
    </row>
    <row r="175" spans="21:21">
      <c r="U175" s="185"/>
    </row>
    <row r="176" spans="21:21">
      <c r="U176" s="185"/>
    </row>
    <row r="177" spans="21:21">
      <c r="U177" s="185"/>
    </row>
    <row r="178" spans="21:21">
      <c r="U178" s="185"/>
    </row>
    <row r="179" spans="21:21">
      <c r="U179" s="185"/>
    </row>
    <row r="180" spans="21:21">
      <c r="U180" s="185"/>
    </row>
    <row r="181" spans="21:21">
      <c r="U181" s="185"/>
    </row>
    <row r="182" spans="21:21">
      <c r="U182" s="185"/>
    </row>
    <row r="183" spans="21:21">
      <c r="U183" s="185"/>
    </row>
    <row r="184" spans="21:21">
      <c r="U184" s="185"/>
    </row>
    <row r="185" spans="21:21">
      <c r="U185" s="185"/>
    </row>
    <row r="186" spans="21:21">
      <c r="U186" s="185"/>
    </row>
    <row r="187" spans="21:21">
      <c r="U187" s="185"/>
    </row>
    <row r="188" spans="21:21">
      <c r="U188" s="185"/>
    </row>
    <row r="189" spans="21:21">
      <c r="U189" s="185"/>
    </row>
    <row r="190" spans="21:21">
      <c r="U190" s="185"/>
    </row>
    <row r="191" spans="21:21">
      <c r="U191" s="185"/>
    </row>
    <row r="192" spans="21:21">
      <c r="U192" s="185"/>
    </row>
    <row r="193" spans="21:21">
      <c r="U193" s="185"/>
    </row>
    <row r="194" spans="21:21">
      <c r="U194" s="185"/>
    </row>
    <row r="195" spans="21:21">
      <c r="U195" s="185"/>
    </row>
    <row r="196" spans="21:21">
      <c r="U196" s="185"/>
    </row>
    <row r="197" spans="21:21">
      <c r="U197" s="185"/>
    </row>
    <row r="198" spans="21:21">
      <c r="U198" s="185"/>
    </row>
    <row r="199" spans="21:21">
      <c r="U199" s="185"/>
    </row>
    <row r="200" spans="21:21">
      <c r="U200" s="185"/>
    </row>
    <row r="201" spans="21:21">
      <c r="U201" s="185"/>
    </row>
    <row r="202" spans="21:21">
      <c r="U202" s="185"/>
    </row>
    <row r="203" spans="21:21">
      <c r="U203" s="185"/>
    </row>
    <row r="204" spans="21:21">
      <c r="U204" s="185"/>
    </row>
    <row r="205" spans="21:21">
      <c r="U205" s="185"/>
    </row>
    <row r="206" spans="21:21">
      <c r="U206" s="185"/>
    </row>
    <row r="207" spans="21:21">
      <c r="U207" s="185"/>
    </row>
    <row r="208" spans="21:21">
      <c r="U208" s="185"/>
    </row>
    <row r="209" spans="21:21">
      <c r="U209" s="185"/>
    </row>
    <row r="210" spans="21:21">
      <c r="U210" s="185"/>
    </row>
    <row r="211" spans="21:21">
      <c r="U211" s="185"/>
    </row>
    <row r="212" spans="21:21">
      <c r="U212" s="185"/>
    </row>
    <row r="213" spans="21:21">
      <c r="U213" s="185"/>
    </row>
    <row r="214" spans="21:21">
      <c r="U214" s="185"/>
    </row>
    <row r="215" spans="21:21">
      <c r="U215" s="185"/>
    </row>
    <row r="216" spans="21:21">
      <c r="U216" s="185"/>
    </row>
    <row r="217" spans="21:21">
      <c r="U217" s="185"/>
    </row>
    <row r="218" spans="21:21">
      <c r="U218" s="185"/>
    </row>
    <row r="219" spans="21:21">
      <c r="U219" s="185"/>
    </row>
    <row r="220" spans="21:21">
      <c r="U220" s="185"/>
    </row>
    <row r="221" spans="21:21">
      <c r="U221" s="185"/>
    </row>
    <row r="222" spans="21:21">
      <c r="U222" s="185"/>
    </row>
    <row r="223" spans="21:21">
      <c r="U223" s="185"/>
    </row>
    <row r="224" spans="21:21">
      <c r="U224" s="185"/>
    </row>
    <row r="225" spans="21:21">
      <c r="U225" s="185"/>
    </row>
    <row r="226" spans="21:21">
      <c r="U226" s="185"/>
    </row>
    <row r="227" spans="21:21">
      <c r="U227" s="185"/>
    </row>
    <row r="228" spans="21:21">
      <c r="U228" s="185"/>
    </row>
    <row r="229" spans="21:21">
      <c r="U229" s="185"/>
    </row>
    <row r="230" spans="21:21">
      <c r="U230" s="185"/>
    </row>
    <row r="231" spans="21:21">
      <c r="U231" s="185"/>
    </row>
    <row r="232" spans="21:21">
      <c r="U232" s="185"/>
    </row>
    <row r="233" spans="21:21">
      <c r="U233" s="185"/>
    </row>
    <row r="234" spans="21:21">
      <c r="U234" s="185"/>
    </row>
    <row r="235" spans="21:21">
      <c r="U235" s="185"/>
    </row>
    <row r="236" spans="21:21">
      <c r="U236" s="185"/>
    </row>
    <row r="237" spans="21:21">
      <c r="U237" s="185"/>
    </row>
    <row r="238" spans="21:21">
      <c r="U238" s="185"/>
    </row>
    <row r="239" spans="21:21">
      <c r="U239" s="185"/>
    </row>
    <row r="240" spans="21:21">
      <c r="U240" s="185"/>
    </row>
    <row r="241" spans="21:21">
      <c r="U241" s="185"/>
    </row>
    <row r="242" spans="21:21">
      <c r="U242" s="185"/>
    </row>
    <row r="243" spans="21:21">
      <c r="U243" s="185"/>
    </row>
    <row r="244" spans="21:21">
      <c r="U244" s="185"/>
    </row>
  </sheetData>
  <sortState xmlns:xlrd2="http://schemas.microsoft.com/office/spreadsheetml/2017/richdata2" ref="O1:O240">
    <sortCondition ref="O1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2"/>
  <sheetViews>
    <sheetView zoomScale="90" zoomScaleNormal="90" workbookViewId="0">
      <selection activeCell="B7" sqref="B7"/>
    </sheetView>
  </sheetViews>
  <sheetFormatPr defaultRowHeight="15"/>
  <cols>
    <col min="1" max="1" width="12.5703125" customWidth="1"/>
    <col min="2" max="2" width="16" customWidth="1"/>
    <col min="3" max="3" width="10.140625" customWidth="1"/>
    <col min="4" max="4" width="12.7109375" bestFit="1" customWidth="1"/>
    <col min="5" max="5" width="10" customWidth="1"/>
    <col min="6" max="6" width="12.7109375" customWidth="1"/>
    <col min="7" max="8" width="12.85546875" customWidth="1"/>
    <col min="9" max="9" width="13.140625" customWidth="1"/>
    <col min="10" max="10" width="14" customWidth="1"/>
    <col min="11" max="11" width="12.140625" customWidth="1"/>
    <col min="12" max="12" width="9.140625" customWidth="1"/>
  </cols>
  <sheetData>
    <row r="1" spans="1:15" ht="19.5" thickBot="1">
      <c r="A1" s="59" t="s">
        <v>307</v>
      </c>
    </row>
    <row r="2" spans="1:15" ht="31.5" customHeight="1">
      <c r="A2" s="73"/>
      <c r="B2" s="228" t="s">
        <v>308</v>
      </c>
      <c r="C2" s="228"/>
      <c r="D2" s="228"/>
      <c r="E2" s="229" t="s">
        <v>309</v>
      </c>
      <c r="F2" s="229"/>
      <c r="G2" s="230" t="s">
        <v>319</v>
      </c>
      <c r="H2" s="230"/>
      <c r="I2" s="230"/>
      <c r="J2" s="231"/>
      <c r="K2" s="89"/>
      <c r="L2" s="88"/>
    </row>
    <row r="3" spans="1:15">
      <c r="A3" s="96" t="s">
        <v>333</v>
      </c>
      <c r="B3" s="74" t="s">
        <v>296</v>
      </c>
      <c r="C3" s="74" t="s">
        <v>295</v>
      </c>
      <c r="D3" s="74" t="s">
        <v>306</v>
      </c>
      <c r="E3" s="75" t="s">
        <v>310</v>
      </c>
      <c r="F3" s="75" t="s">
        <v>311</v>
      </c>
      <c r="G3" s="76" t="s">
        <v>292</v>
      </c>
      <c r="H3" s="76" t="s">
        <v>320</v>
      </c>
      <c r="I3" s="76" t="s">
        <v>329</v>
      </c>
      <c r="J3" s="77" t="s">
        <v>330</v>
      </c>
      <c r="K3" s="34"/>
      <c r="L3" s="54"/>
      <c r="M3" s="54"/>
      <c r="N3" s="54"/>
      <c r="O3" s="54"/>
    </row>
    <row r="4" spans="1:15" ht="15.75" thickBot="1">
      <c r="A4" s="78"/>
      <c r="B4" s="84" t="s">
        <v>305</v>
      </c>
      <c r="C4" s="84" t="s">
        <v>321</v>
      </c>
      <c r="D4" s="84" t="s">
        <v>321</v>
      </c>
      <c r="E4" s="85" t="s">
        <v>313</v>
      </c>
      <c r="F4" s="85" t="s">
        <v>313</v>
      </c>
      <c r="G4" s="86" t="s">
        <v>328</v>
      </c>
      <c r="H4" s="86" t="s">
        <v>328</v>
      </c>
      <c r="I4" s="86" t="s">
        <v>328</v>
      </c>
      <c r="J4" s="87" t="s">
        <v>328</v>
      </c>
      <c r="K4" s="34"/>
      <c r="L4" s="54"/>
      <c r="M4" s="54"/>
      <c r="N4" s="54"/>
      <c r="O4" s="54"/>
    </row>
    <row r="5" spans="1:15">
      <c r="A5" s="78" t="str">
        <f>'site independent'!A5</f>
        <v>coal</v>
      </c>
      <c r="B5" s="79" t="str">
        <f>ROUND(('site independent'!D5*(1/3412)), 5) &amp;"P + "&amp;'site independent'!P5</f>
        <v>0.00888P + 10000</v>
      </c>
      <c r="C5" s="34">
        <f>IF(ISBLANK('site independent'!O5), "",  'site independent'!O5)</f>
        <v>105</v>
      </c>
      <c r="D5" s="34">
        <f>IF(ISBLANK('site independent'!S5), "",  'site independent'!S5)</f>
        <v>0</v>
      </c>
      <c r="E5" s="34">
        <f>IF('site independent'!Q5&gt;0, 'site independent'!Q5, "")</f>
        <v>3</v>
      </c>
      <c r="F5" s="34">
        <f>IF('site independent'!R5&gt;0, 'site independent'!R5, "")</f>
        <v>3</v>
      </c>
      <c r="G5" s="34">
        <f>IF(ISBLANK('site independent'!L5), "", ('site independent'!L5)*60)</f>
        <v>120</v>
      </c>
      <c r="H5" s="34">
        <f>IF(ISBLANK('site independent'!L5), "", (-1)*('site independent'!L5)*60)</f>
        <v>-120</v>
      </c>
      <c r="I5" s="80">
        <f>IF(ISBLANK('site independent'!K5), "",  (1/'site independent'!K5))</f>
        <v>0.1</v>
      </c>
      <c r="J5" s="81">
        <f>IF(ISBLANK('site independent'!K5), "",  (-1)*(1/'site independent'!K5))</f>
        <v>-0.1</v>
      </c>
      <c r="K5" s="34"/>
      <c r="L5" s="54"/>
      <c r="M5" s="54"/>
      <c r="N5" s="54"/>
      <c r="O5" s="54"/>
    </row>
    <row r="6" spans="1:15">
      <c r="A6" s="78" t="str">
        <f>'site independent'!A6</f>
        <v>Natural gas</v>
      </c>
      <c r="B6" s="79" t="str">
        <f>ROUND(('site independent'!D6*(1/3412)), 5) &amp;"P + "&amp;'site independent'!P6</f>
        <v>0P + 10000</v>
      </c>
      <c r="C6" s="34" t="str">
        <f>IF(ISBLANK('site independent'!O6), "",  'site independent'!O6)</f>
        <v/>
      </c>
      <c r="D6" s="34">
        <f>IF(ISBLANK('site independent'!S6), "",  'site independent'!S6)</f>
        <v>0</v>
      </c>
      <c r="E6" s="34">
        <f>IF('site independent'!Q6&gt;0, 'site independent'!Q6, "")</f>
        <v>4</v>
      </c>
      <c r="F6" s="34">
        <f>IF('site independent'!R6&gt;0, 'site independent'!R6, "")</f>
        <v>3</v>
      </c>
      <c r="G6" s="34" t="str">
        <f>IF(ISBLANK('site independent'!L6), "", ('site independent'!L6)*60)</f>
        <v/>
      </c>
      <c r="H6" s="34" t="str">
        <f>IF(ISBLANK('site independent'!L6), "", (-1)*('site independent'!L6)*60)</f>
        <v/>
      </c>
      <c r="I6" s="80" t="str">
        <f>IF('site independent'!K6&gt;0, (1/'site independent'!K6), "")</f>
        <v/>
      </c>
      <c r="J6" s="81" t="str">
        <f>IF(ISBLANK('site independent'!K6), "",  (-1)*(1/'site independent'!K6))</f>
        <v/>
      </c>
      <c r="K6" s="34"/>
      <c r="L6" s="54"/>
      <c r="M6" s="54"/>
      <c r="N6" s="54"/>
      <c r="O6" s="54"/>
    </row>
    <row r="7" spans="1:15">
      <c r="A7" s="78" t="str">
        <f>'site independent'!A7</f>
        <v>NG_CC</v>
      </c>
      <c r="B7" s="79" t="str">
        <f>ROUND(('site independent'!D7*(1/3412)), 5) &amp;"P + "&amp;'site independent'!P7</f>
        <v>0.01439P + 10000</v>
      </c>
      <c r="C7" s="34">
        <f>IF(ISBLANK('site independent'!O7), "",  'site independent'!O7)</f>
        <v>79</v>
      </c>
      <c r="D7" s="34">
        <f>IF(ISBLANK('site independent'!S7), "",  'site independent'!S7)</f>
        <v>0</v>
      </c>
      <c r="E7" s="34">
        <f>IF('site independent'!Q7&gt;0, 'site independent'!Q7, "")</f>
        <v>4</v>
      </c>
      <c r="F7" s="34">
        <f>IF('site independent'!R7&gt;0, 'site independent'!R7, "")</f>
        <v>3</v>
      </c>
      <c r="G7" s="34">
        <f>IF(ISBLANK('site independent'!L7), "", ('site independent'!L7)*60)</f>
        <v>300</v>
      </c>
      <c r="H7" s="34">
        <f>IF(ISBLANK('site independent'!L7), "", (-1)*('site independent'!L7)*60)</f>
        <v>-300</v>
      </c>
      <c r="I7" s="80">
        <f>IF('site independent'!K7&gt;0, (1/'site independent'!K7), "")</f>
        <v>0.25</v>
      </c>
      <c r="J7" s="81">
        <f>IF(ISBLANK('site independent'!K7), "",  (-1)*(1/'site independent'!K7))</f>
        <v>-0.25</v>
      </c>
      <c r="K7" s="34"/>
      <c r="L7" s="54"/>
      <c r="M7" s="54"/>
      <c r="N7" s="54"/>
      <c r="O7" s="54"/>
    </row>
    <row r="8" spans="1:15">
      <c r="A8" s="78" t="str">
        <f>'site independent'!A8</f>
        <v>NG_CT</v>
      </c>
      <c r="B8" s="79" t="str">
        <f>ROUND(('site independent'!D8*(1/3412)), 5) &amp;"P + "&amp;'site independent'!P8</f>
        <v>0.02403P + 10000</v>
      </c>
      <c r="C8" s="34">
        <f>IF(ISBLANK('site independent'!O8), "",  'site independent'!O8)</f>
        <v>103</v>
      </c>
      <c r="D8" s="34">
        <f>IF(ISBLANK('site independent'!S8), "",  'site independent'!S8)</f>
        <v>0</v>
      </c>
      <c r="E8" s="34">
        <f>IF('site independent'!Q8&gt;0, 'site independent'!Q8, "")</f>
        <v>4</v>
      </c>
      <c r="F8" s="34">
        <f>IF('site independent'!R8&gt;0, 'site independent'!R8, "")</f>
        <v>3</v>
      </c>
      <c r="G8" s="34">
        <f>IF(ISBLANK('site independent'!L8), "", ('site independent'!L8)*60)</f>
        <v>480</v>
      </c>
      <c r="H8" s="34">
        <f>IF(ISBLANK('site independent'!L8), "", (-1)*('site independent'!L8)*60)</f>
        <v>-480</v>
      </c>
      <c r="I8" s="80">
        <f>IF('site independent'!K8&gt;0, (1/'site independent'!K8), "")</f>
        <v>2</v>
      </c>
      <c r="J8" s="81">
        <f>IF(ISBLANK('site independent'!K8), "",  (-1)*(1/'site independent'!K8))</f>
        <v>-2</v>
      </c>
      <c r="K8" s="34"/>
      <c r="L8" s="54"/>
      <c r="M8" s="54"/>
      <c r="N8" s="54"/>
      <c r="O8" s="54"/>
    </row>
    <row r="9" spans="1:15">
      <c r="A9" s="78" t="str">
        <f>'site independent'!A9</f>
        <v>NG_CG</v>
      </c>
      <c r="B9" s="79" t="str">
        <f>ROUND(('site independent'!D9*(1/3412)), 5) &amp;"P + "&amp;'site independent'!P9</f>
        <v>0.02403P + 10000</v>
      </c>
      <c r="C9" s="34">
        <f>IF(ISBLANK('site independent'!O9), "",  'site independent'!O9)</f>
        <v>103</v>
      </c>
      <c r="D9" s="34">
        <f>IF(ISBLANK('site independent'!S9), "",  'site independent'!S9)</f>
        <v>0</v>
      </c>
      <c r="E9" s="34">
        <f>IF('site independent'!Q9&gt;0, 'site independent'!Q9, "")</f>
        <v>4</v>
      </c>
      <c r="F9" s="34">
        <f>IF('site independent'!R9&gt;0, 'site independent'!R9, "")</f>
        <v>3</v>
      </c>
      <c r="G9" s="34">
        <f>IF(ISBLANK('site independent'!L9), "", ('site independent'!L9)*60)</f>
        <v>480</v>
      </c>
      <c r="H9" s="34">
        <f>IF(ISBLANK('site independent'!L9), "", (-1)*('site independent'!L9)*60)</f>
        <v>-480</v>
      </c>
      <c r="I9" s="80">
        <f>IF('site independent'!K9&gt;0, (1/'site independent'!K9), "")</f>
        <v>2</v>
      </c>
      <c r="J9" s="81">
        <f>IF(ISBLANK('site independent'!K9), "",  (-1)*(1/'site independent'!K9))</f>
        <v>-2</v>
      </c>
      <c r="K9" s="34"/>
      <c r="L9" s="54"/>
      <c r="M9" s="54"/>
      <c r="N9" s="54"/>
      <c r="O9" s="54"/>
    </row>
    <row r="10" spans="1:15">
      <c r="A10" s="78" t="str">
        <f>'site independent'!A10</f>
        <v>diesel</v>
      </c>
      <c r="B10" s="79" t="str">
        <f>ROUND(('site independent'!D10*(1/3412)), 5) &amp;"P + "&amp;'site independent'!P10</f>
        <v>0.08441P + 10000</v>
      </c>
      <c r="C10" s="34">
        <f>IF(ISBLANK('site independent'!O10), "",  'site independent'!O10)</f>
        <v>10000000</v>
      </c>
      <c r="D10" s="34">
        <f>IF(ISBLANK('site independent'!S10), "",  'site independent'!S10)</f>
        <v>0</v>
      </c>
      <c r="E10" s="34" t="str">
        <f>IF('site independent'!Q10&gt;0, 'site independent'!Q10, "")</f>
        <v/>
      </c>
      <c r="F10" s="34" t="str">
        <f>IF('site independent'!R10&gt;0, 'site independent'!R10, "")</f>
        <v/>
      </c>
      <c r="G10" s="34" t="str">
        <f>IF(ISBLANK('site independent'!L10), "", ('site independent'!L10)*60)</f>
        <v/>
      </c>
      <c r="H10" s="34" t="str">
        <f>IF(ISBLANK('site independent'!L10), "", (-1)*('site independent'!L10)*60)</f>
        <v/>
      </c>
      <c r="I10" s="80" t="str">
        <f>IF('site independent'!K10&gt;0, (1/'site independent'!K10), "")</f>
        <v/>
      </c>
      <c r="J10" s="81" t="str">
        <f>IF(ISBLANK('site independent'!K10), "",  (-1)*(1/'site independent'!K10))</f>
        <v/>
      </c>
      <c r="K10" s="34"/>
      <c r="L10" s="54"/>
      <c r="M10" s="54"/>
      <c r="N10" s="54"/>
      <c r="O10" s="54"/>
    </row>
    <row r="11" spans="1:15">
      <c r="A11" s="78" t="str">
        <f>'site independent'!A11</f>
        <v>fuel oil</v>
      </c>
      <c r="B11" s="79" t="str">
        <f>ROUND(('site independent'!D11*(1/3412)), 5) &amp;"P + "&amp;'site independent'!P11</f>
        <v>0.05064P + 10000</v>
      </c>
      <c r="C11" s="34">
        <f>IF(ISBLANK('site independent'!O11), "",  'site independent'!O11)</f>
        <v>10000000</v>
      </c>
      <c r="D11" s="34">
        <f>IF(ISBLANK('site independent'!S11), "",  'site independent'!S11)</f>
        <v>0</v>
      </c>
      <c r="E11" s="34" t="str">
        <f>IF('site independent'!Q11&gt;0, 'site independent'!Q11, "")</f>
        <v/>
      </c>
      <c r="F11" s="34" t="str">
        <f>IF('site independent'!R11&gt;0, 'site independent'!R11, "")</f>
        <v/>
      </c>
      <c r="G11" s="34" t="str">
        <f>IF(ISBLANK('site independent'!L11), "", ('site independent'!L11)*60)</f>
        <v/>
      </c>
      <c r="H11" s="34" t="str">
        <f>IF(ISBLANK('site independent'!L11), "", (-1)*('site independent'!L11)*60)</f>
        <v/>
      </c>
      <c r="I11" s="80" t="str">
        <f>IF('site independent'!K11&gt;0, (1/'site independent'!K11), "")</f>
        <v/>
      </c>
      <c r="J11" s="81" t="str">
        <f>IF(ISBLANK('site independent'!K11), "",  (-1)*(1/'site independent'!K11))</f>
        <v/>
      </c>
      <c r="K11" s="34"/>
      <c r="L11" s="54"/>
      <c r="M11" s="54"/>
      <c r="N11" s="54"/>
      <c r="O11" s="54"/>
    </row>
    <row r="12" spans="1:15">
      <c r="A12" s="78" t="str">
        <f>'site independent'!A12</f>
        <v>nuclear</v>
      </c>
      <c r="B12" s="79" t="str">
        <f>ROUND(('site independent'!D12*(1/3412)), 5) &amp;"P + "&amp;'site independent'!P12</f>
        <v>0.00346P + 10000</v>
      </c>
      <c r="C12" s="34">
        <f>IF(ISBLANK('site independent'!O12), "",  'site independent'!O12)</f>
        <v>500</v>
      </c>
      <c r="D12" s="34">
        <f>IF(ISBLANK('site independent'!S12), "",  'site independent'!S12)</f>
        <v>0</v>
      </c>
      <c r="E12" s="34">
        <f>IF('site independent'!Q12&gt;0, 'site independent'!Q12, "")</f>
        <v>10</v>
      </c>
      <c r="F12" s="34">
        <f>IF('site independent'!R12&gt;0, 'site independent'!R12, "")</f>
        <v>3</v>
      </c>
      <c r="G12" s="34">
        <f>IF('site independent'!L12&gt;0, ('site independent'!L12/100)*(1)*60, "")</f>
        <v>3</v>
      </c>
      <c r="H12" s="34"/>
      <c r="I12" s="80">
        <f>IF('site independent'!K12&gt;0, (1/'site independent'!K12), "")</f>
        <v>7.6923076923076927E-2</v>
      </c>
      <c r="J12" s="81">
        <f>IF(ISBLANK('site independent'!K12), "",  (-1)*(1/'site independent'!K12))</f>
        <v>-7.6923076923076927E-2</v>
      </c>
      <c r="K12" s="34"/>
      <c r="L12" s="54"/>
      <c r="M12" s="54"/>
      <c r="N12" s="54"/>
      <c r="O12" s="54"/>
    </row>
    <row r="13" spans="1:15">
      <c r="A13" s="78" t="str">
        <f>'site independent'!A13</f>
        <v>hydro</v>
      </c>
      <c r="B13" s="79" t="str">
        <f>ROUND(('site independent'!D13*(1/3412)), 5) &amp;"P + "&amp;'site independent'!P13</f>
        <v>0.00188P + 10000</v>
      </c>
      <c r="C13" s="34" t="str">
        <f>IF(ISBLANK('site independent'!O13), "",  'site independent'!O13)</f>
        <v/>
      </c>
      <c r="D13" s="34" t="str">
        <f>IF(ISBLANK('site independent'!S13), "",  'site independent'!S13)</f>
        <v/>
      </c>
      <c r="E13" s="34" t="str">
        <f>IF('site independent'!Q13&gt;0, 'site independent'!Q13, "")</f>
        <v/>
      </c>
      <c r="F13" s="34" t="str">
        <f>IF('site independent'!R13&gt;0, 'site independent'!R13, "")</f>
        <v/>
      </c>
      <c r="G13" s="34" t="str">
        <f>IF('site independent'!L13&gt;0, ('site independent'!L13/100)*(1)*60, "")</f>
        <v/>
      </c>
      <c r="H13" s="34"/>
      <c r="I13" s="80" t="str">
        <f>IF('site independent'!K13&gt;0, (1/'site independent'!K13), "")</f>
        <v/>
      </c>
      <c r="J13" s="81" t="str">
        <f>IF(ISBLANK('site independent'!K13), "",  (-1)*(1/'site independent'!K13))</f>
        <v/>
      </c>
      <c r="K13" s="34"/>
      <c r="L13" s="54"/>
      <c r="M13" s="54"/>
      <c r="N13" s="54"/>
      <c r="O13" s="54"/>
    </row>
    <row r="14" spans="1:15">
      <c r="A14" s="78" t="str">
        <f>'site independent'!A14</f>
        <v>hydro_hourly</v>
      </c>
      <c r="B14" s="79" t="str">
        <f>ROUND(('site independent'!D14*(1/3412)), 5) &amp;"P + "&amp;'site independent'!P14</f>
        <v>0.00188P + 10000</v>
      </c>
      <c r="C14" s="34" t="str">
        <f>IF(ISBLANK('site independent'!O14), "",  'site independent'!O14)</f>
        <v/>
      </c>
      <c r="D14" s="34" t="str">
        <f>IF(ISBLANK('site independent'!S14), "",  'site independent'!S14)</f>
        <v/>
      </c>
      <c r="E14" s="34" t="str">
        <f>IF('site independent'!Q14&gt;0, 'site independent'!Q14, "")</f>
        <v/>
      </c>
      <c r="F14" s="34" t="str">
        <f>IF('site independent'!R14&gt;0, 'site independent'!R14, "")</f>
        <v/>
      </c>
      <c r="G14" s="34"/>
      <c r="H14" s="34" t="str">
        <f>IF('site independent'!L14&gt;0, ('site independent'!L14/100)*(1)*60, "")</f>
        <v/>
      </c>
      <c r="I14" s="80" t="str">
        <f>IF('site independent'!K14&gt;0, (1/'site independent'!K14), "")</f>
        <v/>
      </c>
      <c r="J14" s="81" t="str">
        <f>IF(ISBLANK('site independent'!K14), "",  (-1)*(1/'site independent'!K14))</f>
        <v/>
      </c>
      <c r="K14" s="34"/>
      <c r="L14" s="54"/>
      <c r="M14" s="54"/>
      <c r="N14" s="54"/>
      <c r="O14" s="54"/>
    </row>
    <row r="15" spans="1:15">
      <c r="A15" s="78" t="s">
        <v>4</v>
      </c>
      <c r="B15" s="90" t="s">
        <v>297</v>
      </c>
      <c r="C15" s="34"/>
      <c r="D15" s="34"/>
      <c r="E15" s="34"/>
      <c r="F15" s="34"/>
      <c r="G15" s="34"/>
      <c r="H15" s="34"/>
      <c r="I15" s="80"/>
      <c r="J15" s="81"/>
      <c r="K15" s="34"/>
      <c r="L15" s="54"/>
      <c r="M15" s="54"/>
      <c r="N15" s="54"/>
      <c r="O15" s="54"/>
    </row>
    <row r="16" spans="1:15">
      <c r="A16" s="78" t="s">
        <v>334</v>
      </c>
      <c r="B16" s="90" t="s">
        <v>297</v>
      </c>
      <c r="C16" s="34"/>
      <c r="D16" s="34"/>
      <c r="E16" s="34"/>
      <c r="F16" s="34"/>
      <c r="G16" s="34"/>
      <c r="H16" s="34"/>
      <c r="I16" s="80"/>
      <c r="J16" s="81"/>
      <c r="K16" s="34"/>
      <c r="L16" s="54"/>
      <c r="M16" s="54"/>
      <c r="N16" s="54"/>
      <c r="O16" s="54"/>
    </row>
    <row r="17" spans="1:15">
      <c r="A17" s="78" t="s">
        <v>225</v>
      </c>
      <c r="B17" s="90" t="s">
        <v>332</v>
      </c>
      <c r="C17" s="91">
        <v>0</v>
      </c>
      <c r="D17" s="91">
        <v>0</v>
      </c>
      <c r="E17" s="34"/>
      <c r="F17" s="34"/>
      <c r="G17" s="17"/>
      <c r="H17" s="34"/>
      <c r="I17" s="80"/>
      <c r="J17" s="81"/>
      <c r="K17" s="34"/>
      <c r="L17" s="54"/>
      <c r="M17" s="54"/>
      <c r="N17" s="54"/>
      <c r="O17" s="54"/>
    </row>
    <row r="18" spans="1:15">
      <c r="A18" s="78" t="s">
        <v>226</v>
      </c>
      <c r="B18" s="90" t="s">
        <v>332</v>
      </c>
      <c r="C18" s="91">
        <v>0</v>
      </c>
      <c r="D18" s="91">
        <v>0</v>
      </c>
      <c r="E18" s="34"/>
      <c r="F18" s="34"/>
      <c r="G18" s="17"/>
      <c r="H18" s="34"/>
      <c r="I18" s="80"/>
      <c r="J18" s="81"/>
      <c r="K18" s="34"/>
      <c r="L18" s="54"/>
      <c r="M18" s="54"/>
      <c r="N18" s="54"/>
      <c r="O18" s="54"/>
    </row>
    <row r="19" spans="1:15">
      <c r="A19" s="78" t="s">
        <v>331</v>
      </c>
      <c r="B19" s="90" t="s">
        <v>332</v>
      </c>
      <c r="C19" s="91">
        <v>0</v>
      </c>
      <c r="D19" s="91">
        <v>0</v>
      </c>
      <c r="E19" s="34"/>
      <c r="F19" s="34"/>
      <c r="G19" s="34"/>
      <c r="H19" s="34"/>
      <c r="I19" s="34"/>
      <c r="J19" s="92"/>
      <c r="K19" s="54"/>
      <c r="L19" s="54"/>
      <c r="M19" s="54"/>
      <c r="N19" s="54"/>
      <c r="O19" s="54"/>
    </row>
    <row r="20" spans="1:15" ht="15.75" thickBot="1">
      <c r="A20" s="82" t="s">
        <v>281</v>
      </c>
      <c r="B20" s="93" t="s">
        <v>332</v>
      </c>
      <c r="C20" s="94">
        <v>0</v>
      </c>
      <c r="D20" s="94">
        <v>0</v>
      </c>
      <c r="E20" s="83"/>
      <c r="F20" s="83"/>
      <c r="G20" s="83"/>
      <c r="H20" s="83"/>
      <c r="I20" s="83"/>
      <c r="J20" s="95"/>
      <c r="K20" s="54"/>
      <c r="L20" s="54"/>
      <c r="M20" s="54"/>
      <c r="N20" s="54"/>
      <c r="O20" s="54"/>
    </row>
    <row r="21" spans="1:15"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spans="1:15">
      <c r="A22" t="s">
        <v>291</v>
      </c>
      <c r="B22" s="54">
        <f t="shared" ref="B22:J22" si="0">COLUMN(B3)-2</f>
        <v>0</v>
      </c>
      <c r="C22" s="54">
        <f t="shared" si="0"/>
        <v>1</v>
      </c>
      <c r="D22" s="54">
        <f t="shared" si="0"/>
        <v>2</v>
      </c>
      <c r="E22" s="54">
        <f t="shared" si="0"/>
        <v>3</v>
      </c>
      <c r="F22" s="54">
        <f t="shared" si="0"/>
        <v>4</v>
      </c>
      <c r="G22" s="54">
        <f t="shared" si="0"/>
        <v>5</v>
      </c>
      <c r="H22" s="54">
        <f t="shared" si="0"/>
        <v>6</v>
      </c>
      <c r="I22" s="54">
        <f t="shared" si="0"/>
        <v>7</v>
      </c>
      <c r="J22" s="54">
        <f t="shared" si="0"/>
        <v>8</v>
      </c>
      <c r="K22" s="54"/>
    </row>
    <row r="24" spans="1:15">
      <c r="A24" t="s">
        <v>304</v>
      </c>
      <c r="B24" s="42" t="s">
        <v>296</v>
      </c>
      <c r="C24" s="42" t="s">
        <v>303</v>
      </c>
      <c r="D24" s="42"/>
      <c r="E24" s="42"/>
      <c r="F24" s="42"/>
    </row>
    <row r="25" spans="1:15">
      <c r="B25" s="42" t="s">
        <v>295</v>
      </c>
      <c r="C25" t="s">
        <v>294</v>
      </c>
    </row>
    <row r="26" spans="1:15">
      <c r="B26" t="s">
        <v>306</v>
      </c>
    </row>
    <row r="27" spans="1:15">
      <c r="B27" s="42" t="s">
        <v>310</v>
      </c>
      <c r="C27" t="s">
        <v>312</v>
      </c>
      <c r="E27" s="58"/>
      <c r="F27" s="58"/>
    </row>
    <row r="28" spans="1:15">
      <c r="B28" s="42" t="s">
        <v>311</v>
      </c>
      <c r="C28" t="s">
        <v>314</v>
      </c>
      <c r="E28" s="58"/>
      <c r="F28" s="58"/>
    </row>
    <row r="29" spans="1:15">
      <c r="B29" s="42" t="s">
        <v>292</v>
      </c>
      <c r="C29" s="42" t="s">
        <v>322</v>
      </c>
      <c r="D29" s="58"/>
    </row>
    <row r="30" spans="1:15">
      <c r="B30" s="42" t="s">
        <v>320</v>
      </c>
      <c r="C30" s="42" t="s">
        <v>323</v>
      </c>
      <c r="D30" s="58"/>
    </row>
    <row r="31" spans="1:15">
      <c r="B31" s="42" t="s">
        <v>293</v>
      </c>
      <c r="C31" s="42" t="s">
        <v>326</v>
      </c>
    </row>
    <row r="32" spans="1:15">
      <c r="B32" s="42" t="s">
        <v>325</v>
      </c>
      <c r="C32" s="42" t="s">
        <v>327</v>
      </c>
    </row>
  </sheetData>
  <mergeCells count="3">
    <mergeCell ref="B2:D2"/>
    <mergeCell ref="E2:F2"/>
    <mergeCell ref="G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E38"/>
  <sheetViews>
    <sheetView topLeftCell="A16" workbookViewId="0">
      <selection activeCell="D38" sqref="D38"/>
    </sheetView>
  </sheetViews>
  <sheetFormatPr defaultRowHeight="15"/>
  <cols>
    <col min="3" max="3" width="24.85546875" customWidth="1"/>
    <col min="4" max="4" width="15" customWidth="1"/>
    <col min="5" max="5" width="20.140625" customWidth="1"/>
  </cols>
  <sheetData>
    <row r="2" spans="2:5">
      <c r="B2" t="s">
        <v>273</v>
      </c>
    </row>
    <row r="4" spans="2:5">
      <c r="C4" t="s">
        <v>285</v>
      </c>
      <c r="E4" t="s">
        <v>286</v>
      </c>
    </row>
    <row r="5" spans="2:5">
      <c r="C5" s="35" t="s">
        <v>4</v>
      </c>
      <c r="E5" s="35" t="s">
        <v>225</v>
      </c>
    </row>
    <row r="6" spans="2:5">
      <c r="C6" s="37" t="s">
        <v>224</v>
      </c>
      <c r="E6" s="37" t="s">
        <v>226</v>
      </c>
    </row>
    <row r="7" spans="2:5">
      <c r="C7" s="36" t="s">
        <v>282</v>
      </c>
      <c r="E7" s="36" t="s">
        <v>229</v>
      </c>
    </row>
    <row r="8" spans="2:5">
      <c r="C8" s="36" t="s">
        <v>283</v>
      </c>
      <c r="E8" s="38" t="s">
        <v>275</v>
      </c>
    </row>
    <row r="9" spans="2:5">
      <c r="C9" s="36" t="s">
        <v>284</v>
      </c>
      <c r="E9" s="35" t="s">
        <v>276</v>
      </c>
    </row>
    <row r="10" spans="2:5">
      <c r="C10" s="38" t="s">
        <v>17</v>
      </c>
      <c r="E10" s="37" t="s">
        <v>277</v>
      </c>
    </row>
    <row r="11" spans="2:5">
      <c r="C11" s="35" t="s">
        <v>20</v>
      </c>
      <c r="E11" s="36" t="s">
        <v>278</v>
      </c>
    </row>
    <row r="12" spans="2:5">
      <c r="C12" s="37" t="s">
        <v>259</v>
      </c>
      <c r="E12" s="38" t="s">
        <v>232</v>
      </c>
    </row>
    <row r="13" spans="2:5">
      <c r="C13" s="37" t="s">
        <v>260</v>
      </c>
      <c r="E13" s="35" t="s">
        <v>230</v>
      </c>
    </row>
    <row r="14" spans="2:5">
      <c r="C14" s="36" t="s">
        <v>209</v>
      </c>
      <c r="E14" s="37" t="s">
        <v>234</v>
      </c>
    </row>
    <row r="15" spans="2:5">
      <c r="C15" s="38" t="s">
        <v>228</v>
      </c>
      <c r="E15" s="36" t="s">
        <v>287</v>
      </c>
    </row>
    <row r="16" spans="2:5">
      <c r="C16" s="35" t="s">
        <v>1</v>
      </c>
      <c r="E16" s="38" t="s">
        <v>288</v>
      </c>
    </row>
    <row r="17" spans="3:5">
      <c r="C17" s="37" t="s">
        <v>2</v>
      </c>
      <c r="E17" s="35" t="s">
        <v>233</v>
      </c>
    </row>
    <row r="18" spans="3:5">
      <c r="C18" s="36" t="s">
        <v>9</v>
      </c>
      <c r="E18" s="37" t="s">
        <v>231</v>
      </c>
    </row>
    <row r="19" spans="3:5">
      <c r="C19" s="38" t="s">
        <v>10</v>
      </c>
    </row>
    <row r="22" spans="3:5">
      <c r="C22" s="1" t="s">
        <v>204</v>
      </c>
      <c r="D22" s="1" t="s">
        <v>205</v>
      </c>
      <c r="E22" t="s">
        <v>290</v>
      </c>
    </row>
    <row r="23" spans="3:5">
      <c r="C23" s="1" t="s">
        <v>27</v>
      </c>
      <c r="D23" s="1">
        <v>255</v>
      </c>
    </row>
    <row r="24" spans="3:5">
      <c r="C24" s="1" t="s">
        <v>201</v>
      </c>
      <c r="D24" s="1">
        <v>1.6879999999999999</v>
      </c>
    </row>
    <row r="26" spans="3:5">
      <c r="C26" s="1" t="s">
        <v>207</v>
      </c>
      <c r="D26" s="1" t="s">
        <v>206</v>
      </c>
    </row>
    <row r="27" spans="3:5">
      <c r="C27" s="1" t="s">
        <v>27</v>
      </c>
      <c r="D27" s="1">
        <v>225</v>
      </c>
    </row>
    <row r="28" spans="3:5">
      <c r="C28" s="1" t="s">
        <v>201</v>
      </c>
      <c r="D28" s="1">
        <v>1.353</v>
      </c>
    </row>
    <row r="30" spans="3:5">
      <c r="C30" s="1" t="s">
        <v>208</v>
      </c>
      <c r="D30" s="1" t="s">
        <v>203</v>
      </c>
    </row>
    <row r="31" spans="3:5">
      <c r="C31" s="1" t="s">
        <v>27</v>
      </c>
      <c r="D31" s="1">
        <v>95</v>
      </c>
    </row>
    <row r="32" spans="3:5">
      <c r="C32" s="1" t="s">
        <v>202</v>
      </c>
      <c r="D32" s="1">
        <v>0.72</v>
      </c>
    </row>
    <row r="36" spans="3:3">
      <c r="C36" t="s">
        <v>392</v>
      </c>
    </row>
    <row r="38" spans="3:3">
      <c r="C38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workbookViewId="0">
      <selection activeCell="L11" sqref="L11"/>
    </sheetView>
  </sheetViews>
  <sheetFormatPr defaultRowHeight="15"/>
  <cols>
    <col min="1" max="1" width="23" customWidth="1"/>
    <col min="2" max="2" width="15.42578125" customWidth="1"/>
    <col min="3" max="4" width="14" bestFit="1" customWidth="1"/>
    <col min="5" max="5" width="8.5703125" bestFit="1" customWidth="1"/>
    <col min="6" max="6" width="12.5703125" bestFit="1" customWidth="1"/>
  </cols>
  <sheetData>
    <row r="1" spans="1:6">
      <c r="A1" s="40" t="s">
        <v>369</v>
      </c>
    </row>
    <row r="3" spans="1:6">
      <c r="A3" t="s">
        <v>370</v>
      </c>
      <c r="B3" t="s">
        <v>367</v>
      </c>
      <c r="C3" t="s">
        <v>368</v>
      </c>
    </row>
    <row r="4" spans="1:6">
      <c r="B4" s="50" t="s">
        <v>266</v>
      </c>
      <c r="C4" s="141" t="s">
        <v>372</v>
      </c>
    </row>
    <row r="5" spans="1:6">
      <c r="B5" s="50" t="s">
        <v>267</v>
      </c>
      <c r="C5" s="141" t="s">
        <v>374</v>
      </c>
    </row>
    <row r="6" spans="1:6">
      <c r="C6" s="142" t="s">
        <v>373</v>
      </c>
    </row>
    <row r="8" spans="1:6">
      <c r="A8" t="s">
        <v>371</v>
      </c>
      <c r="B8" s="50" t="s">
        <v>266</v>
      </c>
      <c r="C8" s="50" t="s">
        <v>267</v>
      </c>
      <c r="D8" s="141" t="s">
        <v>372</v>
      </c>
      <c r="E8" s="141" t="s">
        <v>374</v>
      </c>
      <c r="F8" s="142" t="s">
        <v>373</v>
      </c>
    </row>
    <row r="9" spans="1:6">
      <c r="B9" s="51" t="s">
        <v>270</v>
      </c>
      <c r="C9" s="51" t="s">
        <v>270</v>
      </c>
      <c r="D9" s="52" t="s">
        <v>271</v>
      </c>
      <c r="E9" s="52" t="s">
        <v>272</v>
      </c>
      <c r="F9" s="52" t="s">
        <v>289</v>
      </c>
    </row>
    <row r="10" spans="1:6">
      <c r="D10" t="s">
        <v>398</v>
      </c>
      <c r="E10" t="s">
        <v>399</v>
      </c>
    </row>
    <row r="11" spans="1:6">
      <c r="D11" t="s">
        <v>401</v>
      </c>
      <c r="E11" t="s">
        <v>400</v>
      </c>
    </row>
    <row r="12" spans="1:6">
      <c r="A12" s="50"/>
    </row>
  </sheetData>
  <dataValidations count="4">
    <dataValidation type="custom" allowBlank="1" showInputMessage="1" showErrorMessage="1" sqref="B9:C9" xr:uid="{00000000-0002-0000-0E00-000000000000}">
      <formula1>E7&lt;M7</formula1>
    </dataValidation>
    <dataValidation type="custom" allowBlank="1" showInputMessage="1" showErrorMessage="1" sqref="D9" xr:uid="{00000000-0002-0000-0E00-000001000000}">
      <formula1>D15&lt;Q25*10^6</formula1>
    </dataValidation>
    <dataValidation type="custom" allowBlank="1" showInputMessage="1" showErrorMessage="1" sqref="F9" xr:uid="{00000000-0002-0000-0E00-000002000000}">
      <formula1>D10&lt;Q20*10^6</formula1>
    </dataValidation>
    <dataValidation type="custom" allowBlank="1" showInputMessage="1" showErrorMessage="1" sqref="E9" xr:uid="{00000000-0002-0000-0E00-000003000000}">
      <formula1>#REF!&lt;Q19*10^6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modeled attributes</vt:lpstr>
      <vt:lpstr>site independent</vt:lpstr>
      <vt:lpstr>scenario analysis</vt:lpstr>
      <vt:lpstr>vre plants</vt:lpstr>
      <vt:lpstr>non-vre plants</vt:lpstr>
      <vt:lpstr>storage</vt:lpstr>
      <vt:lpstr>EV_aggregator</vt:lpstr>
      <vt:lpstr>demand response</vt:lpstr>
      <vt:lpstr>demand centres</vt:lpstr>
      <vt:lpstr>existing transmission</vt:lpstr>
      <vt:lpstr>modeled attributes _original</vt:lpstr>
      <vt:lpstr>excel input instructions</vt:lpstr>
      <vt:lpstr>lists</vt:lpstr>
      <vt:lpstr>mono_c_Si</vt:lpstr>
      <vt:lpstr>mono_tech</vt:lpstr>
      <vt:lpstr>multi_c_Si</vt:lpstr>
      <vt:lpstr>multi_tech</vt:lpstr>
      <vt:lpstr>'site independent'!Print_Area</vt:lpstr>
      <vt:lpstr>Solar</vt:lpstr>
      <vt:lpstr>thin_film</vt:lpstr>
      <vt:lpstr>thin_tech</vt:lpstr>
      <vt:lpstr>VRE</vt:lpstr>
      <vt:lpstr>Wind</vt:lpstr>
      <vt:lpstr>wind_offshore</vt:lpstr>
      <vt:lpstr>wind_onshore</vt:lpstr>
      <vt:lpstr>wind_tech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Nathalin</dc:creator>
  <cp:lastModifiedBy>Mohammadali Saffari</cp:lastModifiedBy>
  <cp:lastPrinted>2015-06-03T16:51:47Z</cp:lastPrinted>
  <dcterms:created xsi:type="dcterms:W3CDTF">2015-05-08T16:44:21Z</dcterms:created>
  <dcterms:modified xsi:type="dcterms:W3CDTF">2021-10-07T17:34:43Z</dcterms:modified>
</cp:coreProperties>
</file>