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5.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vre plants" sheetId="1" state="visible" r:id="rId2"/>
    <sheet name="user_inputs" sheetId="2" state="visible" r:id="rId3"/>
    <sheet name="site independent" sheetId="3" state="visible" r:id="rId4"/>
    <sheet name="modeled attributes" sheetId="4" state="visible" r:id="rId5"/>
    <sheet name="scenario analysis" sheetId="5" state="visible" r:id="rId6"/>
    <sheet name="non-vre plants" sheetId="6" state="visible" r:id="rId7"/>
    <sheet name="storage" sheetId="7" state="visible" r:id="rId8"/>
    <sheet name="EV_aggregator" sheetId="8" state="visible" r:id="rId9"/>
    <sheet name="demand response" sheetId="9" state="visible" r:id="rId10"/>
    <sheet name="demand centres" sheetId="10" state="visible" r:id="rId11"/>
    <sheet name="existing transmission" sheetId="11" state="visible" r:id="rId12"/>
    <sheet name="modeled attributes _original" sheetId="12" state="visible" r:id="rId13"/>
    <sheet name="excel input instructions" sheetId="13" state="visible" r:id="rId14"/>
    <sheet name="lists" sheetId="14" state="visible" r:id="rId15"/>
  </sheets>
  <externalReferences>
    <externalReference r:id="rId16"/>
  </externalReferences>
  <definedNames>
    <definedName function="false" hidden="false" localSheetId="2" name="_xlnm.Print_Area" vbProcedure="false">'site independent'!$A$1:$O$134</definedName>
    <definedName function="false" hidden="false" name="code" vbProcedure="false">#REF!</definedName>
    <definedName function="false" hidden="false" name="mono_c_Si" vbProcedure="false">lists!$F$9:$F$11</definedName>
    <definedName function="false" hidden="false" name="mono_tech" vbProcedure="false">lists!$E$9:$E$11</definedName>
    <definedName function="false" hidden="false" name="multi_c_Si" vbProcedure="false">lists!$D$9:$D$11</definedName>
    <definedName function="false" hidden="false" name="multi_tech" vbProcedure="false">lists!$C$9:$C$11</definedName>
    <definedName function="false" hidden="false" name="renumber" vbProcedure="false">#REF!</definedName>
    <definedName function="false" hidden="false" name="rerank" vbProcedure="false">#REF!</definedName>
    <definedName function="false" hidden="false" name="Solar" vbProcedure="false">lists!$C$4:$C$6</definedName>
    <definedName function="false" hidden="false" name="thin_film" vbProcedure="false">lists!$E$9:$E$11</definedName>
    <definedName function="false" hidden="false" name="thin_tech" vbProcedure="false">lists!$D$9:$D$11</definedName>
    <definedName function="false" hidden="false" name="total" vbProcedure="false">#REF!</definedName>
    <definedName function="false" hidden="false" name="user" vbProcedure="false">#REF!</definedName>
    <definedName function="false" hidden="false" name="VRE" vbProcedure="false">lists!$B$3:$C$3</definedName>
    <definedName function="false" hidden="false" name="Wind" vbProcedure="false">lists!$B$4:$B$5</definedName>
    <definedName function="false" hidden="false" name="wind_offshore" vbProcedure="false">lists!$C$9</definedName>
    <definedName function="false" hidden="false" name="wind_onshore" vbProcedure="false">lists!$B$9:$B$11</definedName>
    <definedName function="false" hidden="false" name="wind_tech" vbProcedure="false">lists!$B$9:$B$11</definedName>
    <definedName function="false" hidden="false" localSheetId="3" name="renumber" vbProcedure="false">#REF!</definedName>
    <definedName function="false" hidden="false" localSheetId="3" name="total" vbProcedure="false">#REF!</definedName>
    <definedName function="false" hidden="false" localSheetId="3" name="VRE" vbProcedure="false">[1]lists!$B$3:$C$3</definedName>
    <definedName function="false" hidden="false" localSheetId="5" name="code" vbProcedure="false">#REF!</definedName>
    <definedName function="false" hidden="false" localSheetId="5" name="renumber" vbProcedure="false">#REF!</definedName>
    <definedName function="false" hidden="false" localSheetId="5" name="rerank" vbProcedure="false">#REF!</definedName>
    <definedName function="false" hidden="false" localSheetId="5" name="total" vbProcedure="false">#REF!</definedName>
    <definedName function="false" hidden="false" localSheetId="5" name="user" vbProcedure="false">#REF!</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B74" authorId="0">
      <text>
        <r>
          <rPr>
            <sz val="11"/>
            <color rgb="FF000000"/>
            <rFont val="Calibri"/>
            <family val="2"/>
            <charset val="1"/>
          </rPr>
          <t xml:space="preserve">Madeleine:
</t>
        </r>
        <r>
          <rPr>
            <sz val="9"/>
            <color rgb="FF000000"/>
            <rFont val="Tahoma"/>
            <family val="2"/>
            <charset val="1"/>
          </rPr>
          <t xml:space="preserve">Need to get real values here
</t>
        </r>
      </text>
    </comment>
    <comment ref="V4" authorId="0">
      <text>
        <r>
          <rPr>
            <sz val="11"/>
            <color rgb="FF000000"/>
            <rFont val="Calibri"/>
            <family val="2"/>
            <charset val="1"/>
          </rPr>
          <t xml:space="preserve">Madeleine:
</t>
        </r>
        <r>
          <rPr>
            <sz val="9"/>
            <color rgb="FF000000"/>
            <rFont val="Tahoma"/>
            <family val="2"/>
            <charset val="1"/>
          </rPr>
          <t xml:space="preserve">Note: the operating reserve coefficient is a fraction of generation in Nils' paper</t>
        </r>
      </text>
    </comment>
  </commentList>
</comments>
</file>

<file path=xl/comments5.xml><?xml version="1.0" encoding="utf-8"?>
<comments xmlns="http://schemas.openxmlformats.org/spreadsheetml/2006/main" xmlns:xdr="http://schemas.openxmlformats.org/drawingml/2006/spreadsheetDrawing">
  <authors>
    <author> </author>
  </authors>
  <commentList>
    <comment ref="L4" authorId="0">
      <text>
        <r>
          <rPr>
            <sz val="11"/>
            <color rgb="FF000000"/>
            <rFont val="Calibri"/>
            <family val="2"/>
            <charset val="1"/>
          </rPr>
          <t xml:space="preserve">Madeleine:
</t>
        </r>
      </text>
    </comment>
  </commentList>
</comments>
</file>

<file path=xl/sharedStrings.xml><?xml version="1.0" encoding="utf-8"?>
<sst xmlns="http://schemas.openxmlformats.org/spreadsheetml/2006/main" count="2166" uniqueCount="905">
  <si>
    <t xml:space="preserve">plant ID</t>
  </si>
  <si>
    <t xml:space="preserve">name</t>
  </si>
  <si>
    <t xml:space="preserve">kind</t>
  </si>
  <si>
    <t xml:space="preserve">latitude</t>
  </si>
  <si>
    <t xml:space="preserve">longitude</t>
  </si>
  <si>
    <t xml:space="preserve">[MW]</t>
  </si>
  <si>
    <t xml:space="preserve">bus</t>
  </si>
  <si>
    <t xml:space="preserve">technology type</t>
  </si>
  <si>
    <t xml:space="preserve">unit capacity [kW]</t>
  </si>
  <si>
    <t xml:space="preserve">latitude_MERRA</t>
  </si>
  <si>
    <t xml:space="preserve">longitude_MERRA</t>
  </si>
  <si>
    <t xml:space="preserve">Wind</t>
  </si>
  <si>
    <t xml:space="preserve">Wind_1</t>
  </si>
  <si>
    <t xml:space="preserve">wind_onshore</t>
  </si>
  <si>
    <t xml:space="preserve">Bruce A TS</t>
  </si>
  <si>
    <t xml:space="preserve">V_112-3.0</t>
  </si>
  <si>
    <t xml:space="preserve">Wind_2</t>
  </si>
  <si>
    <t xml:space="preserve">Wind_3</t>
  </si>
  <si>
    <t xml:space="preserve">Evergreen SS</t>
  </si>
  <si>
    <t xml:space="preserve">Wind_4</t>
  </si>
  <si>
    <t xml:space="preserve">Wind_5</t>
  </si>
  <si>
    <t xml:space="preserve">Essa TS</t>
  </si>
  <si>
    <t xml:space="preserve">Wind_6</t>
  </si>
  <si>
    <t xml:space="preserve">Wind_7</t>
  </si>
  <si>
    <t xml:space="preserve">Wind_8</t>
  </si>
  <si>
    <t xml:space="preserve">Wind_9</t>
  </si>
  <si>
    <t xml:space="preserve">Wind_10</t>
  </si>
  <si>
    <t xml:space="preserve">Wind_14</t>
  </si>
  <si>
    <t xml:space="preserve">Ashfield SS</t>
  </si>
  <si>
    <t xml:space="preserve">Wind_15</t>
  </si>
  <si>
    <t xml:space="preserve">Wind_17</t>
  </si>
  <si>
    <t xml:space="preserve">Wind_19</t>
  </si>
  <si>
    <t xml:space="preserve">Wind_20</t>
  </si>
  <si>
    <t xml:space="preserve">Longwood TS</t>
  </si>
  <si>
    <t xml:space="preserve">Wind_22</t>
  </si>
  <si>
    <t xml:space="preserve">Middleport TS</t>
  </si>
  <si>
    <t xml:space="preserve">Wind_24</t>
  </si>
  <si>
    <t xml:space="preserve">Wind_25</t>
  </si>
  <si>
    <t xml:space="preserve">Wind_26</t>
  </si>
  <si>
    <t xml:space="preserve">Wind_27</t>
  </si>
  <si>
    <t xml:space="preserve">Wind_28</t>
  </si>
  <si>
    <t xml:space="preserve">Hanmer TS</t>
  </si>
  <si>
    <t xml:space="preserve">Wind_29</t>
  </si>
  <si>
    <t xml:space="preserve">Cherrywood TS</t>
  </si>
  <si>
    <t xml:space="preserve">Wind_30</t>
  </si>
  <si>
    <t xml:space="preserve">Wind_31</t>
  </si>
  <si>
    <t xml:space="preserve">Wind_32</t>
  </si>
  <si>
    <t xml:space="preserve">Wind_34</t>
  </si>
  <si>
    <t xml:space="preserve">Wind_35</t>
  </si>
  <si>
    <t xml:space="preserve">Wind_38</t>
  </si>
  <si>
    <t xml:space="preserve">Wind_40</t>
  </si>
  <si>
    <t xml:space="preserve">Wind_42</t>
  </si>
  <si>
    <t xml:space="preserve">Wind_43</t>
  </si>
  <si>
    <t xml:space="preserve">Wind_44</t>
  </si>
  <si>
    <t xml:space="preserve">Wind_46</t>
  </si>
  <si>
    <t xml:space="preserve">Parkway JCT</t>
  </si>
  <si>
    <t xml:space="preserve">Wind_47</t>
  </si>
  <si>
    <t xml:space="preserve">Wind_48</t>
  </si>
  <si>
    <t xml:space="preserve">Wind_51</t>
  </si>
  <si>
    <t xml:space="preserve">Wind_53</t>
  </si>
  <si>
    <t xml:space="preserve">Wind_54</t>
  </si>
  <si>
    <t xml:space="preserve">Wind_57</t>
  </si>
  <si>
    <t xml:space="preserve">Wind_58</t>
  </si>
  <si>
    <t xml:space="preserve">Wind_59</t>
  </si>
  <si>
    <t xml:space="preserve">Wind_60</t>
  </si>
  <si>
    <t xml:space="preserve">Wind_61</t>
  </si>
  <si>
    <t xml:space="preserve">Wind_62</t>
  </si>
  <si>
    <t xml:space="preserve">Wind_63</t>
  </si>
  <si>
    <t xml:space="preserve">Wind_64</t>
  </si>
  <si>
    <t xml:space="preserve">Wind_65</t>
  </si>
  <si>
    <t xml:space="preserve">Wind_67</t>
  </si>
  <si>
    <t xml:space="preserve">Wind_68</t>
  </si>
  <si>
    <t xml:space="preserve">Hawthorne TS</t>
  </si>
  <si>
    <t xml:space="preserve">Wind_69</t>
  </si>
  <si>
    <t xml:space="preserve">Wind_70</t>
  </si>
  <si>
    <t xml:space="preserve">Lennox TS</t>
  </si>
  <si>
    <t xml:space="preserve">Wind_71</t>
  </si>
  <si>
    <t xml:space="preserve">Wind_72</t>
  </si>
  <si>
    <t xml:space="preserve">Wind_73</t>
  </si>
  <si>
    <t xml:space="preserve">Wind_74</t>
  </si>
  <si>
    <t xml:space="preserve">Wind_75</t>
  </si>
  <si>
    <t xml:space="preserve">Wind_77</t>
  </si>
  <si>
    <t xml:space="preserve">Wind_78</t>
  </si>
  <si>
    <t xml:space="preserve">Wind_80</t>
  </si>
  <si>
    <t xml:space="preserve">Wind_82</t>
  </si>
  <si>
    <t xml:space="preserve">Wind_84</t>
  </si>
  <si>
    <t xml:space="preserve">Wind_89</t>
  </si>
  <si>
    <t xml:space="preserve">Wind_91</t>
  </si>
  <si>
    <t xml:space="preserve">Wind_96</t>
  </si>
  <si>
    <t xml:space="preserve">Claireville TS</t>
  </si>
  <si>
    <t xml:space="preserve">Wind_98</t>
  </si>
  <si>
    <t xml:space="preserve">Solar</t>
  </si>
  <si>
    <t xml:space="preserve">Solar_1</t>
  </si>
  <si>
    <t xml:space="preserve">multi_c_Si</t>
  </si>
  <si>
    <t xml:space="preserve">FS395</t>
  </si>
  <si>
    <t xml:space="preserve">Solar_2</t>
  </si>
  <si>
    <t xml:space="preserve">Solar_3</t>
  </si>
  <si>
    <t xml:space="preserve">Solar_4</t>
  </si>
  <si>
    <t xml:space="preserve">Solar_5</t>
  </si>
  <si>
    <t xml:space="preserve">Solar_8</t>
  </si>
  <si>
    <t xml:space="preserve">Solar_9</t>
  </si>
  <si>
    <t xml:space="preserve">Solar_10</t>
  </si>
  <si>
    <t xml:space="preserve">Solar_11</t>
  </si>
  <si>
    <t xml:space="preserve">Solar_12</t>
  </si>
  <si>
    <t xml:space="preserve">Solar_13</t>
  </si>
  <si>
    <t xml:space="preserve">Solar_14</t>
  </si>
  <si>
    <t xml:space="preserve">Porcupine TS</t>
  </si>
  <si>
    <t xml:space="preserve">Solar_15</t>
  </si>
  <si>
    <t xml:space="preserve">Solar_19</t>
  </si>
  <si>
    <t xml:space="preserve">Solar_20</t>
  </si>
  <si>
    <t xml:space="preserve">Solar_23</t>
  </si>
  <si>
    <t xml:space="preserve">Solar_24</t>
  </si>
  <si>
    <t xml:space="preserve">Solar_25</t>
  </si>
  <si>
    <t xml:space="preserve">Solar_27</t>
  </si>
  <si>
    <t xml:space="preserve">Solar_30</t>
  </si>
  <si>
    <t xml:space="preserve">Solar_31</t>
  </si>
  <si>
    <t xml:space="preserve">Solar_32</t>
  </si>
  <si>
    <t xml:space="preserve">Solar_34</t>
  </si>
  <si>
    <t xml:space="preserve">Solar_35</t>
  </si>
  <si>
    <t xml:space="preserve">Solar_36</t>
  </si>
  <si>
    <t xml:space="preserve">Solar_37</t>
  </si>
  <si>
    <t xml:space="preserve">Solar_38</t>
  </si>
  <si>
    <t xml:space="preserve">Solar_40</t>
  </si>
  <si>
    <t xml:space="preserve">Solar_42</t>
  </si>
  <si>
    <t xml:space="preserve">Solar_43</t>
  </si>
  <si>
    <t xml:space="preserve">Solar_44</t>
  </si>
  <si>
    <t xml:space="preserve">Solar_45</t>
  </si>
  <si>
    <t xml:space="preserve">Solar_47</t>
  </si>
  <si>
    <t xml:space="preserve">Solar_49</t>
  </si>
  <si>
    <t xml:space="preserve">Solar_50</t>
  </si>
  <si>
    <t xml:space="preserve">Solar_51</t>
  </si>
  <si>
    <t xml:space="preserve">Solar_52</t>
  </si>
  <si>
    <t xml:space="preserve">Solar_53</t>
  </si>
  <si>
    <t xml:space="preserve">Solar_54</t>
  </si>
  <si>
    <t xml:space="preserve">Solar_56</t>
  </si>
  <si>
    <t xml:space="preserve">Solar_57</t>
  </si>
  <si>
    <t xml:space="preserve">Solar_58</t>
  </si>
  <si>
    <t xml:space="preserve">Solar_60</t>
  </si>
  <si>
    <t xml:space="preserve">Solar_62</t>
  </si>
  <si>
    <t xml:space="preserve">Solar_63</t>
  </si>
  <si>
    <t xml:space="preserve">Solar_64</t>
  </si>
  <si>
    <t xml:space="preserve">Solar_66</t>
  </si>
  <si>
    <t xml:space="preserve">Solar_67</t>
  </si>
  <si>
    <t xml:space="preserve">Solar_69</t>
  </si>
  <si>
    <t xml:space="preserve">Solar_70</t>
  </si>
  <si>
    <t xml:space="preserve">Solar_72</t>
  </si>
  <si>
    <t xml:space="preserve">Solar_73</t>
  </si>
  <si>
    <t xml:space="preserve">Solar_74</t>
  </si>
  <si>
    <t xml:space="preserve">Solar_76</t>
  </si>
  <si>
    <t xml:space="preserve">Solar_78</t>
  </si>
  <si>
    <t xml:space="preserve">Solar_79</t>
  </si>
  <si>
    <t xml:space="preserve">Solar_85</t>
  </si>
  <si>
    <t xml:space="preserve">Solar_88</t>
  </si>
  <si>
    <t xml:space="preserve">Solar_89</t>
  </si>
  <si>
    <t xml:space="preserve">Solar_90</t>
  </si>
  <si>
    <t xml:space="preserve">Milton SS</t>
  </si>
  <si>
    <t xml:space="preserve">Solar_91</t>
  </si>
  <si>
    <t xml:space="preserve">Solar_92</t>
  </si>
  <si>
    <t xml:space="preserve">Solar_93</t>
  </si>
  <si>
    <t xml:space="preserve">Solar_94</t>
  </si>
  <si>
    <t xml:space="preserve">Solar_97</t>
  </si>
  <si>
    <t xml:space="preserve">Solar_98</t>
  </si>
  <si>
    <t xml:space="preserve">Solar_99</t>
  </si>
  <si>
    <t xml:space="preserve">Solar_105</t>
  </si>
  <si>
    <t xml:space="preserve">Solar_106</t>
  </si>
  <si>
    <t xml:space="preserve">Solar_108</t>
  </si>
  <si>
    <t xml:space="preserve">Solar_109</t>
  </si>
  <si>
    <t xml:space="preserve">Solar_111</t>
  </si>
  <si>
    <t xml:space="preserve">Solar_112</t>
  </si>
  <si>
    <t xml:space="preserve">Solar_113</t>
  </si>
  <si>
    <t xml:space="preserve">Solar_117</t>
  </si>
  <si>
    <t xml:space="preserve">Solar_118</t>
  </si>
  <si>
    <t xml:space="preserve">Solar_119</t>
  </si>
  <si>
    <t xml:space="preserve">Solar_120</t>
  </si>
  <si>
    <t xml:space="preserve">Solar_122</t>
  </si>
  <si>
    <t xml:space="preserve">Solar_128</t>
  </si>
  <si>
    <t xml:space="preserve">Solar_136</t>
  </si>
  <si>
    <t xml:space="preserve">Input_Variable</t>
  </si>
  <si>
    <t xml:space="preserve">User_Input</t>
  </si>
  <si>
    <t xml:space="preserve">demand_schedule_file</t>
  </si>
  <si>
    <t xml:space="preserve">/user_inputs/Ontario_Demand_Real_Forecasted_IESO_2012.xlsx</t>
  </si>
  <si>
    <t xml:space="preserve">demand_schedule_column</t>
  </si>
  <si>
    <t xml:space="preserve">Total</t>
  </si>
  <si>
    <t xml:space="preserve">demand_forecasting_error</t>
  </si>
  <si>
    <t xml:space="preserve">#Note: if you are in 'testing' mode, then the forecasting error does not get applied. This is so that it is easier to debug errors, when you are in testing mode.</t>
  </si>
  <si>
    <t xml:space="preserve">wind_forecasting_error</t>
  </si>
  <si>
    <t xml:space="preserve">#However, these errors do get applied when you are in non-testing mode.</t>
  </si>
  <si>
    <t xml:space="preserve">solar_forecasting_error</t>
  </si>
  <si>
    <t xml:space="preserve">cost_load_shedding</t>
  </si>
  <si>
    <t xml:space="preserve">must be hard-cded into minpower.cfg</t>
  </si>
  <si>
    <t xml:space="preserve">analysis startdate</t>
  </si>
  <si>
    <t xml:space="preserve">  # define historical data (vre resource and load) to use. NOTE: start hour has to be 0:00 (12:00:00 AM) and end date has to be 23:00 (11:00:00 PM) </t>
  </si>
  <si>
    <t xml:space="preserve">analysis enddate</t>
  </si>
  <si>
    <t xml:space="preserve">#NOTE: the date indexes on your load and vre input files should be the same. It is recommended that you always use one year of data (since this is how the vre data fill will be organized). Start with the 1/1/YYYY in cell A2 for both the vre and load files. Note that no time conversion is applied in the model. That is why the vre index must line up with the load index- to make sure that 2 pm in the load file is the same as 2 pm in the vre file. </t>
  </si>
  <si>
    <t xml:space="preserve">timezone</t>
  </si>
  <si>
    <t xml:space="preserve">'Chile/Continental'</t>
  </si>
  <si>
    <t xml:space="preserve">VRE timeseries resource data folder</t>
  </si>
  <si>
    <t xml:space="preserve">C:\Users\User\Desktop\chargedup\SILVER_Py3\VRE_Resource_Analysis</t>
  </si>
  <si>
    <t xml:space="preserve">VRE timeseries generation data folder</t>
  </si>
  <si>
    <t xml:space="preserve">/VRE_Resource_Analysis/</t>
  </si>
  <si>
    <t xml:space="preserve">Hydro energy capacity dataset</t>
  </si>
  <si>
    <t xml:space="preserve">/user_inputs/hydro_pondage.xlsx</t>
  </si>
  <si>
    <t xml:space="preserve">Assumptions:</t>
  </si>
  <si>
    <t xml:space="preserve">UC holds until 1 hour before OPF</t>
  </si>
  <si>
    <t xml:space="preserve">p min = UC power - 1 hr ramp value     (status =1) </t>
  </si>
  <si>
    <t xml:space="preserve">p max = UC power + 1 hr ramp value   (status =1) </t>
  </si>
  <si>
    <t xml:space="preserve">if status  = 0</t>
  </si>
  <si>
    <t xml:space="preserve">if cold start &gt; 1 hr then p max  = 0</t>
  </si>
  <si>
    <t xml:space="preserve">if cold start &lt; 1 hr then p max = cold start 1 hr ramp value</t>
  </si>
  <si>
    <t xml:space="preserve">Note: </t>
  </si>
  <si>
    <t xml:space="preserve">You may need to right-click clear-contents to get rid fo values that you don't want there… </t>
  </si>
  <si>
    <t xml:space="preserve">technology assumptions</t>
  </si>
  <si>
    <t xml:space="preserve">references colour coded</t>
  </si>
  <si>
    <t xml:space="preserve">estimated start up times (notice to full load)</t>
  </si>
  <si>
    <t xml:space="preserve">cycling costs</t>
  </si>
  <si>
    <t xml:space="preserve">research these value and add it here</t>
  </si>
  <si>
    <t xml:space="preserve">non-vre sources</t>
  </si>
  <si>
    <t xml:space="preserve">levelized capital cost</t>
  </si>
  <si>
    <t xml:space="preserve">fixed o&amp;m cost</t>
  </si>
  <si>
    <t xml:space="preserve">variable o&amp;m cost (inc. fuel)</t>
  </si>
  <si>
    <t xml:space="preserve">transmission investment</t>
  </si>
  <si>
    <t xml:space="preserve">total system LCOE</t>
  </si>
  <si>
    <t xml:space="preserve">efficiency</t>
  </si>
  <si>
    <t xml:space="preserve">GHG emissions</t>
  </si>
  <si>
    <t xml:space="preserve">hot start</t>
  </si>
  <si>
    <t xml:space="preserve">warm start</t>
  </si>
  <si>
    <t xml:space="preserve">cold start</t>
  </si>
  <si>
    <t xml:space="preserve">spin ramp rate</t>
  </si>
  <si>
    <t xml:space="preserve">spinning cost</t>
  </si>
  <si>
    <t xml:space="preserve">minimum up time</t>
  </si>
  <si>
    <t xml:space="preserve">minimum down time</t>
  </si>
  <si>
    <t xml:space="preserve">shut down cost</t>
  </si>
  <si>
    <t xml:space="preserve">negative change in power for spinning unit</t>
  </si>
  <si>
    <t xml:space="preserve">shut down ramp limit</t>
  </si>
  <si>
    <t xml:space="preserve">Operating reserve coeff.</t>
  </si>
  <si>
    <t xml:space="preserve">Max capacity value</t>
  </si>
  <si>
    <t xml:space="preserve">Total overnight cost in 2014</t>
  </si>
  <si>
    <t xml:space="preserve">2012 $/MWh</t>
  </si>
  <si>
    <t xml:space="preserve">kg CO2e/MWh</t>
  </si>
  <si>
    <t xml:space="preserve">hours</t>
  </si>
  <si>
    <t xml:space="preserve">%/min</t>
  </si>
  <si>
    <t xml:space="preserve">$/MW cap.</t>
  </si>
  <si>
    <t xml:space="preserve">[$ per hour committed]</t>
  </si>
  <si>
    <t xml:space="preserve">[hours]</t>
  </si>
  <si>
    <t xml:space="preserve">[Fraction of installed capacity]</t>
  </si>
  <si>
    <t xml:space="preserve">$/kW</t>
  </si>
  <si>
    <t xml:space="preserve">coal</t>
  </si>
  <si>
    <r>
      <rPr>
        <sz val="11"/>
        <color rgb="FF000000"/>
        <rFont val="Calibri"/>
        <family val="2"/>
        <charset val="1"/>
      </rPr>
      <t xml:space="preserve">"Levelized cost and levelized avoided cost of new generation resources in the Annual Energy Outlook 2014" </t>
    </r>
    <r>
      <rPr>
        <i val="true"/>
        <sz val="11"/>
        <color rgb="FF000000"/>
        <rFont val="Calibri"/>
        <family val="2"/>
        <charset val="1"/>
      </rPr>
      <t xml:space="preserve">US Energy Information Administration</t>
    </r>
  </si>
  <si>
    <t xml:space="preserve">Natural gas</t>
  </si>
  <si>
    <r>
      <rPr>
        <sz val="11"/>
        <color rgb="FF000000"/>
        <rFont val="Calibri"/>
        <family val="2"/>
        <charset val="1"/>
      </rPr>
      <t xml:space="preserve">"FAQ: What is the efficiency of different types of power plants?" </t>
    </r>
    <r>
      <rPr>
        <i val="true"/>
        <sz val="11"/>
        <color rgb="FF000000"/>
        <rFont val="Calibri"/>
        <family val="2"/>
        <charset val="1"/>
      </rPr>
      <t xml:space="preserve">US Energy Information Administration</t>
    </r>
  </si>
  <si>
    <t xml:space="preserve">NG_CC</t>
  </si>
  <si>
    <r>
      <rPr>
        <sz val="11"/>
        <color rgb="FF000000"/>
        <rFont val="Calibri"/>
        <family val="2"/>
        <charset val="1"/>
      </rPr>
      <t xml:space="preserve">Table 8.1. Average Operating Heat Rate for Selected Energy Sources, 2003-2013. </t>
    </r>
    <r>
      <rPr>
        <i val="true"/>
        <sz val="11"/>
        <color rgb="FF000000"/>
        <rFont val="Calibri"/>
        <family val="2"/>
        <charset val="1"/>
      </rPr>
      <t xml:space="preserve">US Energy Information Administration</t>
    </r>
  </si>
  <si>
    <t xml:space="preserve">NG_CT</t>
  </si>
  <si>
    <r>
      <rPr>
        <sz val="11"/>
        <color rgb="FF000000"/>
        <rFont val="Calibri"/>
        <family val="2"/>
        <charset val="1"/>
      </rPr>
      <t xml:space="preserve">Annual Energy Review 2010. Appendix F: Alternatives for Estimating Energy Consumption. Table F1. Conversion Efficiencies of noncombustible Renewable Energy Sources. </t>
    </r>
    <r>
      <rPr>
        <i val="true"/>
        <sz val="11"/>
        <color rgb="FF000000"/>
        <rFont val="Calibri"/>
        <family val="2"/>
        <charset val="1"/>
      </rPr>
      <t xml:space="preserve">US Energy Information Administration.</t>
    </r>
  </si>
  <si>
    <t xml:space="preserve">NG_CG</t>
  </si>
  <si>
    <t xml:space="preserve">diesel</t>
  </si>
  <si>
    <t xml:space="preserve">fuel oil</t>
  </si>
  <si>
    <t xml:space="preserve">nuclear</t>
  </si>
  <si>
    <r>
      <rPr>
        <sz val="11"/>
        <color rgb="FF000000"/>
        <rFont val="Calibri"/>
        <family val="2"/>
        <charset val="1"/>
      </rPr>
      <t xml:space="preserve">"Biomass Energy Economics" </t>
    </r>
    <r>
      <rPr>
        <i val="true"/>
        <sz val="11"/>
        <color rgb="FF000000"/>
        <rFont val="Calibri"/>
        <family val="2"/>
        <charset val="1"/>
      </rPr>
      <t xml:space="preserve">Pacific Energy Systems, Inc.</t>
    </r>
  </si>
  <si>
    <t xml:space="preserve">hydro</t>
  </si>
  <si>
    <t xml:space="preserve">Climate Change 2014: Mitigation of Climate Change. Contribution of Working Group III to the Fifth Assessment Report of the Intergovernmental Panel on Climate Change. Annex III: Technology-specific cost and performance parameters. Table A.III.2 Emissions of selected electricity supply technologies</t>
  </si>
  <si>
    <t xml:space="preserve">hydro_hourly</t>
  </si>
  <si>
    <t xml:space="preserve">hydro_daily</t>
  </si>
  <si>
    <t xml:space="preserve">hydro_monthly</t>
  </si>
  <si>
    <t xml:space="preserve">geothermal</t>
  </si>
  <si>
    <t xml:space="preserve">"Technical Assessment of the Operation of Coal and Gas Fired Plants" Report to the DECC</t>
  </si>
  <si>
    <t xml:space="preserve">biomass</t>
  </si>
  <si>
    <t xml:space="preserve">"the westinghouse pressurized water reactor nuclear power plant" Table 16-1 Estimated Startup Time in Hours Required by NSSS</t>
  </si>
  <si>
    <t xml:space="preserve">biogas</t>
  </si>
  <si>
    <t xml:space="preserve">http://www.powerauthority.on.ca/current-electricity-contracts/sc-cc</t>
  </si>
  <si>
    <t xml:space="preserve">variable renewable energy sources</t>
  </si>
  <si>
    <r>
      <rPr>
        <sz val="11"/>
        <color rgb="FF000000"/>
        <rFont val="Calibri"/>
        <family val="2"/>
        <charset val="1"/>
      </rPr>
      <t xml:space="preserve">"Cost and Performance Data for Power Generation Technologies" </t>
    </r>
    <r>
      <rPr>
        <i val="true"/>
        <sz val="11"/>
        <color rgb="FF000000"/>
        <rFont val="Calibri"/>
        <family val="2"/>
        <charset val="1"/>
      </rPr>
      <t xml:space="preserve">Prepared for the National Renewable Energy Laboratory</t>
    </r>
  </si>
  <si>
    <t xml:space="preserve">given by power curves</t>
  </si>
  <si>
    <r>
      <rPr>
        <sz val="11"/>
        <color rgb="FF000000"/>
        <rFont val="Calibri"/>
        <family val="2"/>
        <charset val="1"/>
      </rPr>
      <t xml:space="preserve">"Power Plant Cycling Costs" </t>
    </r>
    <r>
      <rPr>
        <i val="true"/>
        <sz val="11"/>
        <color rgb="FF000000"/>
        <rFont val="Calibri"/>
        <family val="2"/>
        <charset val="1"/>
      </rPr>
      <t xml:space="preserve">Prepared for the National Renewable Energy Laboratory</t>
    </r>
  </si>
  <si>
    <t xml:space="preserve">wind</t>
  </si>
  <si>
    <t xml:space="preserve">wind - offshore</t>
  </si>
  <si>
    <t xml:space="preserve">*(likely conservative) estimate based on the fact that simple cycle is less efficient</t>
  </si>
  <si>
    <t xml:space="preserve">solar PV</t>
  </si>
  <si>
    <t xml:space="preserve">Trends in GHG Emissions in the Alberta Electricity Market</t>
  </si>
  <si>
    <t xml:space="preserve">solar thermal</t>
  </si>
  <si>
    <t xml:space="preserve">diesel costs: Lazard LCOE version 8.0</t>
  </si>
  <si>
    <t xml:space="preserve">balancing technologies</t>
  </si>
  <si>
    <t xml:space="preserve">assumed fuel oil costs are ~60% of diesel costs based on  http://asian-power.com/regulation/commentary/reducing-diesel-power-plant-hfo-bill</t>
  </si>
  <si>
    <t xml:space="preserve">"Comparison of Lifecycle Greenhouse Gas Emissions of Various Electricity Generation Sources" WNA</t>
  </si>
  <si>
    <t xml:space="preserve">storage</t>
  </si>
  <si>
    <t xml:space="preserve">capital cost power</t>
  </si>
  <si>
    <t xml:space="preserve">capital cost capacity</t>
  </si>
  <si>
    <t xml:space="preserve">annual operating costs</t>
  </si>
  <si>
    <t xml:space="preserve">applicable grid system size (MW)</t>
  </si>
  <si>
    <t xml:space="preserve">storage capacity (kWh)</t>
  </si>
  <si>
    <t xml:space="preserve">charge rate</t>
  </si>
  <si>
    <t xml:space="preserve">discharge rate</t>
  </si>
  <si>
    <t xml:space="preserve">(avg) $/kW</t>
  </si>
  <si>
    <t xml:space="preserve">(avg) $/kWh</t>
  </si>
  <si>
    <t xml:space="preserve">$/kWyr</t>
  </si>
  <si>
    <t xml:space="preserve">(max)</t>
  </si>
  <si>
    <t xml:space="preserve">min</t>
  </si>
  <si>
    <t xml:space="preserve">max</t>
  </si>
  <si>
    <t xml:space="preserve">kW</t>
  </si>
  <si>
    <t xml:space="preserve">"Electricity Storage and Renewables for Island Power" IRENA 2012</t>
  </si>
  <si>
    <t xml:space="preserve">PHS</t>
  </si>
  <si>
    <t xml:space="preserve">Kousksou et al. "Energy storage: Applications and challenges" Solar Energy Materials &amp; Solar Cells 2014</t>
  </si>
  <si>
    <t xml:space="preserve">CAES</t>
  </si>
  <si>
    <t xml:space="preserve">"Energy Technology Perspectives" IEA 2014</t>
  </si>
  <si>
    <t xml:space="preserve">FES</t>
  </si>
  <si>
    <t xml:space="preserve">Nils's Paper (Submitted to Energy Economics)</t>
  </si>
  <si>
    <t xml:space="preserve">batteries</t>
  </si>
  <si>
    <t xml:space="preserve">EIA AEO2015 Table 8.2" Cost and Performance characteristics of new central station electricity generating technologies </t>
  </si>
  <si>
    <t xml:space="preserve">Pb-acid</t>
  </si>
  <si>
    <t xml:space="preserve">My storage paper with Nils (YSSP report)</t>
  </si>
  <si>
    <t xml:space="preserve">Ni-Cd</t>
  </si>
  <si>
    <t xml:space="preserve">Na-S</t>
  </si>
  <si>
    <t xml:space="preserve">Li-ion</t>
  </si>
  <si>
    <t xml:space="preserve">vanadium</t>
  </si>
  <si>
    <t xml:space="preserve">hydrogen</t>
  </si>
  <si>
    <t xml:space="preserve">flow battery</t>
  </si>
  <si>
    <t xml:space="preserve">capacitors</t>
  </si>
  <si>
    <t xml:space="preserve">supercapacitors</t>
  </si>
  <si>
    <t xml:space="preserve">SMES</t>
  </si>
  <si>
    <t xml:space="preserve">thermal</t>
  </si>
  <si>
    <t xml:space="preserve">sector integration - transportation</t>
  </si>
  <si>
    <t xml:space="preserve">EV</t>
  </si>
  <si>
    <t xml:space="preserve">demand response - shifting</t>
  </si>
  <si>
    <t xml:space="preserve">shreddability (%)</t>
  </si>
  <si>
    <t xml:space="preserve">controllability (%)</t>
  </si>
  <si>
    <t xml:space="preserve">acceptability (%)</t>
  </si>
  <si>
    <t xml:space="preserve">S*P</t>
  </si>
  <si>
    <t xml:space="preserve">"Grid Integration of Aggregated Demand Response, Part 1: Load Availability Profiles and Constraints for the Western Interconnection." NREL</t>
  </si>
  <si>
    <t xml:space="preserve">assume x% flexibility - user input</t>
  </si>
  <si>
    <t xml:space="preserve">commercial</t>
  </si>
  <si>
    <t xml:space="preserve">assume different flexibilities during different hours</t>
  </si>
  <si>
    <t xml:space="preserve"> - cooling</t>
  </si>
  <si>
    <t xml:space="preserve">41-49</t>
  </si>
  <si>
    <t xml:space="preserve">15-25</t>
  </si>
  <si>
    <t xml:space="preserve">3-77</t>
  </si>
  <si>
    <t xml:space="preserve">0.45*0.20=0.09</t>
  </si>
  <si>
    <t xml:space="preserve">summer = 9%</t>
  </si>
  <si>
    <t xml:space="preserve">cooling peaks from 12-8pm</t>
  </si>
  <si>
    <t xml:space="preserve"> - heating</t>
  </si>
  <si>
    <t xml:space="preserve">46-51</t>
  </si>
  <si>
    <t xml:space="preserve">10-25</t>
  </si>
  <si>
    <t xml:space="preserve">0-77</t>
  </si>
  <si>
    <t xml:space="preserve">g</t>
  </si>
  <si>
    <t xml:space="preserve">winter = 8.6 %</t>
  </si>
  <si>
    <t xml:space="preserve">heating peaks from 7-9 am</t>
  </si>
  <si>
    <t xml:space="preserve">DR capacity = load * participation rate * sheddability</t>
  </si>
  <si>
    <t xml:space="preserve">residential</t>
  </si>
  <si>
    <t xml:space="preserve">participation = min (controllability, acceptability)</t>
  </si>
  <si>
    <t xml:space="preserve">20-70</t>
  </si>
  <si>
    <t xml:space="preserve">2-52</t>
  </si>
  <si>
    <t xml:space="preserve">13-39</t>
  </si>
  <si>
    <t xml:space="preserve">0.45*0.26=0.117</t>
  </si>
  <si>
    <t xml:space="preserve">summer = 8.35%</t>
  </si>
  <si>
    <t xml:space="preserve">20-30</t>
  </si>
  <si>
    <t xml:space="preserve">2-48</t>
  </si>
  <si>
    <t xml:space="preserve">0-1.5</t>
  </si>
  <si>
    <t xml:space="preserve">0.25*0.01=0.0025</t>
  </si>
  <si>
    <t xml:space="preserve">winter = 2.5%</t>
  </si>
  <si>
    <t xml:space="preserve">lighting and ventilation are not easily shiftable!</t>
  </si>
  <si>
    <t xml:space="preserve"> - water heating</t>
  </si>
  <si>
    <t xml:space="preserve">25</t>
  </si>
  <si>
    <t xml:space="preserve">13-26</t>
  </si>
  <si>
    <t xml:space="preserve">0.25*0.20=0.05</t>
  </si>
  <si>
    <t xml:space="preserve">peaks 7am, 6pm</t>
  </si>
  <si>
    <t xml:space="preserve">** would need demand data by sector</t>
  </si>
  <si>
    <t xml:space="preserve">industrial</t>
  </si>
  <si>
    <t xml:space="preserve">sheddability (%)</t>
  </si>
  <si>
    <t xml:space="preserve">participation (%)</t>
  </si>
  <si>
    <t xml:space="preserve">average</t>
  </si>
  <si>
    <t xml:space="preserve">ind/mun fairly flat over day</t>
  </si>
  <si>
    <t xml:space="preserve">divide year into heating/cooling, keep others year round</t>
  </si>
  <si>
    <t xml:space="preserve"> - agricultural water pumping</t>
  </si>
  <si>
    <t xml:space="preserve">for multiple end uses, take average of shed * participation?</t>
  </si>
  <si>
    <t xml:space="preserve"> - data centres</t>
  </si>
  <si>
    <t xml:space="preserve">for zeros, use a small non-zero number…</t>
  </si>
  <si>
    <t xml:space="preserve"> - regrigerated warehouses</t>
  </si>
  <si>
    <t xml:space="preserve">for ranges, take midpoint?</t>
  </si>
  <si>
    <t xml:space="preserve">municipal</t>
  </si>
  <si>
    <t xml:space="preserve"> - fresh water pumping</t>
  </si>
  <si>
    <t xml:space="preserve"> - waste water pumping</t>
  </si>
  <si>
    <t xml:space="preserve">transmission</t>
  </si>
  <si>
    <t xml:space="preserve">$ / kWh</t>
  </si>
  <si>
    <t xml:space="preserve"> - using existing lines</t>
  </si>
  <si>
    <t xml:space="preserve">AEO 2015 table 8</t>
  </si>
  <si>
    <t xml:space="preserve">assumptions: aluminum conductor steel reinforced (ACSR), Tubular (230 kV)/Lattice (345 kV - 600 kV), &gt;10 miles</t>
  </si>
  <si>
    <t xml:space="preserve"> - building new lines</t>
  </si>
  <si>
    <t xml:space="preserve">$ / km</t>
  </si>
  <si>
    <t xml:space="preserve">source gives in $/mile. 1 mile = 1.60934 km</t>
  </si>
  <si>
    <t xml:space="preserve"> -- 115 kV single circuit</t>
  </si>
  <si>
    <t xml:space="preserve">"Capital Costs for Transmission and Substations" prepared for the Western Electricity Coordinating Council</t>
  </si>
  <si>
    <t xml:space="preserve"> -- 115 kV double circuit</t>
  </si>
  <si>
    <t xml:space="preserve"> -- 230 kV single circuit</t>
  </si>
  <si>
    <t xml:space="preserve"> -- 230 kV double circuit</t>
  </si>
  <si>
    <t xml:space="preserve"> -- 500 kV single circuit</t>
  </si>
  <si>
    <t xml:space="preserve"> -- 500 kV double circuit</t>
  </si>
  <si>
    <t xml:space="preserve"> -- 500 kV HVDC Bi-pole</t>
  </si>
  <si>
    <t xml:space="preserve"> -- 600 kV HVDC Bi-pole</t>
  </si>
  <si>
    <t xml:space="preserve">backup generation</t>
  </si>
  <si>
    <t xml:space="preserve">depends on sources data</t>
  </si>
  <si>
    <t xml:space="preserve">curtailment</t>
  </si>
  <si>
    <t xml:space="preserve">output - last resort</t>
  </si>
  <si>
    <t xml:space="preserve"> -- electric vehicles</t>
  </si>
  <si>
    <t xml:space="preserve">base msrp</t>
  </si>
  <si>
    <t xml:space="preserve">est. tax credit (US)</t>
  </si>
  <si>
    <t xml:space="preserve">body type</t>
  </si>
  <si>
    <t xml:space="preserve">seats</t>
  </si>
  <si>
    <t xml:space="preserve">EPA range (miles conv to km)</t>
  </si>
  <si>
    <t xml:space="preserve">batt size [kWh]</t>
  </si>
  <si>
    <t xml:space="preserve">charge rate [kW]</t>
  </si>
  <si>
    <t xml:space="preserve">http://www.plugincars.com/cars</t>
  </si>
  <si>
    <t xml:space="preserve">bmw i3</t>
  </si>
  <si>
    <t xml:space="preserve">sedan</t>
  </si>
  <si>
    <t xml:space="preserve">chevrolet spark</t>
  </si>
  <si>
    <t xml:space="preserve">coupe</t>
  </si>
  <si>
    <t xml:space="preserve">fiat 500 e</t>
  </si>
  <si>
    <t xml:space="preserve">ford focus electric</t>
  </si>
  <si>
    <t xml:space="preserve">kia soul ev</t>
  </si>
  <si>
    <t xml:space="preserve">mercedes B-class electric</t>
  </si>
  <si>
    <t xml:space="preserve">mitsubishi i-MiEV</t>
  </si>
  <si>
    <t xml:space="preserve">nissan LEAF</t>
  </si>
  <si>
    <t xml:space="preserve">smart electric drive</t>
  </si>
  <si>
    <t xml:space="preserve">tesla model s</t>
  </si>
  <si>
    <t xml:space="preserve">volkswagen E-golf</t>
  </si>
  <si>
    <t xml:space="preserve">tesla model X</t>
  </si>
  <si>
    <t xml:space="preserve">SUV</t>
  </si>
  <si>
    <t xml:space="preserve"> -- comparison with gas vehicles</t>
  </si>
  <si>
    <t xml:space="preserve">no tax credits</t>
  </si>
  <si>
    <t xml:space="preserve">fuel consumption (city/hwy/combined) [L/100km]</t>
  </si>
  <si>
    <t xml:space="preserve">ghg emissions</t>
  </si>
  <si>
    <t xml:space="preserve">smart</t>
  </si>
  <si>
    <t xml:space="preserve">6.9/5.7/6.3</t>
  </si>
  <si>
    <t xml:space="preserve">130g/km</t>
  </si>
  <si>
    <t xml:space="preserve">http://www.thesmart.ca/ca/en/index.html</t>
  </si>
  <si>
    <t xml:space="preserve">fiat 500</t>
  </si>
  <si>
    <t xml:space="preserve">8.7/6.9</t>
  </si>
  <si>
    <t xml:space="preserve">http://www.fiatcanada.com/en/2015/500/</t>
  </si>
  <si>
    <t xml:space="preserve">ford focus</t>
  </si>
  <si>
    <t xml:space="preserve">9.3/6.7/8.1</t>
  </si>
  <si>
    <t xml:space="preserve">http://www.ford.ca/cars/focus/specifications/</t>
  </si>
  <si>
    <t xml:space="preserve">ford explorer</t>
  </si>
  <si>
    <t xml:space="preserve">suv</t>
  </si>
  <si>
    <t xml:space="preserve">13.7/9.7</t>
  </si>
  <si>
    <t xml:space="preserve">vehicle class</t>
  </si>
  <si>
    <t xml:space="preserve">required battery size [kWh]</t>
  </si>
  <si>
    <t xml:space="preserve">"Impacts Assessment of PHEV on Electric Utilities and Regional US Power Grids Part 1: Technical Analysis" PNNL</t>
  </si>
  <si>
    <t xml:space="preserve"> --plug-in hybrid</t>
  </si>
  <si>
    <t xml:space="preserve">assume average vehicle travels about 50 km/day - battery could easily displace fuel for such distance</t>
  </si>
  <si>
    <t xml:space="preserve">compact sedan</t>
  </si>
  <si>
    <t xml:space="preserve">mid-size sedan</t>
  </si>
  <si>
    <t xml:space="preserve">mid-size SUV</t>
  </si>
  <si>
    <t xml:space="preserve">full-size SUV</t>
  </si>
  <si>
    <t xml:space="preserve">costs</t>
  </si>
  <si>
    <t xml:space="preserve">HEV cost premium avg $4000</t>
  </si>
  <si>
    <t xml:space="preserve">Sovacool, B. and Hirsh, R. "Beyond batteries: an examination of the benefits and barriers to PHEVs and a V2G transition"</t>
  </si>
  <si>
    <t xml:space="preserve">annual revenue for V2G ancillary services (grid regulation) $4000/vehicle</t>
  </si>
  <si>
    <t xml:space="preserve">** cost savings dependent on electricity pricing - current avg 110 c/L for gas, 8.0 c/kWh off peak (CAD)</t>
  </si>
  <si>
    <t xml:space="preserve">ghg emission reductions</t>
  </si>
  <si>
    <t xml:space="preserve">assuming 50% penetration, reduces GHG emissions by 27%</t>
  </si>
  <si>
    <t xml:space="preserve">petroleum displacement</t>
  </si>
  <si>
    <t xml:space="preserve">up to 6.5 million boe/day</t>
  </si>
  <si>
    <t xml:space="preserve">benefits to grid</t>
  </si>
  <si>
    <t xml:space="preserve">cars can serve as distributed generators</t>
  </si>
  <si>
    <t xml:space="preserve">storage support - particularly for wind when generation at night corresponds with typical charge time</t>
  </si>
  <si>
    <t xml:space="preserve">est. tax credit</t>
  </si>
  <si>
    <t xml:space="preserve">epa range (elec only)</t>
  </si>
  <si>
    <t xml:space="preserve">battery size</t>
  </si>
  <si>
    <t xml:space="preserve">cadillac ELR</t>
  </si>
  <si>
    <t xml:space="preserve">chevy volt</t>
  </si>
  <si>
    <t xml:space="preserve">ford c-max energi</t>
  </si>
  <si>
    <t xml:space="preserve">wagon</t>
  </si>
  <si>
    <t xml:space="preserve">ford fusion energi</t>
  </si>
  <si>
    <t xml:space="preserve">honda accord PH</t>
  </si>
  <si>
    <t xml:space="preserve">porsche cayenne s e-hybrid</t>
  </si>
  <si>
    <t xml:space="preserve">porsche panamera s e-hybrid</t>
  </si>
  <si>
    <t xml:space="preserve">toyota prius PH</t>
  </si>
  <si>
    <t xml:space="preserve"> -- hybrid buses</t>
  </si>
  <si>
    <t xml:space="preserve">cost premium avg 200 000 (~500 000 compared to 300 000) - mostly offset by govt</t>
  </si>
  <si>
    <t xml:space="preserve">"Hybrid Buses Costs and Benefits" EESI</t>
  </si>
  <si>
    <t xml:space="preserve">30% ghg reduction</t>
  </si>
  <si>
    <t xml:space="preserve">37% improvement in fuel economy</t>
  </si>
  <si>
    <t xml:space="preserve">88% improvement in fuel efficiency</t>
  </si>
  <si>
    <t xml:space="preserve">O&amp;M (inc. fuel) costs 15% lower</t>
  </si>
  <si>
    <t xml:space="preserve">orion VII can carry average 51 passengers at peak times - vehicle displacement?</t>
  </si>
  <si>
    <t xml:space="preserve">https://www.ttc.ca/Routes/General_Information/General_Information.jsp</t>
  </si>
  <si>
    <t xml:space="preserve">Non-vre  technology assumptions</t>
  </si>
  <si>
    <t xml:space="preserve">Cost - related Technology Characteristics </t>
  </si>
  <si>
    <t xml:space="preserve">Operating Characteristics</t>
  </si>
  <si>
    <t xml:space="preserve">Ramping Characteristics</t>
  </si>
  <si>
    <t xml:space="preserve">col.</t>
  </si>
  <si>
    <t xml:space="preserve">start up cost</t>
  </si>
  <si>
    <t xml:space="preserve">min up time</t>
  </si>
  <si>
    <t xml:space="preserve">min down time</t>
  </si>
  <si>
    <t xml:space="preserve">ramp rate max</t>
  </si>
  <si>
    <t xml:space="preserve">ramp rate min</t>
  </si>
  <si>
    <t xml:space="preserve">start up ramp limit</t>
  </si>
  <si>
    <t xml:space="preserve">[$ / MWcap]</t>
  </si>
  <si>
    <t xml:space="preserve">[MW/hr p MWcap]</t>
  </si>
  <si>
    <t xml:space="preserve">solar</t>
  </si>
  <si>
    <t xml:space="preserve">battery</t>
  </si>
  <si>
    <t xml:space="preserve">importexport</t>
  </si>
  <si>
    <t xml:space="preserve">Imports</t>
  </si>
  <si>
    <t xml:space="preserve">Col number</t>
  </si>
  <si>
    <t xml:space="preserve">Notes: </t>
  </si>
  <si>
    <t xml:space="preserve">cost curve equation</t>
  </si>
  <si>
    <t xml:space="preserve">combination of variable cost (P^1) and spinning cost (P^0)</t>
  </si>
  <si>
    <t xml:space="preserve">cost to commit the unit ($)</t>
  </si>
  <si>
    <t xml:space="preserve">minimum time for which a unit must be on (status =1) after it is committed [hours]</t>
  </si>
  <si>
    <t xml:space="preserve">minimum time for which a unit must be off (status = 0) after it is de-commited [hours] </t>
  </si>
  <si>
    <t xml:space="preserve">positive change in real power over 1 hour (MW/hr) for a spinning unit (with status = 1)</t>
  </si>
  <si>
    <t xml:space="preserve">negative change in real power over 1 hou (MW/hr) for a spinning unit (with status =1)</t>
  </si>
  <si>
    <t xml:space="preserve">maximum positive change in real power over the first hour after startup (MW/hr)</t>
  </si>
  <si>
    <t xml:space="preserve">maximum negative change in real power over the last hor before shutdown (MW/hr)</t>
  </si>
  <si>
    <t xml:space="preserve">MW At Marginal Cost</t>
  </si>
  <si>
    <t xml:space="preserve">Scenario analysis inputs</t>
  </si>
  <si>
    <t xml:space="preserve">Installed Capacity Metric</t>
  </si>
  <si>
    <t xml:space="preserve">Flexibility Factor Metric</t>
  </si>
  <si>
    <t xml:space="preserve">Investment Cost</t>
  </si>
  <si>
    <t xml:space="preserve">Transmission network capacity metric </t>
  </si>
  <si>
    <t xml:space="preserve"> VRE Resrouce Metric</t>
  </si>
  <si>
    <t xml:space="preserve">Installed capacity by type</t>
  </si>
  <si>
    <t xml:space="preserve">Cost</t>
  </si>
  <si>
    <t xml:space="preserve">bus number</t>
  </si>
  <si>
    <t xml:space="preserve">total installed capacity on bus</t>
  </si>
  <si>
    <t xml:space="preserve">fraction of load on bus</t>
  </si>
  <si>
    <t xml:space="preserve">total transmission capacity to/from bus</t>
  </si>
  <si>
    <t xml:space="preserve">transmission line cost</t>
  </si>
  <si>
    <t xml:space="preserve">Proposed wind capacity</t>
  </si>
  <si>
    <t xml:space="preserve">Proposed multi c-Si solar capacity</t>
  </si>
  <si>
    <t xml:space="preserve">Proposed mono c-Si solar capacity</t>
  </si>
  <si>
    <t xml:space="preserve">Proposed thin film solar capacity</t>
  </si>
  <si>
    <t xml:space="preserve">[fraction of installed capacity]</t>
  </si>
  <si>
    <t xml:space="preserve">[fraction on installed capacity]</t>
  </si>
  <si>
    <t xml:space="preserve">[$/kW installed]</t>
  </si>
  <si>
    <t xml:space="preserve">[$]</t>
  </si>
  <si>
    <t xml:space="preserve">[percentage]</t>
  </si>
  <si>
    <t xml:space="preserve">NW_falls_g</t>
  </si>
  <si>
    <t xml:space="preserve">pmin</t>
  </si>
  <si>
    <t xml:space="preserve">bus-old</t>
  </si>
  <si>
    <t xml:space="preserve">initial power</t>
  </si>
  <si>
    <t xml:space="preserve">initial status</t>
  </si>
  <si>
    <t xml:space="preserve">hours in status</t>
  </si>
  <si>
    <t xml:space="preserve">storage content</t>
  </si>
  <si>
    <t xml:space="preserve">cascade group name</t>
  </si>
  <si>
    <t xml:space="preserve">number</t>
  </si>
  <si>
    <t xml:space="preserve">min storage</t>
  </si>
  <si>
    <t xml:space="preserve">max storage</t>
  </si>
  <si>
    <t xml:space="preserve">min water discharge</t>
  </si>
  <si>
    <t xml:space="preserve">max water discharge</t>
  </si>
  <si>
    <t xml:space="preserve">h factor</t>
  </si>
  <si>
    <t xml:space="preserve">nuclear_1</t>
  </si>
  <si>
    <t xml:space="preserve">12.P</t>
  </si>
  <si>
    <t xml:space="preserve">Bowmanville SS</t>
  </si>
  <si>
    <t xml:space="preserve">nuclear_2</t>
  </si>
  <si>
    <t xml:space="preserve">nuclear_3</t>
  </si>
  <si>
    <t xml:space="preserve">Bruce B SS</t>
  </si>
  <si>
    <t xml:space="preserve">nuclear_4</t>
  </si>
  <si>
    <t xml:space="preserve">Pickering A SS</t>
  </si>
  <si>
    <t xml:space="preserve">hydro_hourly_1</t>
  </si>
  <si>
    <t xml:space="preserve">3.3P</t>
  </si>
  <si>
    <t xml:space="preserve">DA Watson TS</t>
  </si>
  <si>
    <t xml:space="preserve">hydro_hourly_2</t>
  </si>
  <si>
    <t xml:space="preserve">Andrews TS</t>
  </si>
  <si>
    <t xml:space="preserve">hydro_hourly_3</t>
  </si>
  <si>
    <t xml:space="preserve">Waubaushene TS</t>
  </si>
  <si>
    <t xml:space="preserve">hydro_hourly_4</t>
  </si>
  <si>
    <t xml:space="preserve">Clergue TS</t>
  </si>
  <si>
    <t xml:space="preserve">hydro_hourly_5</t>
  </si>
  <si>
    <t xml:space="preserve">Fergus TS</t>
  </si>
  <si>
    <t xml:space="preserve">hydro_hourly_6</t>
  </si>
  <si>
    <t xml:space="preserve">Beck #1 SS</t>
  </si>
  <si>
    <t xml:space="preserve">hydro_hourly_7</t>
  </si>
  <si>
    <t xml:space="preserve">Kapuskasing TS</t>
  </si>
  <si>
    <t xml:space="preserve">hydro_hourly_8</t>
  </si>
  <si>
    <t xml:space="preserve">Alexander GS</t>
  </si>
  <si>
    <t xml:space="preserve">hydro_hourly_9</t>
  </si>
  <si>
    <t xml:space="preserve">Otonabee TS</t>
  </si>
  <si>
    <t xml:space="preserve">hydro_hourly_10</t>
  </si>
  <si>
    <t xml:space="preserve">Sidney TS</t>
  </si>
  <si>
    <t xml:space="preserve">hydro_daily_1</t>
  </si>
  <si>
    <t xml:space="preserve">Hollingsworth TS</t>
  </si>
  <si>
    <t xml:space="preserve">hydro_daily_2</t>
  </si>
  <si>
    <t xml:space="preserve">DeCew Falls SS</t>
  </si>
  <si>
    <t xml:space="preserve">hydro_daily_3</t>
  </si>
  <si>
    <t xml:space="preserve">Aubrey Falls CGS</t>
  </si>
  <si>
    <t xml:space="preserve">hydro_daily_4</t>
  </si>
  <si>
    <t xml:space="preserve">Iroquois Falls DS</t>
  </si>
  <si>
    <t xml:space="preserve">hydro_daily_5</t>
  </si>
  <si>
    <t xml:space="preserve">Des Joachims TS</t>
  </si>
  <si>
    <t xml:space="preserve">biomass_1</t>
  </si>
  <si>
    <t xml:space="preserve">100P</t>
  </si>
  <si>
    <t xml:space="preserve">AV Terrace Bay CTS</t>
  </si>
  <si>
    <t xml:space="preserve">biomass_2</t>
  </si>
  <si>
    <t xml:space="preserve">Bilberry Creek TS</t>
  </si>
  <si>
    <t xml:space="preserve">biomass_3</t>
  </si>
  <si>
    <t xml:space="preserve">King Edward TS</t>
  </si>
  <si>
    <t xml:space="preserve">biomass_4</t>
  </si>
  <si>
    <t xml:space="preserve">Duart TS</t>
  </si>
  <si>
    <t xml:space="preserve">biomass_5</t>
  </si>
  <si>
    <t xml:space="preserve">Bramalea TS</t>
  </si>
  <si>
    <t xml:space="preserve">biomass_6</t>
  </si>
  <si>
    <t xml:space="preserve">Kenilworth TS</t>
  </si>
  <si>
    <t xml:space="preserve">biomass_7</t>
  </si>
  <si>
    <t xml:space="preserve">AP Calstock CSS</t>
  </si>
  <si>
    <t xml:space="preserve">biogas_1</t>
  </si>
  <si>
    <t xml:space="preserve">biogas_2</t>
  </si>
  <si>
    <t xml:space="preserve">St.Isidore TS</t>
  </si>
  <si>
    <t xml:space="preserve">biogas_3</t>
  </si>
  <si>
    <t xml:space="preserve">North Bay TS</t>
  </si>
  <si>
    <t xml:space="preserve">biogas_4</t>
  </si>
  <si>
    <t xml:space="preserve">Kitchener MTS #6</t>
  </si>
  <si>
    <t xml:space="preserve">biogas_5</t>
  </si>
  <si>
    <t xml:space="preserve">Erindale TS</t>
  </si>
  <si>
    <t xml:space="preserve">biogas_6</t>
  </si>
  <si>
    <t xml:space="preserve">Clarke TS</t>
  </si>
  <si>
    <t xml:space="preserve">biogas_7</t>
  </si>
  <si>
    <t xml:space="preserve">Manby TS</t>
  </si>
  <si>
    <t xml:space="preserve">NG_CG_1</t>
  </si>
  <si>
    <t xml:space="preserve">136.5P</t>
  </si>
  <si>
    <t xml:space="preserve">Leamington TS</t>
  </si>
  <si>
    <t xml:space="preserve">NG_CG_2</t>
  </si>
  <si>
    <t xml:space="preserve">Brockville TS</t>
  </si>
  <si>
    <t xml:space="preserve">NG_CG_3</t>
  </si>
  <si>
    <t xml:space="preserve">Wilson TS</t>
  </si>
  <si>
    <t xml:space="preserve">NG_CG_4</t>
  </si>
  <si>
    <t xml:space="preserve">Richview TS</t>
  </si>
  <si>
    <t xml:space="preserve">NG_CG_5</t>
  </si>
  <si>
    <t xml:space="preserve">Holland TS</t>
  </si>
  <si>
    <t xml:space="preserve">NG_CG_6</t>
  </si>
  <si>
    <t xml:space="preserve">OHSC CGS</t>
  </si>
  <si>
    <t xml:space="preserve">NG_CG_7</t>
  </si>
  <si>
    <t xml:space="preserve">Third Line TS</t>
  </si>
  <si>
    <t xml:space="preserve">NG_CC_1</t>
  </si>
  <si>
    <t xml:space="preserve">75.5P</t>
  </si>
  <si>
    <t xml:space="preserve">NPIF Kingston CGS</t>
  </si>
  <si>
    <t xml:space="preserve">NG_CC_2</t>
  </si>
  <si>
    <t xml:space="preserve">Greenfld Energy CGS</t>
  </si>
  <si>
    <t xml:space="preserve">NG_CC_3</t>
  </si>
  <si>
    <t xml:space="preserve">Goreway TS</t>
  </si>
  <si>
    <t xml:space="preserve">NG_CC_4</t>
  </si>
  <si>
    <t xml:space="preserve">NG_CT_1</t>
  </si>
  <si>
    <t xml:space="preserve">NG_CT_2</t>
  </si>
  <si>
    <t xml:space="preserve">York EnergyCentr CGS</t>
  </si>
  <si>
    <t xml:space="preserve">NG_CT_3</t>
  </si>
  <si>
    <t xml:space="preserve">Kirkland Lake TS</t>
  </si>
  <si>
    <t xml:space="preserve">NG_CT_4</t>
  </si>
  <si>
    <t xml:space="preserve">Nipigon DS</t>
  </si>
  <si>
    <t xml:space="preserve">NG_CT_5</t>
  </si>
  <si>
    <t xml:space="preserve">Keith TS</t>
  </si>
  <si>
    <t xml:space="preserve">NG_CT_6</t>
  </si>
  <si>
    <t xml:space="preserve">Halton Hills CGS</t>
  </si>
  <si>
    <t xml:space="preserve">NG_CT_7</t>
  </si>
  <si>
    <t xml:space="preserve">Hearn SS</t>
  </si>
  <si>
    <t xml:space="preserve">NG_CT_8</t>
  </si>
  <si>
    <t xml:space="preserve">St.Clair E.C. CGS</t>
  </si>
  <si>
    <t xml:space="preserve">NG_CT_9</t>
  </si>
  <si>
    <t xml:space="preserve">Morrisburg TS</t>
  </si>
  <si>
    <t xml:space="preserve">importexport_1</t>
  </si>
  <si>
    <t xml:space="preserve">0P</t>
  </si>
  <si>
    <t xml:space="preserve">importexport_2</t>
  </si>
  <si>
    <t xml:space="preserve">importexport_3</t>
  </si>
  <si>
    <t xml:space="preserve">importexport_4</t>
  </si>
  <si>
    <t xml:space="preserve">importexport_5</t>
  </si>
  <si>
    <t xml:space="preserve">Bruce JCT</t>
  </si>
  <si>
    <t xml:space="preserve">Clarington JCT</t>
  </si>
  <si>
    <t xml:space="preserve">Clarington TS</t>
  </si>
  <si>
    <t xml:space="preserve">K2 Wind 500 CGS</t>
  </si>
  <si>
    <t xml:space="preserve">Nanticoke TS</t>
  </si>
  <si>
    <t xml:space="preserve">Napanee CSS</t>
  </si>
  <si>
    <t xml:space="preserve">Nobel SS</t>
  </si>
  <si>
    <t xml:space="preserve">Parkhill CTS</t>
  </si>
  <si>
    <t xml:space="preserve">Parkway TS</t>
  </si>
  <si>
    <t xml:space="preserve">Trafalgar TS</t>
  </si>
  <si>
    <t xml:space="preserve">Willow Creek JCT</t>
  </si>
  <si>
    <t xml:space="preserve">storagecapacitymax</t>
  </si>
  <si>
    <t xml:space="preserve">pumprampmax</t>
  </si>
  <si>
    <t xml:space="preserve">resevoir level</t>
  </si>
  <si>
    <t xml:space="preserve">unpluggedhours</t>
  </si>
  <si>
    <t xml:space="preserve">tripenergy</t>
  </si>
  <si>
    <t xml:space="preserve">index</t>
  </si>
  <si>
    <t xml:space="preserve">initial values</t>
  </si>
  <si>
    <t xml:space="preserve">constraint:</t>
  </si>
  <si>
    <t xml:space="preserve">over-production</t>
  </si>
  <si>
    <t xml:space="preserve">under-production</t>
  </si>
  <si>
    <t xml:space="preserve">maximum hourly dr limit (% of schedule)</t>
  </si>
  <si>
    <t xml:space="preserve">maximum</t>
  </si>
  <si>
    <t xml:space="preserve">minimum</t>
  </si>
  <si>
    <t xml:space="preserve">absolute hourly dr limit (MW)</t>
  </si>
  <si>
    <t xml:space="preserve">maximum daily dr (MW)</t>
  </si>
  <si>
    <t xml:space="preserve">increasing_shed</t>
  </si>
  <si>
    <t xml:space="preserve">decreasing_shed</t>
  </si>
  <si>
    <t xml:space="preserve">ramping limiatations (MW)</t>
  </si>
  <si>
    <t xml:space="preserve">uptime</t>
  </si>
  <si>
    <t xml:space="preserve">downtime</t>
  </si>
  <si>
    <t xml:space="preserve">minimum up/down times (hours)</t>
  </si>
  <si>
    <t xml:space="preserve">city</t>
  </si>
  <si>
    <t xml:space="preserve">frac pop</t>
  </si>
  <si>
    <t xml:space="preserve">dr_potential</t>
  </si>
  <si>
    <t xml:space="preserve">region</t>
  </si>
  <si>
    <t xml:space="preserve">Load_1</t>
  </si>
  <si>
    <t xml:space="preserve">Load_2</t>
  </si>
  <si>
    <t xml:space="preserve">Load_3</t>
  </si>
  <si>
    <t xml:space="preserve">Load_4</t>
  </si>
  <si>
    <t xml:space="preserve">Load_5</t>
  </si>
  <si>
    <t xml:space="preserve">Load_6</t>
  </si>
  <si>
    <t xml:space="preserve">Load_7</t>
  </si>
  <si>
    <t xml:space="preserve">Load_8</t>
  </si>
  <si>
    <t xml:space="preserve">Load_9</t>
  </si>
  <si>
    <t xml:space="preserve">Load_10</t>
  </si>
  <si>
    <t xml:space="preserve">Load_11</t>
  </si>
  <si>
    <t xml:space="preserve">Load_12</t>
  </si>
  <si>
    <t xml:space="preserve">Load_13</t>
  </si>
  <si>
    <t xml:space="preserve">Load_14</t>
  </si>
  <si>
    <t xml:space="preserve">Load_15</t>
  </si>
  <si>
    <t xml:space="preserve">Load_16</t>
  </si>
  <si>
    <t xml:space="preserve">Load_17</t>
  </si>
  <si>
    <t xml:space="preserve">Load_18</t>
  </si>
  <si>
    <t xml:space="preserve">Load_19</t>
  </si>
  <si>
    <t xml:space="preserve">Load_20</t>
  </si>
  <si>
    <t xml:space="preserve">Load_21</t>
  </si>
  <si>
    <t xml:space="preserve">Load_22</t>
  </si>
  <si>
    <t xml:space="preserve">Load_23</t>
  </si>
  <si>
    <t xml:space="preserve">Load_24</t>
  </si>
  <si>
    <t xml:space="preserve">Load_25</t>
  </si>
  <si>
    <t xml:space="preserve">Load_26</t>
  </si>
  <si>
    <t xml:space="preserve">Load_27</t>
  </si>
  <si>
    <t xml:space="preserve">Load_28</t>
  </si>
  <si>
    <t xml:space="preserve">Load_29</t>
  </si>
  <si>
    <t xml:space="preserve">Load_30</t>
  </si>
  <si>
    <t xml:space="preserve">Load_31</t>
  </si>
  <si>
    <t xml:space="preserve">Load_32</t>
  </si>
  <si>
    <t xml:space="preserve">Load_33</t>
  </si>
  <si>
    <t xml:space="preserve">Load_34</t>
  </si>
  <si>
    <t xml:space="preserve">Load_35</t>
  </si>
  <si>
    <t xml:space="preserve">Load_36</t>
  </si>
  <si>
    <t xml:space="preserve">Load_37</t>
  </si>
  <si>
    <t xml:space="preserve">Load_38</t>
  </si>
  <si>
    <t xml:space="preserve">Load_39</t>
  </si>
  <si>
    <t xml:space="preserve">Load_40</t>
  </si>
  <si>
    <t xml:space="preserve">Load_41</t>
  </si>
  <si>
    <t xml:space="preserve">Load_42</t>
  </si>
  <si>
    <t xml:space="preserve">Load_43</t>
  </si>
  <si>
    <t xml:space="preserve">Load_44</t>
  </si>
  <si>
    <t xml:space="preserve">Load_45</t>
  </si>
  <si>
    <t xml:space="preserve">Load_46</t>
  </si>
  <si>
    <t xml:space="preserve">Load_47</t>
  </si>
  <si>
    <t xml:space="preserve">Load_48</t>
  </si>
  <si>
    <t xml:space="preserve">Load_49</t>
  </si>
  <si>
    <t xml:space="preserve">Load_50</t>
  </si>
  <si>
    <t xml:space="preserve">Load_51</t>
  </si>
  <si>
    <t xml:space="preserve">Load_52</t>
  </si>
  <si>
    <t xml:space="preserve">Load_53</t>
  </si>
  <si>
    <t xml:space="preserve">Load_54</t>
  </si>
  <si>
    <t xml:space="preserve">Load_55</t>
  </si>
  <si>
    <t xml:space="preserve">Load_56</t>
  </si>
  <si>
    <t xml:space="preserve">Load_57</t>
  </si>
  <si>
    <t xml:space="preserve">Load_58</t>
  </si>
  <si>
    <t xml:space="preserve">Load_59</t>
  </si>
  <si>
    <t xml:space="preserve">Load_60</t>
  </si>
  <si>
    <t xml:space="preserve">Load_61</t>
  </si>
  <si>
    <t xml:space="preserve">Load_62</t>
  </si>
  <si>
    <t xml:space="preserve">Load_63</t>
  </si>
  <si>
    <t xml:space="preserve">Load_64</t>
  </si>
  <si>
    <t xml:space="preserve">Load_65</t>
  </si>
  <si>
    <t xml:space="preserve">Load_66</t>
  </si>
  <si>
    <t xml:space="preserve">Load_67</t>
  </si>
  <si>
    <t xml:space="preserve">Load_68</t>
  </si>
  <si>
    <t xml:space="preserve">Load_69</t>
  </si>
  <si>
    <t xml:space="preserve">Load_70</t>
  </si>
  <si>
    <t xml:space="preserve">Load_71</t>
  </si>
  <si>
    <t xml:space="preserve">Load_72</t>
  </si>
  <si>
    <t xml:space="preserve">Load_73</t>
  </si>
  <si>
    <t xml:space="preserve">Load_74</t>
  </si>
  <si>
    <t xml:space="preserve">Load_75</t>
  </si>
  <si>
    <t xml:space="preserve">Load_76</t>
  </si>
  <si>
    <t xml:space="preserve">Load_77</t>
  </si>
  <si>
    <t xml:space="preserve">Load_78</t>
  </si>
  <si>
    <t xml:space="preserve">Load_79</t>
  </si>
  <si>
    <t xml:space="preserve">Load_80</t>
  </si>
  <si>
    <t xml:space="preserve">Load_81</t>
  </si>
  <si>
    <t xml:space="preserve">Load_82</t>
  </si>
  <si>
    <t xml:space="preserve">Load_83</t>
  </si>
  <si>
    <t xml:space="preserve">Load_84</t>
  </si>
  <si>
    <t xml:space="preserve">Load_85</t>
  </si>
  <si>
    <t xml:space="preserve">Load_86</t>
  </si>
  <si>
    <t xml:space="preserve">Load_87</t>
  </si>
  <si>
    <t xml:space="preserve">Load_88</t>
  </si>
  <si>
    <t xml:space="preserve">Load_89</t>
  </si>
  <si>
    <t xml:space="preserve">Load_90</t>
  </si>
  <si>
    <t xml:space="preserve">Load_91</t>
  </si>
  <si>
    <t xml:space="preserve">Load_92</t>
  </si>
  <si>
    <t xml:space="preserve">Load_93</t>
  </si>
  <si>
    <t xml:space="preserve">Load_94</t>
  </si>
  <si>
    <t xml:space="preserve">Load_95</t>
  </si>
  <si>
    <t xml:space="preserve">Load_96</t>
  </si>
  <si>
    <t xml:space="preserve">Load_97</t>
  </si>
  <si>
    <t xml:space="preserve">Load_98</t>
  </si>
  <si>
    <t xml:space="preserve">Load_99</t>
  </si>
  <si>
    <t xml:space="preserve">Load_100</t>
  </si>
  <si>
    <t xml:space="preserve">Load_101</t>
  </si>
  <si>
    <t xml:space="preserve">from bus</t>
  </si>
  <si>
    <t xml:space="preserve">to bus</t>
  </si>
  <si>
    <t xml:space="preserve">voltage</t>
  </si>
  <si>
    <t xml:space="preserve">circuits</t>
  </si>
  <si>
    <t xml:space="preserve">length</t>
  </si>
  <si>
    <t xml:space="preserve">pmax</t>
  </si>
  <si>
    <t xml:space="preserve">reactance</t>
  </si>
  <si>
    <t xml:space="preserve">line type</t>
  </si>
  <si>
    <t xml:space="preserve">line cost</t>
  </si>
  <si>
    <t xml:space="preserve">Line_1</t>
  </si>
  <si>
    <t xml:space="preserve">Line_2</t>
  </si>
  <si>
    <t xml:space="preserve">Line_3</t>
  </si>
  <si>
    <t xml:space="preserve">Line_4</t>
  </si>
  <si>
    <t xml:space="preserve">Line_5</t>
  </si>
  <si>
    <t xml:space="preserve">Line_6</t>
  </si>
  <si>
    <t xml:space="preserve">Line_7</t>
  </si>
  <si>
    <t xml:space="preserve">Line_8</t>
  </si>
  <si>
    <t xml:space="preserve">Line_9</t>
  </si>
  <si>
    <t xml:space="preserve">Line_10</t>
  </si>
  <si>
    <t xml:space="preserve">Line_11</t>
  </si>
  <si>
    <t xml:space="preserve">Line_12</t>
  </si>
  <si>
    <t xml:space="preserve">Line_13</t>
  </si>
  <si>
    <t xml:space="preserve">Line_14</t>
  </si>
  <si>
    <t xml:space="preserve">Line_15</t>
  </si>
  <si>
    <t xml:space="preserve">Line_16</t>
  </si>
  <si>
    <t xml:space="preserve">Line_17</t>
  </si>
  <si>
    <t xml:space="preserve">Line_18</t>
  </si>
  <si>
    <t xml:space="preserve">Line_19</t>
  </si>
  <si>
    <t xml:space="preserve">Line_20</t>
  </si>
  <si>
    <t xml:space="preserve">Line_21</t>
  </si>
  <si>
    <t xml:space="preserve">Line_22</t>
  </si>
  <si>
    <t xml:space="preserve">Line_23</t>
  </si>
  <si>
    <t xml:space="preserve">Line_24</t>
  </si>
  <si>
    <t xml:space="preserve">Line_25</t>
  </si>
  <si>
    <t xml:space="preserve">Line_26</t>
  </si>
  <si>
    <t xml:space="preserve">Line_27</t>
  </si>
  <si>
    <t xml:space="preserve">Line_28</t>
  </si>
  <si>
    <t xml:space="preserve">Line_29</t>
  </si>
  <si>
    <t xml:space="preserve">Line_30</t>
  </si>
  <si>
    <t xml:space="preserve">Line_31</t>
  </si>
  <si>
    <t xml:space="preserve">Line_32</t>
  </si>
  <si>
    <t xml:space="preserve">Line_33</t>
  </si>
  <si>
    <t xml:space="preserve">Line_34</t>
  </si>
  <si>
    <t xml:space="preserve">Line_35</t>
  </si>
  <si>
    <t xml:space="preserve">Line_36</t>
  </si>
  <si>
    <t xml:space="preserve">Line_37</t>
  </si>
  <si>
    <t xml:space="preserve">Line_38</t>
  </si>
  <si>
    <t xml:space="preserve">Line_39</t>
  </si>
  <si>
    <t xml:space="preserve">Line_40</t>
  </si>
  <si>
    <t xml:space="preserve">Line_41</t>
  </si>
  <si>
    <t xml:space="preserve">Line_42</t>
  </si>
  <si>
    <t xml:space="preserve">Line_43</t>
  </si>
  <si>
    <t xml:space="preserve">Line_44</t>
  </si>
  <si>
    <t xml:space="preserve">Line_45</t>
  </si>
  <si>
    <t xml:space="preserve">Line_46</t>
  </si>
  <si>
    <t xml:space="preserve">Line_47</t>
  </si>
  <si>
    <t xml:space="preserve">Line_48</t>
  </si>
  <si>
    <t xml:space="preserve">Line_49</t>
  </si>
  <si>
    <t xml:space="preserve">Line_50</t>
  </si>
  <si>
    <t xml:space="preserve">Line_51</t>
  </si>
  <si>
    <t xml:space="preserve">Line_52</t>
  </si>
  <si>
    <t xml:space="preserve">Line_53</t>
  </si>
  <si>
    <t xml:space="preserve">Line_54</t>
  </si>
  <si>
    <t xml:space="preserve">Line_55</t>
  </si>
  <si>
    <t xml:space="preserve">Line_56</t>
  </si>
  <si>
    <t xml:space="preserve">Line_57</t>
  </si>
  <si>
    <t xml:space="preserve">Line_58</t>
  </si>
  <si>
    <t xml:space="preserve">start up ramp</t>
  </si>
  <si>
    <t xml:space="preserve">shut down ramp</t>
  </si>
  <si>
    <t xml:space="preserve">[$/ MBTU]</t>
  </si>
  <si>
    <t xml:space="preserve">0P + 0</t>
  </si>
  <si>
    <t xml:space="preserve">*create dropdown list with these options</t>
  </si>
  <si>
    <t xml:space="preserve">Generating Plant IDs</t>
  </si>
  <si>
    <t xml:space="preserve">Storage Plant IDs</t>
  </si>
  <si>
    <t xml:space="preserve">wind offshore</t>
  </si>
  <si>
    <t xml:space="preserve">solar PV multi c-Si</t>
  </si>
  <si>
    <t xml:space="preserve">solar PV mono c-Si</t>
  </si>
  <si>
    <t xml:space="preserve">solar PV thin film</t>
  </si>
  <si>
    <t xml:space="preserve">NG combined</t>
  </si>
  <si>
    <t xml:space="preserve">NG simple</t>
  </si>
  <si>
    <t xml:space="preserve">capacitor</t>
  </si>
  <si>
    <t xml:space="preserve">supercapacitor</t>
  </si>
  <si>
    <t xml:space="preserve">Trina TSM-PDG5-255</t>
  </si>
  <si>
    <t xml:space="preserve">multi c-Si</t>
  </si>
  <si>
    <t xml:space="preserve">TO DO: need to change 'vre plants' sheet so that the area [m^2] and # modules gets updated according to these values, given the module type</t>
  </si>
  <si>
    <t xml:space="preserve">nominal pwr at STC [Wp]</t>
  </si>
  <si>
    <t xml:space="preserve">area</t>
  </si>
  <si>
    <t xml:space="preserve">Canadian Solar CS6V-225MM</t>
  </si>
  <si>
    <t xml:space="preserve">mono c-Si</t>
  </si>
  <si>
    <t xml:space="preserve">First Solar FS395</t>
  </si>
  <si>
    <t xml:space="preserve">CdTe</t>
  </si>
  <si>
    <t xml:space="preserve">area [m^2]</t>
  </si>
  <si>
    <t xml:space="preserve">Each unique node must be listed at least once in the 'existing transmission' sheet under the 'from bus' category</t>
  </si>
  <si>
    <t xml:space="preserve">On the demand centres sheet, the dr_potential column needs to add to one. Also the dr_potential value for each city needs to be pro-rated by the percentage of load that that city consumes. The fomula in powersystems.py (Load constraints) for the second OPF is scheduled_load(time) - power(time) &gt;= dr_3 (UC dr) *dr_potential for each city. As such if the dr_3*dr_potenail is greater than the scheduled_load value for that city in that hour, then the OPF would have to have a negative power value, which is obviously impossible, and so it fails.  </t>
  </si>
  <si>
    <t xml:space="preserve">USER: do not alter this sheet</t>
  </si>
  <si>
    <t xml:space="preserve">VRE generation types</t>
  </si>
  <si>
    <t xml:space="preserve">wind_offshore</t>
  </si>
  <si>
    <t xml:space="preserve">thin_film</t>
  </si>
  <si>
    <t xml:space="preserve">mono_c_Si</t>
  </si>
  <si>
    <t xml:space="preserve">Technologies</t>
  </si>
  <si>
    <t xml:space="preserve">TSM-PDG5-255</t>
  </si>
  <si>
    <t xml:space="preserve">CS6V-225MM</t>
  </si>
  <si>
    <t xml:space="preserve">CHSM_6610P_250</t>
  </si>
  <si>
    <t xml:space="preserve">FS935</t>
  </si>
  <si>
    <t xml:space="preserve">CS6X_320P</t>
  </si>
  <si>
    <t xml:space="preserve">FS4122_2</t>
  </si>
</sst>
</file>

<file path=xl/styles.xml><?xml version="1.0" encoding="utf-8"?>
<styleSheet xmlns="http://schemas.openxmlformats.org/spreadsheetml/2006/main">
  <numFmts count="15">
    <numFmt numFmtId="164" formatCode="General"/>
    <numFmt numFmtId="165" formatCode="#,##0.00"/>
    <numFmt numFmtId="166" formatCode="#,##0.000000"/>
    <numFmt numFmtId="167" formatCode="General"/>
    <numFmt numFmtId="168" formatCode="dd/mm/yyyy\ h:mm"/>
    <numFmt numFmtId="169" formatCode="_-* #,##0.00_-;\-* #,##0.00_-;_-* \-??_-;_-@_-"/>
    <numFmt numFmtId="170" formatCode="_-* #,##0_-;\-* #,##0_-;_-* \-??_-;_-@_-"/>
    <numFmt numFmtId="171" formatCode="0.00"/>
    <numFmt numFmtId="172" formatCode="0%"/>
    <numFmt numFmtId="173" formatCode="0.0"/>
    <numFmt numFmtId="174" formatCode="@"/>
    <numFmt numFmtId="175" formatCode="0.00%"/>
    <numFmt numFmtId="176" formatCode="0"/>
    <numFmt numFmtId="177" formatCode="_(* #,##0.00_);_(* \(#,##0.00\);_(* \-??_);_(@_)"/>
    <numFmt numFmtId="178" formatCode="0.0000"/>
  </numFmts>
  <fonts count="37">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sz val="11"/>
      <color rgb="FF000000"/>
      <name val="Arial"/>
      <family val="0"/>
      <charset val="1"/>
    </font>
    <font>
      <sz val="10"/>
      <name val="Arial"/>
      <family val="2"/>
      <charset val="1"/>
    </font>
    <font>
      <b val="true"/>
      <sz val="14"/>
      <color rgb="FF000000"/>
      <name val="Calibri"/>
      <family val="2"/>
      <charset val="1"/>
    </font>
    <font>
      <sz val="14"/>
      <name val="Calibri"/>
      <family val="2"/>
      <charset val="1"/>
    </font>
    <font>
      <sz val="11"/>
      <color rgb="FF7030A0"/>
      <name val="Calibri"/>
      <family val="2"/>
      <charset val="1"/>
    </font>
    <font>
      <i val="true"/>
      <sz val="11"/>
      <color rgb="FF000000"/>
      <name val="Calibri"/>
      <family val="2"/>
      <charset val="1"/>
    </font>
    <font>
      <b val="true"/>
      <sz val="11"/>
      <color rgb="FF000000"/>
      <name val="Calibri"/>
      <family val="2"/>
      <charset val="1"/>
    </font>
    <font>
      <sz val="11"/>
      <name val="Calibri"/>
      <family val="2"/>
      <charset val="1"/>
    </font>
    <font>
      <sz val="11"/>
      <color rgb="FFFF0000"/>
      <name val="Calibri"/>
      <family val="2"/>
      <charset val="1"/>
    </font>
    <font>
      <u val="single"/>
      <sz val="11"/>
      <color rgb="FF0563C1"/>
      <name val="Calibri"/>
      <family val="2"/>
      <charset val="1"/>
    </font>
    <font>
      <sz val="9"/>
      <color rgb="FF000000"/>
      <name val="Tahoma"/>
      <family val="2"/>
      <charset val="1"/>
    </font>
    <font>
      <b val="true"/>
      <sz val="14"/>
      <color rgb="FF5B9BD5"/>
      <name val="Calibri"/>
      <family val="2"/>
      <charset val="1"/>
    </font>
    <font>
      <sz val="11"/>
      <color rgb="FFC55A11"/>
      <name val="Calibri"/>
      <family val="2"/>
      <charset val="1"/>
    </font>
    <font>
      <sz val="11"/>
      <color rgb="FF9999FF"/>
      <name val="Calibri"/>
      <family val="2"/>
      <charset val="1"/>
    </font>
    <font>
      <sz val="11"/>
      <color rgb="FF00B050"/>
      <name val="Calibri"/>
      <family val="2"/>
      <charset val="1"/>
    </font>
    <font>
      <sz val="9"/>
      <color rgb="FF00B050"/>
      <name val="Calibri"/>
      <family val="2"/>
      <charset val="1"/>
    </font>
    <font>
      <sz val="8"/>
      <color rgb="FF000000"/>
      <name val="Calibri"/>
      <family val="2"/>
      <charset val="1"/>
    </font>
    <font>
      <sz val="11"/>
      <color rgb="FF0070C0"/>
      <name val="Calibri"/>
      <family val="2"/>
      <charset val="1"/>
    </font>
    <font>
      <sz val="9"/>
      <color rgb="FFC55A11"/>
      <name val="Calibri"/>
      <family val="2"/>
      <charset val="1"/>
    </font>
    <font>
      <sz val="9"/>
      <color rgb="FF9999FF"/>
      <name val="Calibri"/>
      <family val="2"/>
      <charset val="1"/>
    </font>
    <font>
      <sz val="9"/>
      <color rgb="FF7030A0"/>
      <name val="Calibri"/>
      <family val="2"/>
      <charset val="1"/>
    </font>
    <font>
      <sz val="9"/>
      <color rgb="FF0099CC"/>
      <name val="Calibri"/>
      <family val="2"/>
      <charset val="1"/>
    </font>
    <font>
      <sz val="9"/>
      <name val="Calibri"/>
      <family val="2"/>
      <charset val="1"/>
    </font>
    <font>
      <sz val="8"/>
      <name val="Calibri"/>
      <family val="2"/>
      <charset val="1"/>
    </font>
    <font>
      <sz val="8"/>
      <color rgb="FFC55A11"/>
      <name val="Calibri"/>
      <family val="2"/>
      <charset val="1"/>
    </font>
    <font>
      <sz val="8"/>
      <color rgb="FF9999FF"/>
      <name val="Calibri"/>
      <family val="2"/>
      <charset val="1"/>
    </font>
    <font>
      <sz val="8"/>
      <color rgb="FF7030A0"/>
      <name val="Calibri"/>
      <family val="2"/>
      <charset val="1"/>
    </font>
    <font>
      <sz val="8"/>
      <color rgb="FF0099CC"/>
      <name val="Calibri"/>
      <family val="2"/>
      <charset val="1"/>
    </font>
    <font>
      <sz val="8"/>
      <color rgb="FF00B050"/>
      <name val="Calibri"/>
      <family val="2"/>
      <charset val="1"/>
    </font>
    <font>
      <sz val="11"/>
      <color rgb="FF5B9BD5"/>
      <name val="Calibri"/>
      <family val="2"/>
      <charset val="1"/>
    </font>
    <font>
      <b val="true"/>
      <sz val="11"/>
      <color rgb="FF5B9BD5"/>
      <name val="Calibri"/>
      <family val="2"/>
      <charset val="1"/>
    </font>
    <font>
      <sz val="8"/>
      <color rgb="FF0070C0"/>
      <name val="Calibri"/>
      <family val="2"/>
      <charset val="1"/>
    </font>
  </fonts>
  <fills count="30">
    <fill>
      <patternFill patternType="none"/>
    </fill>
    <fill>
      <patternFill patternType="gray125"/>
    </fill>
    <fill>
      <patternFill patternType="solid">
        <fgColor rgb="FFFFFFFF"/>
        <bgColor rgb="FFFFF2CC"/>
      </patternFill>
    </fill>
    <fill>
      <patternFill patternType="solid">
        <fgColor rgb="FF00CC66"/>
        <bgColor rgb="FF00B050"/>
      </patternFill>
    </fill>
    <fill>
      <patternFill patternType="solid">
        <fgColor rgb="FFFF0000"/>
        <bgColor rgb="FF800000"/>
      </patternFill>
    </fill>
    <fill>
      <patternFill patternType="solid">
        <fgColor rgb="FF0099CC"/>
        <bgColor rgb="FF009999"/>
      </patternFill>
    </fill>
    <fill>
      <patternFill patternType="solid">
        <fgColor rgb="FFC5E0B4"/>
        <bgColor rgb="FFBDD7EE"/>
      </patternFill>
    </fill>
    <fill>
      <patternFill patternType="solid">
        <fgColor rgb="FFB4C7E7"/>
        <bgColor rgb="FFBDD7EE"/>
      </patternFill>
    </fill>
    <fill>
      <patternFill patternType="solid">
        <fgColor rgb="FFBDD7EE"/>
        <bgColor rgb="FFB4C7E7"/>
      </patternFill>
    </fill>
    <fill>
      <patternFill patternType="solid">
        <fgColor rgb="FFADB9CA"/>
        <bgColor rgb="FFB4C7E7"/>
      </patternFill>
    </fill>
    <fill>
      <patternFill patternType="solid">
        <fgColor rgb="FF99FFCC"/>
        <bgColor rgb="FF66FFFF"/>
      </patternFill>
    </fill>
    <fill>
      <patternFill patternType="solid">
        <fgColor rgb="FF66FFFF"/>
        <bgColor rgb="FF99FFCC"/>
      </patternFill>
    </fill>
    <fill>
      <patternFill patternType="solid">
        <fgColor rgb="FF00B050"/>
        <bgColor rgb="FF00CC66"/>
      </patternFill>
    </fill>
    <fill>
      <patternFill patternType="solid">
        <fgColor rgb="FFFF9999"/>
        <bgColor rgb="FFF8CBAD"/>
      </patternFill>
    </fill>
    <fill>
      <patternFill patternType="solid">
        <fgColor rgb="FFF8CBAD"/>
        <bgColor rgb="FFFFE699"/>
      </patternFill>
    </fill>
    <fill>
      <patternFill patternType="solid">
        <fgColor rgb="FFCC99FF"/>
        <bgColor rgb="FF9999FF"/>
      </patternFill>
    </fill>
    <fill>
      <patternFill patternType="solid">
        <fgColor rgb="FFFFCCFF"/>
        <bgColor rgb="FFFBE5D6"/>
      </patternFill>
    </fill>
    <fill>
      <patternFill patternType="solid">
        <fgColor rgb="FFFFE699"/>
        <bgColor rgb="FFFFFF99"/>
      </patternFill>
    </fill>
    <fill>
      <patternFill patternType="solid">
        <fgColor rgb="FFCC9900"/>
        <bgColor rgb="FFFF6600"/>
      </patternFill>
    </fill>
    <fill>
      <patternFill patternType="solid">
        <fgColor rgb="FF9999FF"/>
        <bgColor rgb="FFCC99FF"/>
      </patternFill>
    </fill>
    <fill>
      <patternFill patternType="solid">
        <fgColor rgb="FFFFFF66"/>
        <bgColor rgb="FFFFFF99"/>
      </patternFill>
    </fill>
    <fill>
      <patternFill patternType="solid">
        <fgColor rgb="FFE7E6E6"/>
        <bgColor rgb="FFDEEBF7"/>
      </patternFill>
    </fill>
    <fill>
      <patternFill patternType="solid">
        <fgColor rgb="FFFFFF99"/>
        <bgColor rgb="FFFFFF66"/>
      </patternFill>
    </fill>
    <fill>
      <patternFill patternType="solid">
        <fgColor rgb="FFFFFF00"/>
        <bgColor rgb="FFFFFF66"/>
      </patternFill>
    </fill>
    <fill>
      <patternFill patternType="solid">
        <fgColor rgb="FF009999"/>
        <bgColor rgb="FF0099CC"/>
      </patternFill>
    </fill>
    <fill>
      <patternFill patternType="solid">
        <fgColor rgb="FF00FFFF"/>
        <bgColor rgb="FF66FFFF"/>
      </patternFill>
    </fill>
    <fill>
      <patternFill patternType="solid">
        <fgColor rgb="FFDEEBF7"/>
        <bgColor rgb="FFE7E6E6"/>
      </patternFill>
    </fill>
    <fill>
      <patternFill patternType="solid">
        <fgColor rgb="FFFBE5D6"/>
        <bgColor rgb="FFFFF2CC"/>
      </patternFill>
    </fill>
    <fill>
      <patternFill patternType="solid">
        <fgColor rgb="FFFFF2CC"/>
        <bgColor rgb="FFFBE5D6"/>
      </patternFill>
    </fill>
    <fill>
      <patternFill patternType="solid">
        <fgColor rgb="FFE2F0D9"/>
        <bgColor rgb="FFE7E6E6"/>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bottom style="mediu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2" fontId="0"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5" fontId="4" fillId="0" borderId="1" applyFont="true" applyBorder="true" applyAlignment="true" applyProtection="true">
      <alignment horizontal="right" vertical="center" textRotation="0" wrapText="false" indent="0" shrinkToFit="false"/>
      <protection locked="true" hidden="false"/>
    </xf>
    <xf numFmtId="166" fontId="4" fillId="0" borderId="1" applyFont="true" applyBorder="true" applyAlignment="true" applyProtection="true">
      <alignment horizontal="right"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1" applyFont="true" applyBorder="true" applyAlignment="true" applyProtection="true">
      <alignment horizontal="center" vertical="center" textRotation="0" wrapText="true" indent="0" shrinkToFit="false"/>
      <protection locked="true" hidden="false"/>
    </xf>
  </cellStyleXfs>
  <cellXfs count="213">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7" fontId="9"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70" fontId="0" fillId="0" borderId="0" xfId="15" applyFont="true" applyBorder="true" applyAlignment="true" applyProtection="tru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9" borderId="0" xfId="0" applyFont="false" applyBorder="false" applyAlignment="true" applyProtection="false">
      <alignment horizontal="center" vertical="bottom" textRotation="0" wrapText="false" indent="0" shrinkToFit="false"/>
      <protection locked="true" hidden="false"/>
    </xf>
    <xf numFmtId="164" fontId="0" fillId="10" borderId="0" xfId="0" applyFont="false" applyBorder="false" applyAlignment="true" applyProtection="false">
      <alignment horizontal="center" vertical="bottom" textRotation="0" wrapText="false" indent="0" shrinkToFit="false"/>
      <protection locked="true" hidden="false"/>
    </xf>
    <xf numFmtId="164" fontId="0" fillId="11" borderId="0" xfId="0" applyFont="false" applyBorder="fals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70" fontId="12" fillId="12" borderId="0" xfId="15" applyFont="true" applyBorder="true" applyAlignment="true" applyProtection="true">
      <alignment horizontal="center"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13" borderId="0" xfId="0" applyFont="false" applyBorder="false" applyAlignment="true" applyProtection="false">
      <alignment horizontal="center"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false" applyBorder="false" applyAlignment="true" applyProtection="false">
      <alignment horizontal="center" vertical="bottom" textRotation="0" wrapText="false" indent="0" shrinkToFit="false"/>
      <protection locked="true" hidden="false"/>
    </xf>
    <xf numFmtId="164" fontId="0" fillId="16" borderId="0" xfId="0" applyFont="false" applyBorder="false" applyAlignment="true" applyProtection="false">
      <alignment horizontal="center"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71" fontId="0" fillId="14" borderId="0" xfId="0" applyFont="false" applyBorder="false" applyAlignment="true" applyProtection="false">
      <alignment horizontal="center"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true" applyProtection="false">
      <alignment horizontal="center"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72" fontId="0" fillId="5" borderId="0" xfId="0" applyFont="fals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73" fontId="0" fillId="6" borderId="0" xfId="0" applyFont="false" applyBorder="false" applyAlignment="false" applyProtection="false">
      <alignment horizontal="general" vertical="bottom" textRotation="0" wrapText="false" indent="0" shrinkToFit="false"/>
      <protection locked="true" hidden="false"/>
    </xf>
    <xf numFmtId="170" fontId="0" fillId="0" borderId="0" xfId="15" applyFont="true" applyBorder="true" applyAlignment="true" applyProtection="true">
      <alignment horizontal="center"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71" fontId="0" fillId="18" borderId="0" xfId="0" applyFont="false" applyBorder="false" applyAlignment="false" applyProtection="false">
      <alignment horizontal="general" vertical="bottom" textRotation="0" wrapText="false" indent="0" shrinkToFit="false"/>
      <protection locked="true" hidden="false"/>
    </xf>
    <xf numFmtId="164" fontId="0" fillId="19" borderId="0" xfId="0" applyFont="fals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9" fontId="0" fillId="18" borderId="0" xfId="15" applyFont="true" applyBorder="true" applyAlignment="true" applyProtection="tru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71" fontId="0" fillId="19" borderId="0" xfId="0" applyFont="false" applyBorder="false" applyAlignment="false" applyProtection="false">
      <alignment horizontal="general" vertical="bottom" textRotation="0" wrapText="false" indent="0" shrinkToFit="false"/>
      <protection locked="true" hidden="false"/>
    </xf>
    <xf numFmtId="171" fontId="0" fillId="20" borderId="0" xfId="0" applyFont="fals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4" fontId="0" fillId="21" borderId="0" xfId="0" applyFont="true" applyBorder="false" applyAlignment="false" applyProtection="false">
      <alignment horizontal="general" vertical="bottom" textRotation="0" wrapText="false" indent="0" shrinkToFit="false"/>
      <protection locked="true" hidden="false"/>
    </xf>
    <xf numFmtId="174" fontId="0" fillId="21" borderId="0" xfId="0" applyFont="true" applyBorder="false" applyAlignment="false" applyProtection="false">
      <alignment horizontal="general" vertical="bottom" textRotation="0" wrapText="false" indent="0" shrinkToFit="false"/>
      <protection locked="true" hidden="false"/>
    </xf>
    <xf numFmtId="174" fontId="0" fillId="0" borderId="0" xfId="0" applyFont="true" applyBorder="false" applyAlignment="false" applyProtection="false">
      <alignment horizontal="general" vertical="bottom" textRotation="0" wrapText="false" indent="0" shrinkToFit="false"/>
      <protection locked="true" hidden="false"/>
    </xf>
    <xf numFmtId="174" fontId="0" fillId="21" borderId="3" xfId="0" applyFont="true" applyBorder="true" applyAlignment="false" applyProtection="false">
      <alignment horizontal="general" vertical="bottom" textRotation="0" wrapText="false" indent="0" shrinkToFit="false"/>
      <protection locked="true" hidden="false"/>
    </xf>
    <xf numFmtId="174" fontId="0" fillId="21" borderId="0" xfId="0" applyFont="true" applyBorder="true" applyAlignment="false" applyProtection="false">
      <alignment horizontal="general" vertical="bottom" textRotation="0" wrapText="false" indent="0" shrinkToFit="false"/>
      <protection locked="true" hidden="false"/>
    </xf>
    <xf numFmtId="174" fontId="0" fillId="21" borderId="4" xfId="0" applyFont="true" applyBorder="true" applyAlignment="false" applyProtection="false">
      <alignment horizontal="general" vertical="bottom" textRotation="0" wrapText="false" indent="0" shrinkToFit="false"/>
      <protection locked="true" hidden="false"/>
    </xf>
    <xf numFmtId="164" fontId="0" fillId="21" borderId="3"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1" borderId="0" xfId="0" applyFont="false" applyBorder="false" applyAlignment="false" applyProtection="false">
      <alignment horizontal="general" vertical="bottom" textRotation="0" wrapText="false" indent="0" shrinkToFit="false"/>
      <protection locked="true" hidden="false"/>
    </xf>
    <xf numFmtId="172" fontId="0" fillId="21" borderId="0" xfId="19" applyFont="true" applyBorder="true" applyAlignment="true" applyProtection="true">
      <alignment horizontal="general" vertical="bottom" textRotation="0" wrapText="false" indent="0" shrinkToFit="false"/>
      <protection locked="true" hidden="false"/>
    </xf>
    <xf numFmtId="172" fontId="0" fillId="21" borderId="4" xfId="0" applyFont="false" applyBorder="true" applyAlignment="true" applyProtection="false">
      <alignment horizontal="center" vertical="bottom" textRotation="0" wrapText="false" indent="0" shrinkToFit="false"/>
      <protection locked="true" hidden="false"/>
    </xf>
    <xf numFmtId="175" fontId="0" fillId="21" borderId="5" xfId="19" applyFont="true" applyBorder="true" applyAlignment="true" applyProtection="true">
      <alignment horizontal="general" vertical="bottom" textRotation="0" wrapText="false" indent="0" shrinkToFit="false"/>
      <protection locked="true" hidden="false"/>
    </xf>
    <xf numFmtId="175" fontId="0" fillId="21" borderId="0" xfId="19" applyFont="true" applyBorder="true" applyAlignment="true" applyProtection="true">
      <alignment horizontal="general" vertical="bottom" textRotation="0" wrapText="false" indent="0" shrinkToFit="false"/>
      <protection locked="true" hidden="false"/>
    </xf>
    <xf numFmtId="171" fontId="0" fillId="4" borderId="0" xfId="0" applyFont="false" applyBorder="false" applyAlignment="false" applyProtection="false">
      <alignment horizontal="general" vertical="bottom" textRotation="0" wrapText="false" indent="0" shrinkToFit="false"/>
      <protection locked="true" hidden="false"/>
    </xf>
    <xf numFmtId="164" fontId="0" fillId="22" borderId="0" xfId="0" applyFont="true" applyBorder="false" applyAlignment="false" applyProtection="false">
      <alignment horizontal="general" vertical="bottom" textRotation="0" wrapText="false" indent="0" shrinkToFit="false"/>
      <protection locked="true" hidden="false"/>
    </xf>
    <xf numFmtId="171" fontId="0" fillId="22"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7" fillId="0" borderId="7" xfId="0" applyFont="true" applyBorder="true" applyAlignment="true" applyProtection="false">
      <alignment horizontal="center" vertical="center" textRotation="0" wrapText="true" indent="0" shrinkToFit="false"/>
      <protection locked="true" hidden="false"/>
    </xf>
    <xf numFmtId="164" fontId="18" fillId="0" borderId="7" xfId="0" applyFont="true" applyBorder="true" applyAlignment="true" applyProtection="false">
      <alignment horizontal="center" vertical="center" textRotation="0" wrapText="true" indent="0" shrinkToFit="false"/>
      <protection locked="true" hidden="false"/>
    </xf>
    <xf numFmtId="164" fontId="19" fillId="0" borderId="8"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9" fillId="0" borderId="10" xfId="0" applyFont="true" applyBorder="true" applyAlignment="true" applyProtection="false">
      <alignment horizontal="general" vertical="center" textRotation="0" wrapText="false" indent="0" shrinkToFit="false"/>
      <protection locked="true" hidden="false"/>
    </xf>
    <xf numFmtId="164" fontId="17" fillId="0" borderId="11" xfId="0" applyFont="true" applyBorder="true" applyAlignment="true" applyProtection="false">
      <alignment horizontal="general" vertical="center" textRotation="0" wrapText="false" indent="0" shrinkToFit="false"/>
      <protection locked="true" hidden="false"/>
    </xf>
    <xf numFmtId="164" fontId="18" fillId="0" borderId="11" xfId="0" applyFont="true" applyBorder="true" applyAlignment="true" applyProtection="false">
      <alignment horizontal="general" vertical="center" textRotation="0" wrapText="false" indent="0" shrinkToFit="false"/>
      <protection locked="true" hidden="false"/>
    </xf>
    <xf numFmtId="164" fontId="19" fillId="0" borderId="11" xfId="0" applyFont="true" applyBorder="true" applyAlignment="true" applyProtection="false">
      <alignment horizontal="general" vertical="center" textRotation="0" wrapText="false" indent="0" shrinkToFit="false"/>
      <protection locked="true" hidden="false"/>
    </xf>
    <xf numFmtId="164" fontId="19" fillId="0" borderId="12" xfId="0" applyFont="true" applyBorder="true" applyAlignment="true" applyProtection="false">
      <alignment horizontal="general" vertical="center" textRotation="0" wrapText="false" indent="0" shrinkToFit="false"/>
      <protection locked="true" hidden="false"/>
    </xf>
    <xf numFmtId="171" fontId="0" fillId="0" borderId="0" xfId="15" applyFont="true" applyBorder="true" applyAlignment="true" applyProtection="true">
      <alignment horizontal="center" vertical="bottom" textRotation="0" wrapText="false" indent="0" shrinkToFit="false"/>
      <protection locked="true" hidden="false"/>
    </xf>
    <xf numFmtId="171" fontId="0" fillId="0" borderId="10" xfId="15" applyFont="true" applyBorder="true" applyAlignment="true" applyProtection="true">
      <alignment horizontal="center"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22"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true" applyProtection="false">
      <alignment horizontal="center" vertical="bottom" textRotation="0" wrapText="false" indent="0" shrinkToFit="false"/>
      <protection locked="true" hidden="false"/>
    </xf>
    <xf numFmtId="164" fontId="0" fillId="0" borderId="1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23" fillId="0" borderId="7" xfId="0" applyFont="true" applyBorder="true" applyAlignment="true" applyProtection="false">
      <alignment horizontal="center" vertical="bottom" textRotation="0" wrapText="true" indent="0" shrinkToFit="false"/>
      <protection locked="true" hidden="false"/>
    </xf>
    <xf numFmtId="164" fontId="24" fillId="0" borderId="7" xfId="0" applyFont="true" applyBorder="true" applyAlignment="true" applyProtection="false">
      <alignment horizontal="center" vertical="bottom" textRotation="0" wrapText="true" indent="0" shrinkToFit="false"/>
      <protection locked="true" hidden="false"/>
    </xf>
    <xf numFmtId="164" fontId="25" fillId="0" borderId="8" xfId="0" applyFont="true" applyBorder="true" applyAlignment="true" applyProtection="false">
      <alignment horizontal="center" vertical="bottom" textRotation="0" wrapText="true" indent="0" shrinkToFit="false"/>
      <protection locked="true" hidden="false"/>
    </xf>
    <xf numFmtId="164" fontId="26" fillId="0" borderId="3"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4" fontId="27" fillId="0" borderId="0" xfId="0" applyFont="true" applyBorder="true" applyAlignment="true" applyProtection="false">
      <alignment horizontal="center" vertical="bottom" textRotation="0" wrapText="true" indent="0" shrinkToFit="false"/>
      <protection locked="true" hidden="false"/>
    </xf>
    <xf numFmtId="167" fontId="23" fillId="0" borderId="0" xfId="0" applyFont="true" applyBorder="true" applyAlignment="true" applyProtection="false">
      <alignment horizontal="center" vertical="bottom" textRotation="0" wrapText="true" indent="0" shrinkToFit="false"/>
      <protection locked="true" hidden="false"/>
    </xf>
    <xf numFmtId="167" fontId="24" fillId="0" borderId="0" xfId="0" applyFont="true" applyBorder="true" applyAlignment="true" applyProtection="false">
      <alignment horizontal="center" vertical="bottom" textRotation="0" wrapText="true" indent="0" shrinkToFit="false"/>
      <protection locked="true" hidden="false"/>
    </xf>
    <xf numFmtId="167" fontId="25" fillId="0" borderId="0" xfId="0" applyFont="true" applyBorder="true" applyAlignment="true" applyProtection="false">
      <alignment horizontal="center" vertical="bottom" textRotation="0" wrapText="true" indent="0" shrinkToFit="false"/>
      <protection locked="true" hidden="false"/>
    </xf>
    <xf numFmtId="164" fontId="25" fillId="0" borderId="10" xfId="0" applyFont="true" applyBorder="true" applyAlignment="true" applyProtection="false">
      <alignment horizontal="center" vertical="bottom" textRotation="0" wrapText="true" indent="0" shrinkToFit="false"/>
      <protection locked="true" hidden="false"/>
    </xf>
    <xf numFmtId="164" fontId="26" fillId="0" borderId="9" xfId="0" applyFont="true" applyBorder="true" applyAlignment="true" applyProtection="false">
      <alignment horizontal="center" vertical="bottom" textRotation="0" wrapText="true" indent="0" shrinkToFit="false"/>
      <protection locked="true" hidden="false"/>
    </xf>
    <xf numFmtId="164" fontId="26" fillId="0" borderId="0" xfId="0" applyFont="true" applyBorder="true" applyAlignment="true" applyProtection="false">
      <alignment horizontal="center" vertical="bottom" textRotation="0" wrapText="true" indent="0" shrinkToFit="false"/>
      <protection locked="true" hidden="false"/>
    </xf>
    <xf numFmtId="164" fontId="26" fillId="0" borderId="10" xfId="0" applyFont="true" applyBorder="true" applyAlignment="true" applyProtection="false">
      <alignment horizontal="center" vertical="bottom" textRotation="0" wrapText="true" indent="0" shrinkToFit="false"/>
      <protection locked="true" hidden="false"/>
    </xf>
    <xf numFmtId="164" fontId="28" fillId="0" borderId="11" xfId="0" applyFont="true" applyBorder="true" applyAlignment="true" applyProtection="false">
      <alignment horizontal="center" vertical="bottom" textRotation="0" wrapText="true" indent="0" shrinkToFit="false"/>
      <protection locked="true" hidden="false"/>
    </xf>
    <xf numFmtId="164" fontId="29" fillId="0" borderId="11" xfId="0" applyFont="true" applyBorder="true" applyAlignment="true" applyProtection="false">
      <alignment horizontal="center" vertical="bottom" textRotation="0" wrapText="true" indent="0" shrinkToFit="false"/>
      <protection locked="true" hidden="false"/>
    </xf>
    <xf numFmtId="164" fontId="30" fillId="0" borderId="11" xfId="0" applyFont="true" applyBorder="true" applyAlignment="true" applyProtection="false">
      <alignment horizontal="center" vertical="bottom" textRotation="0" wrapText="true" indent="0" shrinkToFit="false"/>
      <protection locked="true" hidden="false"/>
    </xf>
    <xf numFmtId="164" fontId="31" fillId="0" borderId="11" xfId="0" applyFont="true" applyBorder="true" applyAlignment="true" applyProtection="false">
      <alignment horizontal="center" vertical="bottom" textRotation="0" wrapText="true" indent="0" shrinkToFit="false"/>
      <protection locked="true" hidden="false"/>
    </xf>
    <xf numFmtId="164" fontId="31" fillId="0" borderId="12" xfId="0" applyFont="true" applyBorder="true" applyAlignment="true" applyProtection="false">
      <alignment horizontal="center" vertical="bottom" textRotation="0" wrapText="true" indent="0" shrinkToFit="false"/>
      <protection locked="true" hidden="false"/>
    </xf>
    <xf numFmtId="164" fontId="32" fillId="0" borderId="13" xfId="0" applyFont="true" applyBorder="true" applyAlignment="true" applyProtection="false">
      <alignment horizontal="center" vertical="bottom" textRotation="0" wrapText="true" indent="0" shrinkToFit="false"/>
      <protection locked="true" hidden="false"/>
    </xf>
    <xf numFmtId="164" fontId="32" fillId="0" borderId="11" xfId="0" applyFont="true" applyBorder="true" applyAlignment="true" applyProtection="false">
      <alignment horizontal="center" vertical="bottom" textRotation="0" wrapText="true" indent="0" shrinkToFit="false"/>
      <protection locked="true" hidden="false"/>
    </xf>
    <xf numFmtId="164" fontId="32" fillId="0" borderId="12" xfId="0" applyFont="true" applyBorder="true" applyAlignment="true" applyProtection="false">
      <alignment horizontal="center" vertical="bottom" textRotation="0" wrapText="true" indent="0" shrinkToFit="false"/>
      <protection locked="true" hidden="false"/>
    </xf>
    <xf numFmtId="164" fontId="33" fillId="0" borderId="11" xfId="0" applyFont="true" applyBorder="true" applyAlignment="true" applyProtection="false">
      <alignment horizontal="center" vertical="bottom" textRotation="0" wrapText="true" indent="0" shrinkToFit="false"/>
      <protection locked="true" hidden="false"/>
    </xf>
    <xf numFmtId="167" fontId="21" fillId="0" borderId="0" xfId="0" applyFont="true" applyBorder="true" applyAlignment="true" applyProtection="false">
      <alignment horizontal="center" vertical="bottom" textRotation="0" wrapText="false" indent="0" shrinkToFit="false"/>
      <protection locked="true" hidden="false"/>
    </xf>
    <xf numFmtId="170" fontId="0" fillId="0" borderId="10" xfId="15"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7" fontId="0" fillId="0" borderId="0"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true" applyAlignment="true" applyProtection="false">
      <alignment horizontal="left" vertical="bottom" textRotation="0" wrapText="false" indent="0" shrinkToFit="false"/>
      <protection locked="true" hidden="false"/>
    </xf>
    <xf numFmtId="176" fontId="0" fillId="0" borderId="0" xfId="0" applyFont="false" applyBorder="true" applyAlignment="true" applyProtection="false">
      <alignment horizontal="center" vertical="bottom" textRotation="0" wrapText="false" indent="0" shrinkToFit="false"/>
      <protection locked="true" hidden="false"/>
    </xf>
    <xf numFmtId="176" fontId="0" fillId="0" borderId="0" xfId="15" applyFont="true" applyBorder="true" applyAlignment="true" applyProtection="true">
      <alignment horizontal="center" vertical="bottom" textRotation="0" wrapText="false" indent="0" shrinkToFit="false"/>
      <protection locked="true" hidden="false"/>
    </xf>
    <xf numFmtId="170" fontId="12" fillId="0" borderId="11" xfId="15" applyFont="true" applyBorder="true" applyAlignment="true" applyProtection="true">
      <alignment horizontal="center" vertical="bottom" textRotation="0" wrapText="false" indent="0" shrinkToFit="false"/>
      <protection locked="true" hidden="false"/>
    </xf>
    <xf numFmtId="167" fontId="21" fillId="0" borderId="11" xfId="0" applyFont="true" applyBorder="true" applyAlignment="true" applyProtection="false">
      <alignment horizontal="center" vertical="bottom" textRotation="0" wrapText="false" indent="0" shrinkToFit="false"/>
      <protection locked="true" hidden="false"/>
    </xf>
    <xf numFmtId="177"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false" indent="0" shrinkToFit="false"/>
      <protection locked="true" hidden="false"/>
    </xf>
    <xf numFmtId="164" fontId="13" fillId="23"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8" fillId="0" borderId="1" xfId="26" applyFont="false" applyBorder="false" applyAlignment="false" applyProtection="false">
      <alignment horizontal="center" vertical="center" textRotation="0" wrapText="true" indent="0" shrinkToFit="false"/>
      <protection locked="true" hidden="false"/>
    </xf>
    <xf numFmtId="164" fontId="3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73"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72" fontId="0" fillId="24" borderId="0" xfId="19" applyFont="true" applyBorder="true" applyAlignment="true" applyProtection="true">
      <alignment horizontal="center" vertical="bottom" textRotation="0" wrapText="false" indent="0" shrinkToFit="false"/>
      <protection locked="true" hidden="false"/>
    </xf>
    <xf numFmtId="172" fontId="0" fillId="24" borderId="0" xfId="0" applyFont="false" applyBorder="false" applyAlignment="true" applyProtection="false">
      <alignment horizontal="center" vertical="bottom" textRotation="0" wrapText="false" indent="0" shrinkToFit="false"/>
      <protection locked="true" hidden="false"/>
    </xf>
    <xf numFmtId="172" fontId="0" fillId="0" borderId="0" xfId="19" applyFont="true" applyBorder="true" applyAlignment="true" applyProtection="true">
      <alignment horizontal="center" vertical="bottom" textRotation="0" wrapText="false" indent="0" shrinkToFit="false"/>
      <protection locked="tru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64" fontId="0" fillId="24" borderId="0" xfId="0" applyFont="false" applyBorder="false" applyAlignment="true" applyProtection="false">
      <alignment horizontal="center" vertical="bottom" textRotation="0" wrapText="false" indent="0" shrinkToFit="false"/>
      <protection locked="true" hidden="false"/>
    </xf>
    <xf numFmtId="164" fontId="0" fillId="25" borderId="0" xfId="0" applyFont="fals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72" fontId="19" fillId="0" borderId="0" xfId="19" applyFont="true" applyBorder="true" applyAlignment="true" applyProtection="true">
      <alignment horizontal="center" vertical="bottom" textRotation="0" wrapText="false" indent="0" shrinkToFit="false"/>
      <protection locked="true" hidden="false"/>
    </xf>
    <xf numFmtId="178" fontId="19" fillId="0" borderId="0" xfId="0" applyFont="true" applyBorder="false" applyAlignment="true" applyProtection="false">
      <alignment horizontal="center" vertical="bottom" textRotation="0" wrapText="false" indent="0" shrinkToFit="false"/>
      <protection locked="true" hidden="false"/>
    </xf>
    <xf numFmtId="164" fontId="19" fillId="23" borderId="0" xfId="0" applyFont="true" applyBorder="false" applyAlignment="false" applyProtection="false">
      <alignment horizontal="general" vertical="bottom" textRotation="0" wrapText="false" indent="0" shrinkToFit="false"/>
      <protection locked="true" hidden="false"/>
    </xf>
    <xf numFmtId="172" fontId="1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20" fillId="0" borderId="8"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center" vertical="bottom" textRotation="0" wrapText="false" indent="0" shrinkToFit="false"/>
      <protection locked="true" hidden="false"/>
    </xf>
    <xf numFmtId="164" fontId="24" fillId="0"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64" fontId="20" fillId="0" borderId="10" xfId="0" applyFont="true" applyBorder="true" applyAlignment="true" applyProtection="false">
      <alignment horizontal="center" vertical="bottom" textRotation="0" wrapText="false" indent="0" shrinkToFit="false"/>
      <protection locked="true" hidden="false"/>
    </xf>
    <xf numFmtId="164" fontId="29" fillId="0" borderId="11" xfId="0" applyFont="true" applyBorder="true" applyAlignment="true" applyProtection="false">
      <alignment horizontal="center" vertical="bottom" textRotation="0" wrapText="false" indent="0" shrinkToFit="false"/>
      <protection locked="true" hidden="false"/>
    </xf>
    <xf numFmtId="164" fontId="30" fillId="0" borderId="11" xfId="0" applyFont="true" applyBorder="true" applyAlignment="true" applyProtection="false">
      <alignment horizontal="center" vertical="bottom" textRotation="0" wrapText="false" indent="0" shrinkToFit="false"/>
      <protection locked="true" hidden="false"/>
    </xf>
    <xf numFmtId="164" fontId="33" fillId="0" borderId="11" xfId="0" applyFont="true" applyBorder="true" applyAlignment="true" applyProtection="false">
      <alignment horizontal="center" vertical="bottom" textRotation="0" wrapText="false" indent="0" shrinkToFit="false"/>
      <protection locked="true" hidden="false"/>
    </xf>
    <xf numFmtId="164" fontId="33" fillId="0" borderId="12" xfId="0" applyFont="true" applyBorder="true" applyAlignment="true" applyProtection="false">
      <alignment horizontal="center" vertical="bottom" textRotation="0" wrapText="false" indent="0" shrinkToFit="false"/>
      <protection locked="true" hidden="false"/>
    </xf>
    <xf numFmtId="164" fontId="36" fillId="0" borderId="0" xfId="0" applyFont="true" applyBorder="true" applyAlignment="true" applyProtection="false">
      <alignment horizontal="center" vertical="bottom" textRotation="0" wrapText="false" indent="0" shrinkToFit="false"/>
      <protection locked="true" hidden="false"/>
    </xf>
    <xf numFmtId="164" fontId="22" fillId="0" borderId="0" xfId="0" applyFont="true" applyBorder="true" applyAlignment="true" applyProtection="false">
      <alignment horizontal="center" vertical="bottom" textRotation="0" wrapText="false" indent="0" shrinkToFit="false"/>
      <protection locked="true" hidden="false"/>
    </xf>
    <xf numFmtId="164" fontId="36" fillId="0" borderId="11" xfId="0" applyFont="true" applyBorder="true" applyAlignment="true" applyProtection="false">
      <alignment horizontal="center" vertical="bottom" textRotation="0" wrapText="false" indent="0" shrinkToFit="false"/>
      <protection locked="true" hidden="false"/>
    </xf>
    <xf numFmtId="164" fontId="0" fillId="26" borderId="0" xfId="0" applyFont="true" applyBorder="false" applyAlignment="false" applyProtection="false">
      <alignment horizontal="general" vertical="bottom" textRotation="0" wrapText="false" indent="0" shrinkToFit="false"/>
      <protection locked="true" hidden="false"/>
    </xf>
    <xf numFmtId="164" fontId="0" fillId="27" borderId="0" xfId="0" applyFont="true" applyBorder="false" applyAlignment="false" applyProtection="false">
      <alignment horizontal="general" vertical="bottom" textRotation="0" wrapText="false" indent="0" shrinkToFit="false"/>
      <protection locked="true" hidden="false"/>
    </xf>
    <xf numFmtId="164" fontId="0" fillId="28" borderId="0" xfId="0" applyFont="true" applyBorder="false" applyAlignment="false" applyProtection="false">
      <alignment horizontal="general" vertical="bottom" textRotation="0" wrapText="false" indent="0" shrinkToFit="false"/>
      <protection locked="true" hidden="false"/>
    </xf>
    <xf numFmtId="164" fontId="0" fillId="29" borderId="0" xfId="0" applyFont="true" applyBorder="false" applyAlignment="false" applyProtection="false">
      <alignment horizontal="general" vertical="bottom" textRotation="0" wrapText="false" indent="0" shrinkToFit="false"/>
      <protection locked="true" hidden="false"/>
    </xf>
    <xf numFmtId="164" fontId="12" fillId="0" borderId="0" xfId="24" applyFont="true" applyBorder="false" applyAlignment="false" applyProtection="false">
      <alignment horizontal="general" vertical="bottom" textRotation="0" wrapText="false" indent="0" shrinkToFit="false"/>
      <protection locked="true" hidden="false"/>
    </xf>
    <xf numFmtId="164" fontId="0" fillId="28" borderId="0" xfId="0" applyFont="true" applyBorder="false" applyAlignment="true" applyProtection="false">
      <alignment horizontal="left" vertical="bottom" textRotation="0" wrapText="false" indent="0" shrinkToFit="false"/>
      <protection locked="true" hidden="false"/>
    </xf>
    <xf numFmtId="164" fontId="0" fillId="28" borderId="0" xfId="0" applyFont="true" applyBorder="true" applyAlignment="true" applyProtection="false">
      <alignment horizontal="left" vertical="bottom" textRotation="0" wrapText="false" indent="0" shrinkToFit="false"/>
      <protection locked="true" hidden="false"/>
    </xf>
    <xf numFmtId="164" fontId="34" fillId="26" borderId="0" xfId="0" applyFont="true" applyBorder="true" applyAlignment="true" applyProtection="false">
      <alignment horizontal="center" vertical="bottom" textRotation="0" wrapText="false" indent="0" shrinkToFit="false"/>
      <protection locked="true" hidden="false"/>
    </xf>
    <xf numFmtId="164" fontId="34" fillId="28" borderId="0" xfId="0" applyFont="true" applyBorder="true" applyAlignment="true" applyProtection="false">
      <alignment horizontal="center"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Decimal-2" xfId="21"/>
    <cellStyle name="Decimal-6" xfId="22"/>
    <cellStyle name="Normal 2" xfId="23"/>
    <cellStyle name="Normal 3" xfId="24"/>
    <cellStyle name="Sub-title" xfId="25"/>
    <cellStyle name="Text Centre" xfId="26"/>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FBE5D6"/>
      <rgbColor rgb="FF800080"/>
      <rgbColor rgb="FF009999"/>
      <rgbColor rgb="FFADB9CA"/>
      <rgbColor rgb="FF99FFCC"/>
      <rgbColor rgb="FF9999FF"/>
      <rgbColor rgb="FF7030A0"/>
      <rgbColor rgb="FFFFF2CC"/>
      <rgbColor rgb="FFDEEBF7"/>
      <rgbColor rgb="FF660066"/>
      <rgbColor rgb="FFFFCCFF"/>
      <rgbColor rgb="FF0563C1"/>
      <rgbColor rgb="FFBDD7EE"/>
      <rgbColor rgb="FF000080"/>
      <rgbColor rgb="FFFF00FF"/>
      <rgbColor rgb="FFFFFF66"/>
      <rgbColor rgb="FF66FFFF"/>
      <rgbColor rgb="FF800080"/>
      <rgbColor rgb="FF800000"/>
      <rgbColor rgb="FF0070C0"/>
      <rgbColor rgb="FF0000FF"/>
      <rgbColor rgb="FF00B0F0"/>
      <rgbColor rgb="FFE7E6E6"/>
      <rgbColor rgb="FFE2F0D9"/>
      <rgbColor rgb="FFFFFF99"/>
      <rgbColor rgb="FFB4C7E7"/>
      <rgbColor rgb="FFFF9999"/>
      <rgbColor rgb="FFCC99FF"/>
      <rgbColor rgb="FFF8CBAD"/>
      <rgbColor rgb="FF0099CC"/>
      <rgbColor rgb="FF00CC66"/>
      <rgbColor rgb="FFC5E0B4"/>
      <rgbColor rgb="FFFFE699"/>
      <rgbColor rgb="FFCC9900"/>
      <rgbColor rgb="FFFF6600"/>
      <rgbColor rgb="FF666699"/>
      <rgbColor rgb="FF5B9BD5"/>
      <rgbColor rgb="FF003366"/>
      <rgbColor rgb="FF00B050"/>
      <rgbColor rgb="FF003300"/>
      <rgbColor rgb="FF333300"/>
      <rgbColor rgb="FFC55A11"/>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externalLink" Target="externalLinks/externalLink1.xml"/><Relationship Id="rId17"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Users/ahmad/DOCUME~1/MobaXterm/slash/RemoteFiles/1443830_3_14/model%20inputs%20-%20AB.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ite independent"/>
      <sheetName val="modeled attributes"/>
      <sheetName val="modeled attributes _original"/>
      <sheetName val="scenario analysis"/>
      <sheetName val="vre plants"/>
      <sheetName val="non-vre plants"/>
      <sheetName val="storage"/>
      <sheetName val="EV_aggregator"/>
      <sheetName val="demand response"/>
      <sheetName val="demand centres"/>
      <sheetName val="existing transmission"/>
      <sheetName val="excel input instructions"/>
      <sheetName val="lists"/>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tc.ca/Routes/General_Information/General_Information.jsp" TargetMode="Externa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P14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67" activeCellId="0" sqref="A67"/>
    </sheetView>
  </sheetViews>
  <sheetFormatPr defaultColWidth="8.5390625" defaultRowHeight="15" zeroHeight="false" outlineLevelRow="0" outlineLevelCol="0"/>
  <cols>
    <col collapsed="false" customWidth="true" hidden="false" outlineLevel="0" max="1" min="1" style="1" width="16.57"/>
    <col collapsed="false" customWidth="true" hidden="false" outlineLevel="0" max="2" min="2" style="1" width="9.43"/>
    <col collapsed="false" customWidth="true" hidden="false" outlineLevel="0" max="3" min="3" style="1" width="20.14"/>
    <col collapsed="false" customWidth="true" hidden="false" outlineLevel="0" max="5" min="4" style="2" width="15.85"/>
    <col collapsed="false" customWidth="true" hidden="false" outlineLevel="0" max="6" min="6" style="2" width="13.28"/>
    <col collapsed="false" customWidth="true" hidden="false" outlineLevel="0" max="7" min="7" style="1" width="26.57"/>
    <col collapsed="false" customWidth="true" hidden="false" outlineLevel="0" max="9" min="8" style="1" width="18.85"/>
    <col collapsed="false" customWidth="true" hidden="false" outlineLevel="0" max="10" min="10" style="3" width="17.71"/>
    <col collapsed="false" customWidth="true" hidden="false" outlineLevel="0" max="11" min="11" style="1" width="18.71"/>
  </cols>
  <sheetData>
    <row r="1" customFormat="false" ht="15" hidden="false" customHeight="false" outlineLevel="0" collapsed="false">
      <c r="A1" s="1" t="s">
        <v>0</v>
      </c>
      <c r="B1" s="1" t="s">
        <v>1</v>
      </c>
      <c r="C1" s="1" t="s">
        <v>2</v>
      </c>
      <c r="D1" s="2" t="s">
        <v>3</v>
      </c>
      <c r="E1" s="2" t="s">
        <v>4</v>
      </c>
      <c r="F1" s="2" t="s">
        <v>5</v>
      </c>
      <c r="G1" s="2" t="s">
        <v>6</v>
      </c>
      <c r="H1" s="1" t="s">
        <v>7</v>
      </c>
      <c r="I1" s="1" t="s">
        <v>8</v>
      </c>
      <c r="J1" s="3" t="s">
        <v>9</v>
      </c>
      <c r="K1" s="1" t="s">
        <v>10</v>
      </c>
      <c r="L1" s="4"/>
      <c r="M1" s="4"/>
      <c r="N1" s="4"/>
      <c r="O1" s="4"/>
      <c r="P1" s="4"/>
    </row>
    <row r="2" customFormat="false" ht="15" hidden="false" customHeight="false" outlineLevel="0" collapsed="false">
      <c r="A2" s="1" t="s">
        <v>11</v>
      </c>
      <c r="B2" s="1" t="s">
        <v>12</v>
      </c>
      <c r="C2" s="1" t="s">
        <v>13</v>
      </c>
      <c r="D2" s="5" t="n">
        <v>44.2044</v>
      </c>
      <c r="E2" s="5" t="n">
        <v>-81.4574</v>
      </c>
      <c r="F2" s="5" t="n">
        <v>180</v>
      </c>
      <c r="G2" s="6" t="s">
        <v>14</v>
      </c>
      <c r="H2" s="1" t="s">
        <v>15</v>
      </c>
      <c r="I2" s="1" t="n">
        <v>3075</v>
      </c>
      <c r="J2" s="3" t="n">
        <f aca="false">ROUND((D2+90)*2, 0)</f>
        <v>268</v>
      </c>
      <c r="K2" s="1" t="n">
        <f aca="false">ROUND((E2+180)*(3/2), 0)</f>
        <v>148</v>
      </c>
    </row>
    <row r="3" customFormat="false" ht="15" hidden="false" customHeight="false" outlineLevel="0" collapsed="false">
      <c r="A3" s="1" t="s">
        <v>11</v>
      </c>
      <c r="B3" s="1" t="s">
        <v>16</v>
      </c>
      <c r="C3" s="1" t="s">
        <v>13</v>
      </c>
      <c r="D3" s="5" t="n">
        <v>43.4846</v>
      </c>
      <c r="E3" s="5" t="n">
        <v>-81.6282</v>
      </c>
      <c r="F3" s="5" t="n">
        <v>93</v>
      </c>
      <c r="G3" s="6" t="s">
        <v>14</v>
      </c>
      <c r="H3" s="1" t="s">
        <v>15</v>
      </c>
      <c r="I3" s="1" t="n">
        <v>3075</v>
      </c>
      <c r="J3" s="3" t="n">
        <f aca="false">ROUND((D3+90)*2, 0)</f>
        <v>267</v>
      </c>
      <c r="K3" s="1" t="n">
        <f aca="false">ROUND((E3+180)*(3/2), 0)</f>
        <v>148</v>
      </c>
    </row>
    <row r="4" customFormat="false" ht="15" hidden="false" customHeight="false" outlineLevel="0" collapsed="false">
      <c r="A4" s="1" t="s">
        <v>11</v>
      </c>
      <c r="B4" s="1" t="s">
        <v>17</v>
      </c>
      <c r="C4" s="1" t="s">
        <v>13</v>
      </c>
      <c r="D4" s="5" t="n">
        <v>43.1128</v>
      </c>
      <c r="E4" s="5" t="n">
        <v>-81.7024</v>
      </c>
      <c r="F4" s="5" t="n">
        <v>222</v>
      </c>
      <c r="G4" s="6" t="s">
        <v>18</v>
      </c>
      <c r="H4" s="1" t="s">
        <v>15</v>
      </c>
      <c r="I4" s="1" t="n">
        <v>3075</v>
      </c>
      <c r="J4" s="3" t="n">
        <f aca="false">ROUND((D4+90)*2, 0)</f>
        <v>266</v>
      </c>
      <c r="K4" s="1" t="n">
        <f aca="false">ROUND((E4+180)*(3/2), 0)</f>
        <v>147</v>
      </c>
    </row>
    <row r="5" customFormat="false" ht="15" hidden="false" customHeight="false" outlineLevel="0" collapsed="false">
      <c r="A5" s="1" t="s">
        <v>11</v>
      </c>
      <c r="B5" s="1" t="s">
        <v>19</v>
      </c>
      <c r="C5" s="1" t="s">
        <v>13</v>
      </c>
      <c r="D5" s="5" t="n">
        <v>44.2478</v>
      </c>
      <c r="E5" s="5" t="n">
        <v>-81.5714</v>
      </c>
      <c r="F5" s="5" t="n">
        <v>19.5</v>
      </c>
      <c r="G5" s="6" t="s">
        <v>14</v>
      </c>
      <c r="H5" s="1" t="s">
        <v>15</v>
      </c>
      <c r="I5" s="1" t="n">
        <v>3075</v>
      </c>
      <c r="J5" s="3" t="n">
        <f aca="false">ROUND((D5+90)*2, 0)</f>
        <v>268</v>
      </c>
      <c r="K5" s="1" t="n">
        <f aca="false">ROUND((E5+180)*(3/2), 0)</f>
        <v>148</v>
      </c>
    </row>
    <row r="6" customFormat="false" ht="15" hidden="false" customHeight="false" outlineLevel="0" collapsed="false">
      <c r="A6" s="1" t="s">
        <v>11</v>
      </c>
      <c r="B6" s="1" t="s">
        <v>20</v>
      </c>
      <c r="C6" s="1" t="s">
        <v>13</v>
      </c>
      <c r="D6" s="5" t="n">
        <v>44.2134</v>
      </c>
      <c r="E6" s="5" t="n">
        <v>-80.2673</v>
      </c>
      <c r="F6" s="5" t="n">
        <v>145</v>
      </c>
      <c r="G6" s="6" t="s">
        <v>21</v>
      </c>
      <c r="H6" s="1" t="s">
        <v>15</v>
      </c>
      <c r="I6" s="1" t="n">
        <v>3075</v>
      </c>
      <c r="J6" s="3" t="n">
        <f aca="false">ROUND((D6+90)*2, 0)</f>
        <v>268</v>
      </c>
      <c r="K6" s="1" t="n">
        <f aca="false">ROUND((E6+180)*(3/2), 0)</f>
        <v>150</v>
      </c>
    </row>
    <row r="7" customFormat="false" ht="15" hidden="false" customHeight="false" outlineLevel="0" collapsed="false">
      <c r="A7" s="1" t="s">
        <v>11</v>
      </c>
      <c r="B7" s="1" t="s">
        <v>22</v>
      </c>
      <c r="C7" s="1" t="s">
        <v>13</v>
      </c>
      <c r="D7" s="5" t="n">
        <v>44.1972</v>
      </c>
      <c r="E7" s="5" t="n">
        <v>-80.7005</v>
      </c>
      <c r="F7" s="5" t="n">
        <v>22.4</v>
      </c>
      <c r="G7" s="6" t="s">
        <v>14</v>
      </c>
      <c r="H7" s="1" t="s">
        <v>15</v>
      </c>
      <c r="I7" s="1" t="n">
        <v>3075</v>
      </c>
      <c r="J7" s="3" t="n">
        <f aca="false">ROUND((D7+90)*2, 0)</f>
        <v>268</v>
      </c>
      <c r="K7" s="1" t="n">
        <f aca="false">ROUND((E7+180)*(3/2), 0)</f>
        <v>149</v>
      </c>
    </row>
    <row r="8" s="9" customFormat="true" ht="15" hidden="false" customHeight="false" outlineLevel="0" collapsed="false">
      <c r="A8" s="1" t="s">
        <v>11</v>
      </c>
      <c r="B8" s="7" t="s">
        <v>23</v>
      </c>
      <c r="C8" s="7" t="s">
        <v>13</v>
      </c>
      <c r="D8" s="5" t="n">
        <v>44.9465</v>
      </c>
      <c r="E8" s="5" t="n">
        <v>-81.2632</v>
      </c>
      <c r="F8" s="5" t="n">
        <v>5.1</v>
      </c>
      <c r="G8" s="6" t="s">
        <v>14</v>
      </c>
      <c r="H8" s="7" t="s">
        <v>15</v>
      </c>
      <c r="I8" s="7" t="n">
        <v>3075</v>
      </c>
      <c r="J8" s="8" t="n">
        <f aca="false">ROUND((D8+90)*2, 0)</f>
        <v>270</v>
      </c>
      <c r="K8" s="7" t="n">
        <f aca="false">ROUND((E8+180)*(3/2), 0)</f>
        <v>148</v>
      </c>
    </row>
    <row r="9" customFormat="false" ht="15" hidden="false" customHeight="false" outlineLevel="0" collapsed="false">
      <c r="A9" s="1" t="s">
        <v>11</v>
      </c>
      <c r="B9" s="1" t="s">
        <v>24</v>
      </c>
      <c r="C9" s="1" t="s">
        <v>13</v>
      </c>
      <c r="D9" s="5" t="n">
        <v>43.2986</v>
      </c>
      <c r="E9" s="5" t="n">
        <v>-81.6144</v>
      </c>
      <c r="F9" s="5" t="n">
        <v>102.4</v>
      </c>
      <c r="G9" s="6" t="s">
        <v>14</v>
      </c>
      <c r="H9" s="1" t="s">
        <v>15</v>
      </c>
      <c r="I9" s="1" t="n">
        <v>3075</v>
      </c>
      <c r="J9" s="3" t="n">
        <f aca="false">ROUND((D9+90)*2, 0)</f>
        <v>267</v>
      </c>
      <c r="K9" s="1" t="n">
        <f aca="false">ROUND((E9+180)*(3/2), 0)</f>
        <v>148</v>
      </c>
    </row>
    <row r="10" customFormat="false" ht="15" hidden="false" customHeight="false" outlineLevel="0" collapsed="false">
      <c r="A10" s="1" t="s">
        <v>11</v>
      </c>
      <c r="B10" s="1" t="s">
        <v>25</v>
      </c>
      <c r="C10" s="1" t="s">
        <v>13</v>
      </c>
      <c r="D10" s="5" t="n">
        <v>43.3937</v>
      </c>
      <c r="E10" s="5" t="n">
        <v>-81.6578</v>
      </c>
      <c r="F10" s="5" t="n">
        <v>99.3</v>
      </c>
      <c r="G10" s="6" t="s">
        <v>14</v>
      </c>
      <c r="H10" s="1" t="s">
        <v>15</v>
      </c>
      <c r="I10" s="1" t="n">
        <v>3075</v>
      </c>
      <c r="J10" s="3" t="n">
        <f aca="false">ROUND((D10+90)*2, 0)</f>
        <v>267</v>
      </c>
      <c r="K10" s="1" t="n">
        <f aca="false">ROUND((E10+180)*(3/2), 0)</f>
        <v>148</v>
      </c>
    </row>
    <row r="11" customFormat="false" ht="15" hidden="false" customHeight="false" outlineLevel="0" collapsed="false">
      <c r="A11" s="1" t="s">
        <v>11</v>
      </c>
      <c r="B11" s="1" t="s">
        <v>26</v>
      </c>
      <c r="C11" s="1" t="s">
        <v>13</v>
      </c>
      <c r="D11" s="5" t="n">
        <v>44.0078</v>
      </c>
      <c r="E11" s="5" t="n">
        <v>-80.3556</v>
      </c>
      <c r="F11" s="5" t="n">
        <v>60</v>
      </c>
      <c r="G11" s="6" t="s">
        <v>14</v>
      </c>
      <c r="H11" s="1" t="s">
        <v>15</v>
      </c>
      <c r="I11" s="1" t="n">
        <v>3075</v>
      </c>
      <c r="J11" s="3" t="n">
        <f aca="false">ROUND((D11+90)*2, 0)</f>
        <v>268</v>
      </c>
      <c r="K11" s="1" t="n">
        <f aca="false">ROUND((E11+180)*(3/2), 0)</f>
        <v>149</v>
      </c>
    </row>
    <row r="12" customFormat="false" ht="15" hidden="false" customHeight="false" outlineLevel="0" collapsed="false">
      <c r="A12" s="1" t="s">
        <v>11</v>
      </c>
      <c r="B12" s="1" t="s">
        <v>27</v>
      </c>
      <c r="C12" s="1" t="s">
        <v>13</v>
      </c>
      <c r="D12" s="5" t="n">
        <v>43.9373</v>
      </c>
      <c r="E12" s="5" t="n">
        <v>-81.6399</v>
      </c>
      <c r="F12" s="5" t="n">
        <v>270</v>
      </c>
      <c r="G12" s="6" t="s">
        <v>28</v>
      </c>
      <c r="H12" s="1" t="s">
        <v>15</v>
      </c>
      <c r="I12" s="1" t="n">
        <v>3075</v>
      </c>
      <c r="J12" s="3" t="n">
        <f aca="false">ROUND((D12+90)*2, 0)</f>
        <v>268</v>
      </c>
      <c r="K12" s="1" t="n">
        <f aca="false">ROUND((E12+180)*(3/2), 0)</f>
        <v>148</v>
      </c>
    </row>
    <row r="13" customFormat="false" ht="15" hidden="false" customHeight="false" outlineLevel="0" collapsed="false">
      <c r="A13" s="1" t="s">
        <v>11</v>
      </c>
      <c r="B13" s="1" t="s">
        <v>29</v>
      </c>
      <c r="C13" s="1" t="s">
        <v>13</v>
      </c>
      <c r="D13" s="5" t="n">
        <v>43.8589</v>
      </c>
      <c r="E13" s="5" t="n">
        <v>-81.692</v>
      </c>
      <c r="F13" s="5" t="n">
        <v>39.6</v>
      </c>
      <c r="G13" s="6" t="s">
        <v>14</v>
      </c>
      <c r="H13" s="1" t="s">
        <v>15</v>
      </c>
      <c r="I13" s="1" t="n">
        <v>3075</v>
      </c>
      <c r="J13" s="3" t="n">
        <f aca="false">ROUND((D13+90)*2, 0)</f>
        <v>268</v>
      </c>
      <c r="K13" s="1" t="n">
        <f aca="false">ROUND((E13+180)*(3/2), 0)</f>
        <v>147</v>
      </c>
    </row>
    <row r="14" customFormat="false" ht="15" hidden="false" customHeight="false" outlineLevel="0" collapsed="false">
      <c r="A14" s="1" t="s">
        <v>11</v>
      </c>
      <c r="B14" s="1" t="s">
        <v>30</v>
      </c>
      <c r="C14" s="1" t="s">
        <v>13</v>
      </c>
      <c r="D14" s="5" t="n">
        <v>44.0524</v>
      </c>
      <c r="E14" s="5" t="n">
        <v>-81.6558</v>
      </c>
      <c r="F14" s="5" t="n">
        <v>76</v>
      </c>
      <c r="G14" s="6" t="s">
        <v>14</v>
      </c>
      <c r="H14" s="1" t="s">
        <v>15</v>
      </c>
      <c r="I14" s="1" t="n">
        <v>3075</v>
      </c>
      <c r="J14" s="3" t="n">
        <f aca="false">ROUND((D14+90)*2, 0)</f>
        <v>268</v>
      </c>
      <c r="K14" s="1" t="n">
        <f aca="false">ROUND((E14+180)*(3/2), 0)</f>
        <v>148</v>
      </c>
    </row>
    <row r="15" s="9" customFormat="true" ht="15" hidden="false" customHeight="false" outlineLevel="0" collapsed="false">
      <c r="A15" s="1" t="s">
        <v>11</v>
      </c>
      <c r="B15" s="7" t="s">
        <v>31</v>
      </c>
      <c r="C15" s="7" t="s">
        <v>13</v>
      </c>
      <c r="D15" s="5" t="n">
        <v>44.3416</v>
      </c>
      <c r="E15" s="5" t="n">
        <v>-81.4533</v>
      </c>
      <c r="F15" s="5" t="n">
        <v>181.5</v>
      </c>
      <c r="G15" s="6" t="s">
        <v>14</v>
      </c>
      <c r="H15" s="7" t="s">
        <v>15</v>
      </c>
      <c r="I15" s="7" t="n">
        <v>3075</v>
      </c>
      <c r="J15" s="8" t="n">
        <f aca="false">ROUND((D15+90)*2, 0)</f>
        <v>269</v>
      </c>
      <c r="K15" s="7" t="n">
        <f aca="false">ROUND((E15+180)*(3/2), 0)</f>
        <v>148</v>
      </c>
    </row>
    <row r="16" customFormat="false" ht="15" hidden="false" customHeight="false" outlineLevel="0" collapsed="false">
      <c r="A16" s="1" t="s">
        <v>11</v>
      </c>
      <c r="B16" s="1" t="s">
        <v>32</v>
      </c>
      <c r="C16" s="1" t="s">
        <v>13</v>
      </c>
      <c r="D16" s="5" t="n">
        <v>42.8814</v>
      </c>
      <c r="E16" s="5" t="n">
        <v>-79.7879</v>
      </c>
      <c r="F16" s="5" t="n">
        <v>149</v>
      </c>
      <c r="G16" s="6" t="s">
        <v>33</v>
      </c>
      <c r="H16" s="1" t="s">
        <v>15</v>
      </c>
      <c r="I16" s="1" t="n">
        <v>3075</v>
      </c>
      <c r="J16" s="3" t="n">
        <f aca="false">ROUND((D16+90)*2, 0)</f>
        <v>266</v>
      </c>
      <c r="K16" s="1" t="n">
        <f aca="false">ROUND((E16+180)*(3/2), 0)</f>
        <v>150</v>
      </c>
    </row>
    <row r="17" customFormat="false" ht="15" hidden="false" customHeight="false" outlineLevel="0" collapsed="false">
      <c r="A17" s="1" t="s">
        <v>11</v>
      </c>
      <c r="B17" s="1" t="s">
        <v>34</v>
      </c>
      <c r="C17" s="1" t="s">
        <v>13</v>
      </c>
      <c r="D17" s="5" t="n">
        <v>42.7677</v>
      </c>
      <c r="E17" s="5" t="n">
        <v>-80.2521</v>
      </c>
      <c r="F17" s="5" t="n">
        <v>10</v>
      </c>
      <c r="G17" s="6" t="s">
        <v>35</v>
      </c>
      <c r="H17" s="1" t="s">
        <v>15</v>
      </c>
      <c r="I17" s="1" t="n">
        <v>3075</v>
      </c>
      <c r="J17" s="3" t="n">
        <f aca="false">ROUND((D17+90)*2, 0)</f>
        <v>266</v>
      </c>
      <c r="K17" s="1" t="n">
        <f aca="false">ROUND((E17+180)*(3/2), 0)</f>
        <v>150</v>
      </c>
    </row>
    <row r="18" customFormat="false" ht="15" hidden="false" customHeight="false" outlineLevel="0" collapsed="false">
      <c r="A18" s="1" t="s">
        <v>11</v>
      </c>
      <c r="B18" s="1" t="s">
        <v>36</v>
      </c>
      <c r="C18" s="1" t="s">
        <v>13</v>
      </c>
      <c r="D18" s="5" t="n">
        <v>42.8392</v>
      </c>
      <c r="E18" s="5" t="n">
        <v>-80.0274</v>
      </c>
      <c r="F18" s="5" t="n">
        <v>104.4</v>
      </c>
      <c r="G18" s="6" t="s">
        <v>35</v>
      </c>
      <c r="H18" s="1" t="s">
        <v>15</v>
      </c>
      <c r="I18" s="1" t="n">
        <v>3075</v>
      </c>
      <c r="J18" s="3" t="n">
        <f aca="false">ROUND((D18+90)*2, 0)</f>
        <v>266</v>
      </c>
      <c r="K18" s="1" t="n">
        <f aca="false">ROUND((E18+180)*(3/2), 0)</f>
        <v>150</v>
      </c>
    </row>
    <row r="19" s="9" customFormat="true" ht="15" hidden="false" customHeight="false" outlineLevel="0" collapsed="false">
      <c r="A19" s="1" t="s">
        <v>11</v>
      </c>
      <c r="B19" s="7" t="s">
        <v>37</v>
      </c>
      <c r="C19" s="7" t="s">
        <v>13</v>
      </c>
      <c r="D19" s="5" t="n">
        <v>42.87</v>
      </c>
      <c r="E19" s="5" t="n">
        <v>-79.9377</v>
      </c>
      <c r="F19" s="5" t="n">
        <v>124.4</v>
      </c>
      <c r="G19" s="6" t="s">
        <v>14</v>
      </c>
      <c r="H19" s="7" t="s">
        <v>15</v>
      </c>
      <c r="I19" s="7" t="n">
        <v>3075</v>
      </c>
      <c r="J19" s="8" t="n">
        <f aca="false">ROUND((D19+90)*2, 0)</f>
        <v>266</v>
      </c>
      <c r="K19" s="7" t="n">
        <f aca="false">ROUND((E19+180)*(3/2), 0)</f>
        <v>150</v>
      </c>
    </row>
    <row r="20" customFormat="false" ht="15" hidden="false" customHeight="false" outlineLevel="0" collapsed="false">
      <c r="A20" s="1" t="s">
        <v>11</v>
      </c>
      <c r="B20" s="1" t="s">
        <v>38</v>
      </c>
      <c r="C20" s="1" t="s">
        <v>13</v>
      </c>
      <c r="D20" s="5" t="n">
        <v>42.2787</v>
      </c>
      <c r="E20" s="5" t="n">
        <v>-81.9917</v>
      </c>
      <c r="F20" s="5" t="n">
        <v>119</v>
      </c>
      <c r="G20" s="6" t="s">
        <v>33</v>
      </c>
      <c r="H20" s="1" t="s">
        <v>15</v>
      </c>
      <c r="I20" s="1" t="n">
        <v>3075</v>
      </c>
      <c r="J20" s="3" t="n">
        <f aca="false">ROUND((D20+90)*2, 0)</f>
        <v>265</v>
      </c>
      <c r="K20" s="1" t="n">
        <f aca="false">ROUND((E20+180)*(3/2), 0)</f>
        <v>147</v>
      </c>
    </row>
    <row r="21" customFormat="false" ht="15" hidden="false" customHeight="false" outlineLevel="0" collapsed="false">
      <c r="A21" s="1" t="s">
        <v>11</v>
      </c>
      <c r="B21" s="1" t="s">
        <v>39</v>
      </c>
      <c r="C21" s="1" t="s">
        <v>13</v>
      </c>
      <c r="D21" s="5" t="n">
        <v>43.0828</v>
      </c>
      <c r="E21" s="5" t="n">
        <v>-82.0528</v>
      </c>
      <c r="F21" s="5" t="n">
        <v>116.6</v>
      </c>
      <c r="G21" s="6" t="s">
        <v>33</v>
      </c>
      <c r="H21" s="1" t="s">
        <v>15</v>
      </c>
      <c r="I21" s="1" t="n">
        <v>3075</v>
      </c>
      <c r="J21" s="3" t="n">
        <f aca="false">ROUND((D21+90)*2, 0)</f>
        <v>266</v>
      </c>
      <c r="K21" s="1" t="n">
        <f aca="false">ROUND((E21+180)*(3/2), 0)</f>
        <v>147</v>
      </c>
    </row>
    <row r="22" s="9" customFormat="true" ht="15" hidden="false" customHeight="false" outlineLevel="0" collapsed="false">
      <c r="A22" s="1" t="s">
        <v>11</v>
      </c>
      <c r="B22" s="7" t="s">
        <v>40</v>
      </c>
      <c r="C22" s="7" t="s">
        <v>13</v>
      </c>
      <c r="D22" s="5" t="n">
        <v>42.2743</v>
      </c>
      <c r="E22" s="5" t="n">
        <v>-82.1824</v>
      </c>
      <c r="F22" s="5" t="n">
        <v>78</v>
      </c>
      <c r="G22" s="6" t="s">
        <v>41</v>
      </c>
      <c r="H22" s="7" t="s">
        <v>15</v>
      </c>
      <c r="I22" s="7" t="n">
        <v>3075</v>
      </c>
      <c r="J22" s="8" t="n">
        <f aca="false">ROUND((D22+90)*2, 0)</f>
        <v>265</v>
      </c>
      <c r="K22" s="7" t="n">
        <f aca="false">ROUND((E22+180)*(3/2), 0)</f>
        <v>147</v>
      </c>
    </row>
    <row r="23" s="9" customFormat="true" ht="15" hidden="false" customHeight="false" outlineLevel="0" collapsed="false">
      <c r="A23" s="1" t="s">
        <v>11</v>
      </c>
      <c r="B23" s="7" t="s">
        <v>42</v>
      </c>
      <c r="C23" s="7" t="s">
        <v>13</v>
      </c>
      <c r="D23" s="5" t="n">
        <v>42.4776</v>
      </c>
      <c r="E23" s="5" t="n">
        <v>-82.3603</v>
      </c>
      <c r="F23" s="5" t="n">
        <v>99</v>
      </c>
      <c r="G23" s="6" t="s">
        <v>43</v>
      </c>
      <c r="H23" s="7" t="s">
        <v>15</v>
      </c>
      <c r="I23" s="7" t="n">
        <v>3075</v>
      </c>
      <c r="J23" s="8" t="n">
        <f aca="false">ROUND((D23+90)*2, 0)</f>
        <v>265</v>
      </c>
      <c r="K23" s="7" t="n">
        <f aca="false">ROUND((E23+180)*(3/2), 0)</f>
        <v>146</v>
      </c>
    </row>
    <row r="24" s="9" customFormat="true" ht="15" hidden="false" customHeight="false" outlineLevel="0" collapsed="false">
      <c r="A24" s="1" t="s">
        <v>11</v>
      </c>
      <c r="B24" s="7" t="s">
        <v>44</v>
      </c>
      <c r="C24" s="7" t="s">
        <v>13</v>
      </c>
      <c r="D24" s="5" t="n">
        <v>42.3011</v>
      </c>
      <c r="E24" s="5" t="n">
        <v>-82.0047</v>
      </c>
      <c r="F24" s="5" t="n">
        <v>99</v>
      </c>
      <c r="G24" s="6" t="s">
        <v>33</v>
      </c>
      <c r="H24" s="7" t="s">
        <v>15</v>
      </c>
      <c r="I24" s="7" t="n">
        <v>3075</v>
      </c>
      <c r="J24" s="8" t="n">
        <f aca="false">ROUND((D24+90)*2, 0)</f>
        <v>265</v>
      </c>
      <c r="K24" s="7" t="n">
        <f aca="false">ROUND((E24+180)*(3/2), 0)</f>
        <v>147</v>
      </c>
    </row>
    <row r="25" customFormat="false" ht="15" hidden="false" customHeight="false" outlineLevel="0" collapsed="false">
      <c r="A25" s="1" t="s">
        <v>11</v>
      </c>
      <c r="B25" s="1" t="s">
        <v>45</v>
      </c>
      <c r="C25" s="1" t="s">
        <v>13</v>
      </c>
      <c r="D25" s="5" t="n">
        <v>42.3964</v>
      </c>
      <c r="E25" s="5" t="n">
        <v>-81.8657</v>
      </c>
      <c r="F25" s="5" t="n">
        <v>108</v>
      </c>
      <c r="G25" s="6" t="s">
        <v>41</v>
      </c>
      <c r="H25" s="1" t="s">
        <v>15</v>
      </c>
      <c r="I25" s="1" t="n">
        <v>3075</v>
      </c>
      <c r="J25" s="3" t="n">
        <f aca="false">ROUND((D25+90)*2, 0)</f>
        <v>265</v>
      </c>
      <c r="K25" s="1" t="n">
        <f aca="false">ROUND((E25+180)*(3/2), 0)</f>
        <v>147</v>
      </c>
    </row>
    <row r="26" customFormat="false" ht="15" hidden="false" customHeight="false" outlineLevel="0" collapsed="false">
      <c r="A26" s="1" t="s">
        <v>11</v>
      </c>
      <c r="B26" s="1" t="s">
        <v>46</v>
      </c>
      <c r="C26" s="1" t="s">
        <v>13</v>
      </c>
      <c r="D26" s="5" t="n">
        <v>42.5193</v>
      </c>
      <c r="E26" s="5" t="n">
        <v>-81.7571</v>
      </c>
      <c r="F26" s="5" t="n">
        <v>10</v>
      </c>
      <c r="G26" s="6" t="s">
        <v>33</v>
      </c>
      <c r="H26" s="1" t="s">
        <v>15</v>
      </c>
      <c r="I26" s="1" t="n">
        <v>3075</v>
      </c>
      <c r="J26" s="3" t="n">
        <f aca="false">ROUND((D26+90)*2, 0)</f>
        <v>265</v>
      </c>
      <c r="K26" s="1" t="n">
        <f aca="false">ROUND((E26+180)*(3/2), 0)</f>
        <v>147</v>
      </c>
    </row>
    <row r="27" customFormat="false" ht="15" hidden="false" customHeight="false" outlineLevel="0" collapsed="false">
      <c r="A27" s="1" t="s">
        <v>11</v>
      </c>
      <c r="B27" s="1" t="s">
        <v>47</v>
      </c>
      <c r="C27" s="1" t="s">
        <v>13</v>
      </c>
      <c r="D27" s="5" t="n">
        <v>43.0184</v>
      </c>
      <c r="E27" s="5" t="n">
        <v>-81.7392</v>
      </c>
      <c r="F27" s="5" t="n">
        <v>40</v>
      </c>
      <c r="G27" s="6" t="s">
        <v>33</v>
      </c>
      <c r="H27" s="1" t="s">
        <v>15</v>
      </c>
      <c r="I27" s="1" t="n">
        <v>3075</v>
      </c>
      <c r="J27" s="3" t="n">
        <f aca="false">ROUND((D27+90)*2, 0)</f>
        <v>266</v>
      </c>
      <c r="K27" s="1" t="n">
        <f aca="false">ROUND((E27+180)*(3/2), 0)</f>
        <v>147</v>
      </c>
    </row>
    <row r="28" s="9" customFormat="true" ht="15" hidden="false" customHeight="false" outlineLevel="0" collapsed="false">
      <c r="A28" s="1" t="s">
        <v>11</v>
      </c>
      <c r="B28" s="7" t="s">
        <v>48</v>
      </c>
      <c r="C28" s="7" t="s">
        <v>13</v>
      </c>
      <c r="D28" s="5" t="n">
        <v>42.561331</v>
      </c>
      <c r="E28" s="5" t="n">
        <v>-82.22034</v>
      </c>
      <c r="F28" s="5" t="n">
        <v>99.12</v>
      </c>
      <c r="G28" s="6" t="s">
        <v>33</v>
      </c>
      <c r="H28" s="7" t="s">
        <v>15</v>
      </c>
      <c r="I28" s="7" t="n">
        <v>3075</v>
      </c>
      <c r="J28" s="8" t="n">
        <f aca="false">ROUND((D28+90)*2, 0)</f>
        <v>265</v>
      </c>
      <c r="K28" s="7" t="n">
        <f aca="false">ROUND((E28+180)*(3/2), 0)</f>
        <v>147</v>
      </c>
    </row>
    <row r="29" customFormat="false" ht="15" hidden="false" customHeight="false" outlineLevel="0" collapsed="false">
      <c r="A29" s="1" t="s">
        <v>11</v>
      </c>
      <c r="B29" s="1" t="s">
        <v>49</v>
      </c>
      <c r="C29" s="1" t="s">
        <v>13</v>
      </c>
      <c r="D29" s="5" t="n">
        <v>42.3495</v>
      </c>
      <c r="E29" s="5" t="n">
        <v>-82.1071</v>
      </c>
      <c r="F29" s="5" t="n">
        <v>270</v>
      </c>
      <c r="G29" s="6" t="s">
        <v>33</v>
      </c>
      <c r="H29" s="1" t="s">
        <v>15</v>
      </c>
      <c r="I29" s="1" t="n">
        <v>3075</v>
      </c>
      <c r="J29" s="3" t="n">
        <f aca="false">ROUND((D29+90)*2, 0)</f>
        <v>265</v>
      </c>
      <c r="K29" s="1" t="n">
        <f aca="false">ROUND((E29+180)*(3/2), 0)</f>
        <v>147</v>
      </c>
    </row>
    <row r="30" customFormat="false" ht="15" hidden="false" customHeight="false" outlineLevel="0" collapsed="false">
      <c r="A30" s="1" t="s">
        <v>11</v>
      </c>
      <c r="B30" s="1" t="s">
        <v>50</v>
      </c>
      <c r="C30" s="1" t="s">
        <v>13</v>
      </c>
      <c r="D30" s="5" t="n">
        <v>42.2638</v>
      </c>
      <c r="E30" s="5" t="n">
        <v>-82.2682</v>
      </c>
      <c r="F30" s="5" t="n">
        <v>10</v>
      </c>
      <c r="G30" s="6" t="s">
        <v>33</v>
      </c>
      <c r="H30" s="1" t="s">
        <v>15</v>
      </c>
      <c r="I30" s="1" t="n">
        <v>3075</v>
      </c>
      <c r="J30" s="3" t="n">
        <f aca="false">ROUND((D30+90)*2, 0)</f>
        <v>265</v>
      </c>
      <c r="K30" s="1" t="n">
        <f aca="false">ROUND((E30+180)*(3/2), 0)</f>
        <v>147</v>
      </c>
    </row>
    <row r="31" customFormat="false" ht="15" hidden="false" customHeight="false" outlineLevel="0" collapsed="false">
      <c r="A31" s="1" t="s">
        <v>11</v>
      </c>
      <c r="B31" s="1" t="s">
        <v>51</v>
      </c>
      <c r="C31" s="1" t="s">
        <v>13</v>
      </c>
      <c r="D31" s="5" t="n">
        <v>46.6615</v>
      </c>
      <c r="E31" s="5" t="n">
        <v>-84.3587</v>
      </c>
      <c r="F31" s="5" t="n">
        <v>25.3</v>
      </c>
      <c r="G31" s="6" t="s">
        <v>41</v>
      </c>
      <c r="H31" s="1" t="s">
        <v>15</v>
      </c>
      <c r="I31" s="1" t="n">
        <v>3075</v>
      </c>
      <c r="J31" s="3" t="n">
        <f aca="false">ROUND((D31+90)*2, 0)</f>
        <v>273</v>
      </c>
      <c r="K31" s="1" t="n">
        <f aca="false">ROUND((E31+180)*(3/2), 0)</f>
        <v>143</v>
      </c>
    </row>
    <row r="32" customFormat="false" ht="15" hidden="false" customHeight="false" outlineLevel="0" collapsed="false">
      <c r="A32" s="1" t="s">
        <v>11</v>
      </c>
      <c r="B32" s="1" t="s">
        <v>52</v>
      </c>
      <c r="C32" s="1" t="s">
        <v>13</v>
      </c>
      <c r="D32" s="5" t="n">
        <v>46.6126</v>
      </c>
      <c r="E32" s="5" t="n">
        <v>-84.4792</v>
      </c>
      <c r="F32" s="5" t="n">
        <v>189</v>
      </c>
      <c r="G32" s="6" t="s">
        <v>41</v>
      </c>
      <c r="H32" s="1" t="s">
        <v>15</v>
      </c>
      <c r="I32" s="1" t="n">
        <v>3075</v>
      </c>
      <c r="J32" s="3" t="n">
        <f aca="false">ROUND((D32+90)*2, 0)</f>
        <v>273</v>
      </c>
      <c r="K32" s="1" t="n">
        <f aca="false">ROUND((E32+180)*(3/2), 0)</f>
        <v>143</v>
      </c>
    </row>
    <row r="33" customFormat="false" ht="15" hidden="false" customHeight="false" outlineLevel="0" collapsed="false">
      <c r="A33" s="1" t="s">
        <v>11</v>
      </c>
      <c r="B33" s="1" t="s">
        <v>53</v>
      </c>
      <c r="C33" s="1" t="s">
        <v>13</v>
      </c>
      <c r="D33" s="5" t="n">
        <v>44.3085</v>
      </c>
      <c r="E33" s="5" t="n">
        <v>-80.3138</v>
      </c>
      <c r="F33" s="5" t="n">
        <v>28.5</v>
      </c>
      <c r="G33" s="6" t="s">
        <v>21</v>
      </c>
      <c r="H33" s="1" t="s">
        <v>15</v>
      </c>
      <c r="I33" s="1" t="n">
        <v>3075</v>
      </c>
      <c r="J33" s="3" t="n">
        <f aca="false">ROUND((D33+90)*2, 0)</f>
        <v>269</v>
      </c>
      <c r="K33" s="1" t="n">
        <f aca="false">ROUND((E33+180)*(3/2), 0)</f>
        <v>150</v>
      </c>
    </row>
    <row r="34" s="9" customFormat="true" ht="15" hidden="false" customHeight="false" outlineLevel="0" collapsed="false">
      <c r="A34" s="1" t="s">
        <v>11</v>
      </c>
      <c r="B34" s="7" t="s">
        <v>54</v>
      </c>
      <c r="C34" s="7" t="s">
        <v>13</v>
      </c>
      <c r="D34" s="5" t="n">
        <v>45.840257</v>
      </c>
      <c r="E34" s="5" t="n">
        <v>-80.631607</v>
      </c>
      <c r="F34" s="5" t="n">
        <v>300</v>
      </c>
      <c r="G34" s="6" t="s">
        <v>55</v>
      </c>
      <c r="H34" s="7" t="s">
        <v>15</v>
      </c>
      <c r="I34" s="7" t="n">
        <v>3075</v>
      </c>
      <c r="J34" s="8" t="n">
        <f aca="false">ROUND((D34+90)*2, 0)</f>
        <v>272</v>
      </c>
      <c r="K34" s="7" t="n">
        <f aca="false">ROUND((E34+180)*(3/2), 0)</f>
        <v>149</v>
      </c>
    </row>
    <row r="35" customFormat="false" ht="15" hidden="false" customHeight="false" outlineLevel="0" collapsed="false">
      <c r="A35" s="1" t="s">
        <v>11</v>
      </c>
      <c r="B35" s="1" t="s">
        <v>56</v>
      </c>
      <c r="C35" s="1" t="s">
        <v>13</v>
      </c>
      <c r="D35" s="5" t="n">
        <v>44.0197</v>
      </c>
      <c r="E35" s="5" t="n">
        <v>-78.581</v>
      </c>
      <c r="F35" s="5" t="n">
        <v>36</v>
      </c>
      <c r="G35" s="6" t="s">
        <v>43</v>
      </c>
      <c r="H35" s="1" t="s">
        <v>15</v>
      </c>
      <c r="I35" s="1" t="n">
        <v>3075</v>
      </c>
      <c r="J35" s="3" t="n">
        <f aca="false">ROUND((D35+90)*2, 0)</f>
        <v>268</v>
      </c>
      <c r="K35" s="1" t="n">
        <f aca="false">ROUND((E35+180)*(3/2), 0)</f>
        <v>152</v>
      </c>
    </row>
    <row r="36" s="9" customFormat="true" ht="15" hidden="false" customHeight="false" outlineLevel="0" collapsed="false">
      <c r="A36" s="1" t="s">
        <v>11</v>
      </c>
      <c r="B36" s="7" t="s">
        <v>57</v>
      </c>
      <c r="C36" s="7" t="s">
        <v>13</v>
      </c>
      <c r="D36" s="5" t="n">
        <v>43.8123</v>
      </c>
      <c r="E36" s="5" t="n">
        <v>-79.074</v>
      </c>
      <c r="F36" s="5" t="n">
        <v>1.8</v>
      </c>
      <c r="G36" s="6" t="s">
        <v>43</v>
      </c>
      <c r="H36" s="7" t="s">
        <v>15</v>
      </c>
      <c r="I36" s="7" t="n">
        <v>3075</v>
      </c>
      <c r="J36" s="8" t="n">
        <f aca="false">ROUND((D36+90)*2, 0)</f>
        <v>268</v>
      </c>
      <c r="K36" s="7" t="n">
        <f aca="false">ROUND((E36+180)*(3/2), 0)</f>
        <v>151</v>
      </c>
    </row>
    <row r="37" customFormat="false" ht="15" hidden="false" customHeight="false" outlineLevel="0" collapsed="false">
      <c r="A37" s="1" t="s">
        <v>11</v>
      </c>
      <c r="B37" s="1" t="s">
        <v>58</v>
      </c>
      <c r="C37" s="1" t="s">
        <v>13</v>
      </c>
      <c r="D37" s="5" t="n">
        <v>42.084</v>
      </c>
      <c r="E37" s="5" t="n">
        <v>-83.0425</v>
      </c>
      <c r="F37" s="5" t="n">
        <v>10</v>
      </c>
      <c r="G37" s="6" t="s">
        <v>33</v>
      </c>
      <c r="H37" s="1" t="s">
        <v>15</v>
      </c>
      <c r="I37" s="1" t="n">
        <v>3075</v>
      </c>
      <c r="J37" s="3" t="n">
        <f aca="false">ROUND((D37+90)*2, 0)</f>
        <v>264</v>
      </c>
      <c r="K37" s="1" t="n">
        <f aca="false">ROUND((E37+180)*(3/2), 0)</f>
        <v>145</v>
      </c>
    </row>
    <row r="38" customFormat="false" ht="15" hidden="false" customHeight="false" outlineLevel="0" collapsed="false">
      <c r="A38" s="1" t="s">
        <v>11</v>
      </c>
      <c r="B38" s="1" t="s">
        <v>59</v>
      </c>
      <c r="C38" s="1" t="s">
        <v>13</v>
      </c>
      <c r="D38" s="5" t="n">
        <v>42.0323</v>
      </c>
      <c r="E38" s="5" t="n">
        <v>-82.9618</v>
      </c>
      <c r="F38" s="5" t="n">
        <v>45.6</v>
      </c>
      <c r="G38" s="6" t="s">
        <v>33</v>
      </c>
      <c r="H38" s="1" t="s">
        <v>15</v>
      </c>
      <c r="I38" s="1" t="n">
        <v>3075</v>
      </c>
      <c r="J38" s="3" t="n">
        <f aca="false">ROUND((D38+90)*2, 0)</f>
        <v>264</v>
      </c>
      <c r="K38" s="1" t="n">
        <f aca="false">ROUND((E38+180)*(3/2), 0)</f>
        <v>146</v>
      </c>
    </row>
    <row r="39" customFormat="false" ht="15" hidden="false" customHeight="false" outlineLevel="0" collapsed="false">
      <c r="A39" s="1" t="s">
        <v>11</v>
      </c>
      <c r="B39" s="1" t="s">
        <v>60</v>
      </c>
      <c r="C39" s="1" t="s">
        <v>13</v>
      </c>
      <c r="D39" s="5" t="n">
        <v>42.1941</v>
      </c>
      <c r="E39" s="5" t="n">
        <v>-82.8105</v>
      </c>
      <c r="F39" s="5" t="n">
        <v>20</v>
      </c>
      <c r="G39" s="6" t="s">
        <v>33</v>
      </c>
      <c r="H39" s="1" t="s">
        <v>15</v>
      </c>
      <c r="I39" s="1" t="n">
        <v>3075</v>
      </c>
      <c r="J39" s="3" t="n">
        <f aca="false">ROUND((D39+90)*2, 0)</f>
        <v>264</v>
      </c>
      <c r="K39" s="1" t="n">
        <f aca="false">ROUND((E39+180)*(3/2), 0)</f>
        <v>146</v>
      </c>
    </row>
    <row r="40" s="9" customFormat="true" ht="15" hidden="false" customHeight="false" outlineLevel="0" collapsed="false">
      <c r="A40" s="1" t="s">
        <v>11</v>
      </c>
      <c r="B40" s="7" t="s">
        <v>61</v>
      </c>
      <c r="C40" s="7" t="s">
        <v>13</v>
      </c>
      <c r="D40" s="5" t="n">
        <v>42.2841</v>
      </c>
      <c r="E40" s="5" t="n">
        <v>-82.5284</v>
      </c>
      <c r="F40" s="5" t="n">
        <v>48.6</v>
      </c>
      <c r="G40" s="6" t="s">
        <v>33</v>
      </c>
      <c r="H40" s="7" t="s">
        <v>15</v>
      </c>
      <c r="I40" s="7" t="n">
        <v>3075</v>
      </c>
      <c r="J40" s="8" t="n">
        <f aca="false">ROUND((D40+90)*2, 0)</f>
        <v>265</v>
      </c>
      <c r="K40" s="7" t="n">
        <f aca="false">ROUND((E40+180)*(3/2), 0)</f>
        <v>146</v>
      </c>
    </row>
    <row r="41" customFormat="false" ht="15" hidden="false" customHeight="false" outlineLevel="0" collapsed="false">
      <c r="A41" s="1" t="s">
        <v>11</v>
      </c>
      <c r="B41" s="1" t="s">
        <v>62</v>
      </c>
      <c r="C41" s="1" t="s">
        <v>13</v>
      </c>
      <c r="D41" s="5" t="n">
        <v>42.1839</v>
      </c>
      <c r="E41" s="5" t="n">
        <v>-82.2851</v>
      </c>
      <c r="F41" s="5" t="n">
        <v>202</v>
      </c>
      <c r="G41" s="6" t="s">
        <v>33</v>
      </c>
      <c r="H41" s="1" t="s">
        <v>15</v>
      </c>
      <c r="I41" s="1" t="n">
        <v>3075</v>
      </c>
      <c r="J41" s="3" t="n">
        <f aca="false">ROUND((D41+90)*2, 0)</f>
        <v>264</v>
      </c>
      <c r="K41" s="1" t="n">
        <f aca="false">ROUND((E41+180)*(3/2), 0)</f>
        <v>147</v>
      </c>
    </row>
    <row r="42" customFormat="false" ht="15" hidden="false" customHeight="false" outlineLevel="0" collapsed="false">
      <c r="A42" s="1" t="s">
        <v>11</v>
      </c>
      <c r="B42" s="1" t="s">
        <v>63</v>
      </c>
      <c r="C42" s="1" t="s">
        <v>13</v>
      </c>
      <c r="D42" s="5" t="n">
        <v>42.2364</v>
      </c>
      <c r="E42" s="5" t="n">
        <v>-82.4566</v>
      </c>
      <c r="F42" s="5" t="n">
        <v>10</v>
      </c>
      <c r="G42" s="6" t="s">
        <v>33</v>
      </c>
      <c r="H42" s="1" t="s">
        <v>15</v>
      </c>
      <c r="I42" s="1" t="n">
        <v>3075</v>
      </c>
      <c r="J42" s="3" t="n">
        <f aca="false">ROUND((D42+90)*2, 0)</f>
        <v>264</v>
      </c>
      <c r="K42" s="1" t="n">
        <f aca="false">ROUND((E42+180)*(3/2), 0)</f>
        <v>146</v>
      </c>
    </row>
    <row r="43" customFormat="false" ht="15" hidden="false" customHeight="false" outlineLevel="0" collapsed="false">
      <c r="A43" s="1" t="s">
        <v>11</v>
      </c>
      <c r="B43" s="1" t="s">
        <v>64</v>
      </c>
      <c r="C43" s="1" t="s">
        <v>13</v>
      </c>
      <c r="D43" s="5" t="n">
        <v>42.152098</v>
      </c>
      <c r="E43" s="5" t="n">
        <v>-82.488984</v>
      </c>
      <c r="F43" s="5" t="n">
        <v>60</v>
      </c>
      <c r="G43" s="6" t="s">
        <v>33</v>
      </c>
      <c r="H43" s="1" t="s">
        <v>15</v>
      </c>
      <c r="I43" s="1" t="n">
        <v>3075</v>
      </c>
      <c r="J43" s="3" t="n">
        <f aca="false">ROUND((D43+90)*2, 0)</f>
        <v>264</v>
      </c>
      <c r="K43" s="1" t="n">
        <f aca="false">ROUND((E43+180)*(3/2), 0)</f>
        <v>146</v>
      </c>
    </row>
    <row r="44" customFormat="false" ht="15" hidden="false" customHeight="false" outlineLevel="0" collapsed="false">
      <c r="A44" s="1" t="s">
        <v>11</v>
      </c>
      <c r="B44" s="1" t="s">
        <v>65</v>
      </c>
      <c r="C44" s="1" t="s">
        <v>13</v>
      </c>
      <c r="D44" s="5" t="n">
        <v>42.1269</v>
      </c>
      <c r="E44" s="5" t="n">
        <v>-82.6835</v>
      </c>
      <c r="F44" s="5" t="n">
        <v>51</v>
      </c>
      <c r="G44" s="6" t="s">
        <v>33</v>
      </c>
      <c r="H44" s="1" t="s">
        <v>15</v>
      </c>
      <c r="I44" s="1" t="n">
        <v>3075</v>
      </c>
      <c r="J44" s="3" t="n">
        <f aca="false">ROUND((D44+90)*2, 0)</f>
        <v>264</v>
      </c>
      <c r="K44" s="1" t="n">
        <f aca="false">ROUND((E44+180)*(3/2), 0)</f>
        <v>146</v>
      </c>
    </row>
    <row r="45" customFormat="false" ht="15" hidden="false" customHeight="false" outlineLevel="0" collapsed="false">
      <c r="A45" s="1" t="s">
        <v>11</v>
      </c>
      <c r="B45" s="1" t="s">
        <v>66</v>
      </c>
      <c r="C45" s="1" t="s">
        <v>13</v>
      </c>
      <c r="D45" s="5" t="n">
        <v>42.2718</v>
      </c>
      <c r="E45" s="5" t="n">
        <v>-82.4882</v>
      </c>
      <c r="F45" s="5" t="n">
        <v>10</v>
      </c>
      <c r="G45" s="6" t="s">
        <v>33</v>
      </c>
      <c r="H45" s="1" t="s">
        <v>15</v>
      </c>
      <c r="I45" s="1" t="n">
        <v>3075</v>
      </c>
      <c r="J45" s="3" t="n">
        <f aca="false">ROUND((D45+90)*2, 0)</f>
        <v>265</v>
      </c>
      <c r="K45" s="1" t="n">
        <f aca="false">ROUND((E45+180)*(3/2), 0)</f>
        <v>146</v>
      </c>
    </row>
    <row r="46" customFormat="false" ht="15" hidden="false" customHeight="false" outlineLevel="0" collapsed="false">
      <c r="A46" s="1" t="s">
        <v>11</v>
      </c>
      <c r="B46" s="1" t="s">
        <v>67</v>
      </c>
      <c r="C46" s="1" t="s">
        <v>13</v>
      </c>
      <c r="D46" s="5" t="n">
        <v>42.2195</v>
      </c>
      <c r="E46" s="5" t="n">
        <v>-82.5614</v>
      </c>
      <c r="F46" s="5" t="n">
        <v>166</v>
      </c>
      <c r="G46" s="6" t="s">
        <v>33</v>
      </c>
      <c r="H46" s="1" t="s">
        <v>15</v>
      </c>
      <c r="I46" s="1" t="n">
        <v>3075</v>
      </c>
      <c r="J46" s="3" t="n">
        <f aca="false">ROUND((D46+90)*2, 0)</f>
        <v>264</v>
      </c>
      <c r="K46" s="1" t="n">
        <f aca="false">ROUND((E46+180)*(3/2), 0)</f>
        <v>146</v>
      </c>
    </row>
    <row r="47" customFormat="false" ht="15" hidden="false" customHeight="false" outlineLevel="0" collapsed="false">
      <c r="A47" s="1" t="s">
        <v>11</v>
      </c>
      <c r="B47" s="1" t="s">
        <v>68</v>
      </c>
      <c r="C47" s="1" t="s">
        <v>13</v>
      </c>
      <c r="D47" s="5" t="n">
        <v>42.249646</v>
      </c>
      <c r="E47" s="5" t="n">
        <v>-82.652286</v>
      </c>
      <c r="F47" s="5" t="n">
        <v>100</v>
      </c>
      <c r="G47" s="6" t="s">
        <v>33</v>
      </c>
      <c r="H47" s="1" t="s">
        <v>15</v>
      </c>
      <c r="I47" s="1" t="n">
        <v>3075</v>
      </c>
      <c r="J47" s="3" t="n">
        <f aca="false">ROUND((D47+90)*2, 0)</f>
        <v>264</v>
      </c>
      <c r="K47" s="1" t="n">
        <f aca="false">ROUND((E47+180)*(3/2), 0)</f>
        <v>146</v>
      </c>
    </row>
    <row r="48" customFormat="false" ht="15" hidden="false" customHeight="false" outlineLevel="0" collapsed="false">
      <c r="A48" s="1" t="s">
        <v>11</v>
      </c>
      <c r="B48" s="1" t="s">
        <v>69</v>
      </c>
      <c r="C48" s="1" t="s">
        <v>13</v>
      </c>
      <c r="D48" s="5" t="n">
        <v>45.7291</v>
      </c>
      <c r="E48" s="5" t="n">
        <v>-82.295</v>
      </c>
      <c r="F48" s="5" t="n">
        <v>5.5</v>
      </c>
      <c r="G48" s="6" t="s">
        <v>41</v>
      </c>
      <c r="H48" s="1" t="s">
        <v>15</v>
      </c>
      <c r="I48" s="1" t="n">
        <v>3075</v>
      </c>
      <c r="J48" s="3" t="n">
        <f aca="false">ROUND((D48+90)*2, 0)</f>
        <v>271</v>
      </c>
      <c r="K48" s="1" t="n">
        <f aca="false">ROUND((E48+180)*(3/2), 0)</f>
        <v>147</v>
      </c>
    </row>
    <row r="49" customFormat="false" ht="15" hidden="false" customHeight="false" outlineLevel="0" collapsed="false">
      <c r="A49" s="1" t="s">
        <v>11</v>
      </c>
      <c r="B49" s="1" t="s">
        <v>70</v>
      </c>
      <c r="C49" s="1" t="s">
        <v>13</v>
      </c>
      <c r="D49" s="5" t="n">
        <v>45.9355</v>
      </c>
      <c r="E49" s="5" t="n">
        <v>-81.9835</v>
      </c>
      <c r="F49" s="5" t="n">
        <v>60</v>
      </c>
      <c r="G49" s="6" t="s">
        <v>41</v>
      </c>
      <c r="H49" s="1" t="s">
        <v>15</v>
      </c>
      <c r="I49" s="1" t="n">
        <v>3075</v>
      </c>
      <c r="J49" s="3" t="n">
        <f aca="false">ROUND((D49+90)*2, 0)</f>
        <v>272</v>
      </c>
      <c r="K49" s="1" t="n">
        <f aca="false">ROUND((E49+180)*(3/2), 0)</f>
        <v>147</v>
      </c>
    </row>
    <row r="50" customFormat="false" ht="15" hidden="false" customHeight="false" outlineLevel="0" collapsed="false">
      <c r="A50" s="1" t="s">
        <v>11</v>
      </c>
      <c r="B50" s="1" t="s">
        <v>71</v>
      </c>
      <c r="C50" s="1" t="s">
        <v>13</v>
      </c>
      <c r="D50" s="5" t="n">
        <v>44.9437</v>
      </c>
      <c r="E50" s="5" t="n">
        <v>-75.371</v>
      </c>
      <c r="F50" s="5" t="n">
        <v>30</v>
      </c>
      <c r="G50" s="6" t="s">
        <v>72</v>
      </c>
      <c r="H50" s="1" t="s">
        <v>15</v>
      </c>
      <c r="I50" s="1" t="n">
        <v>3075</v>
      </c>
      <c r="J50" s="3" t="n">
        <f aca="false">ROUND((D50+90)*2, 0)</f>
        <v>270</v>
      </c>
      <c r="K50" s="1" t="n">
        <f aca="false">ROUND((E50+180)*(3/2), 0)</f>
        <v>157</v>
      </c>
    </row>
    <row r="51" customFormat="false" ht="15" hidden="false" customHeight="false" outlineLevel="0" collapsed="false">
      <c r="A51" s="1" t="s">
        <v>11</v>
      </c>
      <c r="B51" s="1" t="s">
        <v>73</v>
      </c>
      <c r="C51" s="1" t="s">
        <v>13</v>
      </c>
      <c r="D51" s="5" t="n">
        <v>45.219481</v>
      </c>
      <c r="E51" s="5" t="n">
        <v>-75.162934</v>
      </c>
      <c r="F51" s="5" t="n">
        <v>100</v>
      </c>
      <c r="G51" s="6" t="s">
        <v>72</v>
      </c>
      <c r="H51" s="1" t="s">
        <v>15</v>
      </c>
      <c r="I51" s="1" t="n">
        <v>3075</v>
      </c>
      <c r="J51" s="3" t="n">
        <f aca="false">ROUND((D51+90)*2, 0)</f>
        <v>270</v>
      </c>
      <c r="K51" s="1" t="n">
        <f aca="false">ROUND((E51+180)*(3/2), 0)</f>
        <v>157</v>
      </c>
    </row>
    <row r="52" customFormat="false" ht="15" hidden="false" customHeight="false" outlineLevel="0" collapsed="false">
      <c r="A52" s="1" t="s">
        <v>11</v>
      </c>
      <c r="B52" s="1" t="s">
        <v>74</v>
      </c>
      <c r="C52" s="1" t="s">
        <v>13</v>
      </c>
      <c r="D52" s="5" t="n">
        <v>44.179</v>
      </c>
      <c r="E52" s="5" t="n">
        <v>-76.4725</v>
      </c>
      <c r="F52" s="5" t="n">
        <v>197.8</v>
      </c>
      <c r="G52" s="6" t="s">
        <v>75</v>
      </c>
      <c r="H52" s="1" t="s">
        <v>15</v>
      </c>
      <c r="I52" s="1" t="n">
        <v>3075</v>
      </c>
      <c r="J52" s="3" t="n">
        <f aca="false">ROUND((D52+90)*2, 0)</f>
        <v>268</v>
      </c>
      <c r="K52" s="1" t="n">
        <f aca="false">ROUND((E52+180)*(3/2), 0)</f>
        <v>155</v>
      </c>
    </row>
    <row r="53" customFormat="false" ht="15" hidden="false" customHeight="false" outlineLevel="0" collapsed="false">
      <c r="A53" s="1" t="s">
        <v>11</v>
      </c>
      <c r="B53" s="1" t="s">
        <v>76</v>
      </c>
      <c r="C53" s="1" t="s">
        <v>13</v>
      </c>
      <c r="D53" s="5" t="n">
        <v>44.1689</v>
      </c>
      <c r="E53" s="5" t="n">
        <v>-78.6293</v>
      </c>
      <c r="F53" s="5" t="n">
        <v>10</v>
      </c>
      <c r="G53" s="6" t="s">
        <v>43</v>
      </c>
      <c r="H53" s="1" t="s">
        <v>15</v>
      </c>
      <c r="I53" s="1" t="n">
        <v>3075</v>
      </c>
      <c r="J53" s="3" t="n">
        <f aca="false">ROUND((D53+90)*2, 0)</f>
        <v>268</v>
      </c>
      <c r="K53" s="1" t="n">
        <f aca="false">ROUND((E53+180)*(3/2), 0)</f>
        <v>152</v>
      </c>
    </row>
    <row r="54" customFormat="false" ht="15" hidden="false" customHeight="false" outlineLevel="0" collapsed="false">
      <c r="A54" s="1" t="s">
        <v>11</v>
      </c>
      <c r="B54" s="1" t="s">
        <v>77</v>
      </c>
      <c r="C54" s="1" t="s">
        <v>13</v>
      </c>
      <c r="D54" s="5" t="n">
        <v>44.228</v>
      </c>
      <c r="E54" s="5" t="n">
        <v>-76.7195</v>
      </c>
      <c r="F54" s="5" t="n">
        <v>10</v>
      </c>
      <c r="G54" s="6" t="s">
        <v>75</v>
      </c>
      <c r="H54" s="1" t="s">
        <v>15</v>
      </c>
      <c r="I54" s="1" t="n">
        <v>3075</v>
      </c>
      <c r="J54" s="3" t="n">
        <f aca="false">ROUND((D54+90)*2, 0)</f>
        <v>268</v>
      </c>
      <c r="K54" s="1" t="n">
        <f aca="false">ROUND((E54+180)*(3/2), 0)</f>
        <v>155</v>
      </c>
    </row>
    <row r="55" customFormat="false" ht="15" hidden="false" customHeight="false" outlineLevel="0" collapsed="false">
      <c r="A55" s="1" t="s">
        <v>11</v>
      </c>
      <c r="B55" s="1" t="s">
        <v>78</v>
      </c>
      <c r="C55" s="1" t="s">
        <v>13</v>
      </c>
      <c r="D55" s="5" t="n">
        <v>44.152167</v>
      </c>
      <c r="E55" s="5" t="n">
        <v>-76.721862</v>
      </c>
      <c r="F55" s="5" t="n">
        <v>73</v>
      </c>
      <c r="G55" s="6" t="s">
        <v>75</v>
      </c>
      <c r="H55" s="1" t="s">
        <v>15</v>
      </c>
      <c r="I55" s="1" t="n">
        <v>3075</v>
      </c>
      <c r="J55" s="3" t="n">
        <f aca="false">ROUND((D55+90)*2, 0)</f>
        <v>268</v>
      </c>
      <c r="K55" s="1" t="n">
        <f aca="false">ROUND((E55+180)*(3/2), 0)</f>
        <v>155</v>
      </c>
    </row>
    <row r="56" customFormat="false" ht="15" hidden="false" customHeight="false" outlineLevel="0" collapsed="false">
      <c r="A56" s="1" t="s">
        <v>11</v>
      </c>
      <c r="B56" s="1" t="s">
        <v>79</v>
      </c>
      <c r="C56" s="1" t="s">
        <v>13</v>
      </c>
      <c r="D56" s="5" t="n">
        <v>48.7606</v>
      </c>
      <c r="E56" s="5" t="n">
        <v>-88.7667</v>
      </c>
      <c r="F56" s="5" t="n">
        <v>98.9</v>
      </c>
      <c r="G56" s="6" t="s">
        <v>41</v>
      </c>
      <c r="H56" s="1" t="s">
        <v>15</v>
      </c>
      <c r="I56" s="1" t="n">
        <v>3075</v>
      </c>
      <c r="J56" s="3" t="n">
        <f aca="false">ROUND((D56+90)*2, 0)</f>
        <v>278</v>
      </c>
      <c r="K56" s="1" t="n">
        <f aca="false">ROUND((E56+180)*(3/2), 0)</f>
        <v>137</v>
      </c>
    </row>
    <row r="57" customFormat="false" ht="15" hidden="false" customHeight="false" outlineLevel="0" collapsed="false">
      <c r="A57" s="1" t="s">
        <v>11</v>
      </c>
      <c r="B57" s="1" t="s">
        <v>80</v>
      </c>
      <c r="C57" s="1" t="s">
        <v>13</v>
      </c>
      <c r="D57" s="5" t="n">
        <v>47.2214</v>
      </c>
      <c r="E57" s="5" t="n">
        <v>-84.5235</v>
      </c>
      <c r="F57" s="5" t="n">
        <v>57</v>
      </c>
      <c r="G57" s="6" t="s">
        <v>41</v>
      </c>
      <c r="H57" s="1" t="s">
        <v>15</v>
      </c>
      <c r="I57" s="1" t="n">
        <v>3075</v>
      </c>
      <c r="J57" s="3" t="n">
        <f aca="false">ROUND((D57+90)*2, 0)</f>
        <v>274</v>
      </c>
      <c r="K57" s="1" t="n">
        <f aca="false">ROUND((E57+180)*(3/2), 0)</f>
        <v>143</v>
      </c>
    </row>
    <row r="58" customFormat="false" ht="15" hidden="false" customHeight="false" outlineLevel="0" collapsed="false">
      <c r="A58" s="1" t="s">
        <v>11</v>
      </c>
      <c r="B58" s="1" t="s">
        <v>81</v>
      </c>
      <c r="C58" s="1" t="s">
        <v>13</v>
      </c>
      <c r="D58" s="5" t="n">
        <v>42.9993</v>
      </c>
      <c r="E58" s="5" t="n">
        <v>-79.5035</v>
      </c>
      <c r="F58" s="5" t="n">
        <v>253</v>
      </c>
      <c r="G58" s="6" t="s">
        <v>35</v>
      </c>
      <c r="H58" s="1" t="s">
        <v>15</v>
      </c>
      <c r="I58" s="1" t="n">
        <v>3075</v>
      </c>
      <c r="J58" s="3" t="n">
        <f aca="false">ROUND((D58+90)*2, 0)</f>
        <v>266</v>
      </c>
      <c r="K58" s="1" t="n">
        <f aca="false">ROUND((E58+180)*(3/2), 0)</f>
        <v>151</v>
      </c>
    </row>
    <row r="59" customFormat="false" ht="15" hidden="false" customHeight="false" outlineLevel="0" collapsed="false">
      <c r="A59" s="1" t="s">
        <v>11</v>
      </c>
      <c r="B59" s="1" t="s">
        <v>82</v>
      </c>
      <c r="C59" s="1" t="s">
        <v>13</v>
      </c>
      <c r="D59" s="5" t="n">
        <v>42.8978</v>
      </c>
      <c r="E59" s="5" t="n">
        <v>-79.3854</v>
      </c>
      <c r="F59" s="5" t="n">
        <v>18.9</v>
      </c>
      <c r="G59" s="6" t="s">
        <v>35</v>
      </c>
      <c r="H59" s="1" t="s">
        <v>15</v>
      </c>
      <c r="I59" s="1" t="n">
        <v>3075</v>
      </c>
      <c r="J59" s="3" t="n">
        <f aca="false">ROUND((D59+90)*2, 0)</f>
        <v>266</v>
      </c>
      <c r="K59" s="1" t="n">
        <f aca="false">ROUND((E59+180)*(3/2), 0)</f>
        <v>151</v>
      </c>
    </row>
    <row r="60" customFormat="false" ht="15" hidden="false" customHeight="false" outlineLevel="0" collapsed="false">
      <c r="A60" s="1" t="s">
        <v>11</v>
      </c>
      <c r="B60" s="1" t="s">
        <v>83</v>
      </c>
      <c r="C60" s="1" t="s">
        <v>13</v>
      </c>
      <c r="D60" s="5" t="n">
        <v>43.122</v>
      </c>
      <c r="E60" s="5" t="n">
        <v>-79.7108</v>
      </c>
      <c r="F60" s="5" t="n">
        <v>9</v>
      </c>
      <c r="G60" s="6" t="s">
        <v>35</v>
      </c>
      <c r="H60" s="1" t="s">
        <v>15</v>
      </c>
      <c r="I60" s="1" t="n">
        <v>3075</v>
      </c>
      <c r="J60" s="3" t="n">
        <f aca="false">ROUND((D60+90)*2, 0)</f>
        <v>266</v>
      </c>
      <c r="K60" s="1" t="n">
        <f aca="false">ROUND((E60+180)*(3/2), 0)</f>
        <v>150</v>
      </c>
    </row>
    <row r="61" customFormat="false" ht="15" hidden="false" customHeight="false" outlineLevel="0" collapsed="false">
      <c r="A61" s="1" t="s">
        <v>11</v>
      </c>
      <c r="B61" s="1" t="s">
        <v>84</v>
      </c>
      <c r="C61" s="1" t="s">
        <v>13</v>
      </c>
      <c r="D61" s="5" t="n">
        <v>42.9238</v>
      </c>
      <c r="E61" s="5" t="n">
        <v>-81.9063</v>
      </c>
      <c r="F61" s="5" t="n">
        <v>14.1</v>
      </c>
      <c r="G61" s="6" t="s">
        <v>33</v>
      </c>
      <c r="H61" s="1" t="s">
        <v>15</v>
      </c>
      <c r="I61" s="1" t="n">
        <v>3075</v>
      </c>
      <c r="J61" s="3" t="n">
        <f aca="false">ROUND((D61+90)*2, 0)</f>
        <v>266</v>
      </c>
      <c r="K61" s="1" t="n">
        <f aca="false">ROUND((E61+180)*(3/2), 0)</f>
        <v>147</v>
      </c>
    </row>
    <row r="62" customFormat="false" ht="15" hidden="false" customHeight="false" outlineLevel="0" collapsed="false">
      <c r="A62" s="1" t="s">
        <v>11</v>
      </c>
      <c r="B62" s="1" t="s">
        <v>85</v>
      </c>
      <c r="C62" s="1" t="s">
        <v>13</v>
      </c>
      <c r="D62" s="5" t="n">
        <v>42.6476</v>
      </c>
      <c r="E62" s="5" t="n">
        <v>-80.7695</v>
      </c>
      <c r="F62" s="5" t="n">
        <v>129</v>
      </c>
      <c r="G62" s="6" t="s">
        <v>35</v>
      </c>
      <c r="H62" s="1" t="s">
        <v>15</v>
      </c>
      <c r="I62" s="1" t="n">
        <v>3075</v>
      </c>
      <c r="J62" s="3" t="n">
        <f aca="false">ROUND((D62+90)*2, 0)</f>
        <v>265</v>
      </c>
      <c r="K62" s="1" t="n">
        <f aca="false">ROUND((E62+180)*(3/2), 0)</f>
        <v>149</v>
      </c>
    </row>
    <row r="63" customFormat="false" ht="15" hidden="false" customHeight="false" outlineLevel="0" collapsed="false">
      <c r="A63" s="1" t="s">
        <v>11</v>
      </c>
      <c r="B63" s="1" t="s">
        <v>86</v>
      </c>
      <c r="C63" s="1" t="s">
        <v>13</v>
      </c>
      <c r="D63" s="5" t="n">
        <v>43.0858</v>
      </c>
      <c r="E63" s="5" t="n">
        <v>-80.7142</v>
      </c>
      <c r="F63" s="5" t="n">
        <v>18</v>
      </c>
      <c r="G63" s="6" t="s">
        <v>35</v>
      </c>
      <c r="H63" s="1" t="s">
        <v>15</v>
      </c>
      <c r="I63" s="1" t="n">
        <v>3075</v>
      </c>
      <c r="J63" s="3" t="n">
        <f aca="false">ROUND((D63+90)*2, 0)</f>
        <v>266</v>
      </c>
      <c r="K63" s="1" t="n">
        <f aca="false">ROUND((E63+180)*(3/2), 0)</f>
        <v>149</v>
      </c>
    </row>
    <row r="64" customFormat="false" ht="15" hidden="false" customHeight="false" outlineLevel="0" collapsed="false">
      <c r="A64" s="1" t="s">
        <v>11</v>
      </c>
      <c r="B64" s="1" t="s">
        <v>87</v>
      </c>
      <c r="C64" s="1" t="s">
        <v>13</v>
      </c>
      <c r="D64" s="5" t="n">
        <v>42.9877</v>
      </c>
      <c r="E64" s="5" t="n">
        <v>-81.7068</v>
      </c>
      <c r="F64" s="5" t="n">
        <v>60</v>
      </c>
      <c r="G64" s="6" t="s">
        <v>33</v>
      </c>
      <c r="H64" s="1" t="s">
        <v>15</v>
      </c>
      <c r="I64" s="1" t="n">
        <v>3075</v>
      </c>
      <c r="J64" s="3" t="n">
        <f aca="false">ROUND((D64+90)*2, 0)</f>
        <v>266</v>
      </c>
      <c r="K64" s="1" t="n">
        <f aca="false">ROUND((E64+180)*(3/2), 0)</f>
        <v>147</v>
      </c>
    </row>
    <row r="65" customFormat="false" ht="15" hidden="false" customHeight="false" outlineLevel="0" collapsed="false">
      <c r="A65" s="1" t="s">
        <v>11</v>
      </c>
      <c r="B65" s="1" t="s">
        <v>88</v>
      </c>
      <c r="C65" s="1" t="s">
        <v>13</v>
      </c>
      <c r="D65" s="5" t="n">
        <v>43.7838</v>
      </c>
      <c r="E65" s="5" t="n">
        <v>-80.404</v>
      </c>
      <c r="F65" s="5" t="n">
        <v>41</v>
      </c>
      <c r="G65" s="6" t="s">
        <v>89</v>
      </c>
      <c r="H65" s="1" t="s">
        <v>15</v>
      </c>
      <c r="I65" s="1" t="n">
        <v>3075</v>
      </c>
      <c r="J65" s="3" t="n">
        <f aca="false">ROUND((D65+90)*2, 0)</f>
        <v>268</v>
      </c>
      <c r="K65" s="1" t="n">
        <f aca="false">ROUND((E65+180)*(3/2), 0)</f>
        <v>149</v>
      </c>
    </row>
    <row r="66" customFormat="false" ht="15" hidden="false" customHeight="false" outlineLevel="0" collapsed="false">
      <c r="A66" s="1" t="s">
        <v>11</v>
      </c>
      <c r="B66" s="1" t="s">
        <v>90</v>
      </c>
      <c r="C66" s="1" t="s">
        <v>13</v>
      </c>
      <c r="D66" s="5" t="n">
        <v>44.082</v>
      </c>
      <c r="E66" s="5" t="n">
        <v>-80.287</v>
      </c>
      <c r="F66" s="5" t="n">
        <v>199.5</v>
      </c>
      <c r="G66" s="6" t="s">
        <v>89</v>
      </c>
      <c r="H66" s="1" t="s">
        <v>15</v>
      </c>
      <c r="I66" s="1" t="n">
        <v>3075</v>
      </c>
      <c r="J66" s="3" t="n">
        <f aca="false">ROUND((D66+90)*2, 0)</f>
        <v>268</v>
      </c>
      <c r="K66" s="1" t="n">
        <f aca="false">ROUND((E66+180)*(3/2), 0)</f>
        <v>150</v>
      </c>
    </row>
    <row r="67" customFormat="false" ht="15" hidden="false" customHeight="false" outlineLevel="0" collapsed="false">
      <c r="A67" s="1" t="s">
        <v>91</v>
      </c>
      <c r="B67" s="1" t="s">
        <v>92</v>
      </c>
      <c r="C67" s="1" t="s">
        <v>93</v>
      </c>
      <c r="D67" s="5" t="n">
        <v>44.5939</v>
      </c>
      <c r="E67" s="5" t="n">
        <v>-75.7354</v>
      </c>
      <c r="F67" s="5" t="n">
        <v>10</v>
      </c>
      <c r="G67" s="6" t="s">
        <v>14</v>
      </c>
      <c r="H67" s="1" t="s">
        <v>94</v>
      </c>
      <c r="I67" s="1" t="n">
        <v>95</v>
      </c>
      <c r="J67" s="3" t="n">
        <f aca="false">ROUND((D67+90)*2, 0)</f>
        <v>269</v>
      </c>
      <c r="K67" s="1" t="n">
        <f aca="false">ROUND((E67+180)*(3/2), 0)</f>
        <v>156</v>
      </c>
    </row>
    <row r="68" customFormat="false" ht="15" hidden="false" customHeight="false" outlineLevel="0" collapsed="false">
      <c r="A68" s="1" t="s">
        <v>91</v>
      </c>
      <c r="B68" s="1" t="s">
        <v>95</v>
      </c>
      <c r="C68" s="1" t="s">
        <v>93</v>
      </c>
      <c r="D68" s="5" t="n">
        <v>44.102</v>
      </c>
      <c r="E68" s="5" t="n">
        <v>-80.7472</v>
      </c>
      <c r="F68" s="5" t="n">
        <v>50</v>
      </c>
      <c r="G68" s="6" t="s">
        <v>33</v>
      </c>
      <c r="H68" s="1" t="s">
        <v>94</v>
      </c>
      <c r="I68" s="1" t="n">
        <v>95</v>
      </c>
      <c r="J68" s="3" t="n">
        <f aca="false">ROUND((D68+90)*2, 0)</f>
        <v>268</v>
      </c>
      <c r="K68" s="1" t="n">
        <f aca="false">ROUND((E68+180)*(3/2), 0)</f>
        <v>149</v>
      </c>
    </row>
    <row r="69" customFormat="false" ht="15" hidden="false" customHeight="false" outlineLevel="0" collapsed="false">
      <c r="A69" s="1" t="s">
        <v>91</v>
      </c>
      <c r="B69" s="1" t="s">
        <v>96</v>
      </c>
      <c r="C69" s="1" t="s">
        <v>93</v>
      </c>
      <c r="D69" s="5" t="n">
        <v>42.9585</v>
      </c>
      <c r="E69" s="5" t="n">
        <v>-81.6708</v>
      </c>
      <c r="F69" s="5" t="n">
        <v>12</v>
      </c>
      <c r="G69" s="6" t="s">
        <v>33</v>
      </c>
      <c r="H69" s="1" t="s">
        <v>94</v>
      </c>
      <c r="I69" s="1" t="n">
        <v>95</v>
      </c>
      <c r="J69" s="3" t="n">
        <f aca="false">ROUND((D69+90)*2, 0)</f>
        <v>266</v>
      </c>
      <c r="K69" s="1" t="n">
        <f aca="false">ROUND((E69+180)*(3/2), 0)</f>
        <v>147</v>
      </c>
    </row>
    <row r="70" customFormat="false" ht="15" hidden="false" customHeight="false" outlineLevel="0" collapsed="false">
      <c r="A70" s="1" t="s">
        <v>91</v>
      </c>
      <c r="B70" s="1" t="s">
        <v>97</v>
      </c>
      <c r="C70" s="1" t="s">
        <v>93</v>
      </c>
      <c r="D70" s="5" t="n">
        <v>42.8913</v>
      </c>
      <c r="E70" s="5" t="n">
        <v>-81.1134</v>
      </c>
      <c r="F70" s="5" t="n">
        <v>20</v>
      </c>
      <c r="G70" s="6" t="s">
        <v>33</v>
      </c>
      <c r="H70" s="1" t="s">
        <v>94</v>
      </c>
      <c r="I70" s="1" t="n">
        <v>95</v>
      </c>
      <c r="J70" s="3" t="n">
        <f aca="false">ROUND((D70+90)*2, 0)</f>
        <v>266</v>
      </c>
      <c r="K70" s="1" t="n">
        <f aca="false">ROUND((E70+180)*(3/2), 0)</f>
        <v>148</v>
      </c>
    </row>
    <row r="71" customFormat="false" ht="15" hidden="false" customHeight="false" outlineLevel="0" collapsed="false">
      <c r="A71" s="1" t="s">
        <v>91</v>
      </c>
      <c r="B71" s="1" t="s">
        <v>98</v>
      </c>
      <c r="C71" s="1" t="s">
        <v>93</v>
      </c>
      <c r="D71" s="5" t="n">
        <v>42.9854</v>
      </c>
      <c r="E71" s="5" t="n">
        <v>-80.9604</v>
      </c>
      <c r="F71" s="5" t="n">
        <v>19.5</v>
      </c>
      <c r="G71" s="6" t="s">
        <v>33</v>
      </c>
      <c r="H71" s="1" t="s">
        <v>94</v>
      </c>
      <c r="I71" s="1" t="n">
        <v>95</v>
      </c>
      <c r="J71" s="3" t="n">
        <f aca="false">ROUND((D71+90)*2, 0)</f>
        <v>266</v>
      </c>
      <c r="K71" s="1" t="n">
        <f aca="false">ROUND((E71+180)*(3/2), 0)</f>
        <v>149</v>
      </c>
    </row>
    <row r="72" customFormat="false" ht="15" hidden="false" customHeight="false" outlineLevel="0" collapsed="false">
      <c r="A72" s="1" t="s">
        <v>91</v>
      </c>
      <c r="B72" s="1" t="s">
        <v>99</v>
      </c>
      <c r="C72" s="1" t="s">
        <v>93</v>
      </c>
      <c r="D72" s="5" t="n">
        <v>42.695</v>
      </c>
      <c r="E72" s="5" t="n">
        <v>-80.9791</v>
      </c>
      <c r="F72" s="5" t="n">
        <v>10</v>
      </c>
      <c r="G72" s="6" t="s">
        <v>33</v>
      </c>
      <c r="H72" s="1" t="s">
        <v>94</v>
      </c>
      <c r="I72" s="1" t="n">
        <v>95</v>
      </c>
      <c r="J72" s="3" t="n">
        <f aca="false">ROUND((D72+90)*2, 0)</f>
        <v>265</v>
      </c>
      <c r="K72" s="1" t="n">
        <f aca="false">ROUND((E72+180)*(3/2), 0)</f>
        <v>149</v>
      </c>
    </row>
    <row r="73" customFormat="false" ht="15" hidden="false" customHeight="false" outlineLevel="0" collapsed="false">
      <c r="A73" s="1" t="s">
        <v>91</v>
      </c>
      <c r="B73" s="1" t="s">
        <v>100</v>
      </c>
      <c r="C73" s="1" t="s">
        <v>93</v>
      </c>
      <c r="D73" s="5" t="n">
        <v>43.0711</v>
      </c>
      <c r="E73" s="5" t="n">
        <v>-81.1582</v>
      </c>
      <c r="F73" s="5" t="n">
        <v>7</v>
      </c>
      <c r="G73" s="6" t="s">
        <v>33</v>
      </c>
      <c r="H73" s="1" t="s">
        <v>94</v>
      </c>
      <c r="I73" s="1" t="n">
        <v>95</v>
      </c>
      <c r="J73" s="3" t="n">
        <f aca="false">ROUND((D73+90)*2, 0)</f>
        <v>266</v>
      </c>
      <c r="K73" s="1" t="n">
        <f aca="false">ROUND((E73+180)*(3/2), 0)</f>
        <v>148</v>
      </c>
    </row>
    <row r="74" customFormat="false" ht="15" hidden="false" customHeight="false" outlineLevel="0" collapsed="false">
      <c r="A74" s="1" t="s">
        <v>91</v>
      </c>
      <c r="B74" s="1" t="s">
        <v>101</v>
      </c>
      <c r="C74" s="1" t="s">
        <v>93</v>
      </c>
      <c r="D74" s="5" t="n">
        <v>42.9743</v>
      </c>
      <c r="E74" s="5" t="n">
        <v>-79.1965</v>
      </c>
      <c r="F74" s="5" t="n">
        <v>10</v>
      </c>
      <c r="G74" s="6" t="s">
        <v>35</v>
      </c>
      <c r="H74" s="1" t="s">
        <v>94</v>
      </c>
      <c r="I74" s="1" t="n">
        <v>95</v>
      </c>
      <c r="J74" s="3" t="n">
        <f aca="false">ROUND((D74+90)*2, 0)</f>
        <v>266</v>
      </c>
      <c r="K74" s="1" t="n">
        <f aca="false">ROUND((E74+180)*(3/2), 0)</f>
        <v>151</v>
      </c>
    </row>
    <row r="75" customFormat="false" ht="15" hidden="false" customHeight="false" outlineLevel="0" collapsed="false">
      <c r="A75" s="1" t="s">
        <v>91</v>
      </c>
      <c r="B75" s="1" t="s">
        <v>102</v>
      </c>
      <c r="C75" s="1" t="s">
        <v>93</v>
      </c>
      <c r="D75" s="5" t="n">
        <v>48.3603</v>
      </c>
      <c r="E75" s="5" t="n">
        <v>-89.2536</v>
      </c>
      <c r="F75" s="5" t="n">
        <v>10.9</v>
      </c>
      <c r="G75" s="6" t="s">
        <v>35</v>
      </c>
      <c r="H75" s="1" t="s">
        <v>94</v>
      </c>
      <c r="I75" s="1" t="n">
        <v>95</v>
      </c>
      <c r="J75" s="3" t="n">
        <f aca="false">ROUND((D75+90)*2, 0)</f>
        <v>277</v>
      </c>
      <c r="K75" s="1" t="n">
        <f aca="false">ROUND((E75+180)*(3/2), 0)</f>
        <v>136</v>
      </c>
    </row>
    <row r="76" customFormat="false" ht="15" hidden="false" customHeight="false" outlineLevel="0" collapsed="false">
      <c r="A76" s="1" t="s">
        <v>91</v>
      </c>
      <c r="B76" s="1" t="s">
        <v>103</v>
      </c>
      <c r="C76" s="1" t="s">
        <v>93</v>
      </c>
      <c r="D76" s="5" t="n">
        <v>48.7152</v>
      </c>
      <c r="E76" s="5" t="n">
        <v>-94.2518</v>
      </c>
      <c r="F76" s="5" t="n">
        <v>10</v>
      </c>
      <c r="G76" s="6" t="s">
        <v>33</v>
      </c>
      <c r="H76" s="1" t="s">
        <v>94</v>
      </c>
      <c r="I76" s="1" t="n">
        <v>95</v>
      </c>
      <c r="J76" s="3" t="n">
        <f aca="false">ROUND((D76+90)*2, 0)</f>
        <v>277</v>
      </c>
      <c r="K76" s="1" t="n">
        <f aca="false">ROUND((E76+180)*(3/2), 0)</f>
        <v>129</v>
      </c>
    </row>
    <row r="77" customFormat="false" ht="15" hidden="false" customHeight="false" outlineLevel="0" collapsed="false">
      <c r="A77" s="1" t="s">
        <v>91</v>
      </c>
      <c r="B77" s="1" t="s">
        <v>104</v>
      </c>
      <c r="C77" s="1" t="s">
        <v>93</v>
      </c>
      <c r="D77" s="5" t="n">
        <v>48.9428</v>
      </c>
      <c r="E77" s="5" t="n">
        <v>-88.3141</v>
      </c>
      <c r="F77" s="5" t="n">
        <v>1</v>
      </c>
      <c r="G77" s="6" t="s">
        <v>41</v>
      </c>
      <c r="H77" s="1" t="s">
        <v>94</v>
      </c>
      <c r="I77" s="1" t="n">
        <v>95</v>
      </c>
      <c r="J77" s="3" t="n">
        <f aca="false">ROUND((D77+90)*2, 0)</f>
        <v>278</v>
      </c>
      <c r="K77" s="1" t="n">
        <f aca="false">ROUND((E77+180)*(3/2), 0)</f>
        <v>138</v>
      </c>
    </row>
    <row r="78" customFormat="false" ht="15" hidden="false" customHeight="false" outlineLevel="0" collapsed="false">
      <c r="A78" s="1" t="s">
        <v>91</v>
      </c>
      <c r="B78" s="1" t="s">
        <v>105</v>
      </c>
      <c r="C78" s="1" t="s">
        <v>93</v>
      </c>
      <c r="D78" s="5" t="n">
        <v>48.4393</v>
      </c>
      <c r="E78" s="5" t="n">
        <v>-80.3256</v>
      </c>
      <c r="F78" s="5" t="n">
        <v>8</v>
      </c>
      <c r="G78" s="6" t="s">
        <v>106</v>
      </c>
      <c r="H78" s="1" t="s">
        <v>94</v>
      </c>
      <c r="I78" s="1" t="n">
        <v>95</v>
      </c>
      <c r="J78" s="3" t="n">
        <f aca="false">ROUND((D78+90)*2, 0)</f>
        <v>277</v>
      </c>
      <c r="K78" s="1" t="n">
        <f aca="false">ROUND((E78+180)*(3/2), 0)</f>
        <v>150</v>
      </c>
    </row>
    <row r="79" customFormat="false" ht="15" hidden="false" customHeight="false" outlineLevel="0" collapsed="false">
      <c r="A79" s="1" t="s">
        <v>91</v>
      </c>
      <c r="B79" s="1" t="s">
        <v>107</v>
      </c>
      <c r="C79" s="1" t="s">
        <v>93</v>
      </c>
      <c r="D79" s="5" t="n">
        <v>49.1444</v>
      </c>
      <c r="E79" s="5" t="n">
        <v>-80.9717</v>
      </c>
      <c r="F79" s="5" t="n">
        <v>40</v>
      </c>
      <c r="G79" s="6" t="s">
        <v>106</v>
      </c>
      <c r="H79" s="1" t="s">
        <v>94</v>
      </c>
      <c r="I79" s="1" t="n">
        <v>95</v>
      </c>
      <c r="J79" s="3" t="n">
        <f aca="false">ROUND((D79+90)*2, 0)</f>
        <v>278</v>
      </c>
      <c r="K79" s="1" t="n">
        <f aca="false">ROUND((E79+180)*(3/2), 0)</f>
        <v>149</v>
      </c>
    </row>
    <row r="80" customFormat="false" ht="15" hidden="false" customHeight="false" outlineLevel="0" collapsed="false">
      <c r="A80" s="1" t="s">
        <v>91</v>
      </c>
      <c r="B80" s="1" t="s">
        <v>108</v>
      </c>
      <c r="C80" s="1" t="s">
        <v>93</v>
      </c>
      <c r="D80" s="5" t="n">
        <v>49.6807</v>
      </c>
      <c r="E80" s="5" t="n">
        <v>-83.6816</v>
      </c>
      <c r="F80" s="5" t="n">
        <v>10</v>
      </c>
      <c r="G80" s="6" t="s">
        <v>106</v>
      </c>
      <c r="H80" s="1" t="s">
        <v>94</v>
      </c>
      <c r="I80" s="1" t="n">
        <v>95</v>
      </c>
      <c r="J80" s="3" t="n">
        <f aca="false">ROUND((D80+90)*2, 0)</f>
        <v>279</v>
      </c>
      <c r="K80" s="1" t="n">
        <f aca="false">ROUND((E80+180)*(3/2), 0)</f>
        <v>144</v>
      </c>
    </row>
    <row r="81" customFormat="false" ht="15" hidden="false" customHeight="false" outlineLevel="0" collapsed="false">
      <c r="A81" s="1" t="s">
        <v>91</v>
      </c>
      <c r="B81" s="1" t="s">
        <v>109</v>
      </c>
      <c r="C81" s="1" t="s">
        <v>93</v>
      </c>
      <c r="D81" s="5" t="n">
        <v>47.5126</v>
      </c>
      <c r="E81" s="5" t="n">
        <v>-79.708</v>
      </c>
      <c r="F81" s="5" t="n">
        <v>30</v>
      </c>
      <c r="G81" s="6" t="s">
        <v>106</v>
      </c>
      <c r="H81" s="1" t="s">
        <v>94</v>
      </c>
      <c r="I81" s="1" t="n">
        <v>95</v>
      </c>
      <c r="J81" s="3" t="n">
        <f aca="false">ROUND((D81+90)*2, 0)</f>
        <v>275</v>
      </c>
      <c r="K81" s="1" t="n">
        <f aca="false">ROUND((E81+180)*(3/2), 0)</f>
        <v>150</v>
      </c>
    </row>
    <row r="82" s="9" customFormat="true" ht="15" hidden="false" customHeight="false" outlineLevel="0" collapsed="false">
      <c r="A82" s="1" t="s">
        <v>91</v>
      </c>
      <c r="B82" s="7" t="s">
        <v>110</v>
      </c>
      <c r="C82" s="7" t="s">
        <v>93</v>
      </c>
      <c r="D82" s="5" t="n">
        <v>49.375</v>
      </c>
      <c r="E82" s="5" t="n">
        <v>-82.3928</v>
      </c>
      <c r="F82" s="5" t="n">
        <v>6</v>
      </c>
      <c r="G82" s="6" t="s">
        <v>106</v>
      </c>
      <c r="H82" s="7" t="s">
        <v>94</v>
      </c>
      <c r="I82" s="7" t="n">
        <v>95</v>
      </c>
      <c r="J82" s="8" t="n">
        <f aca="false">ROUND((D82+90)*2, 0)</f>
        <v>279</v>
      </c>
      <c r="K82" s="7" t="n">
        <f aca="false">ROUND((E82+180)*(3/2), 0)</f>
        <v>146</v>
      </c>
    </row>
    <row r="83" customFormat="false" ht="15" hidden="false" customHeight="false" outlineLevel="0" collapsed="false">
      <c r="A83" s="1" t="s">
        <v>91</v>
      </c>
      <c r="B83" s="1" t="s">
        <v>111</v>
      </c>
      <c r="C83" s="1" t="s">
        <v>93</v>
      </c>
      <c r="D83" s="5" t="n">
        <v>44.1939</v>
      </c>
      <c r="E83" s="5" t="n">
        <v>-78.0946</v>
      </c>
      <c r="F83" s="5" t="n">
        <v>5</v>
      </c>
      <c r="G83" s="6" t="s">
        <v>43</v>
      </c>
      <c r="H83" s="1" t="s">
        <v>94</v>
      </c>
      <c r="I83" s="1" t="n">
        <v>95</v>
      </c>
      <c r="J83" s="3" t="n">
        <f aca="false">ROUND((D83+90)*2, 0)</f>
        <v>268</v>
      </c>
      <c r="K83" s="1" t="n">
        <f aca="false">ROUND((E83+180)*(3/2), 0)</f>
        <v>153</v>
      </c>
    </row>
    <row r="84" customFormat="false" ht="15" hidden="false" customHeight="false" outlineLevel="0" collapsed="false">
      <c r="A84" s="1" t="s">
        <v>91</v>
      </c>
      <c r="B84" s="1" t="s">
        <v>112</v>
      </c>
      <c r="C84" s="1" t="s">
        <v>93</v>
      </c>
      <c r="D84" s="5" t="n">
        <v>45.4289</v>
      </c>
      <c r="E84" s="5" t="n">
        <v>-74.9374</v>
      </c>
      <c r="F84" s="5" t="n">
        <v>36</v>
      </c>
      <c r="G84" s="6" t="s">
        <v>72</v>
      </c>
      <c r="H84" s="1" t="s">
        <v>94</v>
      </c>
      <c r="I84" s="1" t="n">
        <v>95</v>
      </c>
      <c r="J84" s="3" t="n">
        <f aca="false">ROUND((D84+90)*2, 0)</f>
        <v>271</v>
      </c>
      <c r="K84" s="1" t="n">
        <f aca="false">ROUND((E84+180)*(3/2), 0)</f>
        <v>158</v>
      </c>
    </row>
    <row r="85" customFormat="false" ht="15" hidden="false" customHeight="false" outlineLevel="0" collapsed="false">
      <c r="A85" s="1" t="s">
        <v>91</v>
      </c>
      <c r="B85" s="1" t="s">
        <v>113</v>
      </c>
      <c r="C85" s="1" t="s">
        <v>93</v>
      </c>
      <c r="D85" s="5" t="n">
        <v>45.5035</v>
      </c>
      <c r="E85" s="5" t="n">
        <v>-74.5278</v>
      </c>
      <c r="F85" s="5" t="n">
        <v>43.2</v>
      </c>
      <c r="G85" s="6" t="s">
        <v>72</v>
      </c>
      <c r="H85" s="1" t="s">
        <v>94</v>
      </c>
      <c r="I85" s="1" t="n">
        <v>95</v>
      </c>
      <c r="J85" s="3" t="n">
        <f aca="false">ROUND((D85+90)*2, 0)</f>
        <v>271</v>
      </c>
      <c r="K85" s="1" t="n">
        <f aca="false">ROUND((E85+180)*(3/2), 0)</f>
        <v>158</v>
      </c>
    </row>
    <row r="86" customFormat="false" ht="15" hidden="false" customHeight="false" outlineLevel="0" collapsed="false">
      <c r="A86" s="1" t="s">
        <v>91</v>
      </c>
      <c r="B86" s="1" t="s">
        <v>114</v>
      </c>
      <c r="C86" s="1" t="s">
        <v>93</v>
      </c>
      <c r="D86" s="5" t="n">
        <v>45.3092</v>
      </c>
      <c r="E86" s="5" t="n">
        <v>-76.2435</v>
      </c>
      <c r="F86" s="5" t="n">
        <v>20</v>
      </c>
      <c r="G86" s="6" t="s">
        <v>72</v>
      </c>
      <c r="H86" s="1" t="s">
        <v>94</v>
      </c>
      <c r="I86" s="1" t="n">
        <v>95</v>
      </c>
      <c r="J86" s="3" t="n">
        <f aca="false">ROUND((D86+90)*2, 0)</f>
        <v>271</v>
      </c>
      <c r="K86" s="1" t="n">
        <f aca="false">ROUND((E86+180)*(3/2), 0)</f>
        <v>156</v>
      </c>
    </row>
    <row r="87" customFormat="false" ht="15" hidden="false" customHeight="false" outlineLevel="0" collapsed="false">
      <c r="A87" s="1" t="s">
        <v>91</v>
      </c>
      <c r="B87" s="1" t="s">
        <v>115</v>
      </c>
      <c r="C87" s="1" t="s">
        <v>93</v>
      </c>
      <c r="D87" s="5" t="n">
        <v>45.303075</v>
      </c>
      <c r="E87" s="5" t="n">
        <v>-75.457956</v>
      </c>
      <c r="F87" s="5" t="n">
        <v>10</v>
      </c>
      <c r="G87" s="6" t="s">
        <v>72</v>
      </c>
      <c r="H87" s="1" t="s">
        <v>94</v>
      </c>
      <c r="I87" s="1" t="n">
        <v>95</v>
      </c>
      <c r="J87" s="3" t="n">
        <f aca="false">ROUND((D87+90)*2, 0)</f>
        <v>271</v>
      </c>
      <c r="K87" s="1" t="n">
        <f aca="false">ROUND((E87+180)*(3/2), 0)</f>
        <v>157</v>
      </c>
    </row>
    <row r="88" customFormat="false" ht="15" hidden="false" customHeight="false" outlineLevel="0" collapsed="false">
      <c r="A88" s="1" t="s">
        <v>91</v>
      </c>
      <c r="B88" s="1" t="s">
        <v>116</v>
      </c>
      <c r="C88" s="1" t="s">
        <v>93</v>
      </c>
      <c r="D88" s="5" t="n">
        <v>45.4083</v>
      </c>
      <c r="E88" s="5" t="n">
        <v>-76.275</v>
      </c>
      <c r="F88" s="5" t="n">
        <v>23.4</v>
      </c>
      <c r="G88" s="6" t="s">
        <v>72</v>
      </c>
      <c r="H88" s="1" t="s">
        <v>94</v>
      </c>
      <c r="I88" s="1" t="n">
        <v>95</v>
      </c>
      <c r="J88" s="3" t="n">
        <f aca="false">ROUND((D88+90)*2, 0)</f>
        <v>271</v>
      </c>
      <c r="K88" s="1" t="n">
        <f aca="false">ROUND((E88+180)*(3/2), 0)</f>
        <v>156</v>
      </c>
    </row>
    <row r="89" customFormat="false" ht="15" hidden="false" customHeight="false" outlineLevel="0" collapsed="false">
      <c r="A89" s="1" t="s">
        <v>91</v>
      </c>
      <c r="B89" s="1" t="s">
        <v>117</v>
      </c>
      <c r="C89" s="1" t="s">
        <v>93</v>
      </c>
      <c r="D89" s="5" t="n">
        <v>48.7078</v>
      </c>
      <c r="E89" s="5" t="n">
        <v>-94.2516</v>
      </c>
      <c r="F89" s="5" t="n">
        <v>5</v>
      </c>
      <c r="G89" s="6" t="s">
        <v>41</v>
      </c>
      <c r="H89" s="1" t="s">
        <v>94</v>
      </c>
      <c r="I89" s="1" t="n">
        <v>95</v>
      </c>
      <c r="J89" s="3" t="n">
        <f aca="false">ROUND((D89+90)*2, 0)</f>
        <v>277</v>
      </c>
      <c r="K89" s="1" t="n">
        <f aca="false">ROUND((E89+180)*(3/2), 0)</f>
        <v>129</v>
      </c>
    </row>
    <row r="90" customFormat="false" ht="15" hidden="false" customHeight="false" outlineLevel="0" collapsed="false">
      <c r="A90" s="1" t="s">
        <v>91</v>
      </c>
      <c r="B90" s="1" t="s">
        <v>118</v>
      </c>
      <c r="C90" s="1" t="s">
        <v>93</v>
      </c>
      <c r="D90" s="5" t="n">
        <v>49.8395</v>
      </c>
      <c r="E90" s="5" t="n">
        <v>-92.8467</v>
      </c>
      <c r="F90" s="5" t="n">
        <v>10</v>
      </c>
      <c r="G90" s="6" t="s">
        <v>41</v>
      </c>
      <c r="H90" s="1" t="s">
        <v>94</v>
      </c>
      <c r="I90" s="1" t="n">
        <v>95</v>
      </c>
      <c r="J90" s="3" t="n">
        <f aca="false">ROUND((D90+90)*2, 0)</f>
        <v>280</v>
      </c>
      <c r="K90" s="1" t="n">
        <f aca="false">ROUND((E90+180)*(3/2), 0)</f>
        <v>131</v>
      </c>
    </row>
    <row r="91" s="9" customFormat="true" ht="15" hidden="false" customHeight="false" outlineLevel="0" collapsed="false">
      <c r="A91" s="1" t="s">
        <v>91</v>
      </c>
      <c r="B91" s="7" t="s">
        <v>119</v>
      </c>
      <c r="C91" s="7" t="s">
        <v>93</v>
      </c>
      <c r="D91" s="5" t="n">
        <v>48.3653</v>
      </c>
      <c r="E91" s="5" t="n">
        <v>-89.3208</v>
      </c>
      <c r="F91" s="5" t="n">
        <v>8.5</v>
      </c>
      <c r="G91" s="6" t="s">
        <v>35</v>
      </c>
      <c r="H91" s="7" t="s">
        <v>94</v>
      </c>
      <c r="I91" s="7" t="n">
        <v>95</v>
      </c>
      <c r="J91" s="8" t="n">
        <f aca="false">ROUND((D91+90)*2, 0)</f>
        <v>277</v>
      </c>
      <c r="K91" s="7" t="n">
        <f aca="false">ROUND((E91+180)*(3/2), 0)</f>
        <v>136</v>
      </c>
    </row>
    <row r="92" customFormat="false" ht="15" hidden="false" customHeight="false" outlineLevel="0" collapsed="false">
      <c r="A92" s="1" t="s">
        <v>91</v>
      </c>
      <c r="B92" s="1" t="s">
        <v>120</v>
      </c>
      <c r="C92" s="1" t="s">
        <v>93</v>
      </c>
      <c r="D92" s="5" t="n">
        <v>48.7069</v>
      </c>
      <c r="E92" s="5" t="n">
        <v>-94.2503</v>
      </c>
      <c r="F92" s="5" t="n">
        <v>10</v>
      </c>
      <c r="G92" s="6" t="s">
        <v>35</v>
      </c>
      <c r="H92" s="1" t="s">
        <v>94</v>
      </c>
      <c r="I92" s="1" t="n">
        <v>95</v>
      </c>
      <c r="J92" s="3" t="n">
        <f aca="false">ROUND((D92+90)*2, 0)</f>
        <v>277</v>
      </c>
      <c r="K92" s="1" t="n">
        <f aca="false">ROUND((E92+180)*(3/2), 0)</f>
        <v>129</v>
      </c>
    </row>
    <row r="93" customFormat="false" ht="15" hidden="false" customHeight="false" outlineLevel="0" collapsed="false">
      <c r="A93" s="1" t="s">
        <v>91</v>
      </c>
      <c r="B93" s="1" t="s">
        <v>121</v>
      </c>
      <c r="C93" s="1" t="s">
        <v>93</v>
      </c>
      <c r="D93" s="5" t="n">
        <v>44.2904</v>
      </c>
      <c r="E93" s="5" t="n">
        <v>-76.9257</v>
      </c>
      <c r="F93" s="5" t="n">
        <v>19.5</v>
      </c>
      <c r="G93" s="6" t="s">
        <v>75</v>
      </c>
      <c r="H93" s="1" t="s">
        <v>94</v>
      </c>
      <c r="I93" s="1" t="n">
        <v>95</v>
      </c>
      <c r="J93" s="3" t="n">
        <f aca="false">ROUND((D93+90)*2, 0)</f>
        <v>269</v>
      </c>
      <c r="K93" s="1" t="n">
        <f aca="false">ROUND((E93+180)*(3/2), 0)</f>
        <v>155</v>
      </c>
    </row>
    <row r="94" customFormat="false" ht="15" hidden="false" customHeight="false" outlineLevel="0" collapsed="false">
      <c r="A94" s="1" t="s">
        <v>91</v>
      </c>
      <c r="B94" s="1" t="s">
        <v>122</v>
      </c>
      <c r="C94" s="1" t="s">
        <v>93</v>
      </c>
      <c r="D94" s="5" t="n">
        <v>44.0199</v>
      </c>
      <c r="E94" s="5" t="n">
        <v>-77.094</v>
      </c>
      <c r="F94" s="5" t="n">
        <v>20</v>
      </c>
      <c r="G94" s="6" t="s">
        <v>75</v>
      </c>
      <c r="H94" s="1" t="s">
        <v>94</v>
      </c>
      <c r="I94" s="1" t="n">
        <v>95</v>
      </c>
      <c r="J94" s="3" t="n">
        <f aca="false">ROUND((D94+90)*2, 0)</f>
        <v>268</v>
      </c>
      <c r="K94" s="1" t="n">
        <f aca="false">ROUND((E94+180)*(3/2), 0)</f>
        <v>154</v>
      </c>
    </row>
    <row r="95" s="9" customFormat="true" ht="15" hidden="false" customHeight="false" outlineLevel="0" collapsed="false">
      <c r="A95" s="1" t="s">
        <v>91</v>
      </c>
      <c r="B95" s="7" t="s">
        <v>123</v>
      </c>
      <c r="C95" s="7" t="s">
        <v>93</v>
      </c>
      <c r="D95" s="5" t="n">
        <v>44.3118</v>
      </c>
      <c r="E95" s="5" t="n">
        <v>-76.6511</v>
      </c>
      <c r="F95" s="5" t="n">
        <v>100</v>
      </c>
      <c r="G95" s="6" t="s">
        <v>75</v>
      </c>
      <c r="H95" s="7" t="s">
        <v>94</v>
      </c>
      <c r="I95" s="7" t="n">
        <v>95</v>
      </c>
      <c r="J95" s="8" t="n">
        <f aca="false">ROUND((D95+90)*2, 0)</f>
        <v>269</v>
      </c>
      <c r="K95" s="7" t="n">
        <f aca="false">ROUND((E95+180)*(3/2), 0)</f>
        <v>155</v>
      </c>
    </row>
    <row r="96" customFormat="false" ht="15" hidden="false" customHeight="false" outlineLevel="0" collapsed="false">
      <c r="A96" s="1" t="s">
        <v>91</v>
      </c>
      <c r="B96" s="1" t="s">
        <v>124</v>
      </c>
      <c r="C96" s="1" t="s">
        <v>93</v>
      </c>
      <c r="D96" s="5" t="n">
        <v>44.232</v>
      </c>
      <c r="E96" s="5" t="n">
        <v>-77.3566</v>
      </c>
      <c r="F96" s="5" t="n">
        <v>10</v>
      </c>
      <c r="G96" s="6" t="s">
        <v>75</v>
      </c>
      <c r="H96" s="1" t="s">
        <v>94</v>
      </c>
      <c r="I96" s="1" t="n">
        <v>95</v>
      </c>
      <c r="J96" s="3" t="n">
        <f aca="false">ROUND((D96+90)*2, 0)</f>
        <v>268</v>
      </c>
      <c r="K96" s="1" t="n">
        <f aca="false">ROUND((E96+180)*(3/2), 0)</f>
        <v>154</v>
      </c>
    </row>
    <row r="97" customFormat="false" ht="15" hidden="false" customHeight="false" outlineLevel="0" collapsed="false">
      <c r="A97" s="1" t="s">
        <v>91</v>
      </c>
      <c r="B97" s="1" t="s">
        <v>125</v>
      </c>
      <c r="C97" s="1" t="s">
        <v>93</v>
      </c>
      <c r="D97" s="5" t="n">
        <v>44.2175</v>
      </c>
      <c r="E97" s="5" t="n">
        <v>-76.7082</v>
      </c>
      <c r="F97" s="5" t="n">
        <v>10</v>
      </c>
      <c r="G97" s="6" t="s">
        <v>75</v>
      </c>
      <c r="H97" s="1" t="s">
        <v>94</v>
      </c>
      <c r="I97" s="1" t="n">
        <v>95</v>
      </c>
      <c r="J97" s="3" t="n">
        <f aca="false">ROUND((D97+90)*2, 0)</f>
        <v>268</v>
      </c>
      <c r="K97" s="1" t="n">
        <f aca="false">ROUND((E97+180)*(3/2), 0)</f>
        <v>155</v>
      </c>
    </row>
    <row r="98" customFormat="false" ht="15" hidden="false" customHeight="false" outlineLevel="0" collapsed="false">
      <c r="A98" s="1" t="s">
        <v>91</v>
      </c>
      <c r="B98" s="1" t="s">
        <v>126</v>
      </c>
      <c r="C98" s="1" t="s">
        <v>93</v>
      </c>
      <c r="D98" s="5" t="n">
        <v>44.059</v>
      </c>
      <c r="E98" s="5" t="n">
        <v>-77.3315</v>
      </c>
      <c r="F98" s="5" t="n">
        <v>20</v>
      </c>
      <c r="G98" s="6" t="s">
        <v>75</v>
      </c>
      <c r="H98" s="1" t="s">
        <v>94</v>
      </c>
      <c r="I98" s="1" t="n">
        <v>95</v>
      </c>
      <c r="J98" s="3" t="n">
        <f aca="false">ROUND((D98+90)*2, 0)</f>
        <v>268</v>
      </c>
      <c r="K98" s="1" t="n">
        <f aca="false">ROUND((E98+180)*(3/2), 0)</f>
        <v>154</v>
      </c>
    </row>
    <row r="99" customFormat="false" ht="15" hidden="false" customHeight="false" outlineLevel="0" collapsed="false">
      <c r="A99" s="1" t="s">
        <v>91</v>
      </c>
      <c r="B99" s="1" t="s">
        <v>127</v>
      </c>
      <c r="C99" s="1" t="s">
        <v>93</v>
      </c>
      <c r="D99" s="5" t="n">
        <v>44.0246</v>
      </c>
      <c r="E99" s="5" t="n">
        <v>-78.1208</v>
      </c>
      <c r="F99" s="5" t="n">
        <v>20</v>
      </c>
      <c r="G99" s="6" t="s">
        <v>75</v>
      </c>
      <c r="H99" s="1" t="s">
        <v>94</v>
      </c>
      <c r="I99" s="1" t="n">
        <v>95</v>
      </c>
      <c r="J99" s="3" t="n">
        <f aca="false">ROUND((D99+90)*2, 0)</f>
        <v>268</v>
      </c>
      <c r="K99" s="1" t="n">
        <f aca="false">ROUND((E99+180)*(3/2), 0)</f>
        <v>153</v>
      </c>
    </row>
    <row r="100" customFormat="false" ht="15" hidden="false" customHeight="false" outlineLevel="0" collapsed="false">
      <c r="A100" s="1" t="s">
        <v>91</v>
      </c>
      <c r="B100" s="1" t="s">
        <v>128</v>
      </c>
      <c r="C100" s="1" t="s">
        <v>93</v>
      </c>
      <c r="D100" s="5" t="n">
        <v>44.408382</v>
      </c>
      <c r="E100" s="5" t="n">
        <v>-76.915433</v>
      </c>
      <c r="F100" s="5" t="n">
        <v>54</v>
      </c>
      <c r="G100" s="6" t="s">
        <v>75</v>
      </c>
      <c r="H100" s="1" t="s">
        <v>94</v>
      </c>
      <c r="I100" s="1" t="n">
        <v>95</v>
      </c>
      <c r="J100" s="3" t="n">
        <f aca="false">ROUND((D100+90)*2, 0)</f>
        <v>269</v>
      </c>
      <c r="K100" s="1" t="n">
        <f aca="false">ROUND((E100+180)*(3/2), 0)</f>
        <v>155</v>
      </c>
    </row>
    <row r="101" customFormat="false" ht="15" hidden="false" customHeight="false" outlineLevel="0" collapsed="false">
      <c r="A101" s="1" t="s">
        <v>91</v>
      </c>
      <c r="B101" s="1" t="s">
        <v>129</v>
      </c>
      <c r="C101" s="1" t="s">
        <v>93</v>
      </c>
      <c r="D101" s="5" t="n">
        <v>44.3145</v>
      </c>
      <c r="E101" s="5" t="n">
        <v>-77.432</v>
      </c>
      <c r="F101" s="5" t="n">
        <v>21</v>
      </c>
      <c r="G101" s="6" t="s">
        <v>75</v>
      </c>
      <c r="H101" s="1" t="s">
        <v>94</v>
      </c>
      <c r="I101" s="1" t="n">
        <v>95</v>
      </c>
      <c r="J101" s="3" t="n">
        <f aca="false">ROUND((D101+90)*2, 0)</f>
        <v>269</v>
      </c>
      <c r="K101" s="1" t="n">
        <f aca="false">ROUND((E101+180)*(3/2), 0)</f>
        <v>154</v>
      </c>
    </row>
    <row r="102" customFormat="false" ht="15" hidden="false" customHeight="false" outlineLevel="0" collapsed="false">
      <c r="A102" s="1" t="s">
        <v>91</v>
      </c>
      <c r="B102" s="1" t="s">
        <v>130</v>
      </c>
      <c r="C102" s="1" t="s">
        <v>93</v>
      </c>
      <c r="D102" s="5" t="n">
        <v>44.3136</v>
      </c>
      <c r="E102" s="5" t="n">
        <v>-78.3926</v>
      </c>
      <c r="F102" s="5" t="n">
        <v>10</v>
      </c>
      <c r="G102" s="6" t="s">
        <v>75</v>
      </c>
      <c r="H102" s="1" t="s">
        <v>94</v>
      </c>
      <c r="I102" s="1" t="n">
        <v>95</v>
      </c>
      <c r="J102" s="3" t="n">
        <f aca="false">ROUND((D102+90)*2, 0)</f>
        <v>269</v>
      </c>
      <c r="K102" s="1" t="n">
        <f aca="false">ROUND((E102+180)*(3/2), 0)</f>
        <v>152</v>
      </c>
    </row>
    <row r="103" customFormat="false" ht="15" hidden="false" customHeight="false" outlineLevel="0" collapsed="false">
      <c r="A103" s="1" t="s">
        <v>91</v>
      </c>
      <c r="B103" s="1" t="s">
        <v>131</v>
      </c>
      <c r="C103" s="1" t="s">
        <v>93</v>
      </c>
      <c r="D103" s="5" t="n">
        <v>44.2044</v>
      </c>
      <c r="E103" s="5" t="n">
        <v>-76.9251</v>
      </c>
      <c r="F103" s="5" t="n">
        <v>8.5</v>
      </c>
      <c r="G103" s="6" t="s">
        <v>75</v>
      </c>
      <c r="H103" s="1" t="s">
        <v>94</v>
      </c>
      <c r="I103" s="1" t="n">
        <v>95</v>
      </c>
      <c r="J103" s="3" t="n">
        <f aca="false">ROUND((D103+90)*2, 0)</f>
        <v>268</v>
      </c>
      <c r="K103" s="1" t="n">
        <f aca="false">ROUND((E103+180)*(3/2), 0)</f>
        <v>155</v>
      </c>
    </row>
    <row r="104" customFormat="false" ht="15" hidden="false" customHeight="false" outlineLevel="0" collapsed="false">
      <c r="A104" s="1" t="s">
        <v>91</v>
      </c>
      <c r="B104" s="1" t="s">
        <v>132</v>
      </c>
      <c r="C104" s="1" t="s">
        <v>93</v>
      </c>
      <c r="D104" s="5" t="n">
        <v>44.2966</v>
      </c>
      <c r="E104" s="5" t="n">
        <v>-76.633</v>
      </c>
      <c r="F104" s="5" t="n">
        <v>98</v>
      </c>
      <c r="G104" s="6" t="s">
        <v>75</v>
      </c>
      <c r="H104" s="1" t="s">
        <v>94</v>
      </c>
      <c r="I104" s="1" t="n">
        <v>95</v>
      </c>
      <c r="J104" s="3" t="n">
        <f aca="false">ROUND((D104+90)*2, 0)</f>
        <v>269</v>
      </c>
      <c r="K104" s="1" t="n">
        <f aca="false">ROUND((E104+180)*(3/2), 0)</f>
        <v>155</v>
      </c>
    </row>
    <row r="105" customFormat="false" ht="15" hidden="false" customHeight="false" outlineLevel="0" collapsed="false">
      <c r="A105" s="1" t="s">
        <v>91</v>
      </c>
      <c r="B105" s="1" t="s">
        <v>133</v>
      </c>
      <c r="C105" s="1" t="s">
        <v>93</v>
      </c>
      <c r="D105" s="5" t="n">
        <v>43.9294</v>
      </c>
      <c r="E105" s="5" t="n">
        <v>-78.5454</v>
      </c>
      <c r="F105" s="5" t="n">
        <v>2</v>
      </c>
      <c r="G105" s="6" t="s">
        <v>75</v>
      </c>
      <c r="H105" s="1" t="s">
        <v>94</v>
      </c>
      <c r="I105" s="1" t="n">
        <v>95</v>
      </c>
      <c r="J105" s="3" t="n">
        <f aca="false">ROUND((D105+90)*2, 0)</f>
        <v>268</v>
      </c>
      <c r="K105" s="1" t="n">
        <f aca="false">ROUND((E105+180)*(3/2), 0)</f>
        <v>152</v>
      </c>
    </row>
    <row r="106" customFormat="false" ht="15" hidden="false" customHeight="false" outlineLevel="0" collapsed="false">
      <c r="A106" s="1" t="s">
        <v>91</v>
      </c>
      <c r="B106" s="1" t="s">
        <v>134</v>
      </c>
      <c r="C106" s="1" t="s">
        <v>93</v>
      </c>
      <c r="D106" s="5" t="n">
        <v>44.0561</v>
      </c>
      <c r="E106" s="5" t="n">
        <v>-77.1519</v>
      </c>
      <c r="F106" s="5" t="n">
        <v>10</v>
      </c>
      <c r="G106" s="6" t="s">
        <v>75</v>
      </c>
      <c r="H106" s="1" t="s">
        <v>94</v>
      </c>
      <c r="I106" s="1" t="n">
        <v>95</v>
      </c>
      <c r="J106" s="3" t="n">
        <f aca="false">ROUND((D106+90)*2, 0)</f>
        <v>268</v>
      </c>
      <c r="K106" s="1" t="n">
        <f aca="false">ROUND((E106+180)*(3/2), 0)</f>
        <v>154</v>
      </c>
    </row>
    <row r="107" customFormat="false" ht="15" hidden="false" customHeight="false" outlineLevel="0" collapsed="false">
      <c r="A107" s="1" t="s">
        <v>91</v>
      </c>
      <c r="B107" s="1" t="s">
        <v>135</v>
      </c>
      <c r="C107" s="1" t="s">
        <v>93</v>
      </c>
      <c r="D107" s="5" t="n">
        <v>44.6707</v>
      </c>
      <c r="E107" s="5" t="n">
        <v>-76.3044</v>
      </c>
      <c r="F107" s="5" t="n">
        <v>30</v>
      </c>
      <c r="G107" s="6" t="s">
        <v>75</v>
      </c>
      <c r="H107" s="1" t="s">
        <v>94</v>
      </c>
      <c r="I107" s="1" t="n">
        <v>95</v>
      </c>
      <c r="J107" s="3" t="n">
        <f aca="false">ROUND((D107+90)*2, 0)</f>
        <v>269</v>
      </c>
      <c r="K107" s="1" t="n">
        <f aca="false">ROUND((E107+180)*(3/2), 0)</f>
        <v>156</v>
      </c>
    </row>
    <row r="108" customFormat="false" ht="15" hidden="false" customHeight="false" outlineLevel="0" collapsed="false">
      <c r="A108" s="1" t="s">
        <v>91</v>
      </c>
      <c r="B108" s="1" t="s">
        <v>136</v>
      </c>
      <c r="C108" s="1" t="s">
        <v>93</v>
      </c>
      <c r="D108" s="5" t="n">
        <v>45.0965</v>
      </c>
      <c r="E108" s="5" t="n">
        <v>-74.7167</v>
      </c>
      <c r="F108" s="5" t="n">
        <v>10</v>
      </c>
      <c r="G108" s="6" t="s">
        <v>72</v>
      </c>
      <c r="H108" s="1" t="s">
        <v>94</v>
      </c>
      <c r="I108" s="1" t="n">
        <v>95</v>
      </c>
      <c r="J108" s="3" t="n">
        <f aca="false">ROUND((D108+90)*2, 0)</f>
        <v>270</v>
      </c>
      <c r="K108" s="1" t="n">
        <f aca="false">ROUND((E108+180)*(3/2), 0)</f>
        <v>158</v>
      </c>
    </row>
    <row r="109" customFormat="false" ht="15" hidden="false" customHeight="false" outlineLevel="0" collapsed="false">
      <c r="A109" s="1" t="s">
        <v>91</v>
      </c>
      <c r="B109" s="1" t="s">
        <v>137</v>
      </c>
      <c r="C109" s="1" t="s">
        <v>93</v>
      </c>
      <c r="D109" s="5" t="n">
        <v>44.8206</v>
      </c>
      <c r="E109" s="5" t="n">
        <v>-76.307</v>
      </c>
      <c r="F109" s="5" t="n">
        <v>10</v>
      </c>
      <c r="G109" s="6" t="s">
        <v>72</v>
      </c>
      <c r="H109" s="1" t="s">
        <v>94</v>
      </c>
      <c r="I109" s="1" t="n">
        <v>95</v>
      </c>
      <c r="J109" s="3" t="n">
        <f aca="false">ROUND((D109+90)*2, 0)</f>
        <v>270</v>
      </c>
      <c r="K109" s="1" t="n">
        <f aca="false">ROUND((E109+180)*(3/2), 0)</f>
        <v>156</v>
      </c>
    </row>
    <row r="110" customFormat="false" ht="15" hidden="false" customHeight="false" outlineLevel="0" collapsed="false">
      <c r="A110" s="1" t="s">
        <v>91</v>
      </c>
      <c r="B110" s="1" t="s">
        <v>138</v>
      </c>
      <c r="C110" s="1" t="s">
        <v>93</v>
      </c>
      <c r="D110" s="5" t="n">
        <v>44.7257</v>
      </c>
      <c r="E110" s="5" t="n">
        <v>-75.4928</v>
      </c>
      <c r="F110" s="5" t="n">
        <v>9.3</v>
      </c>
      <c r="G110" s="6" t="s">
        <v>72</v>
      </c>
      <c r="H110" s="1" t="s">
        <v>94</v>
      </c>
      <c r="I110" s="1" t="n">
        <v>95</v>
      </c>
      <c r="J110" s="3" t="n">
        <f aca="false">ROUND((D110+90)*2, 0)</f>
        <v>269</v>
      </c>
      <c r="K110" s="1" t="n">
        <f aca="false">ROUND((E110+180)*(3/2), 0)</f>
        <v>157</v>
      </c>
    </row>
    <row r="111" customFormat="false" ht="15" hidden="false" customHeight="false" outlineLevel="0" collapsed="false">
      <c r="A111" s="1" t="s">
        <v>91</v>
      </c>
      <c r="B111" s="1" t="s">
        <v>139</v>
      </c>
      <c r="C111" s="1" t="s">
        <v>93</v>
      </c>
      <c r="D111" s="5" t="n">
        <v>45.1066</v>
      </c>
      <c r="E111" s="5" t="n">
        <v>-74.6822</v>
      </c>
      <c r="F111" s="5" t="n">
        <v>9.3</v>
      </c>
      <c r="G111" s="6" t="s">
        <v>72</v>
      </c>
      <c r="H111" s="1" t="s">
        <v>94</v>
      </c>
      <c r="I111" s="1" t="n">
        <v>95</v>
      </c>
      <c r="J111" s="3" t="n">
        <f aca="false">ROUND((D111+90)*2, 0)</f>
        <v>270</v>
      </c>
      <c r="K111" s="1" t="n">
        <f aca="false">ROUND((E111+180)*(3/2), 0)</f>
        <v>158</v>
      </c>
    </row>
    <row r="112" customFormat="false" ht="15" hidden="false" customHeight="false" outlineLevel="0" collapsed="false">
      <c r="A112" s="1" t="s">
        <v>91</v>
      </c>
      <c r="B112" s="1" t="s">
        <v>140</v>
      </c>
      <c r="C112" s="1" t="s">
        <v>93</v>
      </c>
      <c r="D112" s="5" t="n">
        <v>45.0564</v>
      </c>
      <c r="E112" s="5" t="n">
        <v>-76.0795</v>
      </c>
      <c r="F112" s="5" t="n">
        <v>34</v>
      </c>
      <c r="G112" s="6" t="s">
        <v>72</v>
      </c>
      <c r="H112" s="1" t="s">
        <v>94</v>
      </c>
      <c r="I112" s="1" t="n">
        <v>95</v>
      </c>
      <c r="J112" s="3" t="n">
        <f aca="false">ROUND((D112+90)*2, 0)</f>
        <v>270</v>
      </c>
      <c r="K112" s="1" t="n">
        <f aca="false">ROUND((E112+180)*(3/2), 0)</f>
        <v>156</v>
      </c>
    </row>
    <row r="113" customFormat="false" ht="15" hidden="false" customHeight="false" outlineLevel="0" collapsed="false">
      <c r="A113" s="1" t="s">
        <v>91</v>
      </c>
      <c r="B113" s="1" t="s">
        <v>141</v>
      </c>
      <c r="C113" s="1" t="s">
        <v>93</v>
      </c>
      <c r="D113" s="5" t="n">
        <v>45.1563</v>
      </c>
      <c r="E113" s="5" t="n">
        <v>-75.2245</v>
      </c>
      <c r="F113" s="5" t="n">
        <v>10</v>
      </c>
      <c r="G113" s="6" t="s">
        <v>72</v>
      </c>
      <c r="H113" s="1" t="s">
        <v>94</v>
      </c>
      <c r="I113" s="1" t="n">
        <v>95</v>
      </c>
      <c r="J113" s="3" t="n">
        <f aca="false">ROUND((D113+90)*2, 0)</f>
        <v>270</v>
      </c>
      <c r="K113" s="1" t="n">
        <f aca="false">ROUND((E113+180)*(3/2), 0)</f>
        <v>157</v>
      </c>
    </row>
    <row r="114" customFormat="false" ht="15" hidden="false" customHeight="false" outlineLevel="0" collapsed="false">
      <c r="A114" s="1" t="s">
        <v>91</v>
      </c>
      <c r="B114" s="1" t="s">
        <v>142</v>
      </c>
      <c r="C114" s="1" t="s">
        <v>93</v>
      </c>
      <c r="D114" s="5" t="n">
        <v>45.1024</v>
      </c>
      <c r="E114" s="5" t="n">
        <v>-74.6899</v>
      </c>
      <c r="F114" s="5" t="n">
        <v>20</v>
      </c>
      <c r="G114" s="6" t="s">
        <v>72</v>
      </c>
      <c r="H114" s="1" t="s">
        <v>94</v>
      </c>
      <c r="I114" s="1" t="n">
        <v>95</v>
      </c>
      <c r="J114" s="3" t="n">
        <f aca="false">ROUND((D114+90)*2, 0)</f>
        <v>270</v>
      </c>
      <c r="K114" s="1" t="n">
        <f aca="false">ROUND((E114+180)*(3/2), 0)</f>
        <v>158</v>
      </c>
    </row>
    <row r="115" customFormat="false" ht="15" hidden="false" customHeight="false" outlineLevel="0" collapsed="false">
      <c r="A115" s="1" t="s">
        <v>91</v>
      </c>
      <c r="B115" s="1" t="s">
        <v>143</v>
      </c>
      <c r="C115" s="1" t="s">
        <v>93</v>
      </c>
      <c r="D115" s="5" t="n">
        <v>45.06794</v>
      </c>
      <c r="E115" s="5" t="n">
        <v>-74.946807</v>
      </c>
      <c r="F115" s="5" t="n">
        <v>10</v>
      </c>
      <c r="G115" s="6" t="s">
        <v>72</v>
      </c>
      <c r="H115" s="1" t="s">
        <v>94</v>
      </c>
      <c r="I115" s="1" t="n">
        <v>95</v>
      </c>
      <c r="J115" s="3" t="n">
        <f aca="false">ROUND((D115+90)*2, 0)</f>
        <v>270</v>
      </c>
      <c r="K115" s="1" t="n">
        <f aca="false">ROUND((E115+180)*(3/2), 0)</f>
        <v>158</v>
      </c>
    </row>
    <row r="116" customFormat="false" ht="15" hidden="false" customHeight="false" outlineLevel="0" collapsed="false">
      <c r="A116" s="1" t="s">
        <v>91</v>
      </c>
      <c r="B116" s="1" t="s">
        <v>144</v>
      </c>
      <c r="C116" s="1" t="s">
        <v>93</v>
      </c>
      <c r="D116" s="5" t="n">
        <v>44.6329</v>
      </c>
      <c r="E116" s="5" t="n">
        <v>-75.6982</v>
      </c>
      <c r="F116" s="5" t="n">
        <v>19</v>
      </c>
      <c r="G116" s="6" t="s">
        <v>72</v>
      </c>
      <c r="H116" s="1" t="s">
        <v>94</v>
      </c>
      <c r="I116" s="1" t="n">
        <v>95</v>
      </c>
      <c r="J116" s="3" t="n">
        <f aca="false">ROUND((D116+90)*2, 0)</f>
        <v>269</v>
      </c>
      <c r="K116" s="1" t="n">
        <f aca="false">ROUND((E116+180)*(3/2), 0)</f>
        <v>156</v>
      </c>
    </row>
    <row r="117" customFormat="false" ht="15" hidden="false" customHeight="false" outlineLevel="0" collapsed="false">
      <c r="A117" s="1" t="s">
        <v>91</v>
      </c>
      <c r="B117" s="1" t="s">
        <v>145</v>
      </c>
      <c r="C117" s="1" t="s">
        <v>93</v>
      </c>
      <c r="D117" s="5" t="n">
        <v>44.9778</v>
      </c>
      <c r="E117" s="5" t="n">
        <v>-75.8198</v>
      </c>
      <c r="F117" s="5" t="n">
        <v>7</v>
      </c>
      <c r="G117" s="6" t="s">
        <v>72</v>
      </c>
      <c r="H117" s="1" t="s">
        <v>94</v>
      </c>
      <c r="I117" s="1" t="n">
        <v>95</v>
      </c>
      <c r="J117" s="3" t="n">
        <f aca="false">ROUND((D117+90)*2, 0)</f>
        <v>270</v>
      </c>
      <c r="K117" s="1" t="n">
        <f aca="false">ROUND((E117+180)*(3/2), 0)</f>
        <v>156</v>
      </c>
    </row>
    <row r="118" customFormat="false" ht="15" hidden="false" customHeight="false" outlineLevel="0" collapsed="false">
      <c r="A118" s="1" t="s">
        <v>91</v>
      </c>
      <c r="B118" s="1" t="s">
        <v>146</v>
      </c>
      <c r="C118" s="1" t="s">
        <v>93</v>
      </c>
      <c r="D118" s="5" t="n">
        <v>44.9856</v>
      </c>
      <c r="E118" s="5" t="n">
        <v>-75.013</v>
      </c>
      <c r="F118" s="5" t="n">
        <v>10</v>
      </c>
      <c r="G118" s="6" t="s">
        <v>72</v>
      </c>
      <c r="H118" s="1" t="s">
        <v>94</v>
      </c>
      <c r="I118" s="1" t="n">
        <v>95</v>
      </c>
      <c r="J118" s="3" t="n">
        <f aca="false">ROUND((D118+90)*2, 0)</f>
        <v>270</v>
      </c>
      <c r="K118" s="1" t="n">
        <f aca="false">ROUND((E118+180)*(3/2), 0)</f>
        <v>157</v>
      </c>
    </row>
    <row r="119" customFormat="false" ht="15" hidden="false" customHeight="false" outlineLevel="0" collapsed="false">
      <c r="A119" s="1" t="s">
        <v>91</v>
      </c>
      <c r="B119" s="1" t="s">
        <v>147</v>
      </c>
      <c r="C119" s="1" t="s">
        <v>93</v>
      </c>
      <c r="D119" s="5" t="n">
        <v>44.6712</v>
      </c>
      <c r="E119" s="5" t="n">
        <v>-76.273</v>
      </c>
      <c r="F119" s="5" t="n">
        <v>20</v>
      </c>
      <c r="G119" s="6" t="s">
        <v>72</v>
      </c>
      <c r="H119" s="1" t="s">
        <v>94</v>
      </c>
      <c r="I119" s="1" t="n">
        <v>95</v>
      </c>
      <c r="J119" s="3" t="n">
        <f aca="false">ROUND((D119+90)*2, 0)</f>
        <v>269</v>
      </c>
      <c r="K119" s="1" t="n">
        <f aca="false">ROUND((E119+180)*(3/2), 0)</f>
        <v>156</v>
      </c>
    </row>
    <row r="120" customFormat="false" ht="15" hidden="false" customHeight="false" outlineLevel="0" collapsed="false">
      <c r="A120" s="1" t="s">
        <v>91</v>
      </c>
      <c r="B120" s="1" t="s">
        <v>148</v>
      </c>
      <c r="C120" s="1" t="s">
        <v>93</v>
      </c>
      <c r="D120" s="5" t="n">
        <v>45.017</v>
      </c>
      <c r="E120" s="5" t="n">
        <v>-74.9659</v>
      </c>
      <c r="F120" s="5" t="n">
        <v>20</v>
      </c>
      <c r="G120" s="6" t="s">
        <v>72</v>
      </c>
      <c r="H120" s="1" t="s">
        <v>94</v>
      </c>
      <c r="I120" s="1" t="n">
        <v>95</v>
      </c>
      <c r="J120" s="3" t="n">
        <f aca="false">ROUND((D120+90)*2, 0)</f>
        <v>270</v>
      </c>
      <c r="K120" s="1" t="n">
        <f aca="false">ROUND((E120+180)*(3/2), 0)</f>
        <v>158</v>
      </c>
    </row>
    <row r="121" customFormat="false" ht="15" hidden="false" customHeight="false" outlineLevel="0" collapsed="false">
      <c r="A121" s="1" t="s">
        <v>91</v>
      </c>
      <c r="B121" s="1" t="s">
        <v>149</v>
      </c>
      <c r="C121" s="1" t="s">
        <v>93</v>
      </c>
      <c r="D121" s="5" t="n">
        <v>45.1276</v>
      </c>
      <c r="E121" s="5" t="n">
        <v>-75.2581</v>
      </c>
      <c r="F121" s="5" t="n">
        <v>10</v>
      </c>
      <c r="G121" s="6" t="s">
        <v>72</v>
      </c>
      <c r="H121" s="1" t="s">
        <v>94</v>
      </c>
      <c r="I121" s="1" t="n">
        <v>95</v>
      </c>
      <c r="J121" s="3" t="n">
        <f aca="false">ROUND((D121+90)*2, 0)</f>
        <v>270</v>
      </c>
      <c r="K121" s="1" t="n">
        <f aca="false">ROUND((E121+180)*(3/2), 0)</f>
        <v>157</v>
      </c>
    </row>
    <row r="122" customFormat="false" ht="15" hidden="false" customHeight="false" outlineLevel="0" collapsed="false">
      <c r="A122" s="1" t="s">
        <v>91</v>
      </c>
      <c r="B122" s="1" t="s">
        <v>150</v>
      </c>
      <c r="C122" s="1" t="s">
        <v>93</v>
      </c>
      <c r="D122" s="5" t="n">
        <v>44.8769</v>
      </c>
      <c r="E122" s="5" t="n">
        <v>-76.007</v>
      </c>
      <c r="F122" s="5" t="n">
        <v>52.5</v>
      </c>
      <c r="G122" s="6" t="s">
        <v>72</v>
      </c>
      <c r="H122" s="1" t="s">
        <v>94</v>
      </c>
      <c r="I122" s="1" t="n">
        <v>95</v>
      </c>
      <c r="J122" s="3" t="n">
        <f aca="false">ROUND((D122+90)*2, 0)</f>
        <v>270</v>
      </c>
      <c r="K122" s="1" t="n">
        <f aca="false">ROUND((E122+180)*(3/2), 0)</f>
        <v>156</v>
      </c>
    </row>
    <row r="123" customFormat="false" ht="15" hidden="false" customHeight="false" outlineLevel="0" collapsed="false">
      <c r="A123" s="1" t="s">
        <v>91</v>
      </c>
      <c r="B123" s="1" t="s">
        <v>151</v>
      </c>
      <c r="C123" s="1" t="s">
        <v>93</v>
      </c>
      <c r="D123" s="5" t="n">
        <v>42.1449</v>
      </c>
      <c r="E123" s="5" t="n">
        <v>-83.0769</v>
      </c>
      <c r="F123" s="5" t="n">
        <v>45</v>
      </c>
      <c r="G123" s="6" t="s">
        <v>33</v>
      </c>
      <c r="H123" s="1" t="s">
        <v>94</v>
      </c>
      <c r="I123" s="1" t="n">
        <v>95</v>
      </c>
      <c r="J123" s="3" t="n">
        <f aca="false">ROUND((D123+90)*2, 0)</f>
        <v>264</v>
      </c>
      <c r="K123" s="1" t="n">
        <f aca="false">ROUND((E123+180)*(3/2), 0)</f>
        <v>145</v>
      </c>
    </row>
    <row r="124" customFormat="false" ht="15" hidden="false" customHeight="false" outlineLevel="0" collapsed="false">
      <c r="A124" s="1" t="s">
        <v>91</v>
      </c>
      <c r="B124" s="1" t="s">
        <v>152</v>
      </c>
      <c r="C124" s="1" t="s">
        <v>93</v>
      </c>
      <c r="D124" s="5" t="n">
        <v>46.6692</v>
      </c>
      <c r="E124" s="5" t="n">
        <v>-80.9214</v>
      </c>
      <c r="F124" s="5" t="n">
        <v>10</v>
      </c>
      <c r="G124" s="6" t="s">
        <v>41</v>
      </c>
      <c r="H124" s="1" t="s">
        <v>94</v>
      </c>
      <c r="I124" s="1" t="n">
        <v>95</v>
      </c>
      <c r="J124" s="3" t="n">
        <f aca="false">ROUND((D124+90)*2, 0)</f>
        <v>273</v>
      </c>
      <c r="K124" s="1" t="n">
        <f aca="false">ROUND((E124+180)*(3/2), 0)</f>
        <v>149</v>
      </c>
    </row>
    <row r="125" customFormat="false" ht="15" hidden="false" customHeight="false" outlineLevel="0" collapsed="false">
      <c r="A125" s="1" t="s">
        <v>91</v>
      </c>
      <c r="B125" s="1" t="s">
        <v>153</v>
      </c>
      <c r="C125" s="1" t="s">
        <v>93</v>
      </c>
      <c r="D125" s="5" t="n">
        <v>42.855</v>
      </c>
      <c r="E125" s="5" t="n">
        <v>-80.3607</v>
      </c>
      <c r="F125" s="5" t="n">
        <v>9.5</v>
      </c>
      <c r="G125" s="6" t="s">
        <v>35</v>
      </c>
      <c r="H125" s="1" t="s">
        <v>94</v>
      </c>
      <c r="I125" s="1" t="n">
        <v>95</v>
      </c>
      <c r="J125" s="3" t="n">
        <f aca="false">ROUND((D125+90)*2, 0)</f>
        <v>266</v>
      </c>
      <c r="K125" s="1" t="n">
        <f aca="false">ROUND((E125+180)*(3/2), 0)</f>
        <v>149</v>
      </c>
    </row>
    <row r="126" customFormat="false" ht="15" hidden="false" customHeight="false" outlineLevel="0" collapsed="false">
      <c r="A126" s="1" t="s">
        <v>91</v>
      </c>
      <c r="B126" s="1" t="s">
        <v>154</v>
      </c>
      <c r="C126" s="1" t="s">
        <v>93</v>
      </c>
      <c r="D126" s="5" t="n">
        <v>42.8883</v>
      </c>
      <c r="E126" s="5" t="n">
        <v>-79.819</v>
      </c>
      <c r="F126" s="5" t="n">
        <v>100</v>
      </c>
      <c r="G126" s="6" t="s">
        <v>155</v>
      </c>
      <c r="H126" s="1" t="s">
        <v>94</v>
      </c>
      <c r="I126" s="1" t="n">
        <v>95</v>
      </c>
      <c r="J126" s="3" t="n">
        <f aca="false">ROUND((D126+90)*2, 0)</f>
        <v>266</v>
      </c>
      <c r="K126" s="1" t="n">
        <f aca="false">ROUND((E126+180)*(3/2), 0)</f>
        <v>150</v>
      </c>
    </row>
    <row r="127" customFormat="false" ht="15" hidden="false" customHeight="false" outlineLevel="0" collapsed="false">
      <c r="A127" s="1" t="s">
        <v>91</v>
      </c>
      <c r="B127" s="1" t="s">
        <v>156</v>
      </c>
      <c r="C127" s="1" t="s">
        <v>93</v>
      </c>
      <c r="D127" s="5" t="n">
        <v>42.803689</v>
      </c>
      <c r="E127" s="5" t="n">
        <v>-80.04609</v>
      </c>
      <c r="F127" s="5" t="n">
        <v>44</v>
      </c>
      <c r="G127" s="6" t="s">
        <v>33</v>
      </c>
      <c r="H127" s="1" t="s">
        <v>94</v>
      </c>
      <c r="I127" s="1" t="n">
        <v>95</v>
      </c>
      <c r="J127" s="3" t="n">
        <f aca="false">ROUND((D127+90)*2, 0)</f>
        <v>266</v>
      </c>
      <c r="K127" s="1" t="n">
        <f aca="false">ROUND((E127+180)*(3/2), 0)</f>
        <v>150</v>
      </c>
    </row>
    <row r="128" customFormat="false" ht="15" hidden="false" customHeight="false" outlineLevel="0" collapsed="false">
      <c r="A128" s="1" t="s">
        <v>91</v>
      </c>
      <c r="B128" s="1" t="s">
        <v>157</v>
      </c>
      <c r="C128" s="1" t="s">
        <v>93</v>
      </c>
      <c r="D128" s="5" t="n">
        <v>42.8745</v>
      </c>
      <c r="E128" s="5" t="n">
        <v>-80.2972</v>
      </c>
      <c r="F128" s="5" t="n">
        <v>10</v>
      </c>
      <c r="G128" s="6" t="s">
        <v>33</v>
      </c>
      <c r="H128" s="1" t="s">
        <v>94</v>
      </c>
      <c r="I128" s="1" t="n">
        <v>95</v>
      </c>
      <c r="J128" s="3" t="n">
        <f aca="false">ROUND((D128+90)*2, 0)</f>
        <v>266</v>
      </c>
      <c r="K128" s="1" t="n">
        <f aca="false">ROUND((E128+180)*(3/2), 0)</f>
        <v>150</v>
      </c>
    </row>
    <row r="129" customFormat="false" ht="15" hidden="false" customHeight="false" outlineLevel="0" collapsed="false">
      <c r="A129" s="1" t="s">
        <v>91</v>
      </c>
      <c r="B129" s="1" t="s">
        <v>158</v>
      </c>
      <c r="C129" s="1" t="s">
        <v>93</v>
      </c>
      <c r="D129" s="5" t="n">
        <v>43.049</v>
      </c>
      <c r="E129" s="5" t="n">
        <v>-80.3883</v>
      </c>
      <c r="F129" s="5" t="n">
        <v>8</v>
      </c>
      <c r="G129" s="6" t="s">
        <v>33</v>
      </c>
      <c r="H129" s="1" t="s">
        <v>94</v>
      </c>
      <c r="I129" s="1" t="n">
        <v>95</v>
      </c>
      <c r="J129" s="3" t="n">
        <f aca="false">ROUND((D129+90)*2, 0)</f>
        <v>266</v>
      </c>
      <c r="K129" s="1" t="n">
        <f aca="false">ROUND((E129+180)*(3/2), 0)</f>
        <v>149</v>
      </c>
    </row>
    <row r="130" customFormat="false" ht="15" hidden="false" customHeight="false" outlineLevel="0" collapsed="false">
      <c r="A130" s="1" t="s">
        <v>91</v>
      </c>
      <c r="B130" s="1" t="s">
        <v>159</v>
      </c>
      <c r="C130" s="1" t="s">
        <v>93</v>
      </c>
      <c r="D130" s="5" t="n">
        <v>46.5236</v>
      </c>
      <c r="E130" s="5" t="n">
        <v>-84.4456</v>
      </c>
      <c r="F130" s="5" t="n">
        <v>69</v>
      </c>
      <c r="G130" s="6" t="s">
        <v>41</v>
      </c>
      <c r="H130" s="1" t="s">
        <v>94</v>
      </c>
      <c r="I130" s="1" t="n">
        <v>95</v>
      </c>
      <c r="J130" s="3" t="n">
        <f aca="false">ROUND((D130+90)*2, 0)</f>
        <v>273</v>
      </c>
      <c r="K130" s="1" t="n">
        <f aca="false">ROUND((E130+180)*(3/2), 0)</f>
        <v>143</v>
      </c>
    </row>
    <row r="131" customFormat="false" ht="15" hidden="false" customHeight="false" outlineLevel="0" collapsed="false">
      <c r="A131" s="1" t="s">
        <v>91</v>
      </c>
      <c r="B131" s="1" t="s">
        <v>160</v>
      </c>
      <c r="C131" s="1" t="s">
        <v>93</v>
      </c>
      <c r="D131" s="5" t="n">
        <v>44.629</v>
      </c>
      <c r="E131" s="5" t="n">
        <v>-79.8493</v>
      </c>
      <c r="F131" s="5" t="n">
        <v>9</v>
      </c>
      <c r="G131" s="6" t="s">
        <v>21</v>
      </c>
      <c r="H131" s="1" t="s">
        <v>94</v>
      </c>
      <c r="I131" s="1" t="n">
        <v>95</v>
      </c>
      <c r="J131" s="3" t="n">
        <f aca="false">ROUND((D131+90)*2, 0)</f>
        <v>269</v>
      </c>
      <c r="K131" s="1" t="n">
        <f aca="false">ROUND((E131+180)*(3/2), 0)</f>
        <v>150</v>
      </c>
    </row>
    <row r="132" customFormat="false" ht="15" hidden="false" customHeight="false" outlineLevel="0" collapsed="false">
      <c r="A132" s="1" t="s">
        <v>91</v>
      </c>
      <c r="B132" s="1" t="s">
        <v>161</v>
      </c>
      <c r="C132" s="1" t="s">
        <v>93</v>
      </c>
      <c r="D132" s="5" t="n">
        <v>44.651</v>
      </c>
      <c r="E132" s="5" t="n">
        <v>-78.7587</v>
      </c>
      <c r="F132" s="5" t="n">
        <v>21</v>
      </c>
      <c r="G132" s="6" t="s">
        <v>89</v>
      </c>
      <c r="H132" s="1" t="s">
        <v>94</v>
      </c>
      <c r="I132" s="1" t="n">
        <v>95</v>
      </c>
      <c r="J132" s="3" t="n">
        <f aca="false">ROUND((D132+90)*2, 0)</f>
        <v>269</v>
      </c>
      <c r="K132" s="1" t="n">
        <f aca="false">ROUND((E132+180)*(3/2), 0)</f>
        <v>152</v>
      </c>
    </row>
    <row r="133" customFormat="false" ht="15" hidden="false" customHeight="false" outlineLevel="0" collapsed="false">
      <c r="A133" s="1" t="s">
        <v>91</v>
      </c>
      <c r="B133" s="1" t="s">
        <v>162</v>
      </c>
      <c r="C133" s="1" t="s">
        <v>93</v>
      </c>
      <c r="D133" s="5" t="n">
        <v>44.2588</v>
      </c>
      <c r="E133" s="5" t="n">
        <v>-79.293</v>
      </c>
      <c r="F133" s="5" t="n">
        <v>100</v>
      </c>
      <c r="G133" s="6" t="s">
        <v>89</v>
      </c>
      <c r="H133" s="1" t="s">
        <v>94</v>
      </c>
      <c r="I133" s="1" t="n">
        <v>95</v>
      </c>
      <c r="J133" s="3" t="n">
        <f aca="false">ROUND((D133+90)*2, 0)</f>
        <v>269</v>
      </c>
      <c r="K133" s="1" t="n">
        <f aca="false">ROUND((E133+180)*(3/2), 0)</f>
        <v>151</v>
      </c>
    </row>
    <row r="134" customFormat="false" ht="15" hidden="false" customHeight="false" outlineLevel="0" collapsed="false">
      <c r="A134" s="1" t="s">
        <v>91</v>
      </c>
      <c r="B134" s="1" t="s">
        <v>163</v>
      </c>
      <c r="C134" s="1" t="s">
        <v>93</v>
      </c>
      <c r="D134" s="5" t="n">
        <v>42.2741</v>
      </c>
      <c r="E134" s="5" t="n">
        <v>-82.4267</v>
      </c>
      <c r="F134" s="5" t="n">
        <v>5</v>
      </c>
      <c r="G134" s="6" t="s">
        <v>33</v>
      </c>
      <c r="H134" s="1" t="s">
        <v>94</v>
      </c>
      <c r="I134" s="1" t="n">
        <v>95</v>
      </c>
      <c r="J134" s="3" t="n">
        <f aca="false">ROUND((D134+90)*2, 0)</f>
        <v>265</v>
      </c>
      <c r="K134" s="1" t="n">
        <f aca="false">ROUND((E134+180)*(3/2), 0)</f>
        <v>146</v>
      </c>
    </row>
    <row r="135" customFormat="false" ht="15" hidden="false" customHeight="false" outlineLevel="0" collapsed="false">
      <c r="A135" s="1" t="s">
        <v>91</v>
      </c>
      <c r="B135" s="1" t="s">
        <v>164</v>
      </c>
      <c r="C135" s="1" t="s">
        <v>93</v>
      </c>
      <c r="D135" s="5" t="n">
        <v>44.0616</v>
      </c>
      <c r="E135" s="5" t="n">
        <v>-79.1816</v>
      </c>
      <c r="F135" s="5" t="n">
        <v>16.5</v>
      </c>
      <c r="G135" s="6" t="s">
        <v>89</v>
      </c>
      <c r="H135" s="1" t="s">
        <v>94</v>
      </c>
      <c r="I135" s="1" t="n">
        <v>95</v>
      </c>
      <c r="J135" s="3" t="n">
        <f aca="false">ROUND((D135+90)*2, 0)</f>
        <v>268</v>
      </c>
      <c r="K135" s="1" t="n">
        <f aca="false">ROUND((E135+180)*(3/2), 0)</f>
        <v>151</v>
      </c>
    </row>
    <row r="136" customFormat="false" ht="15" hidden="false" customHeight="false" outlineLevel="0" collapsed="false">
      <c r="A136" s="1" t="s">
        <v>91</v>
      </c>
      <c r="B136" s="1" t="s">
        <v>165</v>
      </c>
      <c r="C136" s="1" t="s">
        <v>93</v>
      </c>
      <c r="D136" s="5" t="n">
        <v>42.281</v>
      </c>
      <c r="E136" s="5" t="n">
        <v>-82.9351</v>
      </c>
      <c r="F136" s="5" t="n">
        <v>50</v>
      </c>
      <c r="G136" s="6" t="s">
        <v>33</v>
      </c>
      <c r="H136" s="1" t="s">
        <v>94</v>
      </c>
      <c r="I136" s="1" t="n">
        <v>95</v>
      </c>
      <c r="J136" s="3" t="n">
        <f aca="false">ROUND((D136+90)*2, 0)</f>
        <v>265</v>
      </c>
      <c r="K136" s="1" t="n">
        <f aca="false">ROUND((E136+180)*(3/2), 0)</f>
        <v>146</v>
      </c>
    </row>
    <row r="137" customFormat="false" ht="15" hidden="false" customHeight="false" outlineLevel="0" collapsed="false">
      <c r="A137" s="1" t="s">
        <v>91</v>
      </c>
      <c r="B137" s="1" t="s">
        <v>166</v>
      </c>
      <c r="C137" s="1" t="s">
        <v>93</v>
      </c>
      <c r="D137" s="5" t="n">
        <v>42.9417</v>
      </c>
      <c r="E137" s="5" t="n">
        <v>-82.3394</v>
      </c>
      <c r="F137" s="5" t="n">
        <v>80</v>
      </c>
      <c r="G137" s="6" t="s">
        <v>33</v>
      </c>
      <c r="H137" s="1" t="s">
        <v>94</v>
      </c>
      <c r="I137" s="1" t="n">
        <v>95</v>
      </c>
      <c r="J137" s="3" t="n">
        <f aca="false">ROUND((D137+90)*2, 0)</f>
        <v>266</v>
      </c>
      <c r="K137" s="1" t="n">
        <f aca="false">ROUND((E137+180)*(3/2), 0)</f>
        <v>146</v>
      </c>
    </row>
    <row r="138" customFormat="false" ht="15" hidden="false" customHeight="false" outlineLevel="0" collapsed="false">
      <c r="A138" s="1" t="s">
        <v>91</v>
      </c>
      <c r="B138" s="1" t="s">
        <v>167</v>
      </c>
      <c r="C138" s="1" t="s">
        <v>93</v>
      </c>
      <c r="D138" s="5" t="n">
        <v>42.8692</v>
      </c>
      <c r="E138" s="5" t="n">
        <v>-82.4207</v>
      </c>
      <c r="F138" s="5" t="n">
        <v>20</v>
      </c>
      <c r="G138" s="6" t="s">
        <v>33</v>
      </c>
      <c r="H138" s="1" t="s">
        <v>94</v>
      </c>
      <c r="I138" s="1" t="n">
        <v>95</v>
      </c>
      <c r="J138" s="3" t="n">
        <f aca="false">ROUND((D138+90)*2, 0)</f>
        <v>266</v>
      </c>
      <c r="K138" s="1" t="n">
        <f aca="false">ROUND((E138+180)*(3/2), 0)</f>
        <v>146</v>
      </c>
    </row>
    <row r="139" customFormat="false" ht="15" hidden="false" customHeight="false" outlineLevel="0" collapsed="false">
      <c r="A139" s="1" t="s">
        <v>91</v>
      </c>
      <c r="B139" s="1" t="s">
        <v>168</v>
      </c>
      <c r="C139" s="1" t="s">
        <v>93</v>
      </c>
      <c r="D139" s="5" t="n">
        <v>42.7113</v>
      </c>
      <c r="E139" s="5" t="n">
        <v>-82.4619</v>
      </c>
      <c r="F139" s="5" t="n">
        <v>20</v>
      </c>
      <c r="G139" s="6" t="s">
        <v>33</v>
      </c>
      <c r="H139" s="1" t="s">
        <v>94</v>
      </c>
      <c r="I139" s="1" t="n">
        <v>95</v>
      </c>
      <c r="J139" s="3" t="n">
        <f aca="false">ROUND((D139+90)*2, 0)</f>
        <v>265</v>
      </c>
      <c r="K139" s="1" t="n">
        <f aca="false">ROUND((E139+180)*(3/2), 0)</f>
        <v>146</v>
      </c>
    </row>
    <row r="140" customFormat="false" ht="15" hidden="false" customHeight="false" outlineLevel="0" collapsed="false">
      <c r="A140" s="1" t="s">
        <v>91</v>
      </c>
      <c r="B140" s="1" t="s">
        <v>169</v>
      </c>
      <c r="C140" s="1" t="s">
        <v>93</v>
      </c>
      <c r="D140" s="5" t="n">
        <v>44.5392</v>
      </c>
      <c r="E140" s="5" t="n">
        <v>-79.765</v>
      </c>
      <c r="F140" s="5" t="n">
        <v>22</v>
      </c>
      <c r="G140" s="6" t="s">
        <v>21</v>
      </c>
      <c r="H140" s="1" t="s">
        <v>94</v>
      </c>
      <c r="I140" s="1" t="n">
        <v>95</v>
      </c>
      <c r="J140" s="3" t="n">
        <f aca="false">ROUND((D140+90)*2, 0)</f>
        <v>269</v>
      </c>
      <c r="K140" s="1" t="n">
        <f aca="false">ROUND((E140+180)*(3/2), 0)</f>
        <v>150</v>
      </c>
    </row>
    <row r="141" customFormat="false" ht="15" hidden="false" customHeight="false" outlineLevel="0" collapsed="false">
      <c r="A141" s="1" t="s">
        <v>91</v>
      </c>
      <c r="B141" s="1" t="s">
        <v>170</v>
      </c>
      <c r="C141" s="1" t="s">
        <v>93</v>
      </c>
      <c r="D141" s="5" t="n">
        <v>42.7841</v>
      </c>
      <c r="E141" s="5" t="n">
        <v>-80.2655</v>
      </c>
      <c r="F141" s="5" t="n">
        <v>9.1</v>
      </c>
      <c r="G141" s="6" t="s">
        <v>35</v>
      </c>
      <c r="H141" s="1" t="s">
        <v>94</v>
      </c>
      <c r="I141" s="1" t="n">
        <v>95</v>
      </c>
      <c r="J141" s="3" t="n">
        <f aca="false">ROUND((D141+90)*2, 0)</f>
        <v>266</v>
      </c>
      <c r="K141" s="1" t="n">
        <f aca="false">ROUND((E141+180)*(3/2), 0)</f>
        <v>150</v>
      </c>
    </row>
    <row r="142" customFormat="false" ht="15" hidden="false" customHeight="false" outlineLevel="0" collapsed="false">
      <c r="A142" s="1" t="s">
        <v>91</v>
      </c>
      <c r="B142" s="1" t="s">
        <v>171</v>
      </c>
      <c r="C142" s="1" t="s">
        <v>93</v>
      </c>
      <c r="D142" s="5" t="n">
        <v>42.9359</v>
      </c>
      <c r="E142" s="5" t="n">
        <v>-80.1435</v>
      </c>
      <c r="F142" s="5" t="n">
        <v>20</v>
      </c>
      <c r="G142" s="6" t="s">
        <v>35</v>
      </c>
      <c r="H142" s="1" t="s">
        <v>94</v>
      </c>
      <c r="I142" s="1" t="n">
        <v>95</v>
      </c>
      <c r="J142" s="3" t="n">
        <f aca="false">ROUND((D142+90)*2, 0)</f>
        <v>266</v>
      </c>
      <c r="K142" s="1" t="n">
        <f aca="false">ROUND((E142+180)*(3/2), 0)</f>
        <v>150</v>
      </c>
    </row>
    <row r="143" customFormat="false" ht="15" hidden="false" customHeight="false" outlineLevel="0" collapsed="false">
      <c r="A143" s="1" t="s">
        <v>91</v>
      </c>
      <c r="B143" s="1" t="s">
        <v>172</v>
      </c>
      <c r="C143" s="1" t="s">
        <v>93</v>
      </c>
      <c r="D143" s="5" t="n">
        <v>42.4454</v>
      </c>
      <c r="E143" s="5" t="n">
        <v>-81.8504</v>
      </c>
      <c r="F143" s="5" t="n">
        <v>9.4</v>
      </c>
      <c r="G143" s="6" t="s">
        <v>33</v>
      </c>
      <c r="H143" s="1" t="s">
        <v>94</v>
      </c>
      <c r="I143" s="1" t="n">
        <v>95</v>
      </c>
      <c r="J143" s="3" t="n">
        <f aca="false">ROUND((D143+90)*2, 0)</f>
        <v>265</v>
      </c>
      <c r="K143" s="1" t="n">
        <f aca="false">ROUND((E143+180)*(3/2), 0)</f>
        <v>147</v>
      </c>
    </row>
    <row r="144" customFormat="false" ht="15" hidden="false" customHeight="false" outlineLevel="0" collapsed="false">
      <c r="A144" s="1" t="s">
        <v>91</v>
      </c>
      <c r="B144" s="1" t="s">
        <v>173</v>
      </c>
      <c r="C144" s="1" t="s">
        <v>93</v>
      </c>
      <c r="D144" s="5" t="n">
        <v>45.6081</v>
      </c>
      <c r="E144" s="5" t="n">
        <v>-79.4262</v>
      </c>
      <c r="F144" s="5" t="n">
        <v>20</v>
      </c>
      <c r="G144" s="6" t="s">
        <v>21</v>
      </c>
      <c r="H144" s="1" t="s">
        <v>94</v>
      </c>
      <c r="I144" s="1" t="n">
        <v>95</v>
      </c>
      <c r="J144" s="3" t="n">
        <f aca="false">ROUND((D144+90)*2, 0)</f>
        <v>271</v>
      </c>
      <c r="K144" s="1" t="n">
        <f aca="false">ROUND((E144+180)*(3/2), 0)</f>
        <v>151</v>
      </c>
    </row>
    <row r="145" customFormat="false" ht="15" hidden="false" customHeight="false" outlineLevel="0" collapsed="false">
      <c r="A145" s="1" t="s">
        <v>91</v>
      </c>
      <c r="B145" s="1" t="s">
        <v>174</v>
      </c>
      <c r="C145" s="1" t="s">
        <v>93</v>
      </c>
      <c r="D145" s="5" t="n">
        <v>44.5825</v>
      </c>
      <c r="E145" s="5" t="n">
        <v>-79.4981</v>
      </c>
      <c r="F145" s="5" t="n">
        <v>48</v>
      </c>
      <c r="G145" s="6" t="s">
        <v>21</v>
      </c>
      <c r="H145" s="1" t="s">
        <v>94</v>
      </c>
      <c r="I145" s="1" t="n">
        <v>95</v>
      </c>
      <c r="J145" s="3" t="n">
        <f aca="false">ROUND((D145+90)*2, 0)</f>
        <v>269</v>
      </c>
      <c r="K145" s="1" t="n">
        <f aca="false">ROUND((E145+180)*(3/2), 0)</f>
        <v>151</v>
      </c>
    </row>
    <row r="146" customFormat="false" ht="15" hidden="false" customHeight="false" outlineLevel="0" collapsed="false">
      <c r="A146" s="1" t="s">
        <v>91</v>
      </c>
      <c r="B146" s="1" t="s">
        <v>175</v>
      </c>
      <c r="C146" s="1" t="s">
        <v>93</v>
      </c>
      <c r="D146" s="5" t="n">
        <v>44.6982</v>
      </c>
      <c r="E146" s="5" t="n">
        <v>-79.8423</v>
      </c>
      <c r="F146" s="5" t="n">
        <v>20</v>
      </c>
      <c r="G146" s="6" t="s">
        <v>21</v>
      </c>
      <c r="H146" s="1" t="s">
        <v>94</v>
      </c>
      <c r="I146" s="1" t="n">
        <v>95</v>
      </c>
      <c r="J146" s="3" t="n">
        <f aca="false">ROUND((D146+90)*2, 0)</f>
        <v>269</v>
      </c>
      <c r="K146" s="1" t="n">
        <f aca="false">ROUND((E146+180)*(3/2), 0)</f>
        <v>150</v>
      </c>
    </row>
    <row r="147" customFormat="false" ht="15" hidden="false" customHeight="false" outlineLevel="0" collapsed="false">
      <c r="A147" s="1" t="s">
        <v>91</v>
      </c>
      <c r="B147" s="1" t="s">
        <v>176</v>
      </c>
      <c r="C147" s="1" t="s">
        <v>93</v>
      </c>
      <c r="D147" s="5" t="n">
        <v>44.0636</v>
      </c>
      <c r="E147" s="5" t="n">
        <v>-78.8664</v>
      </c>
      <c r="F147" s="5" t="n">
        <v>10</v>
      </c>
      <c r="G147" s="6" t="s">
        <v>43</v>
      </c>
      <c r="H147" s="1" t="s">
        <v>94</v>
      </c>
      <c r="I147" s="1" t="n">
        <v>95</v>
      </c>
      <c r="J147" s="3" t="n">
        <f aca="false">ROUND((D147+90)*2, 0)</f>
        <v>268</v>
      </c>
      <c r="K147" s="1" t="n">
        <f aca="false">ROUND((E147+180)*(3/2), 0)</f>
        <v>152</v>
      </c>
    </row>
  </sheetData>
  <dataValidations count="4">
    <dataValidation allowBlank="true" operator="between" showDropDown="false" showErrorMessage="true" showInputMessage="true" sqref="C2:C147" type="list">
      <formula1>INDIRECT($A2)</formula1>
      <formula2>0</formula2>
    </dataValidation>
    <dataValidation allowBlank="true" operator="between" showDropDown="false" showErrorMessage="true" showInputMessage="true" sqref="I67:I147" type="custom">
      <formula1>#ref!&lt;#ref!*10^6</formula1>
      <formula2>0</formula2>
    </dataValidation>
    <dataValidation allowBlank="true" operator="between" showDropDown="false" showErrorMessage="true" showInputMessage="true" sqref="H2:H66" type="list">
      <formula1>INDIRECT(C2)</formula1>
      <formula2>0</formula2>
    </dataValidation>
    <dataValidation allowBlank="true" operator="between" showDropDown="false" showErrorMessage="true" showInputMessage="true" sqref="I2:I66" type="custom">
      <formula1>L2&lt;T2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6600"/>
    <pageSetUpPr fitToPage="false"/>
  </sheetPr>
  <dimension ref="A1:F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8.5390625" defaultRowHeight="15" zeroHeight="false" outlineLevelRow="0" outlineLevelCol="0"/>
  <cols>
    <col collapsed="false" customWidth="true" hidden="false" outlineLevel="0" max="1" min="1" style="0" width="47.43"/>
    <col collapsed="false" customWidth="true" hidden="false" outlineLevel="0" max="2" min="2" style="0" width="70.71"/>
    <col collapsed="false" customWidth="true" hidden="false" outlineLevel="0" max="3" min="3" style="0" width="46"/>
    <col collapsed="false" customWidth="true" hidden="false" outlineLevel="0" max="6" min="6" style="0" width="15.14"/>
  </cols>
  <sheetData>
    <row r="1" customFormat="false" ht="15" hidden="false" customHeight="false" outlineLevel="0" collapsed="false">
      <c r="A1" s="0" t="s">
        <v>177</v>
      </c>
      <c r="B1" s="0" t="s">
        <v>178</v>
      </c>
    </row>
    <row r="2" customFormat="false" ht="15" hidden="false" customHeight="false" outlineLevel="0" collapsed="false">
      <c r="A2" s="0" t="s">
        <v>179</v>
      </c>
      <c r="B2" s="10" t="s">
        <v>180</v>
      </c>
    </row>
    <row r="3" customFormat="false" ht="15" hidden="false" customHeight="false" outlineLevel="0" collapsed="false">
      <c r="A3" s="0" t="s">
        <v>181</v>
      </c>
      <c r="B3" s="10" t="s">
        <v>182</v>
      </c>
    </row>
    <row r="5" customFormat="false" ht="15" hidden="false" customHeight="false" outlineLevel="0" collapsed="false">
      <c r="A5" s="0" t="s">
        <v>183</v>
      </c>
      <c r="B5" s="11" t="n">
        <v>0</v>
      </c>
      <c r="C5" s="0" t="s">
        <v>184</v>
      </c>
    </row>
    <row r="6" customFormat="false" ht="15" hidden="false" customHeight="false" outlineLevel="0" collapsed="false">
      <c r="A6" s="0" t="s">
        <v>185</v>
      </c>
      <c r="B6" s="11" t="n">
        <v>0</v>
      </c>
      <c r="C6" s="0" t="s">
        <v>186</v>
      </c>
    </row>
    <row r="7" customFormat="false" ht="15" hidden="false" customHeight="false" outlineLevel="0" collapsed="false">
      <c r="A7" s="0" t="s">
        <v>187</v>
      </c>
      <c r="B7" s="11" t="n">
        <v>0</v>
      </c>
    </row>
    <row r="8" customFormat="false" ht="15" hidden="false" customHeight="false" outlineLevel="0" collapsed="false">
      <c r="B8" s="11"/>
    </row>
    <row r="9" customFormat="false" ht="15" hidden="false" customHeight="false" outlineLevel="0" collapsed="false">
      <c r="A9" s="0" t="s">
        <v>188</v>
      </c>
      <c r="B9" s="11" t="s">
        <v>189</v>
      </c>
    </row>
    <row r="11" customFormat="false" ht="15" hidden="false" customHeight="false" outlineLevel="0" collapsed="false">
      <c r="A11" s="0" t="s">
        <v>190</v>
      </c>
      <c r="B11" s="12" t="n">
        <v>41190</v>
      </c>
      <c r="C11" s="0" t="s">
        <v>191</v>
      </c>
    </row>
    <row r="12" customFormat="false" ht="15" hidden="false" customHeight="false" outlineLevel="0" collapsed="false">
      <c r="A12" s="0" t="s">
        <v>192</v>
      </c>
      <c r="B12" s="12" t="n">
        <v>41196.9583333333</v>
      </c>
      <c r="C12" s="0" t="s">
        <v>193</v>
      </c>
    </row>
    <row r="13" customFormat="false" ht="15" hidden="false" customHeight="false" outlineLevel="0" collapsed="false">
      <c r="A13" s="0" t="s">
        <v>194</v>
      </c>
      <c r="B13" s="0" t="s">
        <v>195</v>
      </c>
    </row>
    <row r="14" customFormat="false" ht="15" hidden="false" customHeight="false" outlineLevel="0" collapsed="false">
      <c r="A14" s="0" t="s">
        <v>196</v>
      </c>
      <c r="B14" s="13" t="s">
        <v>197</v>
      </c>
    </row>
    <row r="15" customFormat="false" ht="15" hidden="false" customHeight="false" outlineLevel="0" collapsed="false">
      <c r="A15" s="0" t="s">
        <v>198</v>
      </c>
      <c r="B15" s="13" t="s">
        <v>199</v>
      </c>
    </row>
    <row r="16" customFormat="false" ht="15" hidden="false" customHeight="false" outlineLevel="0" collapsed="false">
      <c r="A16" s="0" t="s">
        <v>200</v>
      </c>
      <c r="B16" s="10" t="s">
        <v>201</v>
      </c>
    </row>
    <row r="19" customFormat="false" ht="15" hidden="false" customHeight="false" outlineLevel="0" collapsed="false">
      <c r="A19" s="0" t="s">
        <v>202</v>
      </c>
      <c r="B19" s="0" t="s">
        <v>203</v>
      </c>
    </row>
    <row r="20" customFormat="false" ht="15" hidden="false" customHeight="false" outlineLevel="0" collapsed="false">
      <c r="B20" s="0" t="s">
        <v>204</v>
      </c>
    </row>
    <row r="21" customFormat="false" ht="15" hidden="false" customHeight="false" outlineLevel="0" collapsed="false">
      <c r="B21" s="0" t="s">
        <v>205</v>
      </c>
    </row>
    <row r="22" customFormat="false" ht="15" hidden="false" customHeight="false" outlineLevel="0" collapsed="false">
      <c r="B22" s="0" t="s">
        <v>206</v>
      </c>
    </row>
    <row r="23" customFormat="false" ht="15" hidden="false" customHeight="false" outlineLevel="0" collapsed="false">
      <c r="B23" s="0" t="s">
        <v>207</v>
      </c>
    </row>
    <row r="24" customFormat="false" ht="15" hidden="false" customHeight="false" outlineLevel="0" collapsed="false">
      <c r="B24" s="0" t="s">
        <v>208</v>
      </c>
    </row>
    <row r="27" customFormat="false" ht="15" hidden="false" customHeight="false" outlineLevel="0" collapsed="false">
      <c r="A27" s="0" t="s">
        <v>209</v>
      </c>
      <c r="B27" s="0" t="s">
        <v>210</v>
      </c>
    </row>
    <row r="28" customFormat="false" ht="15" hidden="false" customHeight="false" outlineLevel="0" collapsed="false">
      <c r="A28" s="14"/>
    </row>
    <row r="30" customFormat="false" ht="15" hidden="false" customHeight="false" outlineLevel="0" collapsed="false">
      <c r="B30" s="15"/>
    </row>
    <row r="31" customFormat="false" ht="15" hidden="false" customHeight="false" outlineLevel="0" collapsed="false">
      <c r="B31" s="15"/>
    </row>
    <row r="32" customFormat="false" ht="15" hidden="false" customHeight="false" outlineLevel="0" collapsed="false">
      <c r="B32" s="15"/>
      <c r="D32" s="16"/>
    </row>
    <row r="33" customFormat="false" ht="15" hidden="false" customHeight="false" outlineLevel="0" collapsed="false">
      <c r="B33" s="15"/>
      <c r="D33" s="16"/>
    </row>
    <row r="34" customFormat="false" ht="15" hidden="false" customHeight="false" outlineLevel="0" collapsed="false">
      <c r="B34" s="15"/>
      <c r="C34" s="15"/>
      <c r="D34" s="16"/>
      <c r="E34" s="17"/>
      <c r="F34" s="18"/>
    </row>
    <row r="35" customFormat="false" ht="15" hidden="false" customHeight="false" outlineLevel="0" collapsed="false">
      <c r="B35" s="15"/>
      <c r="D35" s="16"/>
      <c r="E35" s="17"/>
      <c r="F35" s="18"/>
    </row>
    <row r="36" customFormat="false" ht="15" hidden="false" customHeight="false" outlineLevel="0" collapsed="false">
      <c r="B36" s="15"/>
      <c r="D36" s="16"/>
      <c r="E36" s="17"/>
      <c r="F36" s="18"/>
    </row>
    <row r="37" customFormat="false" ht="15" hidden="false" customHeight="false" outlineLevel="0" collapsed="false">
      <c r="D37" s="16"/>
      <c r="E37" s="17"/>
      <c r="F37" s="18"/>
    </row>
    <row r="38" customFormat="false" ht="15" hidden="false" customHeight="false" outlineLevel="0" collapsed="false">
      <c r="D38" s="16"/>
      <c r="E38" s="17"/>
      <c r="F38" s="18"/>
    </row>
    <row r="39" customFormat="false" ht="15" hidden="false" customHeight="false" outlineLevel="0" collapsed="false">
      <c r="D39" s="16"/>
      <c r="E39" s="17"/>
      <c r="F39" s="18"/>
    </row>
    <row r="40" customFormat="false" ht="15" hidden="false" customHeight="false" outlineLevel="0" collapsed="false">
      <c r="D40" s="16"/>
      <c r="E40" s="17"/>
      <c r="F40" s="18"/>
    </row>
    <row r="41" customFormat="false" ht="15" hidden="false" customHeight="false" outlineLevel="0" collapsed="false">
      <c r="D41" s="16"/>
      <c r="E41" s="17"/>
      <c r="F41" s="18"/>
    </row>
    <row r="42" customFormat="false" ht="15" hidden="false" customHeight="false" outlineLevel="0" collapsed="false">
      <c r="D42" s="16"/>
      <c r="E42" s="17"/>
      <c r="F42" s="18"/>
    </row>
    <row r="43" customFormat="false" ht="15" hidden="false" customHeight="false" outlineLevel="0" collapsed="false">
      <c r="D43" s="16"/>
      <c r="E43" s="17"/>
      <c r="F43" s="18"/>
    </row>
    <row r="44" customFormat="false" ht="15" hidden="false" customHeight="false" outlineLevel="0" collapsed="false">
      <c r="D44" s="16"/>
      <c r="E44" s="17"/>
      <c r="F44" s="18"/>
    </row>
    <row r="45" customFormat="false" ht="15" hidden="false" customHeight="false" outlineLevel="0" collapsed="false">
      <c r="D45" s="16"/>
      <c r="E45" s="17"/>
      <c r="F45" s="18"/>
    </row>
    <row r="47" customFormat="false" ht="15" hidden="false" customHeight="false" outlineLevel="0" collapsed="false">
      <c r="F47" s="1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true"/>
  </sheetPr>
  <dimension ref="A1:Z138"/>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1" ySplit="4" topLeftCell="B17" activePane="bottomRight" state="frozen"/>
      <selection pane="topLeft" activeCell="A1" activeCellId="0" sqref="A1"/>
      <selection pane="topRight" activeCell="B1" activeCellId="0" sqref="B1"/>
      <selection pane="bottomLeft" activeCell="A17" activeCellId="0" sqref="A17"/>
      <selection pane="bottomRight" activeCell="A12" activeCellId="0" sqref="A12"/>
    </sheetView>
  </sheetViews>
  <sheetFormatPr defaultColWidth="8.5390625" defaultRowHeight="15" zeroHeight="false" outlineLevelRow="0" outlineLevelCol="0"/>
  <cols>
    <col collapsed="false" customWidth="true" hidden="false" outlineLevel="0" max="1" min="1" style="0" width="33.14"/>
    <col collapsed="false" customWidth="true" hidden="false" outlineLevel="0" max="2" min="2" style="0" width="15"/>
    <col collapsed="false" customWidth="true" hidden="false" outlineLevel="0" max="3" min="3" style="0" width="14.14"/>
    <col collapsed="false" customWidth="true" hidden="false" outlineLevel="0" max="4" min="4" style="0" width="13.85"/>
    <col collapsed="false" customWidth="true" hidden="false" outlineLevel="0" max="5" min="5" style="0" width="15.28"/>
    <col collapsed="false" customWidth="true" hidden="false" outlineLevel="0" max="6" min="6" style="0" width="15.57"/>
    <col collapsed="false" customWidth="true" hidden="false" outlineLevel="0" max="7" min="7" style="0" width="15.85"/>
    <col collapsed="false" customWidth="true" hidden="false" outlineLevel="0" max="8" min="8" style="0" width="16.14"/>
    <col collapsed="false" customWidth="true" hidden="false" outlineLevel="0" max="9" min="9" style="0" width="14.43"/>
    <col collapsed="false" customWidth="true" hidden="false" outlineLevel="0" max="10" min="10" style="0" width="15.43"/>
    <col collapsed="false" customWidth="true" hidden="false" outlineLevel="0" max="16" min="11" style="0" width="14.43"/>
    <col collapsed="false" customWidth="true" hidden="false" outlineLevel="0" max="17" min="17" style="0" width="9.14"/>
    <col collapsed="false" customWidth="true" hidden="false" outlineLevel="0" max="18" min="18" style="0" width="9.71"/>
    <col collapsed="false" customWidth="true" hidden="false" outlineLevel="0" max="19" min="19" style="0" width="7.43"/>
    <col collapsed="false" customWidth="true" hidden="false" outlineLevel="0" max="20" min="20" style="0" width="14.43"/>
    <col collapsed="false" customWidth="true" hidden="false" outlineLevel="0" max="21" min="21" style="0" width="11.71"/>
    <col collapsed="false" customWidth="true" hidden="false" outlineLevel="0" max="24" min="22" style="0" width="14.43"/>
    <col collapsed="false" customWidth="true" hidden="false" outlineLevel="0" max="25" min="25" style="0" width="16.14"/>
  </cols>
  <sheetData>
    <row r="1" customFormat="false" ht="15" hidden="false" customHeight="false" outlineLevel="0" collapsed="false">
      <c r="A1" s="0" t="s">
        <v>211</v>
      </c>
      <c r="B1" s="19" t="n">
        <v>0</v>
      </c>
      <c r="C1" s="19" t="n">
        <v>1</v>
      </c>
      <c r="D1" s="19" t="n">
        <v>2</v>
      </c>
      <c r="E1" s="19" t="n">
        <v>3</v>
      </c>
      <c r="F1" s="19" t="n">
        <v>4</v>
      </c>
      <c r="G1" s="19" t="n">
        <v>5</v>
      </c>
      <c r="H1" s="19" t="n">
        <v>6</v>
      </c>
      <c r="I1" s="19" t="n">
        <v>7</v>
      </c>
      <c r="J1" s="19" t="n">
        <v>8</v>
      </c>
      <c r="K1" s="19" t="n">
        <v>9</v>
      </c>
      <c r="L1" s="19" t="n">
        <v>10</v>
      </c>
      <c r="M1" s="19" t="n">
        <v>11</v>
      </c>
      <c r="N1" s="19" t="n">
        <v>12</v>
      </c>
      <c r="O1" s="19" t="n">
        <v>13</v>
      </c>
      <c r="Y1" s="0" t="s">
        <v>212</v>
      </c>
    </row>
    <row r="2" s="15" customFormat="true" ht="15" hidden="false" customHeight="true" outlineLevel="0" collapsed="false">
      <c r="I2" s="15" t="s">
        <v>213</v>
      </c>
      <c r="M2" s="15" t="s">
        <v>214</v>
      </c>
      <c r="P2" s="20" t="s">
        <v>215</v>
      </c>
      <c r="Q2" s="20"/>
      <c r="R2" s="20"/>
      <c r="S2" s="20"/>
      <c r="T2" s="20"/>
      <c r="U2" s="20"/>
      <c r="V2" s="21"/>
      <c r="W2" s="22"/>
      <c r="X2" s="22"/>
    </row>
    <row r="3" s="15" customFormat="true" ht="60" hidden="false" customHeight="false" outlineLevel="0" collapsed="false">
      <c r="A3" s="23" t="s">
        <v>216</v>
      </c>
      <c r="B3" s="15" t="s">
        <v>217</v>
      </c>
      <c r="C3" s="15" t="s">
        <v>218</v>
      </c>
      <c r="D3" s="15" t="s">
        <v>219</v>
      </c>
      <c r="E3" s="15" t="s">
        <v>220</v>
      </c>
      <c r="F3" s="15" t="s">
        <v>221</v>
      </c>
      <c r="G3" s="15" t="s">
        <v>222</v>
      </c>
      <c r="H3" s="15" t="s">
        <v>223</v>
      </c>
      <c r="I3" s="15" t="s">
        <v>224</v>
      </c>
      <c r="J3" s="15" t="s">
        <v>225</v>
      </c>
      <c r="K3" s="15" t="s">
        <v>226</v>
      </c>
      <c r="L3" s="15" t="s">
        <v>227</v>
      </c>
      <c r="M3" s="15" t="s">
        <v>224</v>
      </c>
      <c r="N3" s="15" t="s">
        <v>225</v>
      </c>
      <c r="O3" s="15" t="s">
        <v>226</v>
      </c>
      <c r="P3" s="20" t="s">
        <v>228</v>
      </c>
      <c r="Q3" s="20" t="s">
        <v>229</v>
      </c>
      <c r="R3" s="20" t="s">
        <v>230</v>
      </c>
      <c r="S3" s="20" t="s">
        <v>231</v>
      </c>
      <c r="T3" s="20" t="s">
        <v>232</v>
      </c>
      <c r="U3" s="20" t="s">
        <v>233</v>
      </c>
      <c r="V3" s="21" t="s">
        <v>234</v>
      </c>
      <c r="W3" s="22" t="s">
        <v>235</v>
      </c>
      <c r="X3" s="22" t="s">
        <v>236</v>
      </c>
    </row>
    <row r="4" customFormat="false" ht="45" hidden="false" customHeight="false" outlineLevel="0" collapsed="false">
      <c r="B4" s="0" t="s">
        <v>237</v>
      </c>
      <c r="C4" s="0" t="s">
        <v>237</v>
      </c>
      <c r="D4" s="0" t="s">
        <v>237</v>
      </c>
      <c r="E4" s="0" t="s">
        <v>237</v>
      </c>
      <c r="F4" s="0" t="s">
        <v>237</v>
      </c>
      <c r="H4" s="0" t="s">
        <v>238</v>
      </c>
      <c r="I4" s="0" t="s">
        <v>239</v>
      </c>
      <c r="L4" s="0" t="s">
        <v>240</v>
      </c>
      <c r="M4" s="0" t="s">
        <v>241</v>
      </c>
      <c r="P4" s="0" t="s">
        <v>242</v>
      </c>
      <c r="Q4" s="0" t="s">
        <v>243</v>
      </c>
      <c r="R4" s="0" t="s">
        <v>243</v>
      </c>
      <c r="V4" s="21" t="s">
        <v>244</v>
      </c>
      <c r="W4" s="22" t="s">
        <v>244</v>
      </c>
      <c r="X4" s="22" t="s">
        <v>245</v>
      </c>
    </row>
    <row r="5" customFormat="false" ht="15" hidden="false" customHeight="false" outlineLevel="0" collapsed="false">
      <c r="A5" s="0" t="s">
        <v>246</v>
      </c>
      <c r="B5" s="24" t="n">
        <v>60</v>
      </c>
      <c r="C5" s="24" t="n">
        <v>4.2</v>
      </c>
      <c r="D5" s="24" t="n">
        <v>30.3</v>
      </c>
      <c r="E5" s="24" t="n">
        <v>1.2</v>
      </c>
      <c r="F5" s="24" t="n">
        <v>95.6</v>
      </c>
      <c r="G5" s="25" t="n">
        <f aca="false">3412/10459</f>
        <v>0.326226216655512</v>
      </c>
      <c r="H5" s="26" t="n">
        <v>820</v>
      </c>
      <c r="I5" s="27" t="n">
        <v>3</v>
      </c>
      <c r="J5" s="27" t="n">
        <v>6.5</v>
      </c>
      <c r="K5" s="27" t="n">
        <v>10</v>
      </c>
      <c r="L5" s="28" t="n">
        <v>2</v>
      </c>
      <c r="M5" s="29" t="n">
        <v>59</v>
      </c>
      <c r="N5" s="29" t="n">
        <v>65</v>
      </c>
      <c r="O5" s="29" t="n">
        <v>105</v>
      </c>
      <c r="P5" s="30" t="n">
        <v>10000</v>
      </c>
      <c r="Q5" s="30" t="n">
        <v>3</v>
      </c>
      <c r="R5" s="30" t="n">
        <v>3</v>
      </c>
      <c r="S5" s="30" t="n">
        <v>0</v>
      </c>
      <c r="T5" s="30"/>
      <c r="U5" s="30"/>
      <c r="V5" s="31" t="n">
        <v>0.53</v>
      </c>
      <c r="W5" s="32" t="n">
        <v>1</v>
      </c>
      <c r="X5" s="33" t="n">
        <v>2917</v>
      </c>
      <c r="Y5" s="34" t="s">
        <v>247</v>
      </c>
    </row>
    <row r="6" customFormat="false" ht="15" hidden="false" customHeight="false" outlineLevel="0" collapsed="false">
      <c r="A6" s="0" t="s">
        <v>248</v>
      </c>
      <c r="B6" s="35"/>
      <c r="C6" s="35"/>
      <c r="D6" s="35"/>
      <c r="E6" s="35"/>
      <c r="F6" s="35"/>
      <c r="G6" s="35"/>
      <c r="H6" s="35"/>
      <c r="I6" s="35"/>
      <c r="J6" s="35"/>
      <c r="K6" s="35"/>
      <c r="L6" s="35"/>
      <c r="M6" s="35"/>
      <c r="N6" s="35"/>
      <c r="O6" s="35"/>
      <c r="P6" s="30" t="n">
        <f aca="false">P5</f>
        <v>10000</v>
      </c>
      <c r="Q6" s="30" t="n">
        <v>4</v>
      </c>
      <c r="R6" s="30" t="n">
        <v>3</v>
      </c>
      <c r="S6" s="30" t="n">
        <v>0</v>
      </c>
      <c r="T6" s="30"/>
      <c r="U6" s="30"/>
      <c r="V6" s="31"/>
      <c r="W6" s="32" t="n">
        <v>1</v>
      </c>
      <c r="X6" s="33"/>
      <c r="Y6" s="6" t="s">
        <v>249</v>
      </c>
    </row>
    <row r="7" customFormat="false" ht="15" hidden="false" customHeight="false" outlineLevel="0" collapsed="false">
      <c r="A7" s="0" t="s">
        <v>250</v>
      </c>
      <c r="B7" s="24" t="n">
        <v>14.3</v>
      </c>
      <c r="C7" s="24" t="n">
        <v>1.7</v>
      </c>
      <c r="D7" s="24" t="n">
        <v>49.1</v>
      </c>
      <c r="E7" s="24" t="n">
        <v>1.2</v>
      </c>
      <c r="F7" s="24" t="n">
        <v>66.3</v>
      </c>
      <c r="G7" s="36" t="n">
        <v>0.55</v>
      </c>
      <c r="H7" s="26" t="n">
        <v>490</v>
      </c>
      <c r="I7" s="27" t="n">
        <v>1</v>
      </c>
      <c r="J7" s="27" t="n">
        <v>2</v>
      </c>
      <c r="K7" s="27" t="n">
        <v>4</v>
      </c>
      <c r="L7" s="28" t="n">
        <v>5</v>
      </c>
      <c r="M7" s="29" t="n">
        <v>35</v>
      </c>
      <c r="N7" s="29" t="n">
        <v>55</v>
      </c>
      <c r="O7" s="29" t="n">
        <v>79</v>
      </c>
      <c r="P7" s="30" t="n">
        <f aca="false">P6</f>
        <v>10000</v>
      </c>
      <c r="Q7" s="30" t="n">
        <v>4</v>
      </c>
      <c r="R7" s="30" t="n">
        <v>3</v>
      </c>
      <c r="S7" s="30" t="n">
        <v>0</v>
      </c>
      <c r="T7" s="30"/>
      <c r="U7" s="30"/>
      <c r="V7" s="31" t="n">
        <v>0.53</v>
      </c>
      <c r="W7" s="32" t="n">
        <v>1</v>
      </c>
      <c r="X7" s="33" t="n">
        <v>671</v>
      </c>
      <c r="Z7" s="37" t="s">
        <v>251</v>
      </c>
    </row>
    <row r="8" customFormat="false" ht="15" hidden="false" customHeight="false" outlineLevel="0" collapsed="false">
      <c r="A8" s="0" t="s">
        <v>252</v>
      </c>
      <c r="B8" s="24" t="n">
        <v>40.2</v>
      </c>
      <c r="C8" s="24" t="n">
        <v>2.8</v>
      </c>
      <c r="D8" s="24" t="n">
        <v>82</v>
      </c>
      <c r="E8" s="24" t="n">
        <v>3.4</v>
      </c>
      <c r="F8" s="24" t="n">
        <v>128.4</v>
      </c>
      <c r="G8" s="36" t="n">
        <v>0.35</v>
      </c>
      <c r="H8" s="38" t="n">
        <v>530</v>
      </c>
      <c r="I8" s="27" t="n">
        <v>0.5</v>
      </c>
      <c r="J8" s="27" t="n">
        <v>0.5</v>
      </c>
      <c r="K8" s="27" t="n">
        <v>0.5</v>
      </c>
      <c r="L8" s="28" t="n">
        <v>8</v>
      </c>
      <c r="M8" s="29" t="n">
        <v>32</v>
      </c>
      <c r="N8" s="29" t="n">
        <v>126</v>
      </c>
      <c r="O8" s="29" t="n">
        <v>103</v>
      </c>
      <c r="P8" s="30" t="n">
        <f aca="false">P7</f>
        <v>10000</v>
      </c>
      <c r="Q8" s="30" t="n">
        <v>4</v>
      </c>
      <c r="R8" s="30" t="n">
        <v>3</v>
      </c>
      <c r="S8" s="30" t="n">
        <v>0</v>
      </c>
      <c r="T8" s="30"/>
      <c r="U8" s="30"/>
      <c r="V8" s="31" t="n">
        <v>1</v>
      </c>
      <c r="W8" s="32" t="n">
        <v>1</v>
      </c>
      <c r="X8" s="33" t="n">
        <v>968</v>
      </c>
      <c r="Z8" s="39" t="s">
        <v>253</v>
      </c>
    </row>
    <row r="9" customFormat="false" ht="15" hidden="false" customHeight="false" outlineLevel="0" collapsed="false">
      <c r="A9" s="0" t="s">
        <v>254</v>
      </c>
      <c r="B9" s="24" t="n">
        <v>40.2</v>
      </c>
      <c r="C9" s="24" t="n">
        <v>2.8</v>
      </c>
      <c r="D9" s="24" t="n">
        <v>82</v>
      </c>
      <c r="E9" s="24" t="n">
        <v>3.4</v>
      </c>
      <c r="F9" s="24" t="n">
        <v>128.4</v>
      </c>
      <c r="G9" s="36" t="n">
        <v>0.35</v>
      </c>
      <c r="H9" s="38" t="n">
        <v>530</v>
      </c>
      <c r="I9" s="27" t="n">
        <v>0.5</v>
      </c>
      <c r="J9" s="27" t="n">
        <v>0.5</v>
      </c>
      <c r="K9" s="27" t="n">
        <v>0.5</v>
      </c>
      <c r="L9" s="28" t="n">
        <v>8</v>
      </c>
      <c r="M9" s="29" t="n">
        <v>32</v>
      </c>
      <c r="N9" s="29" t="n">
        <v>126</v>
      </c>
      <c r="O9" s="29" t="n">
        <v>103</v>
      </c>
      <c r="P9" s="30" t="n">
        <f aca="false">P8</f>
        <v>10000</v>
      </c>
      <c r="Q9" s="30" t="n">
        <v>4</v>
      </c>
      <c r="R9" s="30" t="n">
        <v>3</v>
      </c>
      <c r="S9" s="30" t="n">
        <v>0</v>
      </c>
      <c r="T9" s="30"/>
      <c r="U9" s="30"/>
      <c r="V9" s="31" t="n">
        <v>1</v>
      </c>
      <c r="W9" s="32" t="n">
        <v>1</v>
      </c>
      <c r="X9" s="33" t="n">
        <v>968</v>
      </c>
      <c r="Z9" s="39"/>
    </row>
    <row r="10" customFormat="false" ht="15" hidden="false" customHeight="false" outlineLevel="0" collapsed="false">
      <c r="A10" s="0" t="s">
        <v>255</v>
      </c>
      <c r="B10" s="35" t="n">
        <v>8</v>
      </c>
      <c r="C10" s="35" t="n">
        <v>2</v>
      </c>
      <c r="D10" s="35" t="n">
        <v>288</v>
      </c>
      <c r="E10" s="35"/>
      <c r="F10" s="35"/>
      <c r="G10" s="25" t="n">
        <f aca="false">3412/10713</f>
        <v>0.318491552319612</v>
      </c>
      <c r="H10" s="40" t="n">
        <v>733</v>
      </c>
      <c r="I10" s="35"/>
      <c r="J10" s="35"/>
      <c r="K10" s="35"/>
      <c r="L10" s="35"/>
      <c r="M10" s="35"/>
      <c r="N10" s="35"/>
      <c r="O10" s="35" t="n">
        <v>10000000</v>
      </c>
      <c r="P10" s="30" t="n">
        <f aca="false">P8</f>
        <v>10000</v>
      </c>
      <c r="Q10" s="30"/>
      <c r="R10" s="30"/>
      <c r="S10" s="30" t="n">
        <v>0</v>
      </c>
      <c r="T10" s="30"/>
      <c r="U10" s="30"/>
      <c r="V10" s="31" t="n">
        <v>0.86</v>
      </c>
      <c r="W10" s="32" t="n">
        <v>1</v>
      </c>
      <c r="X10" s="33"/>
    </row>
    <row r="11" customFormat="false" ht="15" hidden="false" customHeight="false" outlineLevel="0" collapsed="false">
      <c r="A11" s="0" t="s">
        <v>256</v>
      </c>
      <c r="B11" s="35" t="n">
        <v>8</v>
      </c>
      <c r="C11" s="35" t="n">
        <v>2</v>
      </c>
      <c r="D11" s="35" t="n">
        <f aca="false">0.6*D10</f>
        <v>172.8</v>
      </c>
      <c r="E11" s="35"/>
      <c r="F11" s="35"/>
      <c r="G11" s="25" t="n">
        <f aca="false">3412/10713</f>
        <v>0.318491552319612</v>
      </c>
      <c r="H11" s="40" t="n">
        <v>733</v>
      </c>
      <c r="I11" s="35"/>
      <c r="J11" s="35"/>
      <c r="K11" s="35"/>
      <c r="L11" s="35"/>
      <c r="M11" s="35"/>
      <c r="N11" s="35"/>
      <c r="O11" s="35" t="n">
        <v>10000000</v>
      </c>
      <c r="P11" s="30" t="n">
        <f aca="false">P10</f>
        <v>10000</v>
      </c>
      <c r="Q11" s="30"/>
      <c r="R11" s="30"/>
      <c r="S11" s="30" t="n">
        <v>0</v>
      </c>
      <c r="T11" s="30"/>
      <c r="U11" s="30"/>
      <c r="V11" s="31" t="n">
        <v>0.86</v>
      </c>
      <c r="W11" s="32" t="n">
        <v>1</v>
      </c>
      <c r="X11" s="33"/>
    </row>
    <row r="12" customFormat="false" ht="15" hidden="false" customHeight="false" outlineLevel="0" collapsed="false">
      <c r="A12" s="0" t="s">
        <v>257</v>
      </c>
      <c r="B12" s="24" t="n">
        <v>71.4</v>
      </c>
      <c r="C12" s="24" t="n">
        <v>11.8</v>
      </c>
      <c r="D12" s="24" t="n">
        <v>11.8</v>
      </c>
      <c r="E12" s="24" t="n">
        <v>1.1</v>
      </c>
      <c r="F12" s="24" t="n">
        <v>96.1</v>
      </c>
      <c r="G12" s="25" t="n">
        <f aca="false">3412/10449</f>
        <v>0.326538424729639</v>
      </c>
      <c r="H12" s="26" t="n">
        <v>12</v>
      </c>
      <c r="I12" s="41" t="n">
        <v>1</v>
      </c>
      <c r="J12" s="35"/>
      <c r="K12" s="41" t="n">
        <v>13</v>
      </c>
      <c r="L12" s="28" t="n">
        <v>5</v>
      </c>
      <c r="M12" s="35"/>
      <c r="N12" s="35"/>
      <c r="O12" s="35" t="n">
        <v>500</v>
      </c>
      <c r="P12" s="30" t="n">
        <f aca="false">P11</f>
        <v>10000</v>
      </c>
      <c r="Q12" s="30" t="n">
        <v>10</v>
      </c>
      <c r="R12" s="30" t="n">
        <v>3</v>
      </c>
      <c r="S12" s="30" t="n">
        <v>0</v>
      </c>
      <c r="T12" s="30"/>
      <c r="U12" s="30"/>
      <c r="V12" s="31" t="n">
        <v>0.2</v>
      </c>
      <c r="W12" s="32" t="n">
        <v>1</v>
      </c>
      <c r="X12" s="33" t="n">
        <v>5366</v>
      </c>
      <c r="Y12" s="42" t="s">
        <v>258</v>
      </c>
    </row>
    <row r="13" customFormat="false" ht="15" hidden="false" customHeight="false" outlineLevel="0" collapsed="false">
      <c r="A13" s="0" t="s">
        <v>259</v>
      </c>
      <c r="B13" s="24" t="n">
        <v>72</v>
      </c>
      <c r="C13" s="24" t="n">
        <v>4.1</v>
      </c>
      <c r="D13" s="24" t="n">
        <v>6.4</v>
      </c>
      <c r="E13" s="24" t="n">
        <v>2</v>
      </c>
      <c r="F13" s="24" t="n">
        <v>84.5</v>
      </c>
      <c r="G13" s="43" t="n">
        <v>0.9</v>
      </c>
      <c r="H13" s="26" t="n">
        <v>24</v>
      </c>
      <c r="I13" s="35"/>
      <c r="P13" s="30" t="n">
        <f aca="false">P12</f>
        <v>10000</v>
      </c>
      <c r="V13" s="31" t="n">
        <v>0.66</v>
      </c>
      <c r="W13" s="32" t="n">
        <v>1</v>
      </c>
      <c r="X13" s="33" t="n">
        <v>2651</v>
      </c>
      <c r="Y13" s="44" t="s">
        <v>260</v>
      </c>
    </row>
    <row r="14" customFormat="false" ht="15" hidden="false" customHeight="false" outlineLevel="0" collapsed="false">
      <c r="A14" s="0" t="s">
        <v>261</v>
      </c>
      <c r="B14" s="24" t="n">
        <v>72</v>
      </c>
      <c r="C14" s="24" t="n">
        <v>4.1</v>
      </c>
      <c r="D14" s="24" t="n">
        <v>6.4</v>
      </c>
      <c r="E14" s="24" t="n">
        <v>2</v>
      </c>
      <c r="F14" s="24" t="n">
        <v>84.5</v>
      </c>
      <c r="G14" s="43" t="n">
        <v>0.9</v>
      </c>
      <c r="H14" s="26" t="n">
        <v>24</v>
      </c>
      <c r="I14" s="35"/>
      <c r="P14" s="30" t="n">
        <f aca="false">P13</f>
        <v>10000</v>
      </c>
      <c r="V14" s="31" t="n">
        <v>0.66</v>
      </c>
      <c r="W14" s="32" t="n">
        <v>1</v>
      </c>
      <c r="X14" s="33" t="n">
        <v>2651</v>
      </c>
      <c r="Y14" s="44"/>
    </row>
    <row r="15" customFormat="false" ht="15" hidden="false" customHeight="false" outlineLevel="0" collapsed="false">
      <c r="A15" s="0" t="s">
        <v>262</v>
      </c>
      <c r="B15" s="24" t="n">
        <v>72</v>
      </c>
      <c r="C15" s="24" t="n">
        <v>4.1</v>
      </c>
      <c r="D15" s="24" t="n">
        <v>6.4</v>
      </c>
      <c r="E15" s="24" t="n">
        <v>2</v>
      </c>
      <c r="F15" s="24" t="n">
        <v>84.5</v>
      </c>
      <c r="G15" s="43" t="n">
        <v>0.9</v>
      </c>
      <c r="H15" s="26" t="n">
        <v>24</v>
      </c>
      <c r="I15" s="35"/>
      <c r="P15" s="30" t="n">
        <f aca="false">P14</f>
        <v>10000</v>
      </c>
      <c r="V15" s="31" t="n">
        <v>0.66</v>
      </c>
      <c r="W15" s="32" t="n">
        <v>1</v>
      </c>
      <c r="X15" s="33" t="n">
        <v>2651</v>
      </c>
      <c r="Y15" s="44"/>
    </row>
    <row r="16" customFormat="false" ht="15" hidden="false" customHeight="false" outlineLevel="0" collapsed="false">
      <c r="A16" s="0" t="s">
        <v>263</v>
      </c>
      <c r="B16" s="24" t="n">
        <v>72</v>
      </c>
      <c r="C16" s="24" t="n">
        <v>4.1</v>
      </c>
      <c r="D16" s="24" t="n">
        <v>6.4</v>
      </c>
      <c r="E16" s="24" t="n">
        <v>2</v>
      </c>
      <c r="F16" s="24" t="n">
        <v>84.5</v>
      </c>
      <c r="G16" s="43" t="n">
        <v>0.9</v>
      </c>
      <c r="H16" s="26" t="n">
        <v>24</v>
      </c>
      <c r="I16" s="35"/>
      <c r="P16" s="30" t="n">
        <f aca="false">P15</f>
        <v>10000</v>
      </c>
      <c r="V16" s="31" t="n">
        <v>0.66</v>
      </c>
      <c r="W16" s="32" t="n">
        <v>1</v>
      </c>
      <c r="X16" s="33" t="n">
        <v>2651</v>
      </c>
      <c r="Y16" s="44"/>
    </row>
    <row r="17" customFormat="false" ht="15" hidden="false" customHeight="false" outlineLevel="0" collapsed="false">
      <c r="A17" s="0" t="s">
        <v>264</v>
      </c>
      <c r="B17" s="24" t="n">
        <v>34.2</v>
      </c>
      <c r="C17" s="24" t="n">
        <v>12.2</v>
      </c>
      <c r="D17" s="24" t="n">
        <v>0</v>
      </c>
      <c r="E17" s="24" t="n">
        <v>1.4</v>
      </c>
      <c r="F17" s="24" t="n">
        <v>47.9</v>
      </c>
      <c r="G17" s="43" t="n">
        <v>0.16</v>
      </c>
      <c r="H17" s="26" t="n">
        <v>38</v>
      </c>
      <c r="I17" s="35"/>
      <c r="P17" s="30" t="n">
        <f aca="false">P13</f>
        <v>10000</v>
      </c>
      <c r="V17" s="31" t="n">
        <v>0.32</v>
      </c>
      <c r="W17" s="32" t="n">
        <v>1</v>
      </c>
      <c r="X17" s="33" t="n">
        <v>2448</v>
      </c>
      <c r="Y17" s="45" t="s">
        <v>265</v>
      </c>
    </row>
    <row r="18" customFormat="false" ht="15" hidden="false" customHeight="false" outlineLevel="0" collapsed="false">
      <c r="A18" s="0" t="s">
        <v>266</v>
      </c>
      <c r="B18" s="24" t="n">
        <v>47.4</v>
      </c>
      <c r="C18" s="24" t="n">
        <v>14.5</v>
      </c>
      <c r="D18" s="24" t="n">
        <v>39.5</v>
      </c>
      <c r="E18" s="24" t="n">
        <v>1.2</v>
      </c>
      <c r="F18" s="24" t="n">
        <v>102.6</v>
      </c>
      <c r="G18" s="46" t="n">
        <v>0.23</v>
      </c>
      <c r="H18" s="26" t="n">
        <v>230</v>
      </c>
      <c r="I18" s="35"/>
      <c r="P18" s="30" t="n">
        <f aca="false">P17</f>
        <v>10000</v>
      </c>
      <c r="V18" s="31" t="n">
        <v>0.53</v>
      </c>
      <c r="W18" s="32" t="n">
        <v>1</v>
      </c>
      <c r="X18" s="33" t="n">
        <v>3659</v>
      </c>
      <c r="Y18" s="47" t="s">
        <v>267</v>
      </c>
    </row>
    <row r="19" customFormat="false" ht="15" hidden="false" customHeight="true" outlineLevel="0" collapsed="false">
      <c r="A19" s="0" t="s">
        <v>268</v>
      </c>
      <c r="B19" s="24" t="n">
        <v>47.4</v>
      </c>
      <c r="C19" s="24" t="n">
        <v>14.5</v>
      </c>
      <c r="D19" s="24" t="n">
        <v>39.5</v>
      </c>
      <c r="E19" s="24" t="n">
        <v>1.2</v>
      </c>
      <c r="F19" s="24" t="n">
        <v>102.6</v>
      </c>
      <c r="G19" s="46" t="n">
        <v>0.23</v>
      </c>
      <c r="H19" s="26" t="n">
        <v>230</v>
      </c>
      <c r="I19" s="35"/>
      <c r="P19" s="30" t="n">
        <f aca="false">P18</f>
        <v>10000</v>
      </c>
      <c r="V19" s="31" t="n">
        <v>0.53</v>
      </c>
      <c r="W19" s="32" t="n">
        <v>1</v>
      </c>
      <c r="X19" s="33" t="n">
        <v>3659</v>
      </c>
      <c r="Y19" s="48" t="s">
        <v>269</v>
      </c>
    </row>
    <row r="20" customFormat="false" ht="15" hidden="false" customHeight="false" outlineLevel="0" collapsed="false">
      <c r="A20" s="49" t="s">
        <v>270</v>
      </c>
      <c r="B20" s="50" t="s">
        <v>217</v>
      </c>
      <c r="C20" s="0" t="s">
        <v>218</v>
      </c>
      <c r="D20" s="50" t="s">
        <v>219</v>
      </c>
      <c r="E20" s="50" t="s">
        <v>220</v>
      </c>
      <c r="F20" s="50" t="s">
        <v>221</v>
      </c>
      <c r="G20" s="0" t="s">
        <v>222</v>
      </c>
      <c r="W20" s="6"/>
      <c r="X20" s="33"/>
      <c r="Y20" s="51" t="s">
        <v>271</v>
      </c>
    </row>
    <row r="21" customFormat="false" ht="15" hidden="false" customHeight="false" outlineLevel="0" collapsed="false">
      <c r="B21" s="0" t="s">
        <v>237</v>
      </c>
      <c r="C21" s="0" t="s">
        <v>237</v>
      </c>
      <c r="D21" s="0" t="s">
        <v>237</v>
      </c>
      <c r="E21" s="0" t="s">
        <v>237</v>
      </c>
      <c r="F21" s="0" t="s">
        <v>237</v>
      </c>
      <c r="G21" s="0" t="s">
        <v>272</v>
      </c>
      <c r="W21" s="6"/>
      <c r="X21" s="33"/>
      <c r="Y21" s="52" t="s">
        <v>273</v>
      </c>
    </row>
    <row r="22" customFormat="false" ht="15" hidden="false" customHeight="false" outlineLevel="0" collapsed="false">
      <c r="A22" s="0" t="s">
        <v>274</v>
      </c>
      <c r="B22" s="34" t="n">
        <v>64.1</v>
      </c>
      <c r="C22" s="34" t="n">
        <v>13</v>
      </c>
      <c r="D22" s="34" t="n">
        <v>0</v>
      </c>
      <c r="E22" s="34" t="n">
        <v>3.2</v>
      </c>
      <c r="F22" s="34" t="n">
        <v>80.3</v>
      </c>
      <c r="L22" s="0" t="n">
        <f aca="false">ISBLANK(L6)</f>
        <v>1</v>
      </c>
      <c r="V22" s="32"/>
      <c r="W22" s="53" t="n">
        <v>0.2</v>
      </c>
      <c r="X22" s="33" t="n">
        <v>19.8</v>
      </c>
    </row>
    <row r="23" customFormat="false" ht="15" hidden="false" customHeight="false" outlineLevel="0" collapsed="false">
      <c r="A23" s="0" t="s">
        <v>275</v>
      </c>
      <c r="B23" s="34" t="n">
        <v>175.4</v>
      </c>
      <c r="C23" s="34" t="n">
        <v>22.8</v>
      </c>
      <c r="D23" s="34" t="n">
        <v>0</v>
      </c>
      <c r="E23" s="34" t="n">
        <v>5.8</v>
      </c>
      <c r="F23" s="34" t="n">
        <v>204.1</v>
      </c>
      <c r="V23" s="32"/>
      <c r="W23" s="31"/>
      <c r="X23" s="33" t="n">
        <v>6154</v>
      </c>
      <c r="Y23" s="54" t="s">
        <v>276</v>
      </c>
    </row>
    <row r="24" customFormat="false" ht="15" hidden="false" customHeight="false" outlineLevel="0" collapsed="false">
      <c r="A24" s="0" t="s">
        <v>277</v>
      </c>
      <c r="B24" s="34" t="n">
        <v>114.5</v>
      </c>
      <c r="C24" s="34" t="n">
        <v>11.4</v>
      </c>
      <c r="D24" s="34" t="n">
        <v>0</v>
      </c>
      <c r="E24" s="34" t="n">
        <v>4.1</v>
      </c>
      <c r="F24" s="34" t="n">
        <v>130</v>
      </c>
      <c r="V24" s="32"/>
      <c r="W24" s="53" t="n">
        <v>0.6</v>
      </c>
      <c r="X24" s="33" t="n">
        <v>3279</v>
      </c>
      <c r="Y24" s="0" t="s">
        <v>278</v>
      </c>
    </row>
    <row r="25" customFormat="false" ht="15" hidden="false" customHeight="false" outlineLevel="0" collapsed="false">
      <c r="A25" s="0" t="s">
        <v>279</v>
      </c>
      <c r="B25" s="34" t="n">
        <v>195</v>
      </c>
      <c r="C25" s="34" t="n">
        <v>42.1</v>
      </c>
      <c r="D25" s="34" t="n">
        <v>0</v>
      </c>
      <c r="E25" s="55" t="n">
        <v>6</v>
      </c>
      <c r="F25" s="34" t="n">
        <v>243.1</v>
      </c>
      <c r="V25" s="32"/>
      <c r="W25" s="31"/>
      <c r="X25" s="33" t="n">
        <v>4052</v>
      </c>
    </row>
    <row r="26" customFormat="false" ht="15" hidden="false" customHeight="false" outlineLevel="0" collapsed="false">
      <c r="V26" s="35"/>
      <c r="W26" s="32"/>
      <c r="X26" s="56"/>
      <c r="Y26" s="0" t="s">
        <v>280</v>
      </c>
    </row>
    <row r="27" customFormat="false" ht="15" hidden="false" customHeight="false" outlineLevel="0" collapsed="false">
      <c r="A27" s="49" t="s">
        <v>281</v>
      </c>
      <c r="V27" s="35"/>
      <c r="W27" s="6"/>
      <c r="X27" s="6"/>
      <c r="Y27" s="0" t="s">
        <v>282</v>
      </c>
    </row>
    <row r="28" customFormat="false" ht="15" hidden="false" customHeight="false" outlineLevel="0" collapsed="false">
      <c r="V28" s="35"/>
      <c r="W28" s="6"/>
      <c r="X28" s="6"/>
      <c r="Y28" s="57" t="s">
        <v>283</v>
      </c>
    </row>
    <row r="29" customFormat="false" ht="15" hidden="false" customHeight="false" outlineLevel="0" collapsed="false">
      <c r="A29" s="58" t="s">
        <v>284</v>
      </c>
      <c r="B29" s="0" t="s">
        <v>285</v>
      </c>
      <c r="C29" s="0" t="s">
        <v>286</v>
      </c>
      <c r="D29" s="0" t="s">
        <v>287</v>
      </c>
      <c r="E29" s="0" t="s">
        <v>222</v>
      </c>
      <c r="F29" s="0" t="s">
        <v>288</v>
      </c>
      <c r="H29" s="0" t="s">
        <v>289</v>
      </c>
      <c r="J29" s="0" t="s">
        <v>290</v>
      </c>
      <c r="K29" s="0" t="s">
        <v>291</v>
      </c>
      <c r="V29" s="35"/>
      <c r="W29" s="6"/>
      <c r="X29" s="6"/>
    </row>
    <row r="30" customFormat="false" ht="15" hidden="false" customHeight="false" outlineLevel="0" collapsed="false">
      <c r="B30" s="0" t="s">
        <v>292</v>
      </c>
      <c r="C30" s="0" t="s">
        <v>293</v>
      </c>
      <c r="D30" s="0" t="s">
        <v>294</v>
      </c>
      <c r="E30" s="0" t="s">
        <v>295</v>
      </c>
      <c r="F30" s="0" t="s">
        <v>296</v>
      </c>
      <c r="G30" s="0" t="s">
        <v>297</v>
      </c>
      <c r="H30" s="0" t="s">
        <v>296</v>
      </c>
      <c r="I30" s="0" t="s">
        <v>297</v>
      </c>
      <c r="J30" s="0" t="s">
        <v>298</v>
      </c>
      <c r="K30" s="0" t="s">
        <v>298</v>
      </c>
      <c r="V30" s="35"/>
      <c r="W30" s="6"/>
      <c r="X30" s="59"/>
      <c r="Y30" s="60" t="s">
        <v>299</v>
      </c>
    </row>
    <row r="31" customFormat="false" ht="15" hidden="false" customHeight="false" outlineLevel="0" collapsed="false">
      <c r="A31" s="0" t="s">
        <v>300</v>
      </c>
      <c r="B31" s="60" t="n">
        <f aca="false">AVERAGE(1000, 4000)</f>
        <v>2500</v>
      </c>
      <c r="C31" s="60" t="n">
        <f aca="false">AVERAGE(100, 250)</f>
        <v>175</v>
      </c>
      <c r="D31" s="60" t="n">
        <v>5</v>
      </c>
      <c r="E31" s="61" t="n">
        <v>0.85</v>
      </c>
      <c r="F31" s="60" t="n">
        <v>200</v>
      </c>
      <c r="G31" s="62" t="n">
        <v>5000</v>
      </c>
      <c r="J31" s="60" t="n">
        <f aca="false">AVERAGE(5000, 4000000)</f>
        <v>2002500</v>
      </c>
      <c r="K31" s="60" t="n">
        <f aca="false">AVERAGE(5000, 4000000)</f>
        <v>2002500</v>
      </c>
      <c r="V31" s="31" t="n">
        <v>1</v>
      </c>
      <c r="W31" s="63" t="n">
        <v>0.5</v>
      </c>
      <c r="X31" s="64" t="n">
        <v>1000</v>
      </c>
      <c r="Y31" s="62" t="s">
        <v>301</v>
      </c>
    </row>
    <row r="32" customFormat="false" ht="15" hidden="false" customHeight="false" outlineLevel="0" collapsed="false">
      <c r="A32" s="0" t="s">
        <v>302</v>
      </c>
      <c r="B32" s="60" t="n">
        <f aca="false">AVERAGE(800, 1000)</f>
        <v>900</v>
      </c>
      <c r="C32" s="60" t="n">
        <f aca="false">AVERAGE(50, 150)</f>
        <v>100</v>
      </c>
      <c r="D32" s="60" t="n">
        <v>5</v>
      </c>
      <c r="E32" s="61" t="n">
        <v>0.6</v>
      </c>
      <c r="F32" s="62" t="n">
        <v>3</v>
      </c>
      <c r="G32" s="62" t="n">
        <v>400</v>
      </c>
      <c r="J32" s="60" t="n">
        <f aca="false">AVERAGE(50000, 300000)</f>
        <v>175000</v>
      </c>
      <c r="K32" s="60" t="n">
        <f aca="false">AVERAGE(100000, 500000)</f>
        <v>300000</v>
      </c>
      <c r="V32" s="31" t="n">
        <v>1</v>
      </c>
      <c r="W32" s="63" t="n">
        <v>0.5</v>
      </c>
      <c r="X32" s="64" t="n">
        <v>650</v>
      </c>
      <c r="Y32" s="65" t="s">
        <v>303</v>
      </c>
    </row>
    <row r="33" customFormat="false" ht="15" hidden="false" customHeight="false" outlineLevel="0" collapsed="false">
      <c r="A33" s="0" t="s">
        <v>304</v>
      </c>
      <c r="B33" s="60" t="n">
        <f aca="false">AVERAGE(2000, 4000)</f>
        <v>3000</v>
      </c>
      <c r="C33" s="60" t="n">
        <f aca="false">AVERAGE(1500, 3000)</f>
        <v>2250</v>
      </c>
      <c r="D33" s="60" t="n">
        <v>15</v>
      </c>
      <c r="E33" s="61" t="n">
        <v>0.95</v>
      </c>
      <c r="F33" s="60" t="n">
        <v>0.1</v>
      </c>
      <c r="G33" s="60" t="n">
        <v>200</v>
      </c>
      <c r="H33" s="60" t="n">
        <v>1</v>
      </c>
      <c r="I33" s="60" t="n">
        <v>25</v>
      </c>
      <c r="J33" s="60" t="n">
        <f aca="false">AVERAGE(100, 300)</f>
        <v>200</v>
      </c>
      <c r="K33" s="60" t="n">
        <f aca="false">AVERAGE(100, 300)</f>
        <v>200</v>
      </c>
      <c r="V33" s="35"/>
      <c r="W33" s="6"/>
      <c r="X33" s="64"/>
      <c r="Y33" s="66" t="s">
        <v>305</v>
      </c>
    </row>
    <row r="34" customFormat="false" ht="15" hidden="false" customHeight="false" outlineLevel="0" collapsed="false">
      <c r="A34" s="0" t="s">
        <v>306</v>
      </c>
      <c r="E34" s="67"/>
      <c r="V34" s="31" t="n">
        <v>1</v>
      </c>
      <c r="W34" s="63" t="n">
        <v>0.5</v>
      </c>
      <c r="X34" s="64" t="n">
        <v>1500</v>
      </c>
      <c r="Y34" s="68" t="s">
        <v>307</v>
      </c>
    </row>
    <row r="35" customFormat="false" ht="15" hidden="false" customHeight="false" outlineLevel="0" collapsed="false">
      <c r="A35" s="0" t="s">
        <v>308</v>
      </c>
      <c r="B35" s="60" t="n">
        <f aca="false">AVERAGE(300, 800)</f>
        <v>550</v>
      </c>
      <c r="C35" s="60" t="n">
        <f aca="false">AVERAGE(150, 500)</f>
        <v>325</v>
      </c>
      <c r="D35" s="60" t="n">
        <v>30</v>
      </c>
      <c r="E35" s="61" t="n">
        <v>0.9</v>
      </c>
      <c r="F35" s="60" t="n">
        <v>0</v>
      </c>
      <c r="G35" s="60" t="n">
        <v>10</v>
      </c>
      <c r="H35" s="60" t="n">
        <v>0.5</v>
      </c>
      <c r="I35" s="60" t="n">
        <v>10</v>
      </c>
      <c r="J35" s="60" t="n">
        <f aca="false">AVERAGE(0.1, 1.5)</f>
        <v>0.8</v>
      </c>
      <c r="K35" s="60" t="n">
        <f aca="false">AVERAGE(0.5, 2)</f>
        <v>1.25</v>
      </c>
      <c r="W35" s="6"/>
      <c r="X35" s="59"/>
      <c r="Y35" s="60" t="s">
        <v>309</v>
      </c>
    </row>
    <row r="36" customFormat="false" ht="15" hidden="false" customHeight="false" outlineLevel="0" collapsed="false">
      <c r="A36" s="0" t="s">
        <v>310</v>
      </c>
      <c r="B36" s="62" t="n">
        <f aca="false">AVERAGE(500, 1500)</f>
        <v>1000</v>
      </c>
      <c r="C36" s="62" t="n">
        <f aca="false">AVERAGE(800, 1500)</f>
        <v>1150</v>
      </c>
      <c r="E36" s="69" t="n">
        <v>0.65</v>
      </c>
      <c r="F36" s="62" t="n">
        <v>0</v>
      </c>
      <c r="G36" s="62" t="n">
        <v>40</v>
      </c>
    </row>
    <row r="37" customFormat="false" ht="15" hidden="false" customHeight="false" outlineLevel="0" collapsed="false">
      <c r="A37" s="0" t="s">
        <v>311</v>
      </c>
      <c r="B37" s="60" t="n">
        <f aca="false">AVERAGE(1000, 2000)</f>
        <v>1500</v>
      </c>
      <c r="C37" s="60" t="n">
        <f aca="false">AVERAGE(125, 250)</f>
        <v>187.5</v>
      </c>
      <c r="D37" s="60" t="n">
        <v>15</v>
      </c>
      <c r="E37" s="61" t="n">
        <v>0.9</v>
      </c>
      <c r="F37" s="62" t="n">
        <v>0.05</v>
      </c>
      <c r="G37" s="62" t="n">
        <v>8</v>
      </c>
      <c r="I37" s="6"/>
      <c r="J37" s="60" t="n">
        <v>50</v>
      </c>
      <c r="K37" s="60" t="n">
        <v>50</v>
      </c>
    </row>
    <row r="38" customFormat="false" ht="15" hidden="false" customHeight="false" outlineLevel="0" collapsed="false">
      <c r="A38" s="0" t="s">
        <v>312</v>
      </c>
      <c r="B38" s="60" t="n">
        <f aca="false">AVERAGE(400, 1000)</f>
        <v>700</v>
      </c>
      <c r="C38" s="60" t="n">
        <f aca="false">AVERAGE(500, 1500)</f>
        <v>1000</v>
      </c>
      <c r="D38" s="60" t="n">
        <v>25</v>
      </c>
      <c r="E38" s="61" t="n">
        <v>0.95</v>
      </c>
      <c r="F38" s="60" t="n">
        <v>0</v>
      </c>
      <c r="G38" s="60" t="n">
        <v>10</v>
      </c>
      <c r="H38" s="60" t="n">
        <v>0.5</v>
      </c>
      <c r="I38" s="60" t="n">
        <v>10</v>
      </c>
      <c r="J38" s="60" t="n">
        <f aca="false">AVERAGE(0.2, 2)</f>
        <v>1.1</v>
      </c>
      <c r="K38" s="60" t="n">
        <f aca="false">AVERAGE(0.5, 10)</f>
        <v>5.25</v>
      </c>
    </row>
    <row r="39" customFormat="false" ht="15" hidden="false" customHeight="false" outlineLevel="0" collapsed="false">
      <c r="A39" s="0" t="s">
        <v>313</v>
      </c>
      <c r="B39" s="65" t="n">
        <f aca="false">AVERAGE(1000, 4000)</f>
        <v>2500</v>
      </c>
      <c r="C39" s="65" t="n">
        <f aca="false">AVERAGE(350, 800)</f>
        <v>575</v>
      </c>
      <c r="E39" s="70" t="n">
        <v>0.85</v>
      </c>
      <c r="F39" s="0" t="n">
        <v>0.05</v>
      </c>
      <c r="G39" s="0" t="n">
        <v>10</v>
      </c>
      <c r="H39" s="0" t="n">
        <v>20</v>
      </c>
      <c r="I39" s="0" t="n">
        <v>50</v>
      </c>
    </row>
    <row r="40" customFormat="false" ht="15" hidden="false" customHeight="false" outlineLevel="0" collapsed="false">
      <c r="A40" s="0" t="s">
        <v>314</v>
      </c>
      <c r="B40" s="62" t="n">
        <f aca="false">AVERAGE(500, 1500)</f>
        <v>1000</v>
      </c>
      <c r="C40" s="62" t="n">
        <f aca="false">AVERAGE(10, 20)</f>
        <v>15</v>
      </c>
      <c r="E40" s="69" t="n">
        <v>0.5</v>
      </c>
      <c r="F40" s="60" t="n">
        <v>0.1</v>
      </c>
      <c r="G40" s="60" t="n">
        <v>10</v>
      </c>
      <c r="J40" s="60" t="n">
        <f aca="false">AVERAGE(0.01, 5)</f>
        <v>2.505</v>
      </c>
    </row>
    <row r="41" customFormat="false" ht="15" hidden="false" customHeight="false" outlineLevel="0" collapsed="false">
      <c r="A41" s="0" t="s">
        <v>315</v>
      </c>
      <c r="B41" s="60" t="n">
        <f aca="false">AVERAGE(1200, 2000)</f>
        <v>1600</v>
      </c>
      <c r="C41" s="60" t="n">
        <f aca="false">AVERAGE(350, 800)</f>
        <v>575</v>
      </c>
      <c r="D41" s="60" t="n">
        <v>30</v>
      </c>
      <c r="E41" s="61" t="n">
        <v>0.85</v>
      </c>
      <c r="F41" s="60" t="n">
        <v>0.025</v>
      </c>
      <c r="G41" s="60" t="n">
        <v>10</v>
      </c>
      <c r="H41" s="60" t="n">
        <v>20</v>
      </c>
      <c r="I41" s="60" t="n">
        <v>50</v>
      </c>
      <c r="J41" s="60" t="n">
        <f aca="false">AVERAGE(5, 20)</f>
        <v>12.5</v>
      </c>
      <c r="K41" s="60" t="n">
        <f aca="false">AVERAGE(5, 25)</f>
        <v>15</v>
      </c>
    </row>
    <row r="42" customFormat="false" ht="15" hidden="false" customHeight="false" outlineLevel="0" collapsed="false">
      <c r="A42" s="0" t="s">
        <v>316</v>
      </c>
      <c r="B42" s="62" t="n">
        <v>400</v>
      </c>
      <c r="C42" s="62" t="n">
        <v>1000</v>
      </c>
      <c r="E42" s="69" t="n">
        <v>0.65</v>
      </c>
      <c r="F42" s="0" t="n">
        <v>0</v>
      </c>
      <c r="G42" s="62" t="n">
        <v>0.05</v>
      </c>
    </row>
    <row r="43" customFormat="false" ht="15" hidden="false" customHeight="false" outlineLevel="0" collapsed="false">
      <c r="A43" s="0" t="s">
        <v>317</v>
      </c>
      <c r="B43" s="62" t="n">
        <v>300</v>
      </c>
      <c r="C43" s="62" t="n">
        <v>2000</v>
      </c>
      <c r="E43" s="69" t="n">
        <v>0.95</v>
      </c>
      <c r="F43" s="6" t="n">
        <v>0</v>
      </c>
      <c r="G43" s="62" t="n">
        <v>0.3</v>
      </c>
    </row>
    <row r="44" customFormat="false" ht="15" hidden="false" customHeight="false" outlineLevel="0" collapsed="false">
      <c r="A44" s="0" t="s">
        <v>318</v>
      </c>
      <c r="B44" s="62" t="n">
        <v>300</v>
      </c>
      <c r="C44" s="62" t="n">
        <v>10000</v>
      </c>
      <c r="E44" s="70" t="n">
        <v>0.95</v>
      </c>
      <c r="F44" s="62" t="n">
        <v>0.1</v>
      </c>
      <c r="G44" s="62" t="n">
        <v>10</v>
      </c>
    </row>
    <row r="45" customFormat="false" ht="15" hidden="false" customHeight="false" outlineLevel="0" collapsed="false">
      <c r="A45" s="0" t="s">
        <v>319</v>
      </c>
      <c r="B45" s="62" t="n">
        <f aca="false">AVERAGE(200, 300)</f>
        <v>250</v>
      </c>
      <c r="C45" s="62" t="n">
        <f aca="false">AVERAGE(3, 50)</f>
        <v>26.5</v>
      </c>
      <c r="E45" s="69" t="n">
        <v>0.6</v>
      </c>
      <c r="F45" s="62" t="n">
        <v>0</v>
      </c>
      <c r="G45" s="62" t="n">
        <v>300</v>
      </c>
    </row>
    <row r="46" customFormat="false" ht="15" hidden="false" customHeight="false" outlineLevel="0" collapsed="false">
      <c r="B46" s="62"/>
      <c r="C46" s="62"/>
      <c r="E46" s="69"/>
      <c r="F46" s="62"/>
      <c r="G46" s="62"/>
    </row>
    <row r="47" customFormat="false" ht="15" hidden="false" customHeight="false" outlineLevel="0" collapsed="false">
      <c r="A47" s="58" t="s">
        <v>320</v>
      </c>
      <c r="B47" s="62"/>
      <c r="C47" s="62"/>
      <c r="E47" s="69"/>
      <c r="F47" s="62"/>
      <c r="G47" s="62"/>
    </row>
    <row r="48" customFormat="false" ht="15" hidden="false" customHeight="false" outlineLevel="0" collapsed="false">
      <c r="A48" s="13" t="s">
        <v>321</v>
      </c>
      <c r="B48" s="62"/>
      <c r="C48" s="62"/>
      <c r="E48" s="69" t="n">
        <v>0.9</v>
      </c>
      <c r="F48" s="62"/>
      <c r="G48" s="62"/>
      <c r="V48" s="0" t="n">
        <v>1</v>
      </c>
      <c r="W48" s="71" t="n">
        <v>0.5</v>
      </c>
      <c r="X48" s="71"/>
    </row>
    <row r="50" customFormat="false" ht="15" hidden="false" customHeight="false" outlineLevel="0" collapsed="false">
      <c r="A50" s="58" t="s">
        <v>322</v>
      </c>
    </row>
    <row r="51" customFormat="false" ht="15" hidden="false" customHeight="false" outlineLevel="0" collapsed="false">
      <c r="F51" s="0" t="s">
        <v>323</v>
      </c>
      <c r="G51" s="72" t="s">
        <v>324</v>
      </c>
      <c r="H51" s="72" t="s">
        <v>325</v>
      </c>
      <c r="I51" s="73" t="s">
        <v>326</v>
      </c>
      <c r="J51" s="72"/>
      <c r="K51" s="72"/>
      <c r="Y51" s="0" t="s">
        <v>327</v>
      </c>
    </row>
    <row r="52" customFormat="false" ht="15.75" hidden="false" customHeight="false" outlineLevel="0" collapsed="false">
      <c r="A52" s="0" t="s">
        <v>328</v>
      </c>
      <c r="D52" s="0" t="s">
        <v>329</v>
      </c>
      <c r="G52" s="72"/>
      <c r="H52" s="72"/>
      <c r="I52" s="72"/>
      <c r="J52" s="72"/>
      <c r="K52" s="72"/>
    </row>
    <row r="53" customFormat="false" ht="15" hidden="false" customHeight="false" outlineLevel="0" collapsed="false">
      <c r="A53" s="0" t="s">
        <v>330</v>
      </c>
      <c r="D53" s="0" t="s">
        <v>331</v>
      </c>
      <c r="F53" s="74" t="s">
        <v>332</v>
      </c>
      <c r="G53" s="73" t="s">
        <v>333</v>
      </c>
      <c r="H53" s="73" t="s">
        <v>334</v>
      </c>
      <c r="I53" s="73" t="s">
        <v>335</v>
      </c>
      <c r="J53" s="75" t="s">
        <v>336</v>
      </c>
      <c r="K53" s="76" t="s">
        <v>337</v>
      </c>
    </row>
    <row r="54" customFormat="false" ht="15.75" hidden="false" customHeight="false" outlineLevel="0" collapsed="false">
      <c r="D54" s="0" t="s">
        <v>338</v>
      </c>
      <c r="F54" s="74" t="s">
        <v>339</v>
      </c>
      <c r="G54" s="73" t="s">
        <v>340</v>
      </c>
      <c r="H54" s="73" t="s">
        <v>341</v>
      </c>
      <c r="I54" s="73" t="s">
        <v>342</v>
      </c>
      <c r="J54" s="77" t="s">
        <v>343</v>
      </c>
      <c r="K54" s="76" t="s">
        <v>344</v>
      </c>
    </row>
    <row r="55" customFormat="false" ht="15.75" hidden="false" customHeight="false" outlineLevel="0" collapsed="false">
      <c r="A55" s="0" t="s">
        <v>345</v>
      </c>
      <c r="D55" s="0" t="s">
        <v>346</v>
      </c>
      <c r="F55" s="74"/>
      <c r="G55" s="73"/>
      <c r="H55" s="73"/>
      <c r="I55" s="72"/>
      <c r="J55" s="72"/>
      <c r="K55" s="72"/>
    </row>
    <row r="56" customFormat="false" ht="15" hidden="false" customHeight="false" outlineLevel="0" collapsed="false">
      <c r="A56" s="0" t="s">
        <v>347</v>
      </c>
      <c r="D56" s="0" t="s">
        <v>331</v>
      </c>
      <c r="F56" s="74" t="s">
        <v>348</v>
      </c>
      <c r="G56" s="73" t="s">
        <v>349</v>
      </c>
      <c r="H56" s="73" t="s">
        <v>350</v>
      </c>
      <c r="I56" s="73" t="s">
        <v>351</v>
      </c>
      <c r="J56" s="75" t="s">
        <v>352</v>
      </c>
      <c r="K56" s="72"/>
    </row>
    <row r="57" customFormat="false" ht="15.75" hidden="false" customHeight="false" outlineLevel="0" collapsed="false">
      <c r="D57" s="0" t="s">
        <v>338</v>
      </c>
      <c r="F57" s="74" t="s">
        <v>353</v>
      </c>
      <c r="G57" s="73" t="s">
        <v>354</v>
      </c>
      <c r="H57" s="73" t="s">
        <v>355</v>
      </c>
      <c r="I57" s="73" t="s">
        <v>356</v>
      </c>
      <c r="J57" s="77" t="s">
        <v>357</v>
      </c>
      <c r="K57" s="72"/>
    </row>
    <row r="58" customFormat="false" ht="15" hidden="false" customHeight="false" outlineLevel="0" collapsed="false">
      <c r="A58" s="0" t="s">
        <v>358</v>
      </c>
      <c r="D58" s="0" t="s">
        <v>359</v>
      </c>
      <c r="F58" s="74" t="s">
        <v>360</v>
      </c>
      <c r="G58" s="73" t="s">
        <v>361</v>
      </c>
      <c r="H58" s="73" t="s">
        <v>350</v>
      </c>
      <c r="I58" s="73" t="s">
        <v>362</v>
      </c>
      <c r="J58" s="72"/>
      <c r="K58" s="73" t="s">
        <v>363</v>
      </c>
    </row>
    <row r="59" customFormat="false" ht="15.75" hidden="false" customHeight="false" outlineLevel="0" collapsed="false">
      <c r="F59" s="74"/>
      <c r="G59" s="73"/>
      <c r="H59" s="73"/>
      <c r="I59" s="72"/>
      <c r="J59" s="72"/>
      <c r="K59" s="72"/>
    </row>
    <row r="60" customFormat="false" ht="15" hidden="false" customHeight="false" outlineLevel="0" collapsed="false">
      <c r="A60" s="0" t="s">
        <v>364</v>
      </c>
      <c r="D60" s="0" t="s">
        <v>365</v>
      </c>
      <c r="F60" s="0" t="s">
        <v>366</v>
      </c>
      <c r="G60" s="73" t="s">
        <v>367</v>
      </c>
      <c r="H60" s="73" t="s">
        <v>326</v>
      </c>
      <c r="I60" s="78" t="s">
        <v>368</v>
      </c>
      <c r="J60" s="72"/>
      <c r="K60" s="72" t="s">
        <v>369</v>
      </c>
    </row>
    <row r="61" customFormat="false" ht="15.75" hidden="false" customHeight="false" outlineLevel="0" collapsed="false">
      <c r="A61" s="0" t="s">
        <v>370</v>
      </c>
      <c r="D61" s="0" t="s">
        <v>371</v>
      </c>
      <c r="F61" s="79" t="n">
        <v>100</v>
      </c>
      <c r="G61" s="80" t="n">
        <v>10</v>
      </c>
      <c r="H61" s="81" t="n">
        <f aca="false">F61%*G61%</f>
        <v>0.1</v>
      </c>
      <c r="I61" s="82" t="n">
        <f aca="false">AVERAGE(H61:H63)</f>
        <v>0.06</v>
      </c>
      <c r="J61" s="72"/>
      <c r="K61" s="72"/>
    </row>
    <row r="62" customFormat="false" ht="15" hidden="false" customHeight="false" outlineLevel="0" collapsed="false">
      <c r="A62" s="0" t="s">
        <v>372</v>
      </c>
      <c r="D62" s="0" t="s">
        <v>373</v>
      </c>
      <c r="F62" s="79" t="n">
        <v>3</v>
      </c>
      <c r="G62" s="80" t="n">
        <v>100</v>
      </c>
      <c r="H62" s="81" t="n">
        <f aca="false">F62%*G62%</f>
        <v>0.03</v>
      </c>
      <c r="I62" s="72"/>
      <c r="J62" s="73"/>
      <c r="K62" s="72"/>
    </row>
    <row r="63" customFormat="false" ht="15" hidden="false" customHeight="false" outlineLevel="0" collapsed="false">
      <c r="A63" s="0" t="s">
        <v>374</v>
      </c>
      <c r="D63" s="0" t="s">
        <v>375</v>
      </c>
      <c r="F63" s="79" t="n">
        <v>5</v>
      </c>
      <c r="G63" s="80" t="n">
        <v>100</v>
      </c>
      <c r="H63" s="81" t="n">
        <f aca="false">F63%*G63%</f>
        <v>0.05</v>
      </c>
      <c r="I63" s="72"/>
      <c r="J63" s="72"/>
      <c r="K63" s="72"/>
    </row>
    <row r="64" customFormat="false" ht="15.75" hidden="false" customHeight="false" outlineLevel="0" collapsed="false">
      <c r="A64" s="0" t="s">
        <v>376</v>
      </c>
      <c r="D64" s="0" t="s">
        <v>377</v>
      </c>
      <c r="F64" s="74"/>
      <c r="G64" s="73"/>
      <c r="H64" s="81"/>
      <c r="I64" s="72"/>
      <c r="J64" s="72"/>
      <c r="K64" s="72"/>
    </row>
    <row r="65" customFormat="false" ht="15.75" hidden="false" customHeight="false" outlineLevel="0" collapsed="false">
      <c r="D65" s="0" t="s">
        <v>378</v>
      </c>
      <c r="F65" s="79" t="n">
        <v>5</v>
      </c>
      <c r="G65" s="80" t="n">
        <v>25</v>
      </c>
      <c r="H65" s="83" t="n">
        <f aca="false">F65%*G65%</f>
        <v>0.0125</v>
      </c>
      <c r="I65" s="72"/>
      <c r="J65" s="72"/>
      <c r="K65" s="72"/>
    </row>
    <row r="66" customFormat="false" ht="15" hidden="false" customHeight="false" outlineLevel="0" collapsed="false">
      <c r="D66" s="0" t="s">
        <v>379</v>
      </c>
      <c r="F66" s="79" t="n">
        <v>5</v>
      </c>
      <c r="G66" s="80" t="n">
        <v>25</v>
      </c>
      <c r="H66" s="84" t="n">
        <f aca="false">F66%*G66%</f>
        <v>0.0125</v>
      </c>
      <c r="I66" s="72"/>
      <c r="J66" s="72"/>
      <c r="K66" s="72"/>
    </row>
    <row r="68" customFormat="false" ht="15" hidden="false" customHeight="false" outlineLevel="0" collapsed="false">
      <c r="A68" s="58" t="s">
        <v>380</v>
      </c>
    </row>
    <row r="69" customFormat="false" ht="15" hidden="false" customHeight="false" outlineLevel="0" collapsed="false">
      <c r="B69" s="0" t="s">
        <v>381</v>
      </c>
    </row>
    <row r="70" customFormat="false" ht="15" hidden="false" customHeight="false" outlineLevel="0" collapsed="false">
      <c r="A70" s="0" t="s">
        <v>382</v>
      </c>
      <c r="B70" s="57" t="n">
        <v>0.009</v>
      </c>
      <c r="Y70" s="57" t="s">
        <v>383</v>
      </c>
    </row>
    <row r="72" customFormat="false" ht="15" hidden="false" customHeight="false" outlineLevel="0" collapsed="false">
      <c r="C72" s="0" t="s">
        <v>384</v>
      </c>
    </row>
    <row r="73" customFormat="false" ht="15" hidden="false" customHeight="false" outlineLevel="0" collapsed="false">
      <c r="A73" s="0" t="s">
        <v>385</v>
      </c>
      <c r="B73" s="0" t="s">
        <v>386</v>
      </c>
      <c r="C73" s="0" t="s">
        <v>387</v>
      </c>
    </row>
    <row r="74" customFormat="false" ht="15" hidden="false" customHeight="false" outlineLevel="0" collapsed="false">
      <c r="A74" s="0" t="s">
        <v>388</v>
      </c>
      <c r="B74" s="85" t="n">
        <f aca="false">B76</f>
        <v>596331.41536282</v>
      </c>
      <c r="Y74" s="86" t="s">
        <v>389</v>
      </c>
    </row>
    <row r="75" customFormat="false" ht="15" hidden="false" customHeight="false" outlineLevel="0" collapsed="false">
      <c r="A75" s="0" t="s">
        <v>390</v>
      </c>
      <c r="B75" s="85" t="n">
        <f aca="false">B77</f>
        <v>954677.072588763</v>
      </c>
    </row>
    <row r="76" customFormat="false" ht="15" hidden="false" customHeight="false" outlineLevel="0" collapsed="false">
      <c r="A76" s="0" t="s">
        <v>391</v>
      </c>
      <c r="B76" s="87" t="n">
        <f aca="false">959700/1.60934</f>
        <v>596331.41536282</v>
      </c>
    </row>
    <row r="77" customFormat="false" ht="15" hidden="false" customHeight="false" outlineLevel="0" collapsed="false">
      <c r="A77" s="0" t="s">
        <v>392</v>
      </c>
      <c r="B77" s="87" t="n">
        <f aca="false">1536400/1.60934</f>
        <v>954677.072588763</v>
      </c>
    </row>
    <row r="78" customFormat="false" ht="15" hidden="false" customHeight="false" outlineLevel="0" collapsed="false">
      <c r="A78" s="0" t="s">
        <v>393</v>
      </c>
      <c r="B78" s="87" t="n">
        <f aca="false">1919450/1.60934</f>
        <v>1192693.89936247</v>
      </c>
    </row>
    <row r="79" customFormat="false" ht="15" hidden="false" customHeight="false" outlineLevel="0" collapsed="false">
      <c r="A79" s="0" t="s">
        <v>394</v>
      </c>
      <c r="B79" s="87" t="n">
        <f aca="false">3071750/1.60934</f>
        <v>1908701.70380404</v>
      </c>
    </row>
    <row r="80" customFormat="false" ht="15" hidden="false" customHeight="false" outlineLevel="0" collapsed="false">
      <c r="A80" s="0" t="s">
        <v>395</v>
      </c>
      <c r="B80" s="87" t="n">
        <f aca="false">1536400/1.60934</f>
        <v>954677.072588763</v>
      </c>
    </row>
    <row r="81" customFormat="false" ht="15" hidden="false" customHeight="false" outlineLevel="0" collapsed="false">
      <c r="A81" s="0" t="s">
        <v>396</v>
      </c>
      <c r="B81" s="87" t="n">
        <f aca="false">1613200/1.60934</f>
        <v>1002398.49876347</v>
      </c>
    </row>
    <row r="83" customFormat="false" ht="15" hidden="false" customHeight="false" outlineLevel="0" collapsed="false">
      <c r="A83" s="58" t="s">
        <v>397</v>
      </c>
      <c r="B83" s="0" t="s">
        <v>398</v>
      </c>
    </row>
    <row r="85" customFormat="false" ht="15" hidden="false" customHeight="false" outlineLevel="0" collapsed="false">
      <c r="A85" s="58" t="s">
        <v>399</v>
      </c>
      <c r="B85" s="0" t="s">
        <v>400</v>
      </c>
    </row>
    <row r="87" customFormat="false" ht="15" hidden="false" customHeight="false" outlineLevel="0" collapsed="false">
      <c r="A87" s="58" t="s">
        <v>320</v>
      </c>
    </row>
    <row r="89" customFormat="false" ht="15" hidden="false" customHeight="false" outlineLevel="0" collapsed="false">
      <c r="A89" s="0" t="s">
        <v>401</v>
      </c>
      <c r="B89" s="0" t="s">
        <v>402</v>
      </c>
      <c r="C89" s="0" t="s">
        <v>403</v>
      </c>
      <c r="D89" s="0" t="s">
        <v>404</v>
      </c>
      <c r="E89" s="0" t="s">
        <v>405</v>
      </c>
      <c r="F89" s="0" t="s">
        <v>406</v>
      </c>
      <c r="G89" s="0" t="s">
        <v>407</v>
      </c>
      <c r="H89" s="0" t="s">
        <v>408</v>
      </c>
      <c r="Y89" s="0" t="s">
        <v>409</v>
      </c>
    </row>
    <row r="90" customFormat="false" ht="15" hidden="false" customHeight="false" outlineLevel="0" collapsed="false">
      <c r="A90" s="0" t="s">
        <v>410</v>
      </c>
      <c r="B90" s="0" t="n">
        <v>43300</v>
      </c>
      <c r="C90" s="0" t="n">
        <v>7500</v>
      </c>
      <c r="D90" s="0" t="s">
        <v>411</v>
      </c>
      <c r="E90" s="0" t="n">
        <v>4</v>
      </c>
      <c r="F90" s="67" t="n">
        <f aca="false">81*1.60934</f>
        <v>130.35654</v>
      </c>
      <c r="G90" s="0" t="n">
        <v>22</v>
      </c>
      <c r="H90" s="0" t="n">
        <v>6.6</v>
      </c>
    </row>
    <row r="91" customFormat="false" ht="15" hidden="false" customHeight="false" outlineLevel="0" collapsed="false">
      <c r="A91" s="0" t="s">
        <v>412</v>
      </c>
      <c r="B91" s="0" t="n">
        <v>26000</v>
      </c>
      <c r="C91" s="0" t="n">
        <v>7500</v>
      </c>
      <c r="D91" s="0" t="s">
        <v>413</v>
      </c>
      <c r="E91" s="0" t="n">
        <v>4</v>
      </c>
      <c r="F91" s="67" t="n">
        <f aca="false">82*1.60934</f>
        <v>131.96588</v>
      </c>
      <c r="G91" s="0" t="n">
        <v>19</v>
      </c>
      <c r="H91" s="0" t="n">
        <v>3.3</v>
      </c>
    </row>
    <row r="92" customFormat="false" ht="15" hidden="false" customHeight="false" outlineLevel="0" collapsed="false">
      <c r="A92" s="0" t="s">
        <v>414</v>
      </c>
      <c r="B92" s="0" t="n">
        <v>32600</v>
      </c>
      <c r="C92" s="0" t="n">
        <v>7500</v>
      </c>
      <c r="D92" s="0" t="s">
        <v>411</v>
      </c>
      <c r="E92" s="0" t="n">
        <v>4</v>
      </c>
      <c r="F92" s="67" t="n">
        <f aca="false">87*1.60934</f>
        <v>140.01258</v>
      </c>
      <c r="G92" s="0" t="n">
        <v>24</v>
      </c>
      <c r="H92" s="0" t="n">
        <v>6.6</v>
      </c>
    </row>
    <row r="93" customFormat="false" ht="15" hidden="false" customHeight="false" outlineLevel="0" collapsed="false">
      <c r="A93" s="0" t="s">
        <v>415</v>
      </c>
      <c r="B93" s="0" t="n">
        <v>30000</v>
      </c>
      <c r="C93" s="0" t="n">
        <v>7500</v>
      </c>
      <c r="D93" s="0" t="s">
        <v>411</v>
      </c>
      <c r="E93" s="0" t="n">
        <v>5</v>
      </c>
      <c r="F93" s="67" t="n">
        <f aca="false">76*1.60934</f>
        <v>122.30984</v>
      </c>
      <c r="G93" s="0" t="n">
        <v>23</v>
      </c>
      <c r="H93" s="0" t="n">
        <v>6.6</v>
      </c>
    </row>
    <row r="94" customFormat="false" ht="15" hidden="false" customHeight="false" outlineLevel="0" collapsed="false">
      <c r="A94" s="0" t="s">
        <v>416</v>
      </c>
      <c r="B94" s="0" t="n">
        <v>34500</v>
      </c>
      <c r="C94" s="0" t="n">
        <v>7500</v>
      </c>
      <c r="D94" s="0" t="s">
        <v>411</v>
      </c>
      <c r="E94" s="0" t="n">
        <v>5</v>
      </c>
      <c r="F94" s="67" t="n">
        <f aca="false">93*1.60934</f>
        <v>149.66862</v>
      </c>
      <c r="G94" s="0" t="n">
        <v>27</v>
      </c>
      <c r="H94" s="0" t="n">
        <v>6.6</v>
      </c>
    </row>
    <row r="95" customFormat="false" ht="15" hidden="false" customHeight="false" outlineLevel="0" collapsed="false">
      <c r="A95" s="0" t="s">
        <v>417</v>
      </c>
      <c r="B95" s="0" t="n">
        <v>42400</v>
      </c>
      <c r="C95" s="0" t="n">
        <v>7500</v>
      </c>
      <c r="D95" s="0" t="s">
        <v>411</v>
      </c>
      <c r="E95" s="0" t="n">
        <v>5</v>
      </c>
      <c r="F95" s="67" t="n">
        <f aca="false">85*1.60934</f>
        <v>136.7939</v>
      </c>
      <c r="G95" s="0" t="n">
        <v>28</v>
      </c>
      <c r="H95" s="88" t="n">
        <v>10</v>
      </c>
    </row>
    <row r="96" customFormat="false" ht="15" hidden="false" customHeight="false" outlineLevel="0" collapsed="false">
      <c r="A96" s="0" t="s">
        <v>418</v>
      </c>
      <c r="B96" s="0" t="n">
        <v>23800</v>
      </c>
      <c r="C96" s="0" t="n">
        <v>7500</v>
      </c>
      <c r="D96" s="0" t="s">
        <v>411</v>
      </c>
      <c r="E96" s="0" t="n">
        <v>4</v>
      </c>
      <c r="F96" s="67" t="n">
        <f aca="false">62*1.60934</f>
        <v>99.77908</v>
      </c>
      <c r="G96" s="0" t="n">
        <v>16</v>
      </c>
      <c r="H96" s="0" t="n">
        <v>3.3</v>
      </c>
    </row>
    <row r="97" customFormat="false" ht="15" hidden="false" customHeight="false" outlineLevel="0" collapsed="false">
      <c r="A97" s="0" t="s">
        <v>419</v>
      </c>
      <c r="B97" s="0" t="n">
        <v>29800</v>
      </c>
      <c r="C97" s="0" t="n">
        <v>7500</v>
      </c>
      <c r="D97" s="0" t="s">
        <v>411</v>
      </c>
      <c r="E97" s="0" t="n">
        <v>5</v>
      </c>
      <c r="F97" s="67" t="n">
        <f aca="false">84*1.60934</f>
        <v>135.18456</v>
      </c>
      <c r="G97" s="0" t="n">
        <v>24</v>
      </c>
      <c r="H97" s="0" t="n">
        <v>6.6</v>
      </c>
    </row>
    <row r="98" customFormat="false" ht="15" hidden="false" customHeight="false" outlineLevel="0" collapsed="false">
      <c r="A98" s="0" t="s">
        <v>420</v>
      </c>
      <c r="B98" s="0" t="n">
        <v>25700</v>
      </c>
      <c r="C98" s="0" t="n">
        <v>7500</v>
      </c>
      <c r="D98" s="0" t="s">
        <v>413</v>
      </c>
      <c r="E98" s="0" t="n">
        <v>2</v>
      </c>
      <c r="F98" s="67" t="n">
        <f aca="false">68*1.60934</f>
        <v>109.43512</v>
      </c>
      <c r="G98" s="0" t="n">
        <v>17</v>
      </c>
      <c r="H98" s="0" t="n">
        <v>3.3</v>
      </c>
    </row>
    <row r="99" customFormat="false" ht="15" hidden="false" customHeight="false" outlineLevel="0" collapsed="false">
      <c r="A99" s="0" t="s">
        <v>421</v>
      </c>
      <c r="B99" s="0" t="n">
        <v>71000</v>
      </c>
      <c r="C99" s="0" t="n">
        <v>7500</v>
      </c>
      <c r="D99" s="0" t="s">
        <v>411</v>
      </c>
      <c r="E99" s="0" t="n">
        <v>5</v>
      </c>
      <c r="F99" s="67" t="n">
        <f aca="false">265*1.60934</f>
        <v>426.4751</v>
      </c>
      <c r="G99" s="0" t="n">
        <v>85</v>
      </c>
      <c r="H99" s="88" t="n">
        <v>10</v>
      </c>
    </row>
    <row r="100" customFormat="false" ht="15" hidden="false" customHeight="false" outlineLevel="0" collapsed="false">
      <c r="A100" s="0" t="s">
        <v>422</v>
      </c>
      <c r="B100" s="0" t="n">
        <v>36300</v>
      </c>
      <c r="C100" s="0" t="n">
        <v>7500</v>
      </c>
      <c r="D100" s="0" t="s">
        <v>411</v>
      </c>
      <c r="E100" s="0" t="n">
        <v>5</v>
      </c>
      <c r="F100" s="67" t="n">
        <f aca="false">83*1.60934</f>
        <v>133.57522</v>
      </c>
      <c r="G100" s="0" t="n">
        <v>24</v>
      </c>
      <c r="H100" s="0" t="n">
        <v>7.2</v>
      </c>
    </row>
    <row r="101" customFormat="false" ht="15" hidden="false" customHeight="false" outlineLevel="0" collapsed="false">
      <c r="A101" s="0" t="s">
        <v>423</v>
      </c>
      <c r="B101" s="0" t="n">
        <v>80000</v>
      </c>
      <c r="C101" s="0" t="n">
        <v>7500</v>
      </c>
      <c r="D101" s="0" t="s">
        <v>424</v>
      </c>
      <c r="E101" s="0" t="n">
        <v>7</v>
      </c>
      <c r="F101" s="67" t="n">
        <f aca="false">230*1.60934</f>
        <v>370.1482</v>
      </c>
      <c r="G101" s="0" t="n">
        <v>85</v>
      </c>
      <c r="H101" s="88" t="n">
        <v>10</v>
      </c>
    </row>
    <row r="103" customFormat="false" ht="15" hidden="false" customHeight="false" outlineLevel="0" collapsed="false">
      <c r="A103" s="0" t="s">
        <v>425</v>
      </c>
      <c r="B103" s="0" t="s">
        <v>402</v>
      </c>
      <c r="C103" s="0" t="s">
        <v>426</v>
      </c>
      <c r="D103" s="0" t="s">
        <v>404</v>
      </c>
      <c r="E103" s="0" t="s">
        <v>405</v>
      </c>
      <c r="F103" s="0" t="s">
        <v>427</v>
      </c>
      <c r="G103" s="0" t="s">
        <v>428</v>
      </c>
    </row>
    <row r="104" customFormat="false" ht="15" hidden="false" customHeight="false" outlineLevel="0" collapsed="false">
      <c r="A104" s="0" t="s">
        <v>429</v>
      </c>
      <c r="B104" s="0" t="n">
        <v>14930</v>
      </c>
      <c r="D104" s="0" t="s">
        <v>413</v>
      </c>
      <c r="E104" s="0" t="n">
        <v>2</v>
      </c>
      <c r="F104" s="0" t="s">
        <v>430</v>
      </c>
      <c r="G104" s="0" t="s">
        <v>431</v>
      </c>
      <c r="Y104" s="0" t="s">
        <v>432</v>
      </c>
    </row>
    <row r="105" customFormat="false" ht="15" hidden="false" customHeight="false" outlineLevel="0" collapsed="false">
      <c r="A105" s="0" t="s">
        <v>433</v>
      </c>
      <c r="B105" s="0" t="n">
        <v>16745</v>
      </c>
      <c r="D105" s="0" t="s">
        <v>411</v>
      </c>
      <c r="E105" s="0" t="n">
        <v>4</v>
      </c>
      <c r="F105" s="0" t="s">
        <v>434</v>
      </c>
      <c r="Y105" s="0" t="s">
        <v>435</v>
      </c>
    </row>
    <row r="106" customFormat="false" ht="15" hidden="false" customHeight="false" outlineLevel="0" collapsed="false">
      <c r="A106" s="0" t="s">
        <v>436</v>
      </c>
      <c r="B106" s="0" t="n">
        <v>17170</v>
      </c>
      <c r="D106" s="0" t="s">
        <v>411</v>
      </c>
      <c r="E106" s="0" t="n">
        <v>5</v>
      </c>
      <c r="F106" s="0" t="s">
        <v>437</v>
      </c>
      <c r="Y106" s="0" t="s">
        <v>438</v>
      </c>
    </row>
    <row r="107" customFormat="false" ht="15" hidden="false" customHeight="false" outlineLevel="0" collapsed="false">
      <c r="A107" s="0" t="s">
        <v>439</v>
      </c>
      <c r="B107" s="0" t="n">
        <v>30700</v>
      </c>
      <c r="D107" s="0" t="s">
        <v>440</v>
      </c>
      <c r="E107" s="0" t="n">
        <v>7</v>
      </c>
      <c r="F107" s="0" t="s">
        <v>441</v>
      </c>
      <c r="Y107" s="0" t="s">
        <v>432</v>
      </c>
    </row>
    <row r="109" customFormat="false" ht="15" hidden="false" customHeight="false" outlineLevel="0" collapsed="false">
      <c r="H109" s="0" t="s">
        <v>442</v>
      </c>
      <c r="I109" s="0" t="s">
        <v>443</v>
      </c>
      <c r="Y109" s="0" t="s">
        <v>444</v>
      </c>
    </row>
    <row r="110" customFormat="false" ht="15" hidden="false" customHeight="false" outlineLevel="0" collapsed="false">
      <c r="A110" s="0" t="s">
        <v>445</v>
      </c>
      <c r="B110" s="0" t="s">
        <v>446</v>
      </c>
      <c r="H110" s="0" t="s">
        <v>447</v>
      </c>
      <c r="I110" s="0" t="n">
        <v>8.6</v>
      </c>
    </row>
    <row r="111" customFormat="false" ht="15" hidden="false" customHeight="false" outlineLevel="0" collapsed="false">
      <c r="H111" s="0" t="s">
        <v>448</v>
      </c>
      <c r="I111" s="0" t="n">
        <v>9.9</v>
      </c>
    </row>
    <row r="112" customFormat="false" ht="15" hidden="false" customHeight="false" outlineLevel="0" collapsed="false">
      <c r="H112" s="0" t="s">
        <v>449</v>
      </c>
      <c r="I112" s="0" t="n">
        <v>12.5</v>
      </c>
    </row>
    <row r="113" customFormat="false" ht="15" hidden="false" customHeight="false" outlineLevel="0" collapsed="false">
      <c r="H113" s="0" t="s">
        <v>450</v>
      </c>
      <c r="I113" s="0" t="n">
        <v>15.2</v>
      </c>
    </row>
    <row r="114" customFormat="false" ht="15" hidden="false" customHeight="false" outlineLevel="0" collapsed="false">
      <c r="B114" s="0" t="s">
        <v>451</v>
      </c>
      <c r="D114" s="0" t="s">
        <v>452</v>
      </c>
      <c r="Y114" s="0" t="s">
        <v>453</v>
      </c>
    </row>
    <row r="115" customFormat="false" ht="15" hidden="false" customHeight="false" outlineLevel="0" collapsed="false">
      <c r="D115" s="0" t="s">
        <v>454</v>
      </c>
    </row>
    <row r="116" customFormat="false" ht="15" hidden="false" customHeight="false" outlineLevel="0" collapsed="false">
      <c r="D116" s="0" t="s">
        <v>455</v>
      </c>
    </row>
    <row r="117" customFormat="false" ht="15" hidden="false" customHeight="false" outlineLevel="0" collapsed="false">
      <c r="B117" s="0" t="s">
        <v>456</v>
      </c>
      <c r="D117" s="0" t="s">
        <v>457</v>
      </c>
    </row>
    <row r="118" customFormat="false" ht="15" hidden="false" customHeight="false" outlineLevel="0" collapsed="false">
      <c r="B118" s="0" t="s">
        <v>458</v>
      </c>
      <c r="D118" s="0" t="s">
        <v>459</v>
      </c>
    </row>
    <row r="119" customFormat="false" ht="15" hidden="false" customHeight="false" outlineLevel="0" collapsed="false">
      <c r="B119" s="0" t="s">
        <v>460</v>
      </c>
      <c r="D119" s="0" t="s">
        <v>461</v>
      </c>
    </row>
    <row r="120" customFormat="false" ht="15" hidden="false" customHeight="false" outlineLevel="0" collapsed="false">
      <c r="D120" s="0" t="s">
        <v>462</v>
      </c>
    </row>
    <row r="122" customFormat="false" ht="15" hidden="false" customHeight="false" outlineLevel="0" collapsed="false">
      <c r="B122" s="0" t="s">
        <v>402</v>
      </c>
      <c r="C122" s="0" t="s">
        <v>463</v>
      </c>
      <c r="D122" s="0" t="s">
        <v>404</v>
      </c>
      <c r="E122" s="0" t="s">
        <v>405</v>
      </c>
      <c r="F122" s="0" t="s">
        <v>464</v>
      </c>
      <c r="G122" s="0" t="s">
        <v>465</v>
      </c>
      <c r="H122" s="0" t="s">
        <v>290</v>
      </c>
      <c r="Y122" s="0" t="s">
        <v>409</v>
      </c>
    </row>
    <row r="123" customFormat="false" ht="15" hidden="false" customHeight="false" outlineLevel="0" collapsed="false">
      <c r="A123" s="0" t="s">
        <v>466</v>
      </c>
      <c r="B123" s="0" t="n">
        <v>76000</v>
      </c>
      <c r="C123" s="0" t="n">
        <v>7500</v>
      </c>
      <c r="D123" s="0" t="s">
        <v>413</v>
      </c>
      <c r="E123" s="0" t="n">
        <v>4</v>
      </c>
      <c r="F123" s="67" t="n">
        <f aca="false">37*1.60934</f>
        <v>59.54558</v>
      </c>
      <c r="G123" s="0" t="n">
        <v>17</v>
      </c>
      <c r="H123" s="0" t="n">
        <v>3.3</v>
      </c>
    </row>
    <row r="124" customFormat="false" ht="15" hidden="false" customHeight="false" outlineLevel="0" collapsed="false">
      <c r="A124" s="0" t="s">
        <v>467</v>
      </c>
      <c r="B124" s="0" t="n">
        <v>35200</v>
      </c>
      <c r="C124" s="0" t="n">
        <v>7500</v>
      </c>
      <c r="D124" s="0" t="s">
        <v>411</v>
      </c>
      <c r="E124" s="0" t="n">
        <v>4</v>
      </c>
      <c r="F124" s="67" t="n">
        <f aca="false">38*1.60934</f>
        <v>61.15492</v>
      </c>
      <c r="G124" s="0" t="n">
        <v>17</v>
      </c>
      <c r="H124" s="0" t="n">
        <v>3.3</v>
      </c>
    </row>
    <row r="125" customFormat="false" ht="15" hidden="false" customHeight="false" outlineLevel="0" collapsed="false">
      <c r="A125" s="0" t="s">
        <v>468</v>
      </c>
      <c r="B125" s="0" t="n">
        <v>32600</v>
      </c>
      <c r="C125" s="0" t="n">
        <v>3700</v>
      </c>
      <c r="D125" s="0" t="s">
        <v>469</v>
      </c>
      <c r="E125" s="0" t="n">
        <v>5</v>
      </c>
      <c r="F125" s="67" t="n">
        <f aca="false">20*1.60934</f>
        <v>32.1868</v>
      </c>
      <c r="G125" s="0" t="n">
        <v>8</v>
      </c>
      <c r="H125" s="0" t="n">
        <v>3.3</v>
      </c>
    </row>
    <row r="126" customFormat="false" ht="15" hidden="false" customHeight="false" outlineLevel="0" collapsed="false">
      <c r="A126" s="0" t="s">
        <v>470</v>
      </c>
      <c r="B126" s="0" t="n">
        <v>35600</v>
      </c>
      <c r="C126" s="0" t="n">
        <v>3700</v>
      </c>
      <c r="D126" s="0" t="s">
        <v>411</v>
      </c>
      <c r="E126" s="0" t="n">
        <v>5</v>
      </c>
      <c r="F126" s="67" t="n">
        <f aca="false">20*1.60934</f>
        <v>32.1868</v>
      </c>
      <c r="G126" s="0" t="n">
        <v>7</v>
      </c>
      <c r="H126" s="0" t="n">
        <v>3.3</v>
      </c>
    </row>
    <row r="127" customFormat="false" ht="15" hidden="false" customHeight="false" outlineLevel="0" collapsed="false">
      <c r="A127" s="0" t="s">
        <v>471</v>
      </c>
      <c r="B127" s="0" t="n">
        <v>40700</v>
      </c>
      <c r="C127" s="0" t="n">
        <v>3700</v>
      </c>
      <c r="D127" s="0" t="s">
        <v>411</v>
      </c>
      <c r="E127" s="0" t="n">
        <v>2</v>
      </c>
      <c r="F127" s="67" t="n">
        <f aca="false">13*1.60934</f>
        <v>20.92142</v>
      </c>
      <c r="G127" s="0" t="n">
        <v>7</v>
      </c>
      <c r="H127" s="0" t="n">
        <v>6.6</v>
      </c>
    </row>
    <row r="128" customFormat="false" ht="15" hidden="false" customHeight="false" outlineLevel="0" collapsed="false">
      <c r="A128" s="0" t="s">
        <v>472</v>
      </c>
      <c r="B128" s="0" t="n">
        <v>78000</v>
      </c>
      <c r="C128" s="0" t="n">
        <v>5300</v>
      </c>
      <c r="D128" s="0" t="s">
        <v>424</v>
      </c>
      <c r="E128" s="0" t="n">
        <v>5</v>
      </c>
      <c r="F128" s="67" t="n">
        <f aca="false">14*1.60934</f>
        <v>22.53076</v>
      </c>
      <c r="G128" s="0" t="n">
        <v>11</v>
      </c>
      <c r="H128" s="0" t="n">
        <v>3.6</v>
      </c>
    </row>
    <row r="129" customFormat="false" ht="15" hidden="false" customHeight="false" outlineLevel="0" collapsed="false">
      <c r="A129" s="0" t="s">
        <v>473</v>
      </c>
      <c r="B129" s="0" t="n">
        <v>100000</v>
      </c>
      <c r="C129" s="0" t="n">
        <v>4700</v>
      </c>
      <c r="D129" s="0" t="s">
        <v>424</v>
      </c>
      <c r="E129" s="0" t="n">
        <v>4</v>
      </c>
      <c r="F129" s="67" t="n">
        <f aca="false">15*1.60934</f>
        <v>24.1401</v>
      </c>
      <c r="G129" s="0" t="n">
        <v>9</v>
      </c>
      <c r="H129" s="88" t="n">
        <v>3</v>
      </c>
    </row>
    <row r="130" customFormat="false" ht="15" hidden="false" customHeight="false" outlineLevel="0" collapsed="false">
      <c r="A130" s="0" t="s">
        <v>474</v>
      </c>
      <c r="B130" s="0" t="n">
        <v>30800</v>
      </c>
      <c r="C130" s="0" t="n">
        <v>2500</v>
      </c>
      <c r="D130" s="0" t="s">
        <v>411</v>
      </c>
      <c r="E130" s="0" t="n">
        <v>5</v>
      </c>
      <c r="F130" s="67" t="n">
        <f aca="false">11*1.60934</f>
        <v>17.70274</v>
      </c>
      <c r="G130" s="0" t="n">
        <v>4</v>
      </c>
      <c r="H130" s="0" t="n">
        <v>3.3</v>
      </c>
    </row>
    <row r="132" customFormat="false" ht="15" hidden="false" customHeight="false" outlineLevel="0" collapsed="false">
      <c r="A132" s="0" t="s">
        <v>475</v>
      </c>
      <c r="B132" s="0" t="s">
        <v>476</v>
      </c>
      <c r="Y132" s="0" t="s">
        <v>477</v>
      </c>
    </row>
    <row r="133" customFormat="false" ht="15" hidden="false" customHeight="false" outlineLevel="0" collapsed="false">
      <c r="B133" s="0" t="s">
        <v>478</v>
      </c>
    </row>
    <row r="134" customFormat="false" ht="15" hidden="false" customHeight="false" outlineLevel="0" collapsed="false">
      <c r="B134" s="0" t="s">
        <v>479</v>
      </c>
    </row>
    <row r="135" customFormat="false" ht="15" hidden="false" customHeight="false" outlineLevel="0" collapsed="false">
      <c r="B135" s="0" t="s">
        <v>480</v>
      </c>
    </row>
    <row r="136" customFormat="false" ht="15" hidden="false" customHeight="false" outlineLevel="0" collapsed="false">
      <c r="B136" s="0" t="s">
        <v>481</v>
      </c>
    </row>
    <row r="138" customFormat="false" ht="15" hidden="false" customHeight="false" outlineLevel="0" collapsed="false">
      <c r="B138" s="0" t="s">
        <v>482</v>
      </c>
      <c r="Y138" s="89" t="s">
        <v>483</v>
      </c>
    </row>
  </sheetData>
  <hyperlinks>
    <hyperlink ref="Y138" r:id="rId2" display="https://www.ttc.ca/Routes/General_Information/General_Information.jsp"/>
  </hyperlinks>
  <printOptions headings="false" gridLines="false" gridLinesSet="true" horizontalCentered="false" verticalCentered="false"/>
  <pageMargins left="0.25" right="0.25" top="0.75" bottom="0.75" header="0.511805555555555" footer="0.511805555555555"/>
  <pageSetup paperSize="1" scale="100" firstPageNumber="0" fitToWidth="1" fitToHeight="2"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L10" activeCellId="0" sqref="L10"/>
    </sheetView>
  </sheetViews>
  <sheetFormatPr defaultColWidth="8.5390625" defaultRowHeight="15" zeroHeight="false" outlineLevelRow="0" outlineLevelCol="0"/>
  <cols>
    <col collapsed="false" customWidth="true" hidden="false" outlineLevel="0" max="1" min="1" style="0" width="12.57"/>
    <col collapsed="false" customWidth="true" hidden="false" outlineLevel="0" max="2" min="2" style="0" width="26"/>
    <col collapsed="false" customWidth="true" hidden="false" outlineLevel="0" max="3" min="3" style="0" width="16.28"/>
    <col collapsed="false" customWidth="true" hidden="false" outlineLevel="0" max="4" min="4" style="0" width="12.71"/>
    <col collapsed="false" customWidth="true" hidden="false" outlineLevel="0" max="5" min="5" style="0" width="17.85"/>
    <col collapsed="false" customWidth="true" hidden="false" outlineLevel="0" max="6" min="6" style="0" width="12.71"/>
    <col collapsed="false" customWidth="true" hidden="false" outlineLevel="0" max="7" min="7" style="0" width="23"/>
    <col collapsed="false" customWidth="true" hidden="false" outlineLevel="0" max="8" min="8" style="0" width="18.85"/>
    <col collapsed="false" customWidth="true" hidden="false" outlineLevel="0" max="9" min="9" style="0" width="20.85"/>
    <col collapsed="false" customWidth="true" hidden="false" outlineLevel="0" max="10" min="10" style="0" width="16.57"/>
    <col collapsed="false" customWidth="true" hidden="false" outlineLevel="0" max="11" min="11" style="0" width="12.14"/>
    <col collapsed="false" customWidth="true" hidden="false" outlineLevel="0" max="12" min="12" style="0" width="9.14"/>
  </cols>
  <sheetData>
    <row r="1" customFormat="false" ht="19.5" hidden="false" customHeight="false" outlineLevel="0" collapsed="false">
      <c r="A1" s="90" t="s">
        <v>484</v>
      </c>
    </row>
    <row r="2" customFormat="false" ht="31.5" hidden="false" customHeight="true" outlineLevel="0" collapsed="false">
      <c r="A2" s="91"/>
      <c r="B2" s="92" t="s">
        <v>485</v>
      </c>
      <c r="C2" s="92"/>
      <c r="D2" s="93" t="s">
        <v>486</v>
      </c>
      <c r="E2" s="93"/>
      <c r="F2" s="94" t="s">
        <v>487</v>
      </c>
      <c r="G2" s="94"/>
      <c r="H2" s="94"/>
      <c r="I2" s="94"/>
      <c r="J2" s="35"/>
      <c r="K2" s="95"/>
      <c r="L2" s="96"/>
    </row>
    <row r="3" customFormat="false" ht="33" hidden="false" customHeight="true" outlineLevel="0" collapsed="false">
      <c r="A3" s="97" t="s">
        <v>488</v>
      </c>
      <c r="B3" s="98" t="s">
        <v>489</v>
      </c>
      <c r="C3" s="98" t="s">
        <v>231</v>
      </c>
      <c r="D3" s="99" t="s">
        <v>490</v>
      </c>
      <c r="E3" s="99" t="s">
        <v>491</v>
      </c>
      <c r="F3" s="100" t="s">
        <v>492</v>
      </c>
      <c r="G3" s="100" t="s">
        <v>493</v>
      </c>
      <c r="H3" s="100" t="s">
        <v>494</v>
      </c>
      <c r="I3" s="101" t="s">
        <v>233</v>
      </c>
      <c r="J3" s="35"/>
      <c r="K3" s="35"/>
      <c r="L3" s="35"/>
      <c r="M3" s="35"/>
      <c r="N3" s="35"/>
    </row>
    <row r="4" customFormat="false" ht="33" hidden="false" customHeight="true" outlineLevel="0" collapsed="false">
      <c r="A4" s="97"/>
      <c r="B4" s="102" t="s">
        <v>495</v>
      </c>
      <c r="C4" s="102" t="s">
        <v>495</v>
      </c>
      <c r="D4" s="103" t="s">
        <v>243</v>
      </c>
      <c r="E4" s="103" t="s">
        <v>243</v>
      </c>
      <c r="F4" s="104" t="s">
        <v>496</v>
      </c>
      <c r="G4" s="104" t="s">
        <v>496</v>
      </c>
      <c r="H4" s="104" t="s">
        <v>496</v>
      </c>
      <c r="I4" s="105" t="s">
        <v>496</v>
      </c>
      <c r="J4" s="35"/>
      <c r="K4" s="35"/>
      <c r="L4" s="35"/>
      <c r="M4" s="35"/>
      <c r="N4" s="35"/>
    </row>
    <row r="5" customFormat="false" ht="15" hidden="false" customHeight="false" outlineLevel="0" collapsed="false">
      <c r="A5" s="97" t="s">
        <v>246</v>
      </c>
      <c r="B5" s="35" t="n">
        <v>54</v>
      </c>
      <c r="D5" s="35" t="n">
        <v>24</v>
      </c>
      <c r="E5" s="35" t="n">
        <v>12</v>
      </c>
      <c r="F5" s="35" t="n">
        <v>0.1</v>
      </c>
      <c r="G5" s="35" t="n">
        <v>-0.1</v>
      </c>
      <c r="H5" s="106"/>
      <c r="I5" s="107"/>
      <c r="J5" s="35"/>
      <c r="K5" s="35"/>
      <c r="L5" s="35"/>
      <c r="M5" s="35"/>
      <c r="N5" s="35"/>
    </row>
    <row r="6" customFormat="false" ht="15" hidden="false" customHeight="false" outlineLevel="0" collapsed="false">
      <c r="A6" s="97" t="s">
        <v>248</v>
      </c>
      <c r="B6" s="35"/>
      <c r="D6" s="35"/>
      <c r="E6" s="35"/>
      <c r="F6" s="35"/>
      <c r="G6" s="35"/>
      <c r="H6" s="106"/>
      <c r="I6" s="107"/>
      <c r="J6" s="35"/>
      <c r="K6" s="35"/>
      <c r="L6" s="35"/>
      <c r="M6" s="35"/>
      <c r="N6" s="35"/>
    </row>
    <row r="7" customFormat="false" ht="15" hidden="false" customHeight="false" outlineLevel="0" collapsed="false">
      <c r="A7" s="97" t="s">
        <v>250</v>
      </c>
      <c r="B7" s="35" t="n">
        <v>66</v>
      </c>
      <c r="D7" s="35" t="n">
        <v>8</v>
      </c>
      <c r="E7" s="35" t="n">
        <v>4</v>
      </c>
      <c r="F7" s="35" t="n">
        <v>0.25</v>
      </c>
      <c r="G7" s="35" t="n">
        <v>-0.25</v>
      </c>
      <c r="H7" s="106"/>
      <c r="I7" s="107"/>
      <c r="J7" s="35"/>
      <c r="K7" s="35"/>
      <c r="L7" s="35"/>
      <c r="M7" s="35"/>
      <c r="N7" s="35"/>
    </row>
    <row r="8" customFormat="false" ht="15" hidden="false" customHeight="false" outlineLevel="0" collapsed="false">
      <c r="A8" s="97" t="s">
        <v>252</v>
      </c>
      <c r="B8" s="35" t="n">
        <v>26</v>
      </c>
      <c r="D8" s="35" t="n">
        <v>1</v>
      </c>
      <c r="E8" s="35" t="n">
        <v>1</v>
      </c>
      <c r="F8" s="35" t="n">
        <v>1</v>
      </c>
      <c r="G8" s="35" t="n">
        <v>-1</v>
      </c>
      <c r="H8" s="106"/>
      <c r="I8" s="107"/>
      <c r="J8" s="35"/>
      <c r="K8" s="35"/>
      <c r="L8" s="35"/>
      <c r="M8" s="35"/>
      <c r="N8" s="35"/>
    </row>
    <row r="9" customFormat="false" ht="15" hidden="false" customHeight="false" outlineLevel="0" collapsed="false">
      <c r="A9" s="97" t="s">
        <v>254</v>
      </c>
      <c r="B9" s="35" t="n">
        <v>26</v>
      </c>
      <c r="D9" s="35" t="n">
        <v>1</v>
      </c>
      <c r="E9" s="35" t="n">
        <v>1</v>
      </c>
      <c r="F9" s="35" t="n">
        <v>1</v>
      </c>
      <c r="G9" s="35" t="n">
        <v>-1</v>
      </c>
      <c r="H9" s="106"/>
      <c r="I9" s="107"/>
      <c r="J9" s="35"/>
      <c r="K9" s="35"/>
      <c r="L9" s="35"/>
      <c r="M9" s="35"/>
      <c r="N9" s="35"/>
    </row>
    <row r="10" customFormat="false" ht="15" hidden="false" customHeight="false" outlineLevel="0" collapsed="false">
      <c r="A10" s="97" t="s">
        <v>255</v>
      </c>
      <c r="B10" s="35"/>
      <c r="D10" s="35" t="n">
        <v>1</v>
      </c>
      <c r="E10" s="35" t="n">
        <v>1</v>
      </c>
      <c r="F10" s="35" t="n">
        <v>0.25</v>
      </c>
      <c r="G10" s="35" t="n">
        <v>-0.25</v>
      </c>
      <c r="I10" s="107"/>
      <c r="J10" s="35"/>
      <c r="K10" s="35"/>
      <c r="L10" s="35"/>
      <c r="M10" s="35"/>
      <c r="N10" s="35"/>
    </row>
    <row r="11" customFormat="false" ht="15" hidden="false" customHeight="false" outlineLevel="0" collapsed="false">
      <c r="A11" s="97" t="s">
        <v>256</v>
      </c>
      <c r="B11" s="35"/>
      <c r="D11" s="35" t="n">
        <v>1</v>
      </c>
      <c r="E11" s="35" t="n">
        <v>1</v>
      </c>
      <c r="F11" s="35" t="n">
        <v>0.25</v>
      </c>
      <c r="G11" s="35" t="n">
        <v>-0.25</v>
      </c>
      <c r="H11" s="106"/>
      <c r="I11" s="107"/>
      <c r="J11" s="35"/>
      <c r="K11" s="35"/>
      <c r="L11" s="35"/>
      <c r="M11" s="35"/>
      <c r="N11" s="35"/>
    </row>
    <row r="12" customFormat="false" ht="15" hidden="false" customHeight="false" outlineLevel="0" collapsed="false">
      <c r="A12" s="97" t="s">
        <v>257</v>
      </c>
      <c r="B12" s="35" t="n">
        <v>55</v>
      </c>
      <c r="D12" s="35" t="n">
        <v>168</v>
      </c>
      <c r="E12" s="35" t="n">
        <v>24</v>
      </c>
      <c r="F12" s="35" t="n">
        <v>0.01</v>
      </c>
      <c r="G12" s="35" t="n">
        <v>-0.01</v>
      </c>
      <c r="H12" s="106"/>
      <c r="I12" s="107"/>
      <c r="J12" s="108"/>
      <c r="L12" s="35"/>
      <c r="M12" s="35"/>
      <c r="N12" s="35"/>
    </row>
    <row r="13" customFormat="false" ht="15" hidden="false" customHeight="false" outlineLevel="0" collapsed="false">
      <c r="A13" s="97" t="s">
        <v>259</v>
      </c>
      <c r="B13" s="35"/>
      <c r="C13" s="35"/>
      <c r="D13" s="35"/>
      <c r="E13" s="35"/>
      <c r="F13" s="35" t="n">
        <v>1</v>
      </c>
      <c r="G13" s="35" t="n">
        <v>-1</v>
      </c>
      <c r="H13" s="35"/>
      <c r="I13" s="35"/>
      <c r="J13" s="35"/>
      <c r="K13" s="35"/>
      <c r="L13" s="35"/>
      <c r="M13" s="35"/>
      <c r="N13" s="35"/>
    </row>
    <row r="14" customFormat="false" ht="15" hidden="false" customHeight="false" outlineLevel="0" collapsed="false">
      <c r="A14" s="97" t="s">
        <v>261</v>
      </c>
      <c r="B14" s="35"/>
      <c r="C14" s="35"/>
      <c r="D14" s="35"/>
      <c r="E14" s="35"/>
      <c r="F14" s="35" t="n">
        <v>1</v>
      </c>
      <c r="G14" s="35" t="n">
        <v>-1</v>
      </c>
      <c r="H14" s="35"/>
      <c r="I14" s="35"/>
      <c r="J14" s="35"/>
      <c r="K14" s="35"/>
      <c r="L14" s="35"/>
      <c r="M14" s="35"/>
      <c r="N14" s="35"/>
    </row>
    <row r="15" customFormat="false" ht="15" hidden="false" customHeight="false" outlineLevel="0" collapsed="false">
      <c r="A15" s="97" t="s">
        <v>262</v>
      </c>
      <c r="B15" s="35"/>
      <c r="C15" s="35"/>
      <c r="D15" s="35"/>
      <c r="E15" s="35"/>
      <c r="F15" s="35" t="n">
        <v>1</v>
      </c>
      <c r="G15" s="35" t="n">
        <v>-1</v>
      </c>
      <c r="H15" s="35"/>
      <c r="I15" s="35"/>
      <c r="J15" s="35"/>
      <c r="K15" s="35"/>
      <c r="L15" s="35"/>
      <c r="M15" s="35"/>
      <c r="N15" s="35"/>
    </row>
    <row r="16" customFormat="false" ht="15" hidden="false" customHeight="false" outlineLevel="0" collapsed="false">
      <c r="A16" s="97" t="s">
        <v>263</v>
      </c>
      <c r="B16" s="35"/>
      <c r="C16" s="35"/>
      <c r="D16" s="35"/>
      <c r="E16" s="35"/>
      <c r="F16" s="35" t="n">
        <v>1</v>
      </c>
      <c r="G16" s="35" t="n">
        <v>-1</v>
      </c>
      <c r="H16" s="35"/>
      <c r="I16" s="35"/>
      <c r="J16" s="35"/>
      <c r="K16" s="35"/>
      <c r="L16" s="35"/>
      <c r="M16" s="35"/>
      <c r="N16" s="35"/>
    </row>
    <row r="17" customFormat="false" ht="15" hidden="false" customHeight="false" outlineLevel="0" collapsed="false">
      <c r="A17" s="97" t="s">
        <v>264</v>
      </c>
      <c r="B17" s="35"/>
      <c r="C17" s="35"/>
      <c r="D17" s="35"/>
      <c r="E17" s="35"/>
      <c r="F17" s="35"/>
      <c r="G17" s="35"/>
      <c r="H17" s="106"/>
      <c r="I17" s="106"/>
      <c r="J17" s="35"/>
      <c r="K17" s="35"/>
      <c r="L17" s="35"/>
      <c r="M17" s="35"/>
      <c r="N17" s="35"/>
    </row>
    <row r="18" customFormat="false" ht="15" hidden="false" customHeight="false" outlineLevel="0" collapsed="false">
      <c r="A18" s="97" t="s">
        <v>266</v>
      </c>
      <c r="B18" s="35" t="n">
        <v>54</v>
      </c>
      <c r="C18" s="35"/>
      <c r="D18" s="35" t="n">
        <v>8</v>
      </c>
      <c r="E18" s="35" t="n">
        <v>6</v>
      </c>
      <c r="F18" s="35" t="n">
        <v>0.05</v>
      </c>
      <c r="G18" s="35" t="n">
        <v>-0.05</v>
      </c>
      <c r="H18" s="106"/>
      <c r="I18" s="107"/>
      <c r="J18" s="35"/>
      <c r="K18" s="35"/>
      <c r="L18" s="35"/>
      <c r="M18" s="35"/>
      <c r="N18" s="35"/>
    </row>
    <row r="19" customFormat="false" ht="15" hidden="false" customHeight="false" outlineLevel="0" collapsed="false">
      <c r="A19" s="97" t="s">
        <v>268</v>
      </c>
      <c r="B19" s="35" t="n">
        <v>54</v>
      </c>
      <c r="C19" s="35"/>
      <c r="D19" s="35" t="n">
        <v>8</v>
      </c>
      <c r="E19" s="35" t="n">
        <v>6</v>
      </c>
      <c r="F19" s="35" t="n">
        <v>0.05</v>
      </c>
      <c r="G19" s="35" t="n">
        <v>-0.05</v>
      </c>
      <c r="H19" s="106"/>
      <c r="I19" s="107"/>
      <c r="J19" s="35"/>
      <c r="K19" s="35"/>
      <c r="L19" s="35"/>
      <c r="M19" s="35"/>
      <c r="N19" s="35"/>
    </row>
    <row r="20" customFormat="false" ht="15" hidden="false" customHeight="false" outlineLevel="0" collapsed="false">
      <c r="A20" s="97" t="s">
        <v>274</v>
      </c>
      <c r="B20" s="35"/>
      <c r="C20" s="35"/>
      <c r="D20" s="35"/>
      <c r="E20" s="35"/>
      <c r="F20" s="35"/>
      <c r="G20" s="35"/>
      <c r="H20" s="106"/>
      <c r="I20" s="107"/>
      <c r="J20" s="35"/>
      <c r="K20" s="35"/>
      <c r="L20" s="35"/>
      <c r="M20" s="35"/>
      <c r="N20" s="35"/>
    </row>
    <row r="21" customFormat="false" ht="15" hidden="false" customHeight="false" outlineLevel="0" collapsed="false">
      <c r="A21" s="97" t="s">
        <v>497</v>
      </c>
      <c r="B21" s="35"/>
      <c r="C21" s="35"/>
      <c r="D21" s="35"/>
      <c r="E21" s="35"/>
      <c r="F21" s="35"/>
      <c r="G21" s="35"/>
      <c r="H21" s="106"/>
      <c r="I21" s="107"/>
      <c r="J21" s="35"/>
      <c r="K21" s="35"/>
      <c r="L21" s="35"/>
      <c r="M21" s="35"/>
      <c r="N21" s="35"/>
    </row>
    <row r="22" customFormat="false" ht="15" hidden="false" customHeight="false" outlineLevel="0" collapsed="false">
      <c r="A22" s="97" t="s">
        <v>300</v>
      </c>
      <c r="B22" s="109" t="n">
        <v>0</v>
      </c>
      <c r="C22" s="109" t="n">
        <v>0</v>
      </c>
      <c r="D22" s="35" t="n">
        <v>1</v>
      </c>
      <c r="E22" s="35" t="n">
        <v>1</v>
      </c>
      <c r="F22" s="35" t="n">
        <v>1</v>
      </c>
      <c r="G22" s="35" t="n">
        <v>-1</v>
      </c>
      <c r="H22" s="106"/>
      <c r="I22" s="107"/>
      <c r="J22" s="35"/>
      <c r="K22" s="35"/>
      <c r="L22" s="35"/>
      <c r="M22" s="35"/>
      <c r="N22" s="35"/>
    </row>
    <row r="23" customFormat="false" ht="15" hidden="false" customHeight="false" outlineLevel="0" collapsed="false">
      <c r="A23" s="97" t="s">
        <v>302</v>
      </c>
      <c r="B23" s="109"/>
      <c r="C23" s="109"/>
      <c r="D23" s="35"/>
      <c r="E23" s="35"/>
      <c r="F23" s="35"/>
      <c r="G23" s="35"/>
      <c r="H23" s="106"/>
      <c r="I23" s="107"/>
      <c r="J23" s="35"/>
      <c r="K23" s="35"/>
      <c r="L23" s="35"/>
      <c r="M23" s="35"/>
      <c r="N23" s="35"/>
    </row>
    <row r="24" customFormat="false" ht="15" hidden="false" customHeight="false" outlineLevel="0" collapsed="false">
      <c r="A24" s="97" t="s">
        <v>498</v>
      </c>
      <c r="B24" s="109"/>
      <c r="C24" s="109"/>
      <c r="D24" s="35"/>
      <c r="E24" s="35"/>
      <c r="F24" s="35"/>
      <c r="G24" s="35"/>
      <c r="H24" s="35"/>
      <c r="I24" s="110"/>
      <c r="J24" s="35"/>
      <c r="K24" s="35"/>
      <c r="L24" s="35"/>
      <c r="M24" s="35"/>
      <c r="N24" s="35"/>
    </row>
    <row r="25" customFormat="false" ht="15.75" hidden="false" customHeight="false" outlineLevel="0" collapsed="false">
      <c r="A25" s="111" t="s">
        <v>321</v>
      </c>
      <c r="B25" s="109"/>
      <c r="C25" s="109"/>
      <c r="D25" s="35"/>
      <c r="E25" s="35"/>
      <c r="F25" s="35"/>
      <c r="G25" s="35"/>
      <c r="H25" s="35"/>
      <c r="I25" s="110"/>
      <c r="J25" s="35"/>
      <c r="K25" s="35"/>
      <c r="L25" s="35"/>
      <c r="M25" s="35"/>
      <c r="N25" s="35"/>
    </row>
    <row r="26" customFormat="false" ht="15" hidden="false" customHeight="false" outlineLevel="0" collapsed="false">
      <c r="A26" s="97" t="s">
        <v>499</v>
      </c>
      <c r="B26" s="109"/>
      <c r="C26" s="109"/>
      <c r="D26" s="35"/>
      <c r="E26" s="35"/>
      <c r="F26" s="35"/>
      <c r="G26" s="35"/>
      <c r="H26" s="35"/>
      <c r="I26" s="110"/>
      <c r="J26" s="35"/>
      <c r="K26" s="35"/>
      <c r="L26" s="35"/>
      <c r="M26" s="35"/>
      <c r="N26" s="35"/>
    </row>
    <row r="27" customFormat="false" ht="15.75" hidden="false" customHeight="false" outlineLevel="0" collapsed="false">
      <c r="A27" s="97" t="s">
        <v>500</v>
      </c>
      <c r="B27" s="112"/>
      <c r="C27" s="112"/>
      <c r="D27" s="113"/>
      <c r="E27" s="113"/>
      <c r="F27" s="113"/>
      <c r="G27" s="113"/>
      <c r="H27" s="113"/>
      <c r="I27" s="114"/>
      <c r="J27" s="35"/>
      <c r="K27" s="35"/>
      <c r="L27" s="35"/>
      <c r="M27" s="35"/>
      <c r="N27" s="35"/>
    </row>
    <row r="28" customFormat="false" ht="15" hidden="false" customHeight="false" outlineLevel="0" collapsed="false">
      <c r="B28" s="35"/>
      <c r="C28" s="35"/>
      <c r="D28" s="35"/>
      <c r="E28" s="35"/>
      <c r="F28" s="35"/>
      <c r="G28" s="35"/>
      <c r="H28" s="35"/>
      <c r="I28" s="35"/>
      <c r="J28" s="35"/>
      <c r="K28" s="35"/>
      <c r="L28" s="35"/>
      <c r="M28" s="35"/>
      <c r="N28" s="35"/>
      <c r="O28" s="35"/>
    </row>
    <row r="29" customFormat="false" ht="15" hidden="false" customHeight="false" outlineLevel="0" collapsed="false">
      <c r="A29" s="0" t="s">
        <v>501</v>
      </c>
      <c r="B29" s="35" t="n">
        <f aca="false">COLUMN(B3)-2</f>
        <v>0</v>
      </c>
      <c r="C29" s="35" t="n">
        <f aca="false">COLUMN(C3)-2</f>
        <v>1</v>
      </c>
      <c r="D29" s="35" t="n">
        <f aca="false">COLUMN(D3)-2</f>
        <v>2</v>
      </c>
      <c r="E29" s="35" t="n">
        <f aca="false">COLUMN(E3)-2</f>
        <v>3</v>
      </c>
      <c r="F29" s="35" t="n">
        <f aca="false">COLUMN(F3)-2</f>
        <v>4</v>
      </c>
      <c r="G29" s="35" t="n">
        <f aca="false">COLUMN(G3)-2</f>
        <v>5</v>
      </c>
      <c r="H29" s="35" t="n">
        <f aca="false">COLUMN(H3)-2</f>
        <v>6</v>
      </c>
      <c r="I29" s="35" t="n">
        <f aca="false">COLUMN(I3)-2</f>
        <v>7</v>
      </c>
      <c r="J29" s="35"/>
      <c r="K29" s="35"/>
    </row>
    <row r="31" customFormat="false" ht="15" hidden="false" customHeight="false" outlineLevel="0" collapsed="false">
      <c r="A31" s="0" t="s">
        <v>502</v>
      </c>
      <c r="B31" s="0" t="s">
        <v>503</v>
      </c>
      <c r="C31" s="0" t="s">
        <v>504</v>
      </c>
    </row>
    <row r="32" customFormat="false" ht="15" hidden="false" customHeight="false" outlineLevel="0" collapsed="false">
      <c r="B32" s="0" t="s">
        <v>489</v>
      </c>
      <c r="C32" s="0" t="s">
        <v>505</v>
      </c>
    </row>
    <row r="33" customFormat="false" ht="15" hidden="false" customHeight="false" outlineLevel="0" collapsed="false">
      <c r="B33" s="0" t="s">
        <v>231</v>
      </c>
    </row>
    <row r="34" customFormat="false" ht="15" hidden="false" customHeight="false" outlineLevel="0" collapsed="false">
      <c r="B34" s="0" t="s">
        <v>490</v>
      </c>
      <c r="C34" s="0" t="s">
        <v>506</v>
      </c>
      <c r="E34" s="15"/>
      <c r="F34" s="15"/>
    </row>
    <row r="35" customFormat="false" ht="15" hidden="false" customHeight="false" outlineLevel="0" collapsed="false">
      <c r="B35" s="0" t="s">
        <v>491</v>
      </c>
      <c r="C35" s="0" t="s">
        <v>507</v>
      </c>
      <c r="E35" s="15"/>
      <c r="F35" s="15"/>
    </row>
    <row r="36" customFormat="false" ht="15" hidden="false" customHeight="false" outlineLevel="0" collapsed="false">
      <c r="B36" s="0" t="s">
        <v>492</v>
      </c>
      <c r="C36" s="0" t="s">
        <v>508</v>
      </c>
      <c r="D36" s="15"/>
    </row>
    <row r="37" customFormat="false" ht="15" hidden="false" customHeight="false" outlineLevel="0" collapsed="false">
      <c r="B37" s="0" t="s">
        <v>493</v>
      </c>
      <c r="C37" s="0" t="s">
        <v>509</v>
      </c>
      <c r="D37" s="15"/>
    </row>
    <row r="38" customFormat="false" ht="15" hidden="false" customHeight="false" outlineLevel="0" collapsed="false">
      <c r="B38" s="0" t="s">
        <v>494</v>
      </c>
      <c r="C38" s="0" t="s">
        <v>510</v>
      </c>
    </row>
    <row r="39" customFormat="false" ht="15" hidden="false" customHeight="false" outlineLevel="0" collapsed="false">
      <c r="B39" s="0" t="s">
        <v>233</v>
      </c>
      <c r="C39" s="0" t="s">
        <v>511</v>
      </c>
    </row>
    <row r="114" customFormat="false" ht="15" hidden="false" customHeight="false" outlineLevel="0" collapsed="false">
      <c r="J114" s="0" t="s">
        <v>512</v>
      </c>
    </row>
  </sheetData>
  <mergeCells count="3">
    <mergeCell ref="B2:C2"/>
    <mergeCell ref="D2:E2"/>
    <mergeCell ref="F2:I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8"/>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25" activeCellId="0" sqref="A25"/>
    </sheetView>
  </sheetViews>
  <sheetFormatPr defaultColWidth="8.5390625" defaultRowHeight="15" zeroHeight="false" outlineLevelRow="0" outlineLevelCol="0"/>
  <cols>
    <col collapsed="false" customWidth="true" hidden="false" outlineLevel="0" max="1" min="1" style="0" width="14"/>
    <col collapsed="false" customWidth="true" hidden="false" outlineLevel="0" max="2" min="2" style="0" width="40"/>
    <col collapsed="false" customWidth="true" hidden="false" outlineLevel="0" max="3" min="3" style="0" width="11.43"/>
    <col collapsed="false" customWidth="true" hidden="false" outlineLevel="0" max="4" min="4" style="0" width="11.28"/>
    <col collapsed="false" customWidth="true" hidden="false" outlineLevel="0" max="5" min="5" style="0" width="9.43"/>
    <col collapsed="false" customWidth="true" hidden="false" outlineLevel="0" max="6" min="6" style="0" width="18.57"/>
    <col collapsed="false" customWidth="true" hidden="false" outlineLevel="0" max="7" min="7" style="0" width="2.28"/>
    <col collapsed="false" customWidth="true" hidden="false" outlineLevel="0" max="8" min="8" style="0" width="19.28"/>
    <col collapsed="false" customWidth="true" hidden="false" outlineLevel="0" max="10" min="10" style="0" width="22.85"/>
    <col collapsed="false" customWidth="true" hidden="false" outlineLevel="0" max="11" min="11" style="0" width="21.43"/>
    <col collapsed="false" customWidth="true" hidden="false" outlineLevel="0" max="12" min="12" style="0" width="14.28"/>
    <col collapsed="false" customWidth="true" hidden="false" outlineLevel="0" max="13" min="13" style="0" width="4.43"/>
    <col collapsed="false" customWidth="true" hidden="false" outlineLevel="0" max="14" min="14" style="0" width="25.42"/>
    <col collapsed="false" customWidth="true" hidden="false" outlineLevel="0" max="16" min="16" style="0" width="13.28"/>
  </cols>
  <sheetData>
    <row r="1" customFormat="false" ht="19.5" hidden="false" customHeight="false" outlineLevel="0" collapsed="false">
      <c r="A1" s="90" t="s">
        <v>513</v>
      </c>
      <c r="B1" s="90"/>
      <c r="M1" s="115"/>
      <c r="N1" s="115"/>
      <c r="O1" s="115"/>
      <c r="P1" s="115"/>
      <c r="Q1" s="115"/>
      <c r="R1" s="115"/>
    </row>
    <row r="2" customFormat="false" ht="36.75" hidden="false" customHeight="true" outlineLevel="0" collapsed="false">
      <c r="A2" s="91"/>
      <c r="B2" s="116"/>
      <c r="C2" s="117" t="s">
        <v>514</v>
      </c>
      <c r="D2" s="118" t="s">
        <v>515</v>
      </c>
      <c r="E2" s="119" t="s">
        <v>516</v>
      </c>
      <c r="F2" s="119"/>
      <c r="H2" s="120" t="s">
        <v>517</v>
      </c>
      <c r="I2" s="120"/>
      <c r="J2" s="120"/>
      <c r="K2" s="120"/>
      <c r="L2" s="120"/>
      <c r="M2" s="115"/>
      <c r="N2" s="121" t="s">
        <v>518</v>
      </c>
      <c r="O2" s="121"/>
      <c r="P2" s="121"/>
      <c r="Q2" s="115"/>
      <c r="R2" s="115"/>
    </row>
    <row r="3" customFormat="false" ht="48.75" hidden="false" customHeight="false" outlineLevel="0" collapsed="false">
      <c r="A3" s="97" t="s">
        <v>488</v>
      </c>
      <c r="B3" s="122" t="s">
        <v>519</v>
      </c>
      <c r="C3" s="123" t="str">
        <f aca="false">'site independent'!W3</f>
        <v>Max capacity value</v>
      </c>
      <c r="D3" s="124" t="str">
        <f aca="false">'site independent'!V3</f>
        <v>Operating reserve coeff.</v>
      </c>
      <c r="E3" s="125" t="str">
        <f aca="false">'site independent'!X3</f>
        <v>Total overnight cost in 2014</v>
      </c>
      <c r="F3" s="126" t="s">
        <v>520</v>
      </c>
      <c r="H3" s="127" t="s">
        <v>521</v>
      </c>
      <c r="I3" s="128" t="s">
        <v>522</v>
      </c>
      <c r="J3" s="128" t="s">
        <v>523</v>
      </c>
      <c r="K3" s="128" t="s">
        <v>524</v>
      </c>
      <c r="L3" s="129" t="s">
        <v>525</v>
      </c>
      <c r="M3" s="115"/>
      <c r="N3" s="121" t="s">
        <v>521</v>
      </c>
      <c r="O3" s="121" t="s">
        <v>526</v>
      </c>
      <c r="P3" s="121" t="s">
        <v>527</v>
      </c>
      <c r="Q3" s="121" t="s">
        <v>528</v>
      </c>
      <c r="R3" s="121" t="s">
        <v>529</v>
      </c>
    </row>
    <row r="4" customFormat="false" ht="35.25" hidden="false" customHeight="false" outlineLevel="0" collapsed="false">
      <c r="A4" s="97"/>
      <c r="B4" s="130" t="s">
        <v>5</v>
      </c>
      <c r="C4" s="131" t="s">
        <v>530</v>
      </c>
      <c r="D4" s="132" t="s">
        <v>531</v>
      </c>
      <c r="E4" s="133" t="s">
        <v>532</v>
      </c>
      <c r="F4" s="134" t="s">
        <v>533</v>
      </c>
      <c r="H4" s="135"/>
      <c r="I4" s="136" t="s">
        <v>5</v>
      </c>
      <c r="J4" s="136" t="s">
        <v>534</v>
      </c>
      <c r="K4" s="136" t="s">
        <v>5</v>
      </c>
      <c r="L4" s="137"/>
      <c r="M4" s="115"/>
      <c r="N4" s="138"/>
      <c r="O4" s="138" t="s">
        <v>5</v>
      </c>
      <c r="P4" s="138" t="s">
        <v>5</v>
      </c>
      <c r="Q4" s="138" t="s">
        <v>5</v>
      </c>
      <c r="R4" s="138" t="s">
        <v>5</v>
      </c>
    </row>
    <row r="5" customFormat="false" ht="15" hidden="false" customHeight="false" outlineLevel="0" collapsed="false">
      <c r="A5" s="97" t="str">
        <f aca="false">'site independent'!A5</f>
        <v>coal</v>
      </c>
      <c r="B5" s="56" t="e">
        <f aca="false">SUMIF('non-vre plants'!#ref!,A5,'non-vre plants'!#ref!)</f>
        <v>#VALUE!</v>
      </c>
      <c r="C5" s="139" t="n">
        <f aca="false">INDEX('site independent'!$A$3:$W$47, MATCH($A5, 'site independent'!$A$3:$A$47, 0), MATCH('scenario analysis'!C$3, 'site independent'!$A$3:$W$3, 0))</f>
        <v>1</v>
      </c>
      <c r="D5" s="139" t="n">
        <f aca="false">INDEX('site independent'!$A$3:$W$47, MATCH($A5, 'site independent'!$A$3:$A$47, 0), MATCH('scenario analysis'!D$3, 'site independent'!$A$3:$W$3, 0))</f>
        <v>0.53</v>
      </c>
      <c r="E5" s="139" t="n">
        <f aca="false">INDEX('site independent'!$A$3:$X$47, MATCH($A5, 'site independent'!$A$3:$A$47, 0), MATCH('scenario analysis'!E$3, 'site independent'!$A$3:$X$3, 0))</f>
        <v>2917</v>
      </c>
      <c r="F5" s="140" t="e">
        <f aca="false">E5*1000*B5</f>
        <v>#VALUE!</v>
      </c>
      <c r="H5" s="141" t="s">
        <v>535</v>
      </c>
      <c r="I5" s="56" t="e">
        <f aca="false">SUMIF(#REF!,H5,'non-vre plants'!#ref!)</f>
        <v>#VALUE!</v>
      </c>
      <c r="J5" s="142" t="n">
        <f aca="false">SUMIF('demand centres'!$C$1:$C$50,'scenario analysis'!H5,'demand centres'!$B$1:$B$50)</f>
        <v>0</v>
      </c>
      <c r="K5" s="142" t="e">
        <f aca="false" t="array" ref="K5:K5">SUMIF('existing transmission'!#ref!,H5, 'existing transmission'!$D$2:$D$3)+SUMIF('existing transmission'!$G$2:$G$3,H5, 'existing transmission'!$D$2:$D$3)</f>
        <v>#VALUE!</v>
      </c>
      <c r="L5" s="110" t="e">
        <f aca="false" t="array" ref="L5:L5">SUMIF('existing transmission'!#ref!,H5, 'existing transmission'!$B$2:$B$3)+SUMIF('existing transmission'!$G$2:$G$3,H5, 'existing transmission'!$B$2:$B$3)</f>
        <v>#VALUE!</v>
      </c>
      <c r="M5" s="17"/>
      <c r="N5" s="143" t="str">
        <f aca="false" t="array" ref="N5:N5">IFERROR(INDEX(#REF!, MATCH(0, COUNTIF($N$4:N4,#REF!), 0)), "")</f>
        <v/>
      </c>
      <c r="O5" s="144" t="e">
        <f aca="false">SUMIFS(#REF!,#REF!, 'scenario analysis'!N5,#REF!, "wind_onshore") +SUMIFS(#REF!,#REF!, 'scenario analysis'!N5,#REF!, "wind_offshore")</f>
        <v>#VALUE!</v>
      </c>
      <c r="P5" s="145" t="e">
        <f aca="false">SUMIFS(#REF!,#REF!,'scenario analysis'!N5,#REF!,"multi c-Si")</f>
        <v>#VALUE!</v>
      </c>
      <c r="Q5" s="142" t="e">
        <f aca="false">SUMIFS(#REF!,#REF!, 'scenario analysis'!N5,#REF!, "mono c-Si")</f>
        <v>#VALUE!</v>
      </c>
      <c r="R5" s="142" t="e">
        <f aca="false">SUMIFS(#REF!,#REF!,'scenario analysis'!N5,#REF!,"thin film")</f>
        <v>#VALUE!</v>
      </c>
    </row>
    <row r="6" customFormat="false" ht="15" hidden="false" customHeight="false" outlineLevel="0" collapsed="false">
      <c r="A6" s="97" t="str">
        <f aca="false">'site independent'!A6</f>
        <v>Natural gas</v>
      </c>
      <c r="B6" s="56" t="e">
        <f aca="false">SUMIF('non-vre plants'!#ref!,A6,'non-vre plants'!#ref!)</f>
        <v>#VALUE!</v>
      </c>
      <c r="C6" s="139" t="n">
        <f aca="false">INDEX('site independent'!$A$3:$W$47, MATCH($A6, 'site independent'!$A$3:$A$47, 0), MATCH('scenario analysis'!C$3, 'site independent'!$A$3:$W$3, 0))</f>
        <v>1</v>
      </c>
      <c r="D6" s="139" t="n">
        <f aca="false">INDEX('site independent'!$A$3:$W$47, MATCH($A6, 'site independent'!$A$3:$A$47, 0), MATCH('scenario analysis'!D$3, 'site independent'!$A$3:$W$3, 0))</f>
        <v>0</v>
      </c>
      <c r="E6" s="139" t="n">
        <f aca="false">INDEX('site independent'!$A$3:$X$47, MATCH($A6, 'site independent'!$A$3:$A$47, 0), MATCH('scenario analysis'!E$3, 'site independent'!$A$3:$X$3, 0))</f>
        <v>0</v>
      </c>
      <c r="F6" s="140" t="e">
        <f aca="false">E6*1000*B6</f>
        <v>#VALUE!</v>
      </c>
      <c r="H6" s="141" t="str">
        <f aca="false" t="array" ref="H6:H6">IFERROR(INDEX(#REF!, MATCH(0, COUNTIF($H$4:H5,#REF!), 0)), "")</f>
        <v/>
      </c>
      <c r="I6" s="56" t="e">
        <f aca="false">SUMIF(#REF!,H6,'non-vre plants'!N2:N2)</f>
        <v>#VALUE!</v>
      </c>
      <c r="J6" s="142" t="n">
        <f aca="false">SUMIF('demand centres'!$C$1:$C$50,'scenario analysis'!H6,'demand centres'!$B$1:$B$50)</f>
        <v>0</v>
      </c>
      <c r="K6" s="142" t="e">
        <f aca="false" t="array" ref="K6:K6">SUMIF('existing transmission'!#ref!,H6, 'existing transmission'!$D$2:$D$3)+SUMIF('existing transmission'!$G$2:$G$3,H6, 'existing transmission'!$D$2:$D$3)</f>
        <v>#VALUE!</v>
      </c>
      <c r="L6" s="110" t="e">
        <f aca="false" t="array" ref="L6:L6">SUMIF('existing transmission'!#ref!,H6, 'existing transmission'!$B$2:$B$3)+SUMIF('existing transmission'!$G$2:$G$3,H6, 'existing transmission'!$B$2:$B$3)</f>
        <v>#VALUE!</v>
      </c>
      <c r="M6" s="17"/>
      <c r="N6" s="143" t="str">
        <f aca="false" t="array" ref="N6:N6">IFERROR(INDEX(#REF!, MATCH(0, COUNTIF($N$4:N5,#REF!), 0)), "")</f>
        <v/>
      </c>
      <c r="O6" s="144" t="e">
        <f aca="false">SUMIFS(#REF!,#REF!, 'scenario analysis'!N6,#REF!, "wind_onshore") +SUMIFS(#REF!,#REF!, 'scenario analysis'!N6,#REF!, "wind_offshore")</f>
        <v>#VALUE!</v>
      </c>
      <c r="P6" s="145" t="e">
        <f aca="false">SUMIFS(#REF!,#REF!,'scenario analysis'!N6,#REF!,"multi c-Si")</f>
        <v>#VALUE!</v>
      </c>
      <c r="Q6" s="142" t="e">
        <f aca="false">SUMIFS(#REF!,#REF!, 'scenario analysis'!N6,#REF!, "mono c-Si")</f>
        <v>#VALUE!</v>
      </c>
      <c r="R6" s="142" t="e">
        <f aca="false">SUMIFS(#REF!,#REF!,'scenario analysis'!N6,#REF!,"thin film")</f>
        <v>#VALUE!</v>
      </c>
    </row>
    <row r="7" customFormat="false" ht="15" hidden="false" customHeight="false" outlineLevel="0" collapsed="false">
      <c r="A7" s="97" t="str">
        <f aca="false">'site independent'!A7</f>
        <v>NG_CC</v>
      </c>
      <c r="B7" s="56" t="e">
        <f aca="false">SUMIF('non-vre plants'!#ref!,A7,'non-vre plants'!#ref!)</f>
        <v>#VALUE!</v>
      </c>
      <c r="C7" s="139" t="n">
        <f aca="false">INDEX('site independent'!$A$3:$W$47, MATCH($A7, 'site independent'!$A$3:$A$47, 0), MATCH('scenario analysis'!C$3, 'site independent'!$A$3:$W$3, 0))</f>
        <v>1</v>
      </c>
      <c r="D7" s="139" t="n">
        <f aca="false">INDEX('site independent'!$A$3:$W$47, MATCH($A7, 'site independent'!$A$3:$A$47, 0), MATCH('scenario analysis'!D$3, 'site independent'!$A$3:$W$3, 0))</f>
        <v>0.53</v>
      </c>
      <c r="E7" s="139" t="n">
        <f aca="false">INDEX('site independent'!$A$3:$X$47, MATCH($A7, 'site independent'!$A$3:$A$47, 0), MATCH('scenario analysis'!E$3, 'site independent'!$A$3:$X$3, 0))</f>
        <v>671</v>
      </c>
      <c r="F7" s="140" t="e">
        <f aca="false">E7*1000*B7</f>
        <v>#VALUE!</v>
      </c>
      <c r="H7" s="141" t="str">
        <f aca="false" t="array" ref="H7:H7">IFERROR(INDEX(#REF!, MATCH(0, COUNTIF($H$4:H6,#REF!), 0)), "")</f>
        <v/>
      </c>
      <c r="I7" s="142" t="e">
        <f aca="false">SUMIFS(#REF!,#REF!,'scenario analysis'!H7)+SUMIFS(storage!$E$2:$E$75,storage!$I$2:$I$75,'scenario analysis'!H7)+SUMIFS(EV_aggregator!$E$2:$E$75,EV_aggregator!$I$2:$I$75,'scenario analysis'!H7)+SUMIF(#REF!,H7,'non-vre plants'!#ref!)</f>
        <v>#VALUE!</v>
      </c>
      <c r="J7" s="142" t="n">
        <f aca="false">SUMIF('demand centres'!$C$1:$C$50,'scenario analysis'!H7,'demand centres'!$B$1:$B$50)</f>
        <v>0</v>
      </c>
      <c r="K7" s="142" t="e">
        <f aca="false" t="array" ref="K7:K7">SUMIF('existing transmission'!#ref!,H7, 'existing transmission'!$D$2:$D$3)+SUMIF('existing transmission'!$G$2:$G$3,H7, 'existing transmission'!$D$2:$D$3)</f>
        <v>#VALUE!</v>
      </c>
      <c r="L7" s="110" t="e">
        <f aca="false" t="array" ref="L7:L7">SUMIF('existing transmission'!#ref!,H7, 'existing transmission'!$B$2:$B$3)+SUMIF('existing transmission'!$G$2:$G$3,H7, 'existing transmission'!$B$2:$B$3)</f>
        <v>#VALUE!</v>
      </c>
      <c r="M7" s="17"/>
      <c r="N7" s="143" t="str">
        <f aca="false" t="array" ref="N7:N7">IFERROR(INDEX(#REF!, MATCH(0, COUNTIF($N$4:N6,#REF!), 0)), "")</f>
        <v/>
      </c>
      <c r="O7" s="144" t="e">
        <f aca="false">SUMIFS(#REF!,#REF!, 'scenario analysis'!N7,#REF!, "wind_onshore") +SUMIFS(#REF!,#REF!, 'scenario analysis'!N7,#REF!, "wind_offshore")</f>
        <v>#VALUE!</v>
      </c>
      <c r="P7" s="145" t="e">
        <f aca="false">SUMIFS(#REF!,#REF!,'scenario analysis'!N7,#REF!,"multi c-Si")</f>
        <v>#VALUE!</v>
      </c>
      <c r="Q7" s="142" t="e">
        <f aca="false">SUMIFS(#REF!,#REF!, 'scenario analysis'!N7,#REF!, "mono c-Si")</f>
        <v>#VALUE!</v>
      </c>
      <c r="R7" s="142" t="e">
        <f aca="false">SUMIFS(#REF!,#REF!,'scenario analysis'!N7,#REF!,"thin film")</f>
        <v>#VALUE!</v>
      </c>
    </row>
    <row r="8" customFormat="false" ht="15" hidden="false" customHeight="false" outlineLevel="0" collapsed="false">
      <c r="A8" s="97" t="str">
        <f aca="false">'site independent'!A8</f>
        <v>NG_CT</v>
      </c>
      <c r="B8" s="56" t="e">
        <f aca="false">SUMIF('non-vre plants'!#ref!,A8,'non-vre plants'!#ref!)</f>
        <v>#VALUE!</v>
      </c>
      <c r="C8" s="139" t="n">
        <f aca="false">INDEX('site independent'!$A$3:$W$47, MATCH($A8, 'site independent'!$A$3:$A$47, 0), MATCH('scenario analysis'!C$3, 'site independent'!$A$3:$W$3, 0))</f>
        <v>1</v>
      </c>
      <c r="D8" s="139" t="n">
        <f aca="false">INDEX('site independent'!$A$3:$W$47, MATCH($A8, 'site independent'!$A$3:$A$47, 0), MATCH('scenario analysis'!D$3, 'site independent'!$A$3:$W$3, 0))</f>
        <v>1</v>
      </c>
      <c r="E8" s="139" t="n">
        <f aca="false">INDEX('site independent'!$A$3:$X$47, MATCH($A8, 'site independent'!$A$3:$A$47, 0), MATCH('scenario analysis'!E$3, 'site independent'!$A$3:$X$3, 0))</f>
        <v>968</v>
      </c>
      <c r="F8" s="140" t="e">
        <f aca="false">E8*1000*B8</f>
        <v>#VALUE!</v>
      </c>
      <c r="H8" s="141" t="str">
        <f aca="false" t="array" ref="H8:H8">IFERROR(INDEX(#REF!, MATCH(0, COUNTIF($H$4:H7,#REF!), 0)), "")</f>
        <v/>
      </c>
      <c r="I8" s="142" t="e">
        <f aca="false">SUMIFS(#REF!,#REF!,'scenario analysis'!H8)+SUMIFS(storage!$E$2:$E$75,storage!$I$2:$I$75,'scenario analysis'!H8)+SUMIFS(EV_aggregator!$E$2:$E$75,EV_aggregator!$I$2:$I$75,'scenario analysis'!H8)+SUMIF(#REF!,H8,'non-vre plants'!#ref!)</f>
        <v>#VALUE!</v>
      </c>
      <c r="J8" s="142" t="n">
        <f aca="false">SUMIF('demand centres'!$C$1:$C$50,'scenario analysis'!H8,'demand centres'!$B$1:$B$50)</f>
        <v>0</v>
      </c>
      <c r="K8" s="142" t="e">
        <f aca="false" t="array" ref="K8:K8">SUMIF('existing transmission'!#ref!,H8, 'existing transmission'!$D$2:$D$3)+SUMIF('existing transmission'!$G$2:$G$3,H8, 'existing transmission'!$D$2:$D$3)</f>
        <v>#VALUE!</v>
      </c>
      <c r="L8" s="110" t="e">
        <f aca="false" t="array" ref="L8:L8">SUMIF('existing transmission'!#ref!,H8, 'existing transmission'!$B$2:$B$3)+SUMIF('existing transmission'!$G$2:$G$3,H8, 'existing transmission'!$B$2:$B$3)</f>
        <v>#VALUE!</v>
      </c>
      <c r="M8" s="142"/>
      <c r="N8" s="143" t="str">
        <f aca="false" t="array" ref="N8:N8">IFERROR(INDEX(#REF!, MATCH(0, COUNTIF($N$4:N7,#REF!), 0)), "")</f>
        <v/>
      </c>
      <c r="O8" s="144" t="e">
        <f aca="false">SUMIFS(#REF!,#REF!, 'scenario analysis'!N8,#REF!, "wind_onshore") +SUMIFS(#REF!,#REF!, 'scenario analysis'!N8,#REF!, "wind_offshore")</f>
        <v>#VALUE!</v>
      </c>
      <c r="P8" s="145" t="e">
        <f aca="false">SUMIFS(#REF!,#REF!,'scenario analysis'!N8,#REF!,"multi c-Si")</f>
        <v>#VALUE!</v>
      </c>
      <c r="Q8" s="142" t="e">
        <f aca="false">SUMIFS(#REF!,#REF!, 'scenario analysis'!N8,#REF!, "mono c-Si")</f>
        <v>#VALUE!</v>
      </c>
      <c r="R8" s="142" t="e">
        <f aca="false">SUMIFS(#REF!,#REF!,'scenario analysis'!N8,#REF!,"thin film")</f>
        <v>#VALUE!</v>
      </c>
    </row>
    <row r="9" customFormat="false" ht="15" hidden="false" customHeight="false" outlineLevel="0" collapsed="false">
      <c r="A9" s="97" t="str">
        <f aca="false">'site independent'!A9</f>
        <v>NG_CG</v>
      </c>
      <c r="B9" s="56" t="e">
        <f aca="false">SUMIF('non-vre plants'!#ref!,A9,'non-vre plants'!#ref!)</f>
        <v>#VALUE!</v>
      </c>
      <c r="C9" s="139" t="n">
        <f aca="false">INDEX('site independent'!$A$3:$W$47, MATCH($A9, 'site independent'!$A$3:$A$47, 0), MATCH('scenario analysis'!C$3, 'site independent'!$A$3:$W$3, 0))</f>
        <v>1</v>
      </c>
      <c r="D9" s="139" t="n">
        <f aca="false">INDEX('site independent'!$A$3:$W$47, MATCH($A9, 'site independent'!$A$3:$A$47, 0), MATCH('scenario analysis'!D$3, 'site independent'!$A$3:$W$3, 0))</f>
        <v>1</v>
      </c>
      <c r="E9" s="139" t="n">
        <f aca="false">INDEX('site independent'!$A$3:$X$47, MATCH($A9, 'site independent'!$A$3:$A$47, 0), MATCH('scenario analysis'!E$3, 'site independent'!$A$3:$X$3, 0))</f>
        <v>968</v>
      </c>
      <c r="F9" s="140" t="e">
        <f aca="false">E9*1000*B9</f>
        <v>#VALUE!</v>
      </c>
      <c r="H9" s="141" t="str">
        <f aca="false" t="array" ref="H9:H9">IFERROR(INDEX(#REF!, MATCH(0, COUNTIF($H$4:H8,#REF!), 0)), "")</f>
        <v/>
      </c>
      <c r="I9" s="142" t="e">
        <f aca="false">SUMIFS(#REF!,#REF!,'scenario analysis'!H9)+SUMIFS(storage!$E$2:$E$75,storage!$I$2:$I$75,'scenario analysis'!H9)+SUMIFS(EV_aggregator!$E$2:$E$75,EV_aggregator!$I$2:$I$75,'scenario analysis'!H9)+SUMIF(#REF!,H9,'non-vre plants'!#ref!)</f>
        <v>#VALUE!</v>
      </c>
      <c r="J9" s="142" t="n">
        <f aca="false">SUMIF('demand centres'!$C$1:$C$50,'scenario analysis'!H9,'demand centres'!$B$1:$B$50)</f>
        <v>0</v>
      </c>
      <c r="K9" s="142" t="e">
        <f aca="false" t="array" ref="K9:K9">SUMIF('existing transmission'!#ref!,H9, 'existing transmission'!$D$2:$D$3)+SUMIF('existing transmission'!$G$2:$G$3,H9, 'existing transmission'!$D$2:$D$3)</f>
        <v>#VALUE!</v>
      </c>
      <c r="L9" s="110" t="e">
        <f aca="false" t="array" ref="L9:L9">SUMIF('existing transmission'!#ref!,H9, 'existing transmission'!$B$2:$B$3)+SUMIF('existing transmission'!$G$2:$G$3,H9, 'existing transmission'!$B$2:$B$3)</f>
        <v>#VALUE!</v>
      </c>
      <c r="M9" s="142"/>
      <c r="N9" s="143" t="str">
        <f aca="false" t="array" ref="N9:N9">IFERROR(INDEX(#REF!, MATCH(0, COUNTIF($N$4:N8,#REF!), 0)), "")</f>
        <v/>
      </c>
      <c r="O9" s="144" t="e">
        <f aca="false">SUMIFS(#REF!,#REF!, 'scenario analysis'!N9,#REF!, "wind_onshore") +SUMIFS(#REF!,#REF!, 'scenario analysis'!N9,#REF!, "wind_offshore")</f>
        <v>#VALUE!</v>
      </c>
      <c r="P9" s="145" t="e">
        <f aca="false">SUMIFS(#REF!,#REF!,'scenario analysis'!N9,#REF!,"multi c-Si")</f>
        <v>#VALUE!</v>
      </c>
      <c r="Q9" s="142" t="e">
        <f aca="false">SUMIFS(#REF!,#REF!, 'scenario analysis'!N9,#REF!, "mono c-Si")</f>
        <v>#VALUE!</v>
      </c>
      <c r="R9" s="142" t="e">
        <f aca="false">SUMIFS(#REF!,#REF!,'scenario analysis'!N9,#REF!,"thin film")</f>
        <v>#VALUE!</v>
      </c>
    </row>
    <row r="10" customFormat="false" ht="15" hidden="false" customHeight="false" outlineLevel="0" collapsed="false">
      <c r="A10" s="97" t="str">
        <f aca="false">'site independent'!A10</f>
        <v>diesel</v>
      </c>
      <c r="B10" s="56" t="e">
        <f aca="false">SUMIF('non-vre plants'!#ref!,A10,'non-vre plants'!#ref!)</f>
        <v>#VALUE!</v>
      </c>
      <c r="C10" s="139" t="n">
        <f aca="false">INDEX('site independent'!$A$3:$W$47, MATCH($A10, 'site independent'!$A$3:$A$47, 0), MATCH('scenario analysis'!C$3, 'site independent'!$A$3:$W$3, 0))</f>
        <v>1</v>
      </c>
      <c r="D10" s="139" t="n">
        <f aca="false">INDEX('site independent'!$A$3:$W$47, MATCH($A10, 'site independent'!$A$3:$A$47, 0), MATCH('scenario analysis'!D$3, 'site independent'!$A$3:$W$3, 0))</f>
        <v>0.86</v>
      </c>
      <c r="E10" s="139" t="n">
        <f aca="false">INDEX('site independent'!$A$3:$X$47, MATCH($A10, 'site independent'!$A$3:$A$47, 0), MATCH('scenario analysis'!E$3, 'site independent'!$A$3:$X$3, 0))</f>
        <v>0</v>
      </c>
      <c r="F10" s="140" t="e">
        <f aca="false">E10*1000*B10</f>
        <v>#VALUE!</v>
      </c>
      <c r="H10" s="141" t="str">
        <f aca="false" t="array" ref="H10:H10">IFERROR(INDEX(#REF!, MATCH(0, COUNTIF($H$4:H9,#REF!), 0)), "")</f>
        <v/>
      </c>
      <c r="I10" s="56" t="e">
        <f aca="false">SUMIF(#REF!,H10,'non-vre plants'!N2:N2)</f>
        <v>#VALUE!</v>
      </c>
      <c r="J10" s="142" t="n">
        <f aca="false">SUMIF('demand centres'!$C$1:$C$50,'scenario analysis'!H10,'demand centres'!$B$1:$B$50)</f>
        <v>0</v>
      </c>
      <c r="K10" s="142" t="e">
        <f aca="false" t="array" ref="K10:K10">SUMIF('existing transmission'!#ref!,H10, 'existing transmission'!$D$2:$D$3)+SUMIF('existing transmission'!$G$2:$G$3,H10, 'existing transmission'!$D$2:$D$3)</f>
        <v>#VALUE!</v>
      </c>
      <c r="L10" s="110" t="e">
        <f aca="false" t="array" ref="L10:L10">SUMIF('existing transmission'!#ref!,H10, 'existing transmission'!$B$2:$B$3)+SUMIF('existing transmission'!$G$2:$G$3,H10, 'existing transmission'!$B$2:$B$3)</f>
        <v>#VALUE!</v>
      </c>
      <c r="M10" s="142"/>
      <c r="N10" s="143" t="str">
        <f aca="false" t="array" ref="N10:N10">IFERROR(INDEX(#REF!, MATCH(0, COUNTIF($N$4:N9,#REF!), 0)), "")</f>
        <v/>
      </c>
      <c r="O10" s="144" t="e">
        <f aca="false">SUMIFS(#REF!,#REF!, 'scenario analysis'!N10,#REF!, "wind_onshore") +SUMIFS(#REF!,#REF!, 'scenario analysis'!N10,#REF!, "wind_offshore")</f>
        <v>#VALUE!</v>
      </c>
      <c r="P10" s="145" t="e">
        <f aca="false">SUMIFS(#REF!,#REF!,'scenario analysis'!N10,#REF!,"multi c-Si")</f>
        <v>#VALUE!</v>
      </c>
      <c r="Q10" s="142" t="e">
        <f aca="false">SUMIFS(#REF!,#REF!, 'scenario analysis'!N10,#REF!, "mono c-Si")</f>
        <v>#VALUE!</v>
      </c>
      <c r="R10" s="142" t="e">
        <f aca="false">SUMIFS(#REF!,#REF!,'scenario analysis'!N10,#REF!,"thin film")</f>
        <v>#VALUE!</v>
      </c>
    </row>
    <row r="11" customFormat="false" ht="15" hidden="false" customHeight="false" outlineLevel="0" collapsed="false">
      <c r="A11" s="97" t="str">
        <f aca="false">'site independent'!A11</f>
        <v>fuel oil</v>
      </c>
      <c r="B11" s="56" t="e">
        <f aca="false">SUMIF('non-vre plants'!#ref!,A11,'non-vre plants'!#ref!)</f>
        <v>#VALUE!</v>
      </c>
      <c r="C11" s="139" t="n">
        <f aca="false">INDEX('site independent'!$A$3:$W$47, MATCH($A11, 'site independent'!$A$3:$A$47, 0), MATCH('scenario analysis'!C$3, 'site independent'!$A$3:$W$3, 0))</f>
        <v>1</v>
      </c>
      <c r="D11" s="139" t="n">
        <f aca="false">INDEX('site independent'!$A$3:$W$47, MATCH($A11, 'site independent'!$A$3:$A$47, 0), MATCH('scenario analysis'!D$3, 'site independent'!$A$3:$W$3, 0))</f>
        <v>0.86</v>
      </c>
      <c r="E11" s="139" t="n">
        <f aca="false">INDEX('site independent'!$A$3:$X$47, MATCH($A11, 'site independent'!$A$3:$A$47, 0), MATCH('scenario analysis'!E$3, 'site independent'!$A$3:$X$3, 0))</f>
        <v>0</v>
      </c>
      <c r="F11" s="140" t="e">
        <f aca="false">E11*1000*B11</f>
        <v>#VALUE!</v>
      </c>
      <c r="H11" s="141" t="str">
        <f aca="false" t="array" ref="H11:H11">IFERROR(INDEX(#REF!, MATCH(0, COUNTIF($H$4:H10,#REF!), 0)), "")</f>
        <v/>
      </c>
      <c r="I11" s="56" t="e">
        <f aca="false">SUMIF(#REF!,H11,'non-vre plants'!N2:N2)</f>
        <v>#VALUE!</v>
      </c>
      <c r="J11" s="142" t="n">
        <f aca="false">SUMIF('demand centres'!$C$1:$C$50,'scenario analysis'!H11,'demand centres'!$B$1:$B$50)</f>
        <v>0</v>
      </c>
      <c r="K11" s="142" t="e">
        <f aca="false" t="array" ref="K11:K11">SUMIF('existing transmission'!#ref!,H11, 'existing transmission'!$D$2:$D$3)+SUMIF('existing transmission'!$G$2:$G$3,H11, 'existing transmission'!$D$2:$D$3)</f>
        <v>#VALUE!</v>
      </c>
      <c r="L11" s="110" t="e">
        <f aca="false" t="array" ref="L11:L11">SUMIF('existing transmission'!#ref!,H11, 'existing transmission'!$B$2:$B$3)+SUMIF('existing transmission'!$G$2:$G$3,H11, 'existing transmission'!$B$2:$B$3)</f>
        <v>#VALUE!</v>
      </c>
      <c r="M11" s="142"/>
      <c r="N11" s="143" t="str">
        <f aca="false" t="array" ref="N11:N11">IFERROR(INDEX(#REF!, MATCH(0, COUNTIF($N$4:N10,#REF!), 0)), "")</f>
        <v/>
      </c>
      <c r="O11" s="144" t="e">
        <f aca="false">SUMIFS(#REF!,#REF!, 'scenario analysis'!N11,#REF!, "wind_onshore") +SUMIFS(#REF!,#REF!, 'scenario analysis'!N11,#REF!, "wind_offshore")</f>
        <v>#VALUE!</v>
      </c>
      <c r="P11" s="145" t="e">
        <f aca="false">SUMIFS(#REF!,#REF!,'scenario analysis'!N11,#REF!,"multi c-Si")</f>
        <v>#VALUE!</v>
      </c>
      <c r="Q11" s="142" t="e">
        <f aca="false">SUMIFS(#REF!,#REF!, 'scenario analysis'!N11,#REF!, "mono c-Si")</f>
        <v>#VALUE!</v>
      </c>
      <c r="R11" s="142" t="e">
        <f aca="false">SUMIFS(#REF!,#REF!,'scenario analysis'!N11,#REF!,"thin film")</f>
        <v>#VALUE!</v>
      </c>
    </row>
    <row r="12" customFormat="false" ht="15" hidden="false" customHeight="false" outlineLevel="0" collapsed="false">
      <c r="A12" s="97" t="str">
        <f aca="false">'site independent'!A12</f>
        <v>nuclear</v>
      </c>
      <c r="B12" s="56" t="e">
        <f aca="false">SUMIF('non-vre plants'!#ref!,A12,'non-vre plants'!#ref!)</f>
        <v>#VALUE!</v>
      </c>
      <c r="C12" s="139" t="n">
        <f aca="false">INDEX('site independent'!$A$3:$W$47, MATCH($A12, 'site independent'!$A$3:$A$47, 0), MATCH('scenario analysis'!C$3, 'site independent'!$A$3:$W$3, 0))</f>
        <v>1</v>
      </c>
      <c r="D12" s="139" t="n">
        <f aca="false">INDEX('site independent'!$A$3:$W$47, MATCH($A12, 'site independent'!$A$3:$A$47, 0), MATCH('scenario analysis'!D$3, 'site independent'!$A$3:$W$3, 0))</f>
        <v>0.2</v>
      </c>
      <c r="E12" s="139" t="n">
        <f aca="false">INDEX('site independent'!$A$3:$X$47, MATCH($A12, 'site independent'!$A$3:$A$47, 0), MATCH('scenario analysis'!E$3, 'site independent'!$A$3:$X$3, 0))</f>
        <v>5366</v>
      </c>
      <c r="F12" s="140" t="e">
        <f aca="false">E12*1000*B12</f>
        <v>#VALUE!</v>
      </c>
      <c r="H12" s="141" t="str">
        <f aca="false" t="array" ref="H12:H12">IFERROR(INDEX(#REF!, MATCH(0, COUNTIF($H$4:H11,#REF!), 0)), "")</f>
        <v/>
      </c>
      <c r="I12" s="142" t="e">
        <f aca="false">SUMIFS(#REF!,#REF!,'scenario analysis'!H12)+SUMIFS(storage!$E$2:$E$75,storage!$I$2:$I$75,'scenario analysis'!H12)+SUMIFS(EV_aggregator!$E$2:$E$75,EV_aggregator!$I$2:$I$75,'scenario analysis'!H12)+SUMIF(#REF!,H12,'non-vre plants'!#ref!)</f>
        <v>#VALUE!</v>
      </c>
      <c r="J12" s="142" t="n">
        <f aca="false">SUMIF('demand centres'!$C$1:$C$50,'scenario analysis'!H12,'demand centres'!$B$1:$B$50)</f>
        <v>0</v>
      </c>
      <c r="K12" s="142" t="e">
        <f aca="false" t="array" ref="K12:K12">SUMIF('existing transmission'!#ref!,H12, 'existing transmission'!$D$2:$D$3)+SUMIF('existing transmission'!$G$2:$G$3,H12, 'existing transmission'!$D$2:$D$3)</f>
        <v>#VALUE!</v>
      </c>
      <c r="L12" s="110" t="e">
        <f aca="false" t="array" ref="L12:L12">SUMIF('existing transmission'!#ref!,H12, 'existing transmission'!$B$2:$B$3)+SUMIF('existing transmission'!$G$2:$G$3,H12, 'existing transmission'!$B$2:$B$3)</f>
        <v>#VALUE!</v>
      </c>
      <c r="M12" s="142"/>
      <c r="N12" s="143" t="str">
        <f aca="false" t="array" ref="N12:N12">IFERROR(INDEX(#REF!, MATCH(0, COUNTIF($N$4:N11,#REF!), 0)), "")</f>
        <v/>
      </c>
      <c r="O12" s="144" t="e">
        <f aca="false">SUMIFS(#REF!,#REF!, 'scenario analysis'!N12,#REF!, "wind_onshore") +SUMIFS(#REF!,#REF!, 'scenario analysis'!N12,#REF!, "wind_offshore")</f>
        <v>#VALUE!</v>
      </c>
      <c r="P12" s="145" t="e">
        <f aca="false">SUMIFS(#REF!,#REF!,'scenario analysis'!N12,#REF!,"multi c-Si")</f>
        <v>#VALUE!</v>
      </c>
      <c r="Q12" s="142" t="e">
        <f aca="false">SUMIFS(#REF!,#REF!, 'scenario analysis'!N12,#REF!, "mono c-Si")</f>
        <v>#VALUE!</v>
      </c>
      <c r="R12" s="142" t="e">
        <f aca="false">SUMIFS(#REF!,#REF!,'scenario analysis'!N12,#REF!,"thin film")</f>
        <v>#VALUE!</v>
      </c>
    </row>
    <row r="13" customFormat="false" ht="15" hidden="false" customHeight="false" outlineLevel="0" collapsed="false">
      <c r="A13" s="97" t="str">
        <f aca="false">'site independent'!A13</f>
        <v>hydro</v>
      </c>
      <c r="B13" s="56" t="e">
        <f aca="false">SUMIF('non-vre plants'!#ref!,A13,'non-vre plants'!#ref!)</f>
        <v>#VALUE!</v>
      </c>
      <c r="C13" s="139" t="n">
        <f aca="false">INDEX('site independent'!$A$3:$W$47, MATCH($A13, 'site independent'!$A$3:$A$47, 0), MATCH('scenario analysis'!C$3, 'site independent'!$A$3:$W$3, 0))</f>
        <v>1</v>
      </c>
      <c r="D13" s="139" t="n">
        <f aca="false">INDEX('site independent'!$A$3:$W$47, MATCH($A13, 'site independent'!$A$3:$A$47, 0), MATCH('scenario analysis'!D$3, 'site independent'!$A$3:$W$3, 0))</f>
        <v>0.66</v>
      </c>
      <c r="E13" s="139" t="n">
        <f aca="false">INDEX('site independent'!$A$3:$X$47, MATCH($A13, 'site independent'!$A$3:$A$47, 0), MATCH('scenario analysis'!E$3, 'site independent'!$A$3:$X$3, 0))</f>
        <v>2651</v>
      </c>
      <c r="F13" s="140" t="e">
        <f aca="false">E13*1000*B13</f>
        <v>#VALUE!</v>
      </c>
      <c r="H13" s="141" t="str">
        <f aca="false" t="array" ref="H13:H13">IFERROR(INDEX(#REF!, MATCH(0, COUNTIF($H$4:H12,#REF!), 0)), "")</f>
        <v/>
      </c>
      <c r="I13" s="142" t="e">
        <f aca="false">SUMIFS(#REF!,#REF!,'scenario analysis'!H13)+SUMIFS(storage!$E$2:$E$75,storage!$I$2:$I$75,'scenario analysis'!H13)+SUMIFS(EV_aggregator!$E$2:$E$75,EV_aggregator!$I$2:$I$75,'scenario analysis'!H13)+SUMIF(#REF!,H13,'non-vre plants'!#ref!)</f>
        <v>#VALUE!</v>
      </c>
      <c r="J13" s="142" t="n">
        <f aca="false">SUMIF('demand centres'!$C$1:$C$50,'scenario analysis'!H13,'demand centres'!$B$1:$B$50)</f>
        <v>0</v>
      </c>
      <c r="K13" s="142" t="e">
        <f aca="false" t="array" ref="K13:K13">SUMIF('existing transmission'!#ref!,H13, 'existing transmission'!$D$2:$D$3)+SUMIF('existing transmission'!$G$2:$G$3,H13, 'existing transmission'!$D$2:$D$3)</f>
        <v>#VALUE!</v>
      </c>
      <c r="L13" s="110" t="e">
        <f aca="false" t="array" ref="L13:L13">SUMIF('existing transmission'!#ref!,H13, 'existing transmission'!$B$2:$B$3)+SUMIF('existing transmission'!$G$2:$G$3,H13, 'existing transmission'!$B$2:$B$3)</f>
        <v>#VALUE!</v>
      </c>
      <c r="M13" s="142"/>
      <c r="N13" s="143" t="str">
        <f aca="false" t="array" ref="N13:N13">IFERROR(INDEX(#REF!, MATCH(0, COUNTIF($N$4:N12,#REF!), 0)), "")</f>
        <v/>
      </c>
      <c r="O13" s="144" t="e">
        <f aca="false">SUMIFS(#REF!,#REF!, 'scenario analysis'!N13,#REF!, "wind_onshore") +SUMIFS(#REF!,#REF!, 'scenario analysis'!N13,#REF!, "wind_offshore")</f>
        <v>#VALUE!</v>
      </c>
      <c r="P13" s="145" t="e">
        <f aca="false">SUMIFS(#REF!,#REF!,'scenario analysis'!N13,#REF!,"multi c-Si")</f>
        <v>#VALUE!</v>
      </c>
      <c r="Q13" s="142" t="e">
        <f aca="false">SUMIFS(#REF!,#REF!, 'scenario analysis'!N13,#REF!, "mono c-Si")</f>
        <v>#VALUE!</v>
      </c>
      <c r="R13" s="142" t="e">
        <f aca="false">SUMIFS(#REF!,#REF!,'scenario analysis'!N13,#REF!,"thin film")</f>
        <v>#VALUE!</v>
      </c>
    </row>
    <row r="14" customFormat="false" ht="15" hidden="false" customHeight="false" outlineLevel="0" collapsed="false">
      <c r="A14" s="97" t="str">
        <f aca="false">'site independent'!A14</f>
        <v>hydro_hourly</v>
      </c>
      <c r="B14" s="56" t="e">
        <f aca="false">SUMIF('non-vre plants'!#ref!,A14,'non-vre plants'!#ref!)</f>
        <v>#VALUE!</v>
      </c>
      <c r="C14" s="139" t="n">
        <f aca="false">INDEX('site independent'!$A$3:$W$47, MATCH($A14, 'site independent'!$A$3:$A$47, 0), MATCH('scenario analysis'!C$3, 'site independent'!$A$3:$W$3, 0))</f>
        <v>1</v>
      </c>
      <c r="D14" s="139" t="n">
        <f aca="false">INDEX('site independent'!$A$3:$W$47, MATCH($A14, 'site independent'!$A$3:$A$47, 0), MATCH('scenario analysis'!D$3, 'site independent'!$A$3:$W$3, 0))</f>
        <v>0.66</v>
      </c>
      <c r="E14" s="139" t="n">
        <f aca="false">INDEX('site independent'!$A$3:$X$47, MATCH($A14, 'site independent'!$A$3:$A$47, 0), MATCH('scenario analysis'!E$3, 'site independent'!$A$3:$X$3, 0))</f>
        <v>2651</v>
      </c>
      <c r="F14" s="140" t="e">
        <f aca="false">E14*1000*B14</f>
        <v>#VALUE!</v>
      </c>
      <c r="H14" s="141" t="str">
        <f aca="false" t="array" ref="H14:H14">IFERROR(INDEX(#REF!, MATCH(0, COUNTIF($H$4:H13,#REF!), 0)), "")</f>
        <v/>
      </c>
      <c r="I14" s="142" t="e">
        <f aca="false">SUMIFS(#REF!,#REF!,'scenario analysis'!H14)+SUMIFS(storage!$E$2:$E$75,storage!$I$2:$I$75,'scenario analysis'!H14)+SUMIFS(EV_aggregator!$E$2:$E$75,EV_aggregator!$I$2:$I$75,'scenario analysis'!H14)+SUMIF(#REF!,H14,'non-vre plants'!#ref!)</f>
        <v>#VALUE!</v>
      </c>
      <c r="J14" s="142" t="n">
        <f aca="false">SUMIF('demand centres'!$C$1:$C$50,'scenario analysis'!H14,'demand centres'!$B$1:$B$50)</f>
        <v>0</v>
      </c>
      <c r="K14" s="142" t="e">
        <f aca="false" t="array" ref="K14:K14">SUMIF('existing transmission'!#ref!,H14, 'existing transmission'!$D$2:$D$3)+SUMIF('existing transmission'!$G$2:$G$3,H14, 'existing transmission'!$D$2:$D$3)</f>
        <v>#VALUE!</v>
      </c>
      <c r="L14" s="110" t="e">
        <f aca="false" t="array" ref="L14:L14">SUMIF('existing transmission'!#ref!,H14, 'existing transmission'!$B$2:$B$3)+SUMIF('existing transmission'!$G$2:$G$3,H14, 'existing transmission'!$B$2:$B$3)</f>
        <v>#VALUE!</v>
      </c>
      <c r="M14" s="142"/>
      <c r="N14" s="143" t="str">
        <f aca="false" t="array" ref="N14:N14">IFERROR(INDEX(#REF!, MATCH(0, COUNTIF($N$4:N13,#REF!), 0)), "")</f>
        <v/>
      </c>
      <c r="O14" s="144" t="e">
        <f aca="false">SUMIFS(#REF!,#REF!, 'scenario analysis'!N14,#REF!, "wind_onshore") +SUMIFS(#REF!,#REF!, 'scenario analysis'!N14,#REF!, "wind_offshore")</f>
        <v>#VALUE!</v>
      </c>
      <c r="P14" s="145" t="e">
        <f aca="false">SUMIFS(#REF!,#REF!,'scenario analysis'!N14,#REF!,"multi c-Si")</f>
        <v>#VALUE!</v>
      </c>
      <c r="Q14" s="142" t="e">
        <f aca="false">SUMIFS(#REF!,#REF!, 'scenario analysis'!N14,#REF!, "mono c-Si")</f>
        <v>#VALUE!</v>
      </c>
      <c r="R14" s="142" t="e">
        <f aca="false">SUMIFS(#REF!,#REF!,'scenario analysis'!N14,#REF!,"thin film")</f>
        <v>#VALUE!</v>
      </c>
    </row>
    <row r="15" customFormat="false" ht="15" hidden="false" customHeight="false" outlineLevel="0" collapsed="false">
      <c r="A15" s="97" t="str">
        <f aca="false">'site independent'!A15</f>
        <v>hydro_daily</v>
      </c>
      <c r="B15" s="56"/>
      <c r="C15" s="139"/>
      <c r="D15" s="139"/>
      <c r="E15" s="139"/>
      <c r="F15" s="56"/>
      <c r="H15" s="141"/>
      <c r="I15" s="142"/>
      <c r="J15" s="142"/>
      <c r="K15" s="142"/>
      <c r="L15" s="110"/>
      <c r="M15" s="142"/>
      <c r="N15" s="143"/>
      <c r="O15" s="144"/>
      <c r="P15" s="145"/>
      <c r="Q15" s="142"/>
      <c r="R15" s="142"/>
    </row>
    <row r="16" customFormat="false" ht="15" hidden="false" customHeight="false" outlineLevel="0" collapsed="false">
      <c r="A16" s="97" t="str">
        <f aca="false">'site independent'!A16</f>
        <v>hydro_monthly</v>
      </c>
      <c r="B16" s="56"/>
      <c r="C16" s="139"/>
      <c r="D16" s="139"/>
      <c r="E16" s="139"/>
      <c r="F16" s="56"/>
      <c r="H16" s="141"/>
      <c r="I16" s="142"/>
      <c r="J16" s="142"/>
      <c r="K16" s="142"/>
      <c r="L16" s="110"/>
      <c r="M16" s="142"/>
      <c r="N16" s="143"/>
      <c r="O16" s="144"/>
      <c r="P16" s="145"/>
      <c r="Q16" s="142"/>
      <c r="R16" s="142"/>
    </row>
    <row r="17" customFormat="false" ht="15" hidden="false" customHeight="false" outlineLevel="0" collapsed="false">
      <c r="A17" s="97" t="str">
        <f aca="false">'site independent'!A17</f>
        <v>geothermal</v>
      </c>
      <c r="B17" s="56"/>
      <c r="C17" s="139"/>
      <c r="D17" s="139"/>
      <c r="E17" s="139"/>
      <c r="F17" s="56"/>
      <c r="H17" s="141"/>
      <c r="I17" s="142"/>
      <c r="J17" s="142"/>
      <c r="K17" s="142"/>
      <c r="L17" s="110"/>
      <c r="M17" s="142"/>
      <c r="N17" s="143"/>
      <c r="O17" s="144"/>
      <c r="P17" s="145"/>
      <c r="Q17" s="142"/>
      <c r="R17" s="142"/>
    </row>
    <row r="18" customFormat="false" ht="15" hidden="false" customHeight="false" outlineLevel="0" collapsed="false">
      <c r="A18" s="97" t="str">
        <f aca="false">'site independent'!A18</f>
        <v>biomass</v>
      </c>
      <c r="B18" s="56"/>
      <c r="C18" s="139"/>
      <c r="D18" s="139"/>
      <c r="E18" s="139"/>
      <c r="F18" s="56"/>
      <c r="H18" s="141"/>
      <c r="I18" s="142"/>
      <c r="J18" s="142"/>
      <c r="K18" s="142"/>
      <c r="L18" s="110"/>
      <c r="M18" s="142"/>
      <c r="N18" s="143"/>
      <c r="O18" s="144"/>
      <c r="P18" s="145"/>
      <c r="Q18" s="142"/>
      <c r="R18" s="142"/>
    </row>
    <row r="19" customFormat="false" ht="15" hidden="false" customHeight="false" outlineLevel="0" collapsed="false">
      <c r="A19" s="97" t="str">
        <f aca="false">'site independent'!A19</f>
        <v>biogas</v>
      </c>
      <c r="B19" s="56"/>
      <c r="C19" s="139"/>
      <c r="D19" s="139"/>
      <c r="E19" s="139"/>
      <c r="F19" s="56"/>
      <c r="H19" s="141"/>
      <c r="I19" s="142"/>
      <c r="J19" s="142"/>
      <c r="K19" s="142"/>
      <c r="L19" s="110"/>
      <c r="M19" s="142"/>
      <c r="N19" s="143"/>
      <c r="O19" s="144"/>
      <c r="P19" s="145"/>
      <c r="Q19" s="142"/>
      <c r="R19" s="142"/>
    </row>
    <row r="20" customFormat="false" ht="15" hidden="false" customHeight="false" outlineLevel="0" collapsed="false">
      <c r="A20" s="0" t="s">
        <v>500</v>
      </c>
      <c r="B20" s="56" t="e">
        <f aca="false">SUMIF('non-vre plants'!#ref!,A20,'non-vre plants'!#ref!)</f>
        <v>#VALUE!</v>
      </c>
      <c r="H20" s="141" t="str">
        <f aca="false" t="array" ref="H20:H20">IFERROR(INDEX(#REF!, MATCH(0, COUNTIF($H$4:H14,#REF!), 0)), "")</f>
        <v/>
      </c>
      <c r="I20" s="56" t="e">
        <f aca="false">SUMIF(#REF!,H20,'non-vre plants'!N2:N2)</f>
        <v>#VALUE!</v>
      </c>
      <c r="J20" s="142" t="n">
        <f aca="false">SUMIF('demand centres'!$C$1:$C$50,'scenario analysis'!H20,'demand centres'!$B$1:$B$50)</f>
        <v>0</v>
      </c>
      <c r="K20" s="142" t="e">
        <f aca="false" t="array" ref="K20:K20">SUMIF('existing transmission'!#ref!,H20, 'existing transmission'!$D$2:$D$3)+SUMIF('existing transmission'!$G$2:$G$3,H20, 'existing transmission'!$D$2:$D$3)</f>
        <v>#VALUE!</v>
      </c>
      <c r="L20" s="110" t="e">
        <f aca="false" t="array" ref="L20:L20">SUMIF('existing transmission'!#ref!,H20, 'existing transmission'!$B$2:$B$3)+SUMIF('existing transmission'!$G$2:$G$3,H20, 'existing transmission'!$B$2:$B$3)</f>
        <v>#VALUE!</v>
      </c>
      <c r="M20" s="142"/>
      <c r="N20" s="143" t="str">
        <f aca="false" t="array" ref="N20:N20">IFERROR(INDEX(#REF!, MATCH(0, COUNTIF($N$4:N14,#REF!), 0)), "")</f>
        <v/>
      </c>
      <c r="O20" s="144" t="e">
        <f aca="false">SUMIFS(#REF!,#REF!, 'scenario analysis'!N20,#REF!, "wind_onshore") +SUMIFS(#REF!,#REF!, 'scenario analysis'!N20,#REF!, "wind_offshore")</f>
        <v>#VALUE!</v>
      </c>
      <c r="P20" s="145" t="e">
        <f aca="false">SUMIFS(#REF!,#REF!,'scenario analysis'!N20,#REF!,"multi c-Si")</f>
        <v>#VALUE!</v>
      </c>
      <c r="Q20" s="142" t="e">
        <f aca="false">SUMIFS(#REF!,#REF!, 'scenario analysis'!N20,#REF!, "mono c-Si")</f>
        <v>#VALUE!</v>
      </c>
      <c r="R20" s="142" t="e">
        <f aca="false">SUMIFS(#REF!,#REF!,'scenario analysis'!N20,#REF!,"thin film")</f>
        <v>#VALUE!</v>
      </c>
    </row>
    <row r="21" customFormat="false" ht="15" hidden="false" customHeight="false" outlineLevel="0" collapsed="false">
      <c r="A21" s="141" t="s">
        <v>274</v>
      </c>
      <c r="B21" s="56" t="e">
        <f aca="false">SUMIF(#REF!, "wind_onshore",#REF!) + SUMIF(#REF!, "wind_offshore",#REF!)</f>
        <v>#VALUE!</v>
      </c>
      <c r="C21" s="139" t="n">
        <f aca="false">INDEX('site independent'!$A$3:$W$47, MATCH($A21, 'site independent'!$A$3:$A$47, 0), MATCH('scenario analysis'!C$3, 'site independent'!$A$3:$W$3, 0))</f>
        <v>0.2</v>
      </c>
      <c r="D21" s="139" t="n">
        <f aca="false">INDEX('site independent'!$A$3:$W$47, MATCH($A21, 'site independent'!$A$3:$A$47, 0), MATCH('scenario analysis'!D$3, 'site independent'!$A$3:$W$3, 0))</f>
        <v>0</v>
      </c>
      <c r="E21" s="139" t="n">
        <f aca="false">INDEX('site independent'!$A$3:$X$47, MATCH($A21, 'site independent'!$A$3:$A$47, 0), MATCH('scenario analysis'!E$3, 'site independent'!$A$3:$X$3, 0))</f>
        <v>19.8</v>
      </c>
      <c r="F21" s="140" t="e">
        <f aca="false">E21*1000*B21</f>
        <v>#VALUE!</v>
      </c>
      <c r="H21" s="141" t="str">
        <f aca="false" t="array" ref="H21:H21">IFERROR(INDEX(#REF!, MATCH(0, COUNTIF($H$4:H20,#REF!), 0)), "")</f>
        <v/>
      </c>
      <c r="I21" s="56" t="e">
        <f aca="false">SUMIF(#REF!,H21,'non-vre plants'!N2:N2)</f>
        <v>#VALUE!</v>
      </c>
      <c r="J21" s="142" t="n">
        <f aca="false">SUMIF('demand centres'!$C$1:$C$50,'scenario analysis'!H21,'demand centres'!$B$1:$B$50)</f>
        <v>0</v>
      </c>
      <c r="K21" s="142" t="e">
        <f aca="false" t="array" ref="K21:K21">SUMIF('existing transmission'!#ref!,H21, 'existing transmission'!$D$2:$D$3)+SUMIF('existing transmission'!$G$2:$G$3,H21, 'existing transmission'!$D$2:$D$3)</f>
        <v>#VALUE!</v>
      </c>
      <c r="L21" s="110" t="e">
        <f aca="false" t="array" ref="L21:L21">SUMIF('existing transmission'!#ref!,H21, 'existing transmission'!$B$2:$B$3)+SUMIF('existing transmission'!$G$2:$G$3,H21, 'existing transmission'!$B$2:$B$3)</f>
        <v>#VALUE!</v>
      </c>
      <c r="M21" s="142"/>
      <c r="N21" s="143" t="str">
        <f aca="false" t="array" ref="N21:N21">IFERROR(INDEX(#REF!, MATCH(0, COUNTIF($N$4:N20,#REF!), 0)), "")</f>
        <v/>
      </c>
      <c r="O21" s="144" t="e">
        <f aca="false">SUMIFS(#REF!,#REF!, 'scenario analysis'!N21,#REF!, "wind_onshore") +SUMIFS(#REF!,#REF!, 'scenario analysis'!N21,#REF!, "wind_offshore")</f>
        <v>#VALUE!</v>
      </c>
      <c r="P21" s="145" t="e">
        <f aca="false">SUMIFS(#REF!,#REF!,'scenario analysis'!N21,#REF!,"multi c-Si")</f>
        <v>#VALUE!</v>
      </c>
      <c r="Q21" s="142" t="e">
        <f aca="false">SUMIFS(#REF!,#REF!, 'scenario analysis'!N21,#REF!, "mono c-Si")</f>
        <v>#VALUE!</v>
      </c>
      <c r="R21" s="142" t="e">
        <f aca="false">SUMIFS(#REF!,#REF!,'scenario analysis'!N21,#REF!,"thin film")</f>
        <v>#VALUE!</v>
      </c>
    </row>
    <row r="22" customFormat="false" ht="15" hidden="false" customHeight="false" outlineLevel="0" collapsed="false">
      <c r="A22" s="141" t="s">
        <v>277</v>
      </c>
      <c r="B22" s="56" t="e">
        <f aca="false">SUMIF(#REF!, "multi_c_Si",#REF!) + SUMIF(#REF!, "thin film",#REF!)+ SUMIF(#REF!, "mono c-Si",#REF!)</f>
        <v>#VALUE!</v>
      </c>
      <c r="C22" s="139" t="n">
        <f aca="false">INDEX('site independent'!$A$3:$W$47, MATCH($A22, 'site independent'!$A$3:$A$47, 0), MATCH('scenario analysis'!C$3, 'site independent'!$A$3:$W$3, 0))</f>
        <v>0.6</v>
      </c>
      <c r="D22" s="139" t="n">
        <f aca="false">INDEX('site independent'!$A$3:$W$47, MATCH($A22, 'site independent'!$A$3:$A$47, 0), MATCH('scenario analysis'!D$3, 'site independent'!$A$3:$W$3, 0))</f>
        <v>0</v>
      </c>
      <c r="E22" s="139" t="n">
        <f aca="false">INDEX('site independent'!$A$3:$X$47, MATCH($A22, 'site independent'!$A$3:$A$47, 0), MATCH('scenario analysis'!E$3, 'site independent'!$A$3:$X$3, 0))</f>
        <v>3279</v>
      </c>
      <c r="F22" s="140" t="e">
        <f aca="false">E22*1000*B22</f>
        <v>#VALUE!</v>
      </c>
      <c r="H22" s="141" t="str">
        <f aca="false" t="array" ref="H22:H22">IFERROR(INDEX(#REF!, MATCH(0, COUNTIF($H$4:H21,#REF!), 0)), "")</f>
        <v/>
      </c>
      <c r="I22" s="56" t="e">
        <f aca="false">SUMIF(#REF!,H22,'non-vre plants'!N2:N2)</f>
        <v>#VALUE!</v>
      </c>
      <c r="J22" s="142" t="n">
        <f aca="false">SUMIF('demand centres'!$C$1:$C$50,'scenario analysis'!H22,'demand centres'!$B$1:$B$50)</f>
        <v>0</v>
      </c>
      <c r="K22" s="142" t="e">
        <f aca="false" t="array" ref="K22:K22">SUMIF('existing transmission'!#ref!,H22, 'existing transmission'!$D$2:$D$3)+SUMIF('existing transmission'!$G$2:$G$3,H22, 'existing transmission'!$D$2:$D$3)</f>
        <v>#VALUE!</v>
      </c>
      <c r="L22" s="110" t="e">
        <f aca="false" t="array" ref="L22:L22">SUMIF('existing transmission'!#ref!,H22, 'existing transmission'!$B$2:$B$3)+SUMIF('existing transmission'!$G$2:$G$3,H22, 'existing transmission'!$B$2:$B$3)</f>
        <v>#VALUE!</v>
      </c>
      <c r="M22" s="142"/>
      <c r="N22" s="143" t="str">
        <f aca="false" t="array" ref="N22:N22">IFERROR(INDEX(#REF!, MATCH(0, COUNTIF($N$4:N21,#REF!), 0)), "")</f>
        <v/>
      </c>
      <c r="O22" s="144" t="e">
        <f aca="false">SUMIFS(#REF!,#REF!, 'scenario analysis'!N22,#REF!, "wind_onshore") +SUMIFS(#REF!,#REF!, 'scenario analysis'!N22,#REF!, "wind_offshore")</f>
        <v>#VALUE!</v>
      </c>
      <c r="P22" s="145" t="e">
        <f aca="false">SUMIFS(#REF!,#REF!,'scenario analysis'!N22,#REF!,"multi c-Si")</f>
        <v>#VALUE!</v>
      </c>
      <c r="Q22" s="142" t="e">
        <f aca="false">SUMIFS(#REF!,#REF!, 'scenario analysis'!N22,#REF!, "mono c-Si")</f>
        <v>#VALUE!</v>
      </c>
      <c r="R22" s="142" t="e">
        <f aca="false">SUMIFS(#REF!,#REF!,'scenario analysis'!N22,#REF!,"thin film")</f>
        <v>#VALUE!</v>
      </c>
    </row>
    <row r="23" customFormat="false" ht="14.25" hidden="false" customHeight="true" outlineLevel="0" collapsed="false">
      <c r="A23" s="97" t="s">
        <v>300</v>
      </c>
      <c r="B23" s="56" t="n">
        <f aca="false">SUMIF(storage!C2:C5,A23,storage!E2:E5)</f>
        <v>0</v>
      </c>
      <c r="C23" s="139" t="n">
        <f aca="false">INDEX('site independent'!$A$3:$W$47, MATCH($A23, 'site independent'!$A$3:$A$47, 0), MATCH('scenario analysis'!C$3, 'site independent'!$A$3:$W$3, 0))</f>
        <v>0.5</v>
      </c>
      <c r="D23" s="139" t="n">
        <f aca="false">INDEX('site independent'!$A$3:$W$47, MATCH($A23, 'site independent'!$A$3:$A$47, 0), MATCH('scenario analysis'!D$3, 'site independent'!$A$3:$W$3, 0))</f>
        <v>1</v>
      </c>
      <c r="E23" s="139" t="n">
        <f aca="false">INDEX('site independent'!$A$3:$X$47, MATCH($A23, 'site independent'!$A$3:$A$47, 0), MATCH('scenario analysis'!E$3, 'site independent'!$A$3:$X$3, 0))</f>
        <v>1000</v>
      </c>
      <c r="F23" s="140" t="n">
        <f aca="false">E23*1000*B23</f>
        <v>0</v>
      </c>
      <c r="H23" s="141" t="str">
        <f aca="false" t="array" ref="H23:H23">IFERROR(INDEX(#REF!, MATCH(0, COUNTIF($H$4:H22,#REF!), 0)), "")</f>
        <v/>
      </c>
      <c r="I23" s="142" t="e">
        <f aca="false">SUMIFS(#REF!,#REF!,'scenario analysis'!H23)+SUMIFS(storage!$E$2:$E$75,storage!$I$2:$I$75,'scenario analysis'!H23)+SUMIFS(EV_aggregator!$E$2:$E$75,EV_aggregator!$I$2:$I$75,'scenario analysis'!H23)+SUMIF(#REF!,H23,'non-vre plants'!#ref!)</f>
        <v>#VALUE!</v>
      </c>
      <c r="J23" s="142" t="n">
        <f aca="false">SUMIF('demand centres'!$C$1:$C$50,'scenario analysis'!H23,'demand centres'!$B$1:$B$50)</f>
        <v>0</v>
      </c>
      <c r="K23" s="142" t="e">
        <f aca="false" t="array" ref="K23:K23">SUMIF('existing transmission'!#ref!,H23, 'existing transmission'!$D$2:$D$3)+SUMIF('existing transmission'!$G$2:$G$3,H23, 'existing transmission'!$D$2:$D$3)</f>
        <v>#VALUE!</v>
      </c>
      <c r="L23" s="110" t="e">
        <f aca="false" t="array" ref="L23:L23">SUMIF('existing transmission'!#ref!,H23, 'existing transmission'!$B$2:$B$3)+SUMIF('existing transmission'!$G$2:$G$3,H23, 'existing transmission'!$B$2:$B$3)</f>
        <v>#VALUE!</v>
      </c>
      <c r="M23" s="142"/>
      <c r="N23" s="143" t="str">
        <f aca="false" t="array" ref="N23:N23">IFERROR(INDEX(#REF!, MATCH(0, COUNTIF($N$4:N22,#REF!), 0)), "")</f>
        <v/>
      </c>
      <c r="O23" s="144" t="e">
        <f aca="false">SUMIFS(#REF!,#REF!, 'scenario analysis'!N23,#REF!, "wind_onshore") +SUMIFS(#REF!,#REF!, 'scenario analysis'!N23,#REF!, "wind_offshore")</f>
        <v>#VALUE!</v>
      </c>
      <c r="P23" s="145" t="e">
        <f aca="false">SUMIFS(#REF!,#REF!,'scenario analysis'!N23,#REF!,"multi c-Si")</f>
        <v>#VALUE!</v>
      </c>
      <c r="Q23" s="142" t="e">
        <f aca="false">SUMIFS(#REF!,#REF!, 'scenario analysis'!N23,#REF!, "mono c-Si")</f>
        <v>#VALUE!</v>
      </c>
      <c r="R23" s="142" t="e">
        <f aca="false">SUMIFS(#REF!,#REF!,'scenario analysis'!N23,#REF!,"thin film")</f>
        <v>#VALUE!</v>
      </c>
    </row>
    <row r="24" customFormat="false" ht="15" hidden="false" customHeight="false" outlineLevel="0" collapsed="false">
      <c r="A24" s="97" t="s">
        <v>306</v>
      </c>
      <c r="B24" s="56" t="n">
        <f aca="false">SUMIF(storage!$C$2:$C$8, 'scenario analysis'!A24, storage!$E$2:$E$8)</f>
        <v>0</v>
      </c>
      <c r="C24" s="139" t="n">
        <f aca="false">INDEX('site independent'!$A$3:$W$47, MATCH($A24, 'site independent'!$A$3:$A$47, 0), MATCH('scenario analysis'!C$3, 'site independent'!$A$3:$W$3, 0))</f>
        <v>0.5</v>
      </c>
      <c r="D24" s="139" t="n">
        <f aca="false">INDEX('site independent'!$A$3:$W$47, MATCH($A24, 'site independent'!$A$3:$A$47, 0), MATCH('scenario analysis'!D$3, 'site independent'!$A$3:$W$3, 0))</f>
        <v>1</v>
      </c>
      <c r="E24" s="139" t="n">
        <f aca="false">INDEX('site independent'!$A$3:$X$47, MATCH($A24, 'site independent'!$A$3:$A$47, 0), MATCH('scenario analysis'!E$3, 'site independent'!$A$3:$X$3, 0))</f>
        <v>1500</v>
      </c>
      <c r="F24" s="140" t="n">
        <f aca="false">E24*1000*B24</f>
        <v>0</v>
      </c>
      <c r="H24" s="141" t="str">
        <f aca="false" t="array" ref="H24:H24">IFERROR(INDEX(#REF!, MATCH(0, COUNTIF($H$4:H23,#REF!), 0)), "")</f>
        <v/>
      </c>
      <c r="I24" s="142" t="e">
        <f aca="false">SUMIFS(#REF!,#REF!,'scenario analysis'!H24)+SUMIFS(storage!$E$2:$E$75,storage!$I$2:$I$75,'scenario analysis'!H24)+SUMIFS(EV_aggregator!$E$2:$E$75,EV_aggregator!$I$2:$I$75,'scenario analysis'!H24)+SUMIF(#REF!,H24,'non-vre plants'!#ref!)</f>
        <v>#VALUE!</v>
      </c>
      <c r="J24" s="142" t="n">
        <f aca="false">SUMIF('demand centres'!$C$1:$C$50,'scenario analysis'!H24,'demand centres'!$B$1:$B$50)</f>
        <v>0</v>
      </c>
      <c r="K24" s="142" t="e">
        <f aca="false" t="array" ref="K24:K24">SUMIF('existing transmission'!#ref!,H24, 'existing transmission'!$D$2:$D$3)+SUMIF('existing transmission'!$G$2:$G$3,H24, 'existing transmission'!$D$2:$D$3)</f>
        <v>#VALUE!</v>
      </c>
      <c r="L24" s="110" t="e">
        <f aca="false" t="array" ref="L24:L24">SUMIF('existing transmission'!#ref!,H24, 'existing transmission'!$B$2:$B$3)+SUMIF('existing transmission'!$G$2:$G$3,H24, 'existing transmission'!$B$2:$B$3)</f>
        <v>#VALUE!</v>
      </c>
      <c r="M24" s="142"/>
      <c r="N24" s="143" t="str">
        <f aca="false" t="array" ref="N24:N24">IFERROR(INDEX(#REF!, MATCH(0, COUNTIF($N$4:N23,#REF!), 0)), "")</f>
        <v/>
      </c>
      <c r="O24" s="144" t="e">
        <f aca="false">SUMIFS(#REF!,#REF!, 'scenario analysis'!N24,#REF!, "wind_onshore") +SUMIFS(#REF!,#REF!, 'scenario analysis'!N24,#REF!, "wind_offshore")</f>
        <v>#VALUE!</v>
      </c>
      <c r="P24" s="145" t="e">
        <f aca="false">SUMIFS(#REF!,#REF!,'scenario analysis'!N24,#REF!,"multi c-Si")</f>
        <v>#VALUE!</v>
      </c>
      <c r="Q24" s="142" t="e">
        <f aca="false">SUMIFS(#REF!,#REF!, 'scenario analysis'!N24,#REF!, "mono c-Si")</f>
        <v>#VALUE!</v>
      </c>
      <c r="R24" s="142" t="e">
        <f aca="false">SUMIFS(#REF!,#REF!,'scenario analysis'!N24,#REF!,"thin film")</f>
        <v>#VALUE!</v>
      </c>
    </row>
    <row r="25" customFormat="false" ht="15.75" hidden="false" customHeight="false" outlineLevel="0" collapsed="false">
      <c r="A25" s="111" t="s">
        <v>321</v>
      </c>
      <c r="B25" s="146" t="n">
        <f aca="false">SUMIF(EV_aggregator!C2:C10,EV_aggregator!D2:D10)</f>
        <v>0</v>
      </c>
      <c r="C25" s="147" t="e">
        <f aca="false">INDEX('site independent'!$A$3:$W$47, MATCH($A25, 'site independent'!$A$3:$A$47, 0), MATCH('scenario analysis'!C$3, 'site independent'!$A$3:$W$3, 0))</f>
        <v>#N/A</v>
      </c>
      <c r="D25" s="147" t="e">
        <f aca="false">INDEX('site independent'!$A$3:$W$47, MATCH($A25, 'site independent'!$A$3:$A$47, 0), MATCH('scenario analysis'!D$3, 'site independent'!$A$3:$W$3, 0))</f>
        <v>#N/A</v>
      </c>
      <c r="E25" s="147" t="e">
        <f aca="false">INDEX('site independent'!$A$3:$X$47, MATCH($A25, 'site independent'!$A$3:$A$47, 0), MATCH('scenario analysis'!E$3, 'site independent'!$A$3:$X$3, 0))</f>
        <v>#N/A</v>
      </c>
      <c r="F25" s="140" t="e">
        <f aca="false">E25*1000*B25</f>
        <v>#N/A</v>
      </c>
      <c r="H25" s="141" t="str">
        <f aca="false" t="array" ref="H25:H25">IFERROR(INDEX(#REF!, MATCH(0, COUNTIF($H$4:H24,#REF!), 0)), "")</f>
        <v/>
      </c>
      <c r="I25" s="142" t="e">
        <f aca="false">SUMIFS(#REF!,#REF!,'scenario analysis'!H25)+SUMIFS(storage!$E$2:$E$75,storage!$I$2:$I$75,'scenario analysis'!H25)+SUMIFS(EV_aggregator!$E$2:$E$75,EV_aggregator!$I$2:$I$75,'scenario analysis'!H25)+SUMIF(#REF!,H25,'non-vre plants'!#ref!)</f>
        <v>#VALUE!</v>
      </c>
      <c r="J25" s="142" t="n">
        <f aca="false">SUMIF('demand centres'!$C$1:$C$50,'scenario analysis'!H25,'demand centres'!$B$1:$B$50)</f>
        <v>0</v>
      </c>
      <c r="K25" s="142" t="e">
        <f aca="false" t="array" ref="K25:K25">SUMIF('existing transmission'!#ref!,H25, 'existing transmission'!$D$2:$D$3)+SUMIF('existing transmission'!$G$2:$G$3,H25, 'existing transmission'!$D$2:$D$3)</f>
        <v>#VALUE!</v>
      </c>
      <c r="L25" s="110" t="e">
        <f aca="false" t="array" ref="L25:L25">SUMIF('existing transmission'!#ref!,H25, 'existing transmission'!$B$2:$B$3)+SUMIF('existing transmission'!$G$2:$G$3,H25, 'existing transmission'!$B$2:$B$3)</f>
        <v>#VALUE!</v>
      </c>
      <c r="M25" s="142"/>
      <c r="N25" s="143" t="str">
        <f aca="false" t="array" ref="N25:N25">IFERROR(INDEX(#REF!, MATCH(0, COUNTIF($N$4:N24,#REF!), 0)), "")</f>
        <v/>
      </c>
      <c r="O25" s="144" t="e">
        <f aca="false">SUMIFS(#REF!,#REF!, 'scenario analysis'!N25,#REF!, "wind_onshore") +SUMIFS(#REF!,#REF!, 'scenario analysis'!N25,#REF!, "wind_offshore")</f>
        <v>#VALUE!</v>
      </c>
      <c r="P25" s="145" t="e">
        <f aca="false">SUMIFS(#REF!,#REF!,'scenario analysis'!N25,#REF!,"multi c-Si")</f>
        <v>#VALUE!</v>
      </c>
      <c r="Q25" s="142" t="e">
        <f aca="false">SUMIFS(#REF!,#REF!, 'scenario analysis'!N25,#REF!, "mono c-Si")</f>
        <v>#VALUE!</v>
      </c>
      <c r="R25" s="142" t="e">
        <f aca="false">SUMIFS(#REF!,#REF!,'scenario analysis'!N25,#REF!,"thin film")</f>
        <v>#VALUE!</v>
      </c>
    </row>
    <row r="26" customFormat="false" ht="15" hidden="false" customHeight="false" outlineLevel="0" collapsed="false">
      <c r="C26" s="35"/>
      <c r="D26" s="35"/>
      <c r="E26" s="35"/>
      <c r="F26" s="35"/>
      <c r="H26" s="141" t="str">
        <f aca="false" t="array" ref="H26:H26">IFERROR(INDEX(#REF!, MATCH(0, COUNTIF($H$4:H25,#REF!), 0)), "")</f>
        <v/>
      </c>
      <c r="I26" s="142" t="e">
        <f aca="false">SUMIFS(#REF!,#REF!,'scenario analysis'!H26)+SUMIFS(storage!$E$2:$E$75,storage!$I$2:$I$75,'scenario analysis'!H26)+SUMIFS(EV_aggregator!$E$2:$E$75,EV_aggregator!$I$2:$I$75,'scenario analysis'!H26)+SUMIF(#REF!,H26,'non-vre plants'!#ref!)</f>
        <v>#VALUE!</v>
      </c>
      <c r="J26" s="142" t="n">
        <f aca="false">SUMIF('demand centres'!$C$1:$C$50,'scenario analysis'!H26,'demand centres'!$B$1:$B$50)</f>
        <v>0</v>
      </c>
      <c r="K26" s="142" t="e">
        <f aca="false" t="array" ref="K26:K26">SUMIF('existing transmission'!#ref!,H26, 'existing transmission'!$D$2:$D$3)+SUMIF('existing transmission'!$G$2:$G$3,H26, 'existing transmission'!$D$2:$D$3)</f>
        <v>#VALUE!</v>
      </c>
      <c r="L26" s="110" t="e">
        <f aca="false" t="array" ref="L26:L26">SUMIF('existing transmission'!#ref!,H26, 'existing transmission'!$B$2:$B$3)+SUMIF('existing transmission'!$G$2:$G$3,H26, 'existing transmission'!$B$2:$B$3)</f>
        <v>#VALUE!</v>
      </c>
      <c r="M26" s="115"/>
      <c r="N26" s="143" t="str">
        <f aca="false" t="array" ref="N26:N26">IFERROR(INDEX(#REF!, MATCH(0, COUNTIF($N$4:N25,#REF!), 0)), "")</f>
        <v/>
      </c>
      <c r="O26" s="144" t="e">
        <f aca="false">SUMIFS(#REF!,#REF!, 'scenario analysis'!N26,#REF!, "wind_onshore") +SUMIFS(#REF!,#REF!, 'scenario analysis'!N26,#REF!, "wind_offshore")</f>
        <v>#VALUE!</v>
      </c>
      <c r="P26" s="145" t="e">
        <f aca="false">SUMIFS(#REF!,#REF!,'scenario analysis'!N26,#REF!,"multi c-Si")</f>
        <v>#VALUE!</v>
      </c>
      <c r="Q26" s="142" t="e">
        <f aca="false">SUMIFS(#REF!,#REF!, 'scenario analysis'!N26,#REF!, "mono c-Si")</f>
        <v>#VALUE!</v>
      </c>
      <c r="R26" s="142" t="e">
        <f aca="false">SUMIFS(#REF!,#REF!,'scenario analysis'!N26,#REF!,"thin film")</f>
        <v>#VALUE!</v>
      </c>
    </row>
    <row r="27" customFormat="false" ht="15" hidden="false" customHeight="false" outlineLevel="0" collapsed="false">
      <c r="A27" s="0" t="s">
        <v>501</v>
      </c>
      <c r="C27" s="35" t="n">
        <f aca="false">COLUMN(C3)-2</f>
        <v>1</v>
      </c>
      <c r="D27" s="35" t="n">
        <f aca="false">COLUMN(D3)-2</f>
        <v>2</v>
      </c>
      <c r="E27" s="35"/>
      <c r="F27" s="35"/>
      <c r="H27" s="141" t="str">
        <f aca="false" t="array" ref="H27:H27">IFERROR(INDEX(#REF!, MATCH(0, COUNTIF($H$4:H26,#REF!), 0)), "")</f>
        <v/>
      </c>
      <c r="I27" s="142" t="e">
        <f aca="false">SUMIFS(#REF!,#REF!,'scenario analysis'!H27)+SUMIFS(storage!$E$2:$E$75,storage!$I$2:$I$75,'scenario analysis'!H27)+SUMIFS(EV_aggregator!$E$2:$E$75,EV_aggregator!$I$2:$I$75,'scenario analysis'!H27)+SUMIF(#REF!,H27,'non-vre plants'!#ref!)</f>
        <v>#VALUE!</v>
      </c>
      <c r="J27" s="142" t="n">
        <f aca="false">SUMIF('demand centres'!$C$1:$C$50,'scenario analysis'!H27,'demand centres'!$B$1:$B$50)</f>
        <v>0</v>
      </c>
      <c r="K27" s="142" t="e">
        <f aca="false" t="array" ref="K27:K27">SUMIF('existing transmission'!#ref!,H27, 'existing transmission'!$D$2:$D$3)+SUMIF('existing transmission'!$G$2:$G$3,H27, 'existing transmission'!$D$2:$D$3)</f>
        <v>#VALUE!</v>
      </c>
      <c r="L27" s="110" t="e">
        <f aca="false" t="array" ref="L27:L27">SUMIF('existing transmission'!#ref!,H27, 'existing transmission'!$B$2:$B$3)+SUMIF('existing transmission'!$G$2:$G$3,H27, 'existing transmission'!$B$2:$B$3)</f>
        <v>#VALUE!</v>
      </c>
      <c r="M27" s="115"/>
      <c r="N27" s="143" t="str">
        <f aca="false" t="array" ref="N27:N27">IFERROR(INDEX(#REF!, MATCH(0, COUNTIF($N$4:N26,#REF!), 0)), "")</f>
        <v/>
      </c>
      <c r="O27" s="144" t="e">
        <f aca="false">SUMIFS(#REF!,#REF!, 'scenario analysis'!N27,#REF!, "wind_onshore") +SUMIFS(#REF!,#REF!, 'scenario analysis'!N27,#REF!, "wind_offshore")</f>
        <v>#VALUE!</v>
      </c>
      <c r="P27" s="145" t="e">
        <f aca="false">SUMIFS(#REF!,#REF!,'scenario analysis'!N27,#REF!,"multi c-Si")</f>
        <v>#VALUE!</v>
      </c>
      <c r="Q27" s="142" t="e">
        <f aca="false">SUMIFS(#REF!,#REF!, 'scenario analysis'!N27,#REF!, "mono c-Si")</f>
        <v>#VALUE!</v>
      </c>
      <c r="R27" s="142" t="e">
        <f aca="false">SUMIFS(#REF!,#REF!,'scenario analysis'!N27,#REF!,"thin film")</f>
        <v>#VALUE!</v>
      </c>
    </row>
    <row r="28" customFormat="false" ht="15" hidden="false" customHeight="false" outlineLevel="0" collapsed="false">
      <c r="H28" s="141" t="str">
        <f aca="false" t="array" ref="H28:H28">IFERROR(INDEX(#REF!, MATCH(0, COUNTIF($H$4:H27,#REF!), 0)), "")</f>
        <v/>
      </c>
      <c r="I28" s="56" t="e">
        <f aca="false">SUMIF(#REF!,H28,'non-vre plants'!N2:N2)</f>
        <v>#VALUE!</v>
      </c>
      <c r="J28" s="142" t="n">
        <f aca="false">SUMIF('demand centres'!$C$1:$C$50,'scenario analysis'!H28,'demand centres'!$B$1:$B$50)</f>
        <v>0</v>
      </c>
      <c r="K28" s="142" t="e">
        <f aca="false" t="array" ref="K28:K28">SUMIF('existing transmission'!#ref!,H28, 'existing transmission'!$D$2:$D$3)+SUMIF('existing transmission'!$G$2:$G$3,H28, 'existing transmission'!$D$2:$D$3)</f>
        <v>#VALUE!</v>
      </c>
      <c r="L28" s="110" t="e">
        <f aca="false" t="array" ref="L28:L28">SUMIF('existing transmission'!#ref!,H28, 'existing transmission'!$B$2:$B$3)+SUMIF('existing transmission'!$G$2:$G$3,H28, 'existing transmission'!$B$2:$B$3)</f>
        <v>#VALUE!</v>
      </c>
      <c r="M28" s="115"/>
      <c r="N28" s="143" t="str">
        <f aca="false" t="array" ref="N28:N28">IFERROR(INDEX(#REF!, MATCH(0, COUNTIF($N$4:N27,#REF!), 0)), "")</f>
        <v/>
      </c>
      <c r="O28" s="144" t="e">
        <f aca="false">SUMIFS(#REF!,#REF!, 'scenario analysis'!N28,#REF!, "wind_onshore") +SUMIFS(#REF!,#REF!, 'scenario analysis'!N28,#REF!, "wind_offshore")</f>
        <v>#VALUE!</v>
      </c>
      <c r="P28" s="145" t="e">
        <f aca="false">SUMIFS(#REF!,#REF!,'scenario analysis'!N28,#REF!,"multi c-Si")</f>
        <v>#VALUE!</v>
      </c>
      <c r="Q28" s="142" t="e">
        <f aca="false">SUMIFS(#REF!,#REF!, 'scenario analysis'!N28,#REF!, "mono c-Si")</f>
        <v>#VALUE!</v>
      </c>
      <c r="R28" s="142" t="e">
        <f aca="false">SUMIFS(#REF!,#REF!,'scenario analysis'!N28,#REF!,"thin film")</f>
        <v>#VALUE!</v>
      </c>
    </row>
    <row r="29" customFormat="false" ht="15" hidden="false" customHeight="false" outlineLevel="0" collapsed="false">
      <c r="A29" s="0" t="s">
        <v>502</v>
      </c>
      <c r="C29" s="50"/>
      <c r="D29" s="50"/>
      <c r="E29" s="50"/>
      <c r="F29" s="50"/>
      <c r="H29" s="141" t="str">
        <f aca="false" t="array" ref="H29:H29">IFERROR(INDEX(#REF!, MATCH(0, COUNTIF($H$4:H28,#REF!), 0)), "")</f>
        <v/>
      </c>
      <c r="I29" s="142" t="e">
        <f aca="false">SUMIFS(#REF!,#REF!,'scenario analysis'!H29)+SUMIFS(storage!$E$2:$E$75,storage!$I$2:$I$75,'scenario analysis'!H29)+SUMIFS(EV_aggregator!$E$2:$E$75,EV_aggregator!$I$2:$I$75,'scenario analysis'!H29)+SUMIF(#REF!,H29,'non-vre plants'!#ref!)</f>
        <v>#VALUE!</v>
      </c>
      <c r="J29" s="142" t="n">
        <f aca="false">SUMIF('demand centres'!$C$1:$C$50,'scenario analysis'!H29,'demand centres'!$B$1:$B$50)</f>
        <v>0</v>
      </c>
      <c r="K29" s="142" t="e">
        <f aca="false" t="array" ref="K29:K29">SUMIF('existing transmission'!#ref!,H29, 'existing transmission'!$D$2:$D$3)+SUMIF('existing transmission'!$G$2:$G$3,H29, 'existing transmission'!$D$2:$D$3)</f>
        <v>#VALUE!</v>
      </c>
      <c r="L29" s="110" t="e">
        <f aca="false" t="array" ref="L29:L29">SUMIF('existing transmission'!#ref!,H29, 'existing transmission'!$B$2:$B$3)+SUMIF('existing transmission'!$G$2:$G$3,H29, 'existing transmission'!$B$2:$B$3)</f>
        <v>#VALUE!</v>
      </c>
      <c r="M29" s="115"/>
      <c r="N29" s="143" t="str">
        <f aca="false" t="array" ref="N29:N29">IFERROR(INDEX(#REF!, MATCH(0, COUNTIF($N$4:N28,#REF!), 0)), "")</f>
        <v/>
      </c>
      <c r="O29" s="144" t="e">
        <f aca="false">SUMIFS(#REF!,#REF!, 'scenario analysis'!N29,#REF!, "wind_onshore") +SUMIFS(#REF!,#REF!, 'scenario analysis'!N29,#REF!, "wind_offshore")</f>
        <v>#VALUE!</v>
      </c>
      <c r="P29" s="145" t="e">
        <f aca="false">SUMIFS(#REF!,#REF!,'scenario analysis'!N29,#REF!,"multi c-Si")</f>
        <v>#VALUE!</v>
      </c>
      <c r="Q29" s="142" t="e">
        <f aca="false">SUMIFS(#REF!,#REF!, 'scenario analysis'!N29,#REF!, "mono c-Si")</f>
        <v>#VALUE!</v>
      </c>
      <c r="R29" s="142" t="e">
        <f aca="false">SUMIFS(#REF!,#REF!,'scenario analysis'!N29,#REF!,"thin film")</f>
        <v>#VALUE!</v>
      </c>
    </row>
    <row r="30" customFormat="false" ht="15" hidden="false" customHeight="false" outlineLevel="0" collapsed="false">
      <c r="C30" s="17" t="e">
        <f aca="false" t="array" ref="C30:C30">SUM(B5:B25*C5:C25)</f>
        <v>#N/A</v>
      </c>
      <c r="D30" s="0" t="e">
        <f aca="false" t="array" ref="D30:D30">SUM(B5:B25*D5:D25)</f>
        <v>#N/A</v>
      </c>
      <c r="H30" s="141" t="str">
        <f aca="false" t="array" ref="H30:H30">IFERROR(INDEX(#REF!, MATCH(0, COUNTIF($H$4:H29,#REF!), 0)), "")</f>
        <v/>
      </c>
      <c r="I30" s="142" t="e">
        <f aca="false">SUMIFS(#REF!,#REF!,'scenario analysis'!H30)+SUMIFS(storage!$E$2:$E$75,storage!$I$2:$I$75,'scenario analysis'!H30)+SUMIFS(EV_aggregator!$E$2:$E$75,EV_aggregator!$I$2:$I$75,'scenario analysis'!H30)+SUMIF(#REF!,H30,'non-vre plants'!#ref!)</f>
        <v>#VALUE!</v>
      </c>
      <c r="J30" s="142" t="n">
        <f aca="false">SUMIF('demand centres'!$C$1:$C$50,'scenario analysis'!H30,'demand centres'!$B$1:$B$50)</f>
        <v>0</v>
      </c>
      <c r="K30" s="142" t="e">
        <f aca="false" t="array" ref="K30:K30">SUMIF('existing transmission'!#ref!,H30, 'existing transmission'!$D$2:$D$3)+SUMIF('existing transmission'!$G$2:$G$3,H30, 'existing transmission'!$D$2:$D$3)</f>
        <v>#VALUE!</v>
      </c>
      <c r="L30" s="110" t="e">
        <f aca="false" t="array" ref="L30:L30">SUMIF('existing transmission'!#ref!,H30, 'existing transmission'!$B$2:$B$3)+SUMIF('existing transmission'!$G$2:$G$3,H30, 'existing transmission'!$B$2:$B$3)</f>
        <v>#VALUE!</v>
      </c>
      <c r="M30" s="115"/>
      <c r="N30" s="143" t="str">
        <f aca="false" t="array" ref="N30:N30">IFERROR(INDEX(#REF!, MATCH(0, COUNTIF($N$4:N29,#REF!), 0)), "")</f>
        <v/>
      </c>
      <c r="O30" s="144" t="e">
        <f aca="false">SUMIFS(#REF!,#REF!, 'scenario analysis'!N30,#REF!, "wind_onshore") +SUMIFS(#REF!,#REF!, 'scenario analysis'!N30,#REF!, "wind_offshore")</f>
        <v>#VALUE!</v>
      </c>
      <c r="P30" s="145" t="e">
        <f aca="false">SUMIFS(#REF!,#REF!,'scenario analysis'!N30,#REF!,"multi c-Si")</f>
        <v>#VALUE!</v>
      </c>
      <c r="Q30" s="142" t="e">
        <f aca="false">SUMIFS(#REF!,#REF!, 'scenario analysis'!N30,#REF!, "mono c-Si")</f>
        <v>#VALUE!</v>
      </c>
      <c r="R30" s="142" t="e">
        <f aca="false">SUMIFS(#REF!,#REF!,'scenario analysis'!N30,#REF!,"thin film")</f>
        <v>#VALUE!</v>
      </c>
    </row>
    <row r="31" customFormat="false" ht="15" hidden="false" customHeight="false" outlineLevel="0" collapsed="false">
      <c r="C31" s="0" t="n">
        <v>24470</v>
      </c>
      <c r="D31" s="0" t="n">
        <v>16022.5421220401</v>
      </c>
      <c r="H31" s="141" t="str">
        <f aca="false" t="array" ref="H31:H31">IFERROR(INDEX(#REF!, MATCH(0, COUNTIF($H$4:H30,#REF!), 0)), "")</f>
        <v/>
      </c>
      <c r="I31" s="142" t="e">
        <f aca="false">SUMIFS(#REF!,#REF!,'scenario analysis'!H31)+SUMIFS(storage!$E$2:$E$75,storage!$I$2:$I$75,'scenario analysis'!H31)+SUMIFS(EV_aggregator!$E$2:$E$75,EV_aggregator!$I$2:$I$75,'scenario analysis'!H31)+SUMIF(#REF!,H31,'non-vre plants'!#ref!)</f>
        <v>#VALUE!</v>
      </c>
      <c r="J31" s="142" t="n">
        <f aca="false">SUMIF('demand centres'!$C$1:$C$50,'scenario analysis'!H31,'demand centres'!$B$1:$B$50)</f>
        <v>0</v>
      </c>
      <c r="K31" s="142" t="e">
        <f aca="false" t="array" ref="K31:K31">SUMIF('existing transmission'!#ref!,H31, 'existing transmission'!$D$2:$D$3)+SUMIF('existing transmission'!$G$2:$G$3,H31, 'existing transmission'!$D$2:$D$3)</f>
        <v>#VALUE!</v>
      </c>
      <c r="L31" s="110" t="e">
        <f aca="false" t="array" ref="L31:L31">SUMIF('existing transmission'!#ref!,H31, 'existing transmission'!$B$2:$B$3)+SUMIF('existing transmission'!$G$2:$G$3,H31, 'existing transmission'!$B$2:$B$3)</f>
        <v>#VALUE!</v>
      </c>
      <c r="M31" s="115"/>
      <c r="N31" s="143" t="str">
        <f aca="false" t="array" ref="N31:N31">IFERROR(INDEX(#REF!, MATCH(0, COUNTIF($N$4:N30,#REF!), 0)), "")</f>
        <v/>
      </c>
      <c r="O31" s="144" t="e">
        <f aca="false">SUMIFS(#REF!,#REF!, 'scenario analysis'!N31,#REF!, "wind_onshore") +SUMIFS(#REF!,#REF!, 'scenario analysis'!N31,#REF!, "wind_offshore")</f>
        <v>#VALUE!</v>
      </c>
      <c r="P31" s="145" t="e">
        <f aca="false">SUMIFS(#REF!,#REF!,'scenario analysis'!N31,#REF!,"multi c-Si")</f>
        <v>#VALUE!</v>
      </c>
      <c r="Q31" s="142" t="e">
        <f aca="false">SUMIFS(#REF!,#REF!, 'scenario analysis'!N31,#REF!, "mono c-Si")</f>
        <v>#VALUE!</v>
      </c>
      <c r="R31" s="142" t="e">
        <f aca="false">SUMIFS(#REF!,#REF!,'scenario analysis'!N31,#REF!,"thin film")</f>
        <v>#VALUE!</v>
      </c>
    </row>
    <row r="32" customFormat="false" ht="15" hidden="false" customHeight="false" outlineLevel="0" collapsed="false">
      <c r="C32" s="148" t="e">
        <f aca="false">C30/C31</f>
        <v>#N/A</v>
      </c>
      <c r="D32" s="15" t="e">
        <f aca="false">D30/D31</f>
        <v>#N/A</v>
      </c>
      <c r="E32" s="15"/>
      <c r="F32" s="15"/>
      <c r="H32" s="141" t="str">
        <f aca="false" t="array" ref="H32:H32">IFERROR(INDEX(#REF!, MATCH(0, COUNTIF($H$4:H31,#REF!), 0)), "")</f>
        <v/>
      </c>
      <c r="I32" s="56" t="e">
        <f aca="false">SUMIF(#REF!,H32,'non-vre plants'!N2:N2)</f>
        <v>#VALUE!</v>
      </c>
      <c r="J32" s="142" t="n">
        <f aca="false">SUMIF('demand centres'!$C$1:$C$50,'scenario analysis'!H32,'demand centres'!$B$1:$B$50)</f>
        <v>0</v>
      </c>
      <c r="K32" s="142" t="e">
        <f aca="false" t="array" ref="K32:K32">SUMIF('existing transmission'!#ref!,H32, 'existing transmission'!$D$2:$D$3)+SUMIF('existing transmission'!$G$2:$G$3,H32, 'existing transmission'!$D$2:$D$3)</f>
        <v>#VALUE!</v>
      </c>
      <c r="L32" s="110" t="e">
        <f aca="false" t="array" ref="L32:L32">SUMIF('existing transmission'!#ref!,H32, 'existing transmission'!$B$2:$B$3)+SUMIF('existing transmission'!$G$2:$G$3,H32, 'existing transmission'!$B$2:$B$3)</f>
        <v>#VALUE!</v>
      </c>
      <c r="M32" s="115"/>
      <c r="N32" s="143" t="str">
        <f aca="false" t="array" ref="N32:N32">IFERROR(INDEX(#REF!, MATCH(0, COUNTIF($N$4:N31,#REF!), 0)), "")</f>
        <v/>
      </c>
      <c r="O32" s="144" t="e">
        <f aca="false">SUMIFS(#REF!,#REF!, 'scenario analysis'!N32,#REF!, "wind_onshore") +SUMIFS(#REF!,#REF!, 'scenario analysis'!N32,#REF!, "wind_offshore")</f>
        <v>#VALUE!</v>
      </c>
      <c r="P32" s="145" t="e">
        <f aca="false">SUMIFS(#REF!,#REF!,'scenario analysis'!N32,#REF!,"multi c-Si")</f>
        <v>#VALUE!</v>
      </c>
      <c r="Q32" s="142" t="e">
        <f aca="false">SUMIFS(#REF!,#REF!, 'scenario analysis'!N32,#REF!, "mono c-Si")</f>
        <v>#VALUE!</v>
      </c>
      <c r="R32" s="142" t="e">
        <f aca="false">SUMIFS(#REF!,#REF!,'scenario analysis'!N32,#REF!,"thin film")</f>
        <v>#VALUE!</v>
      </c>
    </row>
    <row r="33" customFormat="false" ht="15" hidden="false" customHeight="false" outlineLevel="0" collapsed="false">
      <c r="C33" s="50"/>
      <c r="D33" s="15"/>
      <c r="E33" s="15"/>
      <c r="F33" s="15"/>
      <c r="H33" s="141" t="str">
        <f aca="false" t="array" ref="H33:H33">IFERROR(INDEX(#REF!, MATCH(0, COUNTIF($H$4:H32,#REF!), 0)), "")</f>
        <v/>
      </c>
      <c r="I33" s="142" t="e">
        <f aca="false">SUMIFS(#REF!,#REF!,'scenario analysis'!H33)+SUMIFS(storage!$E$2:$E$75,storage!$I$2:$I$75,'scenario analysis'!H33)+SUMIFS(EV_aggregator!$E$2:$E$75,EV_aggregator!$I$2:$I$75,'scenario analysis'!H33)+SUMIF(#REF!,H33,'non-vre plants'!#ref!)</f>
        <v>#VALUE!</v>
      </c>
      <c r="J33" s="142" t="n">
        <f aca="false">SUMIF('demand centres'!$C$1:$C$50,'scenario analysis'!H33,'demand centres'!$B$1:$B$50)</f>
        <v>0</v>
      </c>
      <c r="K33" s="142" t="e">
        <f aca="false" t="array" ref="K33:K33">SUMIF('existing transmission'!#ref!,H33, 'existing transmission'!$D$2:$D$3)+SUMIF('existing transmission'!$G$2:$G$3,H33, 'existing transmission'!$D$2:$D$3)</f>
        <v>#VALUE!</v>
      </c>
      <c r="L33" s="110" t="e">
        <f aca="false" t="array" ref="L33:L33">SUMIF('existing transmission'!#ref!,H33, 'existing transmission'!$B$2:$B$3)+SUMIF('existing transmission'!$G$2:$G$3,H33, 'existing transmission'!$B$2:$B$3)</f>
        <v>#VALUE!</v>
      </c>
      <c r="N33" s="143" t="str">
        <f aca="false" t="array" ref="N33:N33">IFERROR(INDEX(#REF!, MATCH(0, COUNTIF($N$4:N32,#REF!), 0)), "")</f>
        <v/>
      </c>
      <c r="O33" s="144" t="e">
        <f aca="false">SUMIFS(#REF!,#REF!, 'scenario analysis'!N33,#REF!, "wind_onshore") +SUMIFS(#REF!,#REF!, 'scenario analysis'!N33,#REF!, "wind_offshore")</f>
        <v>#VALUE!</v>
      </c>
      <c r="P33" s="145" t="e">
        <f aca="false">SUMIFS(#REF!,#REF!,'scenario analysis'!N33,#REF!,"multi c-Si")</f>
        <v>#VALUE!</v>
      </c>
      <c r="Q33" s="142" t="e">
        <f aca="false">SUMIFS(#REF!,#REF!, 'scenario analysis'!N33,#REF!, "mono c-Si")</f>
        <v>#VALUE!</v>
      </c>
      <c r="R33" s="142" t="e">
        <f aca="false">SUMIFS(#REF!,#REF!,'scenario analysis'!N33,#REF!,"thin film")</f>
        <v>#VALUE!</v>
      </c>
    </row>
    <row r="34" customFormat="false" ht="15" hidden="false" customHeight="false" outlineLevel="0" collapsed="false">
      <c r="C34" s="50"/>
      <c r="H34" s="141" t="str">
        <f aca="false" t="array" ref="H34:H34">IFERROR(INDEX(#REF!, MATCH(0, COUNTIF($H$4:H33,#REF!), 0)), "")</f>
        <v/>
      </c>
      <c r="I34" s="142" t="e">
        <f aca="false">SUMIFS(#REF!,#REF!,'scenario analysis'!H34)+SUMIFS(storage!$E$2:$E$75,storage!$I$2:$I$75,'scenario analysis'!H34)+SUMIFS(EV_aggregator!$E$2:$E$75,EV_aggregator!$I$2:$I$75,'scenario analysis'!H34)+SUMIF(#REF!,H34,'non-vre plants'!#ref!)</f>
        <v>#VALUE!</v>
      </c>
      <c r="J34" s="142" t="n">
        <f aca="false">SUMIF('demand centres'!$C$1:$C$50,'scenario analysis'!H34,'demand centres'!$B$1:$B$50)</f>
        <v>0</v>
      </c>
      <c r="K34" s="142" t="e">
        <f aca="false" t="array" ref="K34:K34">SUMIF('existing transmission'!#ref!,H34, 'existing transmission'!$D$2:$D$3)+SUMIF('existing transmission'!$G$2:$G$3,H34, 'existing transmission'!$D$2:$D$3)</f>
        <v>#VALUE!</v>
      </c>
      <c r="L34" s="110" t="e">
        <f aca="false" t="array" ref="L34:L34">SUMIF('existing transmission'!#ref!,H34, 'existing transmission'!$B$2:$B$3)+SUMIF('existing transmission'!$G$2:$G$3,H34, 'existing transmission'!$B$2:$B$3)</f>
        <v>#VALUE!</v>
      </c>
      <c r="N34" s="143" t="str">
        <f aca="false" t="array" ref="N34:N34">IFERROR(INDEX(#REF!, MATCH(0, COUNTIF($N$4:N33,#REF!), 0)), "")</f>
        <v/>
      </c>
      <c r="O34" s="144" t="e">
        <f aca="false">SUMIFS(#REF!,#REF!, 'scenario analysis'!N34,#REF!, "wind_onshore") +SUMIFS(#REF!,#REF!, 'scenario analysis'!N34,#REF!, "wind_offshore")</f>
        <v>#VALUE!</v>
      </c>
      <c r="P34" s="145" t="e">
        <f aca="false">SUMIFS(#REF!,#REF!,'scenario analysis'!N34,#REF!,"multi c-Si")</f>
        <v>#VALUE!</v>
      </c>
      <c r="Q34" s="142" t="e">
        <f aca="false">SUMIFS(#REF!,#REF!, 'scenario analysis'!N34,#REF!, "mono c-Si")</f>
        <v>#VALUE!</v>
      </c>
      <c r="R34" s="142" t="e">
        <f aca="false">SUMIFS(#REF!,#REF!,'scenario analysis'!N34,#REF!,"thin film")</f>
        <v>#VALUE!</v>
      </c>
    </row>
    <row r="35" customFormat="false" ht="15" hidden="false" customHeight="false" outlineLevel="0" collapsed="false">
      <c r="C35" s="50"/>
      <c r="H35" s="141" t="str">
        <f aca="false" t="array" ref="H35:H35">IFERROR(INDEX(#REF!, MATCH(0, COUNTIF($H$4:H34,#REF!), 0)), "")</f>
        <v/>
      </c>
      <c r="I35" s="56" t="e">
        <f aca="false">SUMIF(#REF!,H35,'non-vre plants'!N2:N2)</f>
        <v>#VALUE!</v>
      </c>
      <c r="J35" s="142" t="n">
        <f aca="false">SUMIF('demand centres'!$C$1:$C$50,'scenario analysis'!H35,'demand centres'!$B$1:$B$50)</f>
        <v>0</v>
      </c>
      <c r="K35" s="142" t="e">
        <f aca="false" t="array" ref="K35:K35">SUMIF('existing transmission'!#ref!,H35, 'existing transmission'!$D$2:$D$3)+SUMIF('existing transmission'!$G$2:$G$3,H35, 'existing transmission'!$D$2:$D$3)</f>
        <v>#VALUE!</v>
      </c>
      <c r="L35" s="110" t="e">
        <f aca="false" t="array" ref="L35:L35">SUMIF('existing transmission'!#ref!,H35, 'existing transmission'!$B$2:$B$3)+SUMIF('existing transmission'!$G$2:$G$3,H35, 'existing transmission'!$B$2:$B$3)</f>
        <v>#VALUE!</v>
      </c>
      <c r="N35" s="143" t="str">
        <f aca="false" t="array" ref="N35:N35">IFERROR(INDEX(#REF!, MATCH(0, COUNTIF($N$4:N34,#REF!), 0)), "")</f>
        <v/>
      </c>
      <c r="O35" s="144" t="e">
        <f aca="false">SUMIFS(#REF!,#REF!, 'scenario analysis'!N35,#REF!, "wind_onshore") +SUMIFS(#REF!,#REF!, 'scenario analysis'!N35,#REF!, "wind_offshore")</f>
        <v>#VALUE!</v>
      </c>
      <c r="P35" s="145" t="e">
        <f aca="false">SUMIFS(#REF!,#REF!,'scenario analysis'!N35,#REF!,"multi c-Si")</f>
        <v>#VALUE!</v>
      </c>
      <c r="Q35" s="142" t="e">
        <f aca="false">SUMIFS(#REF!,#REF!, 'scenario analysis'!N35,#REF!, "mono c-Si")</f>
        <v>#VALUE!</v>
      </c>
      <c r="R35" s="142" t="e">
        <f aca="false">SUMIFS(#REF!,#REF!,'scenario analysis'!N35,#REF!,"thin film")</f>
        <v>#VALUE!</v>
      </c>
    </row>
    <row r="36" customFormat="false" ht="15" hidden="false" customHeight="false" outlineLevel="0" collapsed="false">
      <c r="C36" s="50"/>
      <c r="H36" s="141" t="str">
        <f aca="false" t="array" ref="H36:H36">IFERROR(INDEX(#REF!, MATCH(0, COUNTIF($H$4:H35,#REF!), 0)), "")</f>
        <v/>
      </c>
      <c r="I36" s="142" t="e">
        <f aca="false">SUMIFS(#REF!,#REF!,'scenario analysis'!H36)+SUMIFS(storage!$E$2:$E$75,storage!$I$2:$I$75,'scenario analysis'!H36)+SUMIFS(EV_aggregator!$E$2:$E$75,EV_aggregator!$I$2:$I$75,'scenario analysis'!H36)+SUMIF(#REF!,H36,'non-vre plants'!#ref!)</f>
        <v>#VALUE!</v>
      </c>
      <c r="J36" s="142" t="n">
        <f aca="false">SUMIF('demand centres'!$C$1:$C$50,'scenario analysis'!H36,'demand centres'!$B$1:$B$50)</f>
        <v>0</v>
      </c>
      <c r="K36" s="142" t="e">
        <f aca="false" t="array" ref="K36:K36">SUMIF('existing transmission'!#ref!,H36, 'existing transmission'!$D$2:$D$3)+SUMIF('existing transmission'!$G$2:$G$3,H36, 'existing transmission'!$D$2:$D$3)</f>
        <v>#VALUE!</v>
      </c>
      <c r="L36" s="110" t="e">
        <f aca="false" t="array" ref="L36:L36">SUMIF('existing transmission'!#ref!,H36, 'existing transmission'!$B$2:$B$3)+SUMIF('existing transmission'!$G$2:$G$3,H36, 'existing transmission'!$B$2:$B$3)</f>
        <v>#VALUE!</v>
      </c>
      <c r="N36" s="143" t="str">
        <f aca="false" t="array" ref="N36:N36">IFERROR(INDEX(#REF!, MATCH(0, COUNTIF($N$4:N35,#REF!), 0)), "")</f>
        <v/>
      </c>
      <c r="O36" s="144" t="e">
        <f aca="false">SUMIFS(#REF!,#REF!, 'scenario analysis'!N36,#REF!, "wind_onshore") +SUMIFS(#REF!,#REF!, 'scenario analysis'!N36,#REF!, "wind_offshore")</f>
        <v>#VALUE!</v>
      </c>
      <c r="P36" s="145" t="e">
        <f aca="false">SUMIFS(#REF!,#REF!,'scenario analysis'!N36,#REF!,"multi c-Si")</f>
        <v>#VALUE!</v>
      </c>
      <c r="Q36" s="142" t="e">
        <f aca="false">SUMIFS(#REF!,#REF!, 'scenario analysis'!N36,#REF!, "mono c-Si")</f>
        <v>#VALUE!</v>
      </c>
      <c r="R36" s="142" t="e">
        <f aca="false">SUMIFS(#REF!,#REF!,'scenario analysis'!N36,#REF!,"thin film")</f>
        <v>#VALUE!</v>
      </c>
    </row>
    <row r="37" customFormat="false" ht="15" hidden="false" customHeight="false" outlineLevel="0" collapsed="false">
      <c r="C37" s="50"/>
      <c r="H37" s="141" t="str">
        <f aca="false" t="array" ref="H37:H37">IFERROR(INDEX(#REF!, MATCH(0, COUNTIF($H$4:H36,#REF!), 0)), "")</f>
        <v/>
      </c>
      <c r="I37" s="56" t="e">
        <f aca="false">SUMIF(#REF!,H37,'non-vre plants'!N2:N2)</f>
        <v>#VALUE!</v>
      </c>
      <c r="J37" s="142" t="n">
        <f aca="false">SUMIF('demand centres'!$C$1:$C$50,'scenario analysis'!H37,'demand centres'!$B$1:$B$50)</f>
        <v>0</v>
      </c>
      <c r="K37" s="142" t="e">
        <f aca="false" t="array" ref="K37:K37">SUMIF('existing transmission'!#ref!,H37, 'existing transmission'!$D$2:$D$3)+SUMIF('existing transmission'!$G$2:$G$3,H37, 'existing transmission'!$D$2:$D$3)</f>
        <v>#VALUE!</v>
      </c>
      <c r="L37" s="110" t="e">
        <f aca="false" t="array" ref="L37:L37">SUMIF('existing transmission'!#ref!,H37, 'existing transmission'!$B$2:$B$3)+SUMIF('existing transmission'!$G$2:$G$3,H37, 'existing transmission'!$B$2:$B$3)</f>
        <v>#VALUE!</v>
      </c>
      <c r="N37" s="143" t="str">
        <f aca="false" t="array" ref="N37:N37">IFERROR(INDEX(#REF!, MATCH(0, COUNTIF($N$4:N36,#REF!), 0)), "")</f>
        <v/>
      </c>
      <c r="O37" s="144" t="e">
        <f aca="false">SUMIFS(#REF!,#REF!, 'scenario analysis'!N37,#REF!, "wind_onshore") +SUMIFS(#REF!,#REF!, 'scenario analysis'!N37,#REF!, "wind_offshore")</f>
        <v>#VALUE!</v>
      </c>
      <c r="P37" s="145" t="e">
        <f aca="false">SUMIFS(#REF!,#REF!,'scenario analysis'!N37,#REF!,"multi c-Si")</f>
        <v>#VALUE!</v>
      </c>
      <c r="Q37" s="142" t="e">
        <f aca="false">SUMIFS(#REF!,#REF!, 'scenario analysis'!N37,#REF!, "mono c-Si")</f>
        <v>#VALUE!</v>
      </c>
      <c r="R37" s="142" t="e">
        <f aca="false">SUMIFS(#REF!,#REF!,'scenario analysis'!N37,#REF!,"thin film")</f>
        <v>#VALUE!</v>
      </c>
    </row>
    <row r="38" customFormat="false" ht="15" hidden="false" customHeight="false" outlineLevel="0" collapsed="false">
      <c r="H38" s="141" t="str">
        <f aca="false" t="array" ref="H38:H38">IFERROR(INDEX(#REF!, MATCH(0, COUNTIF($H$4:H37,#REF!), 0)), "")</f>
        <v/>
      </c>
      <c r="I38" s="56" t="e">
        <f aca="false">SUMIF(#REF!,H38,'non-vre plants'!N2:N2)</f>
        <v>#VALUE!</v>
      </c>
      <c r="J38" s="142" t="n">
        <f aca="false">SUMIF('demand centres'!$C$1:$C$50,'scenario analysis'!H38,'demand centres'!$B$1:$B$50)</f>
        <v>0</v>
      </c>
      <c r="K38" s="142" t="e">
        <f aca="false" t="array" ref="K38:K38">SUMIF('existing transmission'!#ref!,H38, 'existing transmission'!$D$2:$D$3)+SUMIF('existing transmission'!$G$2:$G$3,H38, 'existing transmission'!$D$2:$D$3)</f>
        <v>#VALUE!</v>
      </c>
      <c r="L38" s="110" t="e">
        <f aca="false" t="array" ref="L38:L38">SUMIF('existing transmission'!#ref!,H38, 'existing transmission'!$B$2:$B$3)+SUMIF('existing transmission'!$G$2:$G$3,H38, 'existing transmission'!$B$2:$B$3)</f>
        <v>#VALUE!</v>
      </c>
      <c r="N38" s="143" t="str">
        <f aca="false" t="array" ref="N38:N38">IFERROR(INDEX(#REF!, MATCH(0, COUNTIF($N$4:N37,#REF!), 0)), "")</f>
        <v/>
      </c>
      <c r="O38" s="144" t="e">
        <f aca="false">SUMIFS(#REF!,#REF!, 'scenario analysis'!N38,#REF!, "wind_onshore") +SUMIFS(#REF!,#REF!, 'scenario analysis'!N38,#REF!, "wind_offshore")</f>
        <v>#VALUE!</v>
      </c>
      <c r="P38" s="145" t="e">
        <f aca="false">SUMIFS(#REF!,#REF!,'scenario analysis'!N38,#REF!,"multi c-Si")</f>
        <v>#VALUE!</v>
      </c>
      <c r="Q38" s="142" t="e">
        <f aca="false">SUMIFS(#REF!,#REF!, 'scenario analysis'!N38,#REF!, "mono c-Si")</f>
        <v>#VALUE!</v>
      </c>
      <c r="R38" s="142" t="e">
        <f aca="false">SUMIFS(#REF!,#REF!,'scenario analysis'!N38,#REF!,"thin film")</f>
        <v>#VALUE!</v>
      </c>
    </row>
    <row r="39" customFormat="false" ht="15" hidden="false" customHeight="false" outlineLevel="0" collapsed="false">
      <c r="H39" s="141" t="str">
        <f aca="false" t="array" ref="H39:H39">IFERROR(INDEX(#REF!, MATCH(0, COUNTIF($H$4:H38,#REF!), 0)), "")</f>
        <v/>
      </c>
      <c r="I39" s="56" t="e">
        <f aca="false">SUMIF(#REF!,H39,'non-vre plants'!N2:N2)</f>
        <v>#VALUE!</v>
      </c>
      <c r="J39" s="142" t="n">
        <f aca="false">SUMIF('demand centres'!$C$1:$C$50,'scenario analysis'!H39,'demand centres'!$B$1:$B$50)</f>
        <v>0</v>
      </c>
      <c r="K39" s="142" t="e">
        <f aca="false" t="array" ref="K39:K39">SUMIF('existing transmission'!#ref!,H39, 'existing transmission'!$D$2:$D$3)+SUMIF('existing transmission'!$G$2:$G$3,H39, 'existing transmission'!$D$2:$D$3)</f>
        <v>#VALUE!</v>
      </c>
      <c r="L39" s="110" t="e">
        <f aca="false" t="array" ref="L39:L39">SUMIF('existing transmission'!#ref!,H39, 'existing transmission'!$B$2:$B$3)+SUMIF('existing transmission'!$G$2:$G$3,H39, 'existing transmission'!$B$2:$B$3)</f>
        <v>#VALUE!</v>
      </c>
      <c r="N39" s="143" t="str">
        <f aca="false" t="array" ref="N39:N39">IFERROR(INDEX(#REF!, MATCH(0, COUNTIF($N$4:N38,#REF!), 0)), "")</f>
        <v/>
      </c>
      <c r="O39" s="144" t="e">
        <f aca="false">SUMIFS(#REF!,#REF!, 'scenario analysis'!N39,#REF!, "wind_onshore") +SUMIFS(#REF!,#REF!, 'scenario analysis'!N39,#REF!, "wind_offshore")</f>
        <v>#VALUE!</v>
      </c>
      <c r="P39" s="145" t="e">
        <f aca="false">SUMIFS(#REF!,#REF!,'scenario analysis'!N39,#REF!,"multi c-Si")</f>
        <v>#VALUE!</v>
      </c>
      <c r="Q39" s="142" t="e">
        <f aca="false">SUMIFS(#REF!,#REF!, 'scenario analysis'!N39,#REF!, "mono c-Si")</f>
        <v>#VALUE!</v>
      </c>
      <c r="R39" s="142" t="e">
        <f aca="false">SUMIFS(#REF!,#REF!,'scenario analysis'!N39,#REF!,"thin film")</f>
        <v>#VALUE!</v>
      </c>
    </row>
    <row r="40" customFormat="false" ht="15" hidden="false" customHeight="false" outlineLevel="0" collapsed="false">
      <c r="H40" s="141" t="str">
        <f aca="false" t="array" ref="H40:H40">IFERROR(INDEX(#REF!, MATCH(0, COUNTIF($H$4:H39,#REF!), 0)), "")</f>
        <v/>
      </c>
      <c r="I40" s="56" t="e">
        <f aca="false">SUMIF(#REF!,H40,'non-vre plants'!N2:N2)</f>
        <v>#VALUE!</v>
      </c>
      <c r="J40" s="142" t="n">
        <f aca="false">SUMIF('demand centres'!$C$1:$C$50,'scenario analysis'!H40,'demand centres'!$B$1:$B$50)</f>
        <v>0</v>
      </c>
      <c r="K40" s="142" t="e">
        <f aca="false" t="array" ref="K40:K40">SUMIF('existing transmission'!#ref!,H40, 'existing transmission'!$D$2:$D$3)+SUMIF('existing transmission'!$G$2:$G$3,H40, 'existing transmission'!$D$2:$D$3)</f>
        <v>#VALUE!</v>
      </c>
      <c r="L40" s="110" t="e">
        <f aca="false" t="array" ref="L40:L40">SUMIF('existing transmission'!#ref!,H40, 'existing transmission'!$B$2:$B$3)+SUMIF('existing transmission'!$G$2:$G$3,H40, 'existing transmission'!$B$2:$B$3)</f>
        <v>#VALUE!</v>
      </c>
      <c r="N40" s="143" t="str">
        <f aca="false" t="array" ref="N40:N40">IFERROR(INDEX(#REF!, MATCH(0, COUNTIF($N$4:N39,#REF!), 0)), "")</f>
        <v/>
      </c>
      <c r="O40" s="144" t="e">
        <f aca="false">SUMIFS(#REF!,#REF!, 'scenario analysis'!N40,#REF!, "wind_onshore") +SUMIFS(#REF!,#REF!, 'scenario analysis'!N40,#REF!, "wind_offshore")</f>
        <v>#VALUE!</v>
      </c>
      <c r="P40" s="145" t="e">
        <f aca="false">SUMIFS(#REF!,#REF!,'scenario analysis'!N40,#REF!,"multi c-Si")</f>
        <v>#VALUE!</v>
      </c>
      <c r="Q40" s="142" t="e">
        <f aca="false">SUMIFS(#REF!,#REF!, 'scenario analysis'!N40,#REF!, "mono c-Si")</f>
        <v>#VALUE!</v>
      </c>
      <c r="R40" s="142" t="e">
        <f aca="false">SUMIFS(#REF!,#REF!,'scenario analysis'!N40,#REF!,"thin film")</f>
        <v>#VALUE!</v>
      </c>
    </row>
    <row r="41" customFormat="false" ht="15" hidden="false" customHeight="false" outlineLevel="0" collapsed="false">
      <c r="H41" s="141" t="str">
        <f aca="false" t="array" ref="H41:H41">IFERROR(INDEX(#REF!, MATCH(0, COUNTIF($H$4:H40,#REF!), 0)), "")</f>
        <v/>
      </c>
      <c r="I41" s="142" t="e">
        <f aca="false">SUMIFS(#REF!,#REF!,'scenario analysis'!H41)+SUMIFS(storage!$E$2:$E$75,storage!$I$2:$I$75,'scenario analysis'!H41)+SUMIFS(EV_aggregator!$E$2:$E$75,EV_aggregator!$I$2:$I$75,'scenario analysis'!H41)+SUMIF(#REF!,H41,'non-vre plants'!#ref!)</f>
        <v>#VALUE!</v>
      </c>
      <c r="J41" s="142" t="n">
        <f aca="false">SUMIF('demand centres'!$C$1:$C$50,'scenario analysis'!H41,'demand centres'!$B$1:$B$50)</f>
        <v>0</v>
      </c>
      <c r="K41" s="142" t="e">
        <f aca="false" t="array" ref="K41:K41">SUMIF('existing transmission'!#ref!,H41, 'existing transmission'!$D$2:$D$3)+SUMIF('existing transmission'!$G$2:$G$3,H41, 'existing transmission'!$D$2:$D$3)</f>
        <v>#VALUE!</v>
      </c>
      <c r="L41" s="110" t="e">
        <f aca="false" t="array" ref="L41:L41">SUMIF('existing transmission'!#ref!,H41, 'existing transmission'!$B$2:$B$3)+SUMIF('existing transmission'!$G$2:$G$3,H41, 'existing transmission'!$B$2:$B$3)</f>
        <v>#VALUE!</v>
      </c>
      <c r="N41" s="143" t="str">
        <f aca="false" t="array" ref="N41:N41">IFERROR(INDEX(#REF!, MATCH(0, COUNTIF($N$4:N40,#REF!), 0)), "")</f>
        <v/>
      </c>
      <c r="O41" s="144" t="e">
        <f aca="false">SUMIFS(#REF!,#REF!, 'scenario analysis'!N41,#REF!, "wind_onshore") +SUMIFS(#REF!,#REF!, 'scenario analysis'!N41,#REF!, "wind_offshore")</f>
        <v>#VALUE!</v>
      </c>
      <c r="P41" s="145" t="e">
        <f aca="false">SUMIFS(#REF!,#REF!,'scenario analysis'!N41,#REF!,"multi c-Si")</f>
        <v>#VALUE!</v>
      </c>
      <c r="Q41" s="142" t="e">
        <f aca="false">SUMIFS(#REF!,#REF!, 'scenario analysis'!N41,#REF!, "mono c-Si")</f>
        <v>#VALUE!</v>
      </c>
      <c r="R41" s="142" t="e">
        <f aca="false">SUMIFS(#REF!,#REF!,'scenario analysis'!N41,#REF!,"thin film")</f>
        <v>#VALUE!</v>
      </c>
    </row>
    <row r="42" customFormat="false" ht="15" hidden="false" customHeight="false" outlineLevel="0" collapsed="false">
      <c r="H42" s="141" t="str">
        <f aca="false" t="array" ref="H42:H42">IFERROR(INDEX(#REF!, MATCH(0, COUNTIF($H$4:H41,#REF!), 0)), "")</f>
        <v/>
      </c>
      <c r="I42" s="56" t="e">
        <f aca="false">SUMIF(#REF!,H42,'non-vre plants'!N2:N2)</f>
        <v>#VALUE!</v>
      </c>
      <c r="J42" s="142" t="n">
        <f aca="false">SUMIF('demand centres'!$C$1:$C$50,'scenario analysis'!H42,'demand centres'!$B$1:$B$50)</f>
        <v>0</v>
      </c>
      <c r="K42" s="142" t="e">
        <f aca="false" t="array" ref="K42:K42">SUMIF('existing transmission'!#ref!,H42, 'existing transmission'!$D$2:$D$3)+SUMIF('existing transmission'!$G$2:$G$3,H42, 'existing transmission'!$D$2:$D$3)</f>
        <v>#VALUE!</v>
      </c>
      <c r="L42" s="110" t="e">
        <f aca="false" t="array" ref="L42:L42">SUMIF('existing transmission'!#ref!,H42, 'existing transmission'!$B$2:$B$3)+SUMIF('existing transmission'!$G$2:$G$3,H42, 'existing transmission'!$B$2:$B$3)</f>
        <v>#VALUE!</v>
      </c>
      <c r="N42" s="143" t="str">
        <f aca="false" t="array" ref="N42:N42">IFERROR(INDEX(#REF!, MATCH(0, COUNTIF($N$4:N41,#REF!), 0)), "")</f>
        <v/>
      </c>
      <c r="O42" s="144" t="e">
        <f aca="false">SUMIFS(#REF!,#REF!, 'scenario analysis'!N42,#REF!, "wind_onshore") +SUMIFS(#REF!,#REF!, 'scenario analysis'!N42,#REF!, "wind_offshore")</f>
        <v>#VALUE!</v>
      </c>
      <c r="P42" s="145" t="e">
        <f aca="false">SUMIFS(#REF!,#REF!,'scenario analysis'!N42,#REF!,"multi c-Si")</f>
        <v>#VALUE!</v>
      </c>
      <c r="Q42" s="142" t="e">
        <f aca="false">SUMIFS(#REF!,#REF!, 'scenario analysis'!N42,#REF!, "mono c-Si")</f>
        <v>#VALUE!</v>
      </c>
      <c r="R42" s="142" t="e">
        <f aca="false">SUMIFS(#REF!,#REF!,'scenario analysis'!N42,#REF!,"thin film")</f>
        <v>#VALUE!</v>
      </c>
    </row>
    <row r="43" customFormat="false" ht="15" hidden="false" customHeight="false" outlineLevel="0" collapsed="false">
      <c r="H43" s="141" t="str">
        <f aca="false" t="array" ref="H43:H43">IFERROR(INDEX(#REF!, MATCH(0, COUNTIF($H$4:H42,#REF!), 0)), "")</f>
        <v/>
      </c>
      <c r="I43" s="56" t="e">
        <f aca="false">SUMIF(#REF!,H43,'non-vre plants'!N2:N2)</f>
        <v>#VALUE!</v>
      </c>
      <c r="J43" s="142" t="n">
        <f aca="false">SUMIF('demand centres'!$C$1:$C$50,'scenario analysis'!H43,'demand centres'!$B$1:$B$50)</f>
        <v>0</v>
      </c>
      <c r="K43" s="142" t="e">
        <f aca="false" t="array" ref="K43:K43">SUMIF('existing transmission'!#ref!,H43, 'existing transmission'!$D$2:$D$3)+SUMIF('existing transmission'!$G$2:$G$3,H43, 'existing transmission'!$D$2:$D$3)</f>
        <v>#VALUE!</v>
      </c>
      <c r="L43" s="110" t="e">
        <f aca="false" t="array" ref="L43:L43">SUMIF('existing transmission'!#ref!,H43, 'existing transmission'!$B$2:$B$3)+SUMIF('existing transmission'!$G$2:$G$3,H43, 'existing transmission'!$B$2:$B$3)</f>
        <v>#VALUE!</v>
      </c>
      <c r="N43" s="143" t="str">
        <f aca="false" t="array" ref="N43:N43">IFERROR(INDEX(#REF!, MATCH(0, COUNTIF($N$4:N42,#REF!), 0)), "")</f>
        <v/>
      </c>
      <c r="O43" s="144" t="e">
        <f aca="false">SUMIFS(#REF!,#REF!, 'scenario analysis'!N43,#REF!, "wind_onshore") +SUMIFS(#REF!,#REF!, 'scenario analysis'!N43,#REF!, "wind_offshore")</f>
        <v>#VALUE!</v>
      </c>
      <c r="P43" s="145" t="e">
        <f aca="false">SUMIFS(#REF!,#REF!,'scenario analysis'!N43,#REF!,"multi c-Si")</f>
        <v>#VALUE!</v>
      </c>
      <c r="Q43" s="142" t="e">
        <f aca="false">SUMIFS(#REF!,#REF!, 'scenario analysis'!N43,#REF!, "mono c-Si")</f>
        <v>#VALUE!</v>
      </c>
      <c r="R43" s="142" t="e">
        <f aca="false">SUMIFS(#REF!,#REF!,'scenario analysis'!N43,#REF!,"thin film")</f>
        <v>#VALUE!</v>
      </c>
    </row>
    <row r="44" customFormat="false" ht="15" hidden="false" customHeight="false" outlineLevel="0" collapsed="false">
      <c r="H44" s="141" t="str">
        <f aca="false" t="array" ref="H44:H44">IFERROR(INDEX(#REF!, MATCH(0, COUNTIF($H$4:H43,#REF!), 0)), "")</f>
        <v/>
      </c>
      <c r="I44" s="56" t="e">
        <f aca="false">SUMIF(#REF!,H44,'non-vre plants'!N2:N2)</f>
        <v>#VALUE!</v>
      </c>
      <c r="J44" s="142" t="n">
        <f aca="false">SUMIF('demand centres'!$C$1:$C$50,'scenario analysis'!H44,'demand centres'!$B$1:$B$50)</f>
        <v>0</v>
      </c>
      <c r="K44" s="142" t="e">
        <f aca="false" t="array" ref="K44:K44">SUMIF('existing transmission'!#ref!,H44, 'existing transmission'!$D$2:$D$3)+SUMIF('existing transmission'!$G$2:$G$3,H44, 'existing transmission'!$D$2:$D$3)</f>
        <v>#VALUE!</v>
      </c>
      <c r="L44" s="110" t="e">
        <f aca="false" t="array" ref="L44:L44">SUMIF('existing transmission'!#ref!,H44, 'existing transmission'!$B$2:$B$3)+SUMIF('existing transmission'!$G$2:$G$3,H44, 'existing transmission'!$B$2:$B$3)</f>
        <v>#VALUE!</v>
      </c>
      <c r="N44" s="143" t="str">
        <f aca="false" t="array" ref="N44:N44">IFERROR(INDEX(#REF!, MATCH(0, COUNTIF($N$4:N43,#REF!), 0)), "")</f>
        <v/>
      </c>
      <c r="O44" s="144" t="e">
        <f aca="false">SUMIFS(#REF!,#REF!, 'scenario analysis'!N44,#REF!, "wind_onshore") +SUMIFS(#REF!,#REF!, 'scenario analysis'!N44,#REF!, "wind_offshore")</f>
        <v>#VALUE!</v>
      </c>
      <c r="P44" s="145" t="e">
        <f aca="false">SUMIFS(#REF!,#REF!,'scenario analysis'!N44,#REF!,"multi c-Si")</f>
        <v>#VALUE!</v>
      </c>
      <c r="Q44" s="142" t="e">
        <f aca="false">SUMIFS(#REF!,#REF!, 'scenario analysis'!N44,#REF!, "mono c-Si")</f>
        <v>#VALUE!</v>
      </c>
      <c r="R44" s="142" t="e">
        <f aca="false">SUMIFS(#REF!,#REF!,'scenario analysis'!N44,#REF!,"thin film")</f>
        <v>#VALUE!</v>
      </c>
    </row>
    <row r="45" customFormat="false" ht="15" hidden="false" customHeight="false" outlineLevel="0" collapsed="false">
      <c r="H45" s="141" t="str">
        <f aca="false" t="array" ref="H45:H45">IFERROR(INDEX(#REF!, MATCH(0, COUNTIF($H$4:H44,#REF!), 0)), "")</f>
        <v/>
      </c>
      <c r="I45" s="56" t="e">
        <f aca="false">SUMIF(#REF!,H45,'non-vre plants'!N2:N2)</f>
        <v>#VALUE!</v>
      </c>
      <c r="J45" s="142" t="n">
        <f aca="false">SUMIF('demand centres'!$C$1:$C$50,'scenario analysis'!H45,'demand centres'!$B$1:$B$50)</f>
        <v>0</v>
      </c>
      <c r="K45" s="142" t="e">
        <f aca="false" t="array" ref="K45:K45">SUMIF('existing transmission'!#ref!,H45, 'existing transmission'!$D$2:$D$3)+SUMIF('existing transmission'!$G$2:$G$3,H45, 'existing transmission'!$D$2:$D$3)</f>
        <v>#VALUE!</v>
      </c>
      <c r="L45" s="110" t="e">
        <f aca="false" t="array" ref="L45:L45">SUMIF('existing transmission'!#ref!,H45, 'existing transmission'!$B$2:$B$3)+SUMIF('existing transmission'!$G$2:$G$3,H45, 'existing transmission'!$B$2:$B$3)</f>
        <v>#VALUE!</v>
      </c>
      <c r="N45" s="143" t="str">
        <f aca="false" t="array" ref="N45:N45">IFERROR(INDEX(#REF!, MATCH(0, COUNTIF($N$4:N44,#REF!), 0)), "")</f>
        <v/>
      </c>
      <c r="O45" s="144" t="e">
        <f aca="false">SUMIFS(#REF!,#REF!, 'scenario analysis'!N45,#REF!, "wind_onshore") +SUMIFS(#REF!,#REF!, 'scenario analysis'!N45,#REF!, "wind_offshore")</f>
        <v>#VALUE!</v>
      </c>
      <c r="P45" s="145" t="e">
        <f aca="false">SUMIFS(#REF!,#REF!,'scenario analysis'!N45,#REF!,"multi c-Si")</f>
        <v>#VALUE!</v>
      </c>
      <c r="Q45" s="142" t="e">
        <f aca="false">SUMIFS(#REF!,#REF!, 'scenario analysis'!N45,#REF!, "mono c-Si")</f>
        <v>#VALUE!</v>
      </c>
      <c r="R45" s="142" t="e">
        <f aca="false">SUMIFS(#REF!,#REF!,'scenario analysis'!N45,#REF!,"thin film")</f>
        <v>#VALUE!</v>
      </c>
    </row>
    <row r="46" customFormat="false" ht="15" hidden="false" customHeight="false" outlineLevel="0" collapsed="false">
      <c r="H46" s="141" t="str">
        <f aca="false" t="array" ref="H46:H46">IFERROR(INDEX(#REF!, MATCH(0, COUNTIF($H$4:H45,#REF!), 0)), "")</f>
        <v/>
      </c>
      <c r="I46" s="142" t="e">
        <f aca="false">SUMIFS(#REF!,#REF!,'scenario analysis'!H46)+SUMIFS(storage!$E$2:$E$75,storage!$I$2:$I$75,'scenario analysis'!H46)+SUMIFS(EV_aggregator!$E$2:$E$75,EV_aggregator!$I$2:$I$75,'scenario analysis'!H46)+SUMIF(#REF!,H46,'non-vre plants'!#ref!)</f>
        <v>#VALUE!</v>
      </c>
      <c r="J46" s="142" t="n">
        <f aca="false">SUMIF('demand centres'!$C$1:$C$50,'scenario analysis'!H46,'demand centres'!$B$1:$B$50)</f>
        <v>0</v>
      </c>
      <c r="K46" s="142" t="e">
        <f aca="false" t="array" ref="K46:K46">SUMIF('existing transmission'!#ref!,H46, 'existing transmission'!$D$2:$D$3)+SUMIF('existing transmission'!$G$2:$G$3,H46, 'existing transmission'!$D$2:$D$3)</f>
        <v>#VALUE!</v>
      </c>
      <c r="L46" s="110" t="e">
        <f aca="false" t="array" ref="L46:L46">SUMIF('existing transmission'!#ref!,H46, 'existing transmission'!$B$2:$B$3)+SUMIF('existing transmission'!$G$2:$G$3,H46, 'existing transmission'!$B$2:$B$3)</f>
        <v>#VALUE!</v>
      </c>
      <c r="N46" s="143" t="str">
        <f aca="false" t="array" ref="N46:N46">IFERROR(INDEX(#REF!, MATCH(0, COUNTIF($N$4:N45,#REF!), 0)), "")</f>
        <v/>
      </c>
      <c r="O46" s="144" t="e">
        <f aca="false">SUMIFS(#REF!,#REF!, 'scenario analysis'!N46,#REF!, "wind_onshore") +SUMIFS(#REF!,#REF!, 'scenario analysis'!N46,#REF!, "wind_offshore")</f>
        <v>#VALUE!</v>
      </c>
      <c r="P46" s="145" t="e">
        <f aca="false">SUMIFS(#REF!,#REF!,'scenario analysis'!N46,#REF!,"multi c-Si")</f>
        <v>#VALUE!</v>
      </c>
      <c r="Q46" s="142" t="e">
        <f aca="false">SUMIFS(#REF!,#REF!, 'scenario analysis'!N46,#REF!, "mono c-Si")</f>
        <v>#VALUE!</v>
      </c>
      <c r="R46" s="142" t="e">
        <f aca="false">SUMIFS(#REF!,#REF!,'scenario analysis'!N46,#REF!,"thin film")</f>
        <v>#VALUE!</v>
      </c>
    </row>
    <row r="47" customFormat="false" ht="15" hidden="false" customHeight="false" outlineLevel="0" collapsed="false">
      <c r="D47" s="6"/>
      <c r="H47" s="141" t="str">
        <f aca="false" t="array" ref="H47:H47">IFERROR(INDEX(#REF!, MATCH(0, COUNTIF($H$4:H46,#REF!), 0)), "")</f>
        <v/>
      </c>
      <c r="I47" s="56" t="e">
        <f aca="false">SUMIF(#REF!,H47,'non-vre plants'!N2:N2)</f>
        <v>#VALUE!</v>
      </c>
      <c r="J47" s="142" t="n">
        <f aca="false">SUMIF('demand centres'!$C$1:$C$50,'scenario analysis'!H47,'demand centres'!$B$1:$B$50)</f>
        <v>0</v>
      </c>
      <c r="K47" s="142" t="e">
        <f aca="false" t="array" ref="K47:K47">SUMIF('existing transmission'!#ref!,H47, 'existing transmission'!$D$2:$D$3)+SUMIF('existing transmission'!$G$2:$G$3,H47, 'existing transmission'!$D$2:$D$3)</f>
        <v>#VALUE!</v>
      </c>
      <c r="L47" s="110" t="e">
        <f aca="false" t="array" ref="L47:L47">SUMIF('existing transmission'!#ref!,H47, 'existing transmission'!$B$2:$B$3)+SUMIF('existing transmission'!$G$2:$G$3,H47, 'existing transmission'!$B$2:$B$3)</f>
        <v>#VALUE!</v>
      </c>
      <c r="N47" s="143" t="str">
        <f aca="false" t="array" ref="N47:N47">IFERROR(INDEX(#REF!, MATCH(0, COUNTIF($N$4:N46,#REF!), 0)), "")</f>
        <v/>
      </c>
      <c r="O47" s="144" t="e">
        <f aca="false">SUMIFS(#REF!,#REF!, 'scenario analysis'!N47,#REF!, "wind_onshore") +SUMIFS(#REF!,#REF!, 'scenario analysis'!N47,#REF!, "wind_offshore")</f>
        <v>#VALUE!</v>
      </c>
      <c r="P47" s="145" t="e">
        <f aca="false">SUMIFS(#REF!,#REF!,'scenario analysis'!N47,#REF!,"multi c-Si")</f>
        <v>#VALUE!</v>
      </c>
      <c r="Q47" s="142" t="e">
        <f aca="false">SUMIFS(#REF!,#REF!, 'scenario analysis'!N47,#REF!, "mono c-Si")</f>
        <v>#VALUE!</v>
      </c>
      <c r="R47" s="142" t="e">
        <f aca="false">SUMIFS(#REF!,#REF!,'scenario analysis'!N47,#REF!,"thin film")</f>
        <v>#VALUE!</v>
      </c>
    </row>
    <row r="48" customFormat="false" ht="15" hidden="false" customHeight="false" outlineLevel="0" collapsed="false">
      <c r="D48" s="32"/>
      <c r="H48" s="141" t="str">
        <f aca="false" t="array" ref="H48:H48">IFERROR(INDEX(#REF!, MATCH(0, COUNTIF($H$4:H47,#REF!), 0)), "")</f>
        <v/>
      </c>
      <c r="I48" s="142" t="e">
        <f aca="false">SUMIFS(#REF!,#REF!,'scenario analysis'!H48)+SUMIFS(storage!$E$2:$E$75,storage!$I$2:$I$75,'scenario analysis'!H48)+SUMIFS(EV_aggregator!$E$2:$E$75,EV_aggregator!$I$2:$I$75,'scenario analysis'!H48)+SUMIF(#REF!,H48,'non-vre plants'!#ref!)</f>
        <v>#VALUE!</v>
      </c>
      <c r="J48" s="142" t="n">
        <f aca="false">SUMIF('demand centres'!$C$1:$C$50,'scenario analysis'!H48,'demand centres'!$B$1:$B$50)</f>
        <v>0</v>
      </c>
      <c r="K48" s="142" t="e">
        <f aca="false" t="array" ref="K48:K48">SUMIF('existing transmission'!#ref!,H48, 'existing transmission'!$D$2:$D$3)+SUMIF('existing transmission'!$G$2:$G$3,H48, 'existing transmission'!$D$2:$D$3)</f>
        <v>#VALUE!</v>
      </c>
      <c r="L48" s="110" t="e">
        <f aca="false" t="array" ref="L48:L48">SUMIF('existing transmission'!#ref!,H48, 'existing transmission'!$B$2:$B$3)+SUMIF('existing transmission'!$G$2:$G$3,H48, 'existing transmission'!$B$2:$B$3)</f>
        <v>#VALUE!</v>
      </c>
      <c r="N48" s="143" t="str">
        <f aca="false" t="array" ref="N48:N48">IFERROR(INDEX(#REF!, MATCH(0, COUNTIF($N$4:N47,#REF!), 0)), "")</f>
        <v/>
      </c>
      <c r="O48" s="144" t="e">
        <f aca="false">SUMIFS(#REF!,#REF!, 'scenario analysis'!N48,#REF!, "wind_onshore") +SUMIFS(#REF!,#REF!, 'scenario analysis'!N48,#REF!, "wind_offshore")</f>
        <v>#VALUE!</v>
      </c>
      <c r="P48" s="145" t="e">
        <f aca="false">SUMIFS(#REF!,#REF!,'scenario analysis'!N48,#REF!,"multi c-Si")</f>
        <v>#VALUE!</v>
      </c>
      <c r="Q48" s="142" t="e">
        <f aca="false">SUMIFS(#REF!,#REF!, 'scenario analysis'!N48,#REF!, "mono c-Si")</f>
        <v>#VALUE!</v>
      </c>
      <c r="R48" s="142" t="e">
        <f aca="false">SUMIFS(#REF!,#REF!,'scenario analysis'!N48,#REF!,"thin film")</f>
        <v>#VALUE!</v>
      </c>
    </row>
    <row r="49" customFormat="false" ht="15" hidden="false" customHeight="false" outlineLevel="0" collapsed="false">
      <c r="D49" s="32"/>
      <c r="H49" s="141" t="str">
        <f aca="false" t="array" ref="H49:H49">IFERROR(INDEX(#REF!, MATCH(0, COUNTIF($H$4:H48,#REF!), 0)), "")</f>
        <v/>
      </c>
      <c r="I49" s="142" t="e">
        <f aca="false">SUMIFS(#REF!,#REF!,'scenario analysis'!H49)+SUMIFS(storage!$E$2:$E$75,storage!$I$2:$I$75,'scenario analysis'!H49)+SUMIFS(EV_aggregator!$E$2:$E$75,EV_aggregator!$I$2:$I$75,'scenario analysis'!H49)+SUMIF(#REF!,H49,'non-vre plants'!#ref!)</f>
        <v>#VALUE!</v>
      </c>
      <c r="J49" s="142" t="n">
        <f aca="false">SUMIF('demand centres'!$C$1:$C$50,'scenario analysis'!H49,'demand centres'!$B$1:$B$50)</f>
        <v>0</v>
      </c>
      <c r="K49" s="142" t="e">
        <f aca="false" t="array" ref="K49:K49">SUMIF('existing transmission'!#ref!,H49, 'existing transmission'!$D$2:$D$3)+SUMIF('existing transmission'!$G$2:$G$3,H49, 'existing transmission'!$D$2:$D$3)</f>
        <v>#VALUE!</v>
      </c>
      <c r="L49" s="110" t="e">
        <f aca="false" t="array" ref="L49:L49">SUMIF('existing transmission'!#ref!,H49, 'existing transmission'!$B$2:$B$3)+SUMIF('existing transmission'!$G$2:$G$3,H49, 'existing transmission'!$B$2:$B$3)</f>
        <v>#VALUE!</v>
      </c>
      <c r="N49" s="143" t="str">
        <f aca="false" t="array" ref="N49:N49">IFERROR(INDEX(#REF!, MATCH(0, COUNTIF($N$4:N48,#REF!), 0)), "")</f>
        <v/>
      </c>
      <c r="O49" s="144" t="e">
        <f aca="false">SUMIFS(#REF!,#REF!, 'scenario analysis'!N49,#REF!, "wind_onshore") +SUMIFS(#REF!,#REF!, 'scenario analysis'!N49,#REF!, "wind_offshore")</f>
        <v>#VALUE!</v>
      </c>
      <c r="P49" s="145" t="e">
        <f aca="false">SUMIFS(#REF!,#REF!,'scenario analysis'!N49,#REF!,"multi c-Si")</f>
        <v>#VALUE!</v>
      </c>
      <c r="Q49" s="142" t="e">
        <f aca="false">SUMIFS(#REF!,#REF!, 'scenario analysis'!N49,#REF!, "mono c-Si")</f>
        <v>#VALUE!</v>
      </c>
      <c r="R49" s="142" t="e">
        <f aca="false">SUMIFS(#REF!,#REF!,'scenario analysis'!N49,#REF!,"thin film")</f>
        <v>#VALUE!</v>
      </c>
    </row>
    <row r="50" customFormat="false" ht="15" hidden="false" customHeight="false" outlineLevel="0" collapsed="false">
      <c r="D50" s="32"/>
      <c r="H50" s="141" t="str">
        <f aca="false" t="array" ref="H50:H50">IFERROR(INDEX(#REF!, MATCH(0, COUNTIF($H$4:H49,#REF!), 0)), "")</f>
        <v/>
      </c>
      <c r="I50" s="56" t="e">
        <f aca="false">SUMIF(#REF!,H50,'non-vre plants'!N2:N2)</f>
        <v>#VALUE!</v>
      </c>
      <c r="J50" s="142" t="n">
        <f aca="false">SUMIF('demand centres'!$C$1:$C$50,'scenario analysis'!H50,'demand centres'!$B$1:$B$50)</f>
        <v>0</v>
      </c>
      <c r="K50" s="142" t="e">
        <f aca="false" t="array" ref="K50:K50">SUMIF('existing transmission'!#ref!,H50, 'existing transmission'!$D$2:$D$3)+SUMIF('existing transmission'!$G$2:$G$3,H50, 'existing transmission'!$D$2:$D$3)</f>
        <v>#VALUE!</v>
      </c>
      <c r="L50" s="110" t="e">
        <f aca="false" t="array" ref="L50:L50">SUMIF('existing transmission'!#ref!,H50, 'existing transmission'!$B$2:$B$3)+SUMIF('existing transmission'!$G$2:$G$3,H50, 'existing transmission'!$B$2:$B$3)</f>
        <v>#VALUE!</v>
      </c>
      <c r="N50" s="143" t="str">
        <f aca="false" t="array" ref="N50:N50">IFERROR(INDEX(#REF!, MATCH(0, COUNTIF($N$4:N49,#REF!), 0)), "")</f>
        <v/>
      </c>
      <c r="O50" s="144" t="e">
        <f aca="false">SUMIFS(#REF!,#REF!, 'scenario analysis'!N50,#REF!, "wind_onshore") +SUMIFS(#REF!,#REF!, 'scenario analysis'!N50,#REF!, "wind_offshore")</f>
        <v>#VALUE!</v>
      </c>
      <c r="P50" s="145" t="e">
        <f aca="false">SUMIFS(#REF!,#REF!,'scenario analysis'!N50,#REF!,"multi c-Si")</f>
        <v>#VALUE!</v>
      </c>
      <c r="Q50" s="142" t="e">
        <f aca="false">SUMIFS(#REF!,#REF!, 'scenario analysis'!N50,#REF!, "mono c-Si")</f>
        <v>#VALUE!</v>
      </c>
      <c r="R50" s="142" t="e">
        <f aca="false">SUMIFS(#REF!,#REF!,'scenario analysis'!N50,#REF!,"thin film")</f>
        <v>#VALUE!</v>
      </c>
    </row>
    <row r="51" customFormat="false" ht="15" hidden="false" customHeight="false" outlineLevel="0" collapsed="false">
      <c r="D51" s="32"/>
      <c r="H51" s="141" t="str">
        <f aca="false" t="array" ref="H51:H51">IFERROR(INDEX(#REF!, MATCH(0, COUNTIF($H$4:H50,#REF!), 0)), "")</f>
        <v/>
      </c>
      <c r="I51" s="56" t="e">
        <f aca="false">SUMIF(#REF!,H51,'non-vre plants'!#ref!)</f>
        <v>#VALUE!</v>
      </c>
      <c r="J51" s="142" t="n">
        <f aca="false">SUMIF('demand centres'!$C$1:$C$50,'scenario analysis'!H51,'demand centres'!$B$1:$B$50)</f>
        <v>0</v>
      </c>
      <c r="K51" s="142" t="e">
        <f aca="false" t="array" ref="K51:K51">SUMIF('existing transmission'!#ref!,H51, 'existing transmission'!$D$2:$D$3)+SUMIF('existing transmission'!$G$2:$G$3,H51, 'existing transmission'!$D$2:$D$3)</f>
        <v>#VALUE!</v>
      </c>
      <c r="L51" s="110" t="e">
        <f aca="false" t="array" ref="L51:L51">SUMIF('existing transmission'!#ref!,H51, 'existing transmission'!$B$2:$B$3)+SUMIF('existing transmission'!$G$2:$G$3,H51, 'existing transmission'!$B$2:$B$3)</f>
        <v>#VALUE!</v>
      </c>
      <c r="N51" s="143" t="str">
        <f aca="false" t="array" ref="N51:N51">IFERROR(INDEX(#REF!, MATCH(0, COUNTIF($N$4:N50,#REF!), 0)), "")</f>
        <v/>
      </c>
      <c r="O51" s="144" t="e">
        <f aca="false">SUMIFS(#REF!,#REF!, 'scenario analysis'!N51,#REF!, "wind_onshore") +SUMIFS(#REF!,#REF!, 'scenario analysis'!N51,#REF!, "wind_offshore")</f>
        <v>#VALUE!</v>
      </c>
      <c r="P51" s="145" t="e">
        <f aca="false">SUMIFS(#REF!,#REF!,'scenario analysis'!N51,#REF!,"multi c-Si")</f>
        <v>#VALUE!</v>
      </c>
      <c r="Q51" s="142" t="e">
        <f aca="false">SUMIFS(#REF!,#REF!, 'scenario analysis'!N51,#REF!, "mono c-Si")</f>
        <v>#VALUE!</v>
      </c>
      <c r="R51" s="142" t="e">
        <f aca="false">SUMIFS(#REF!,#REF!,'scenario analysis'!N51,#REF!,"thin film")</f>
        <v>#VALUE!</v>
      </c>
    </row>
    <row r="52" customFormat="false" ht="15" hidden="false" customHeight="false" outlineLevel="0" collapsed="false">
      <c r="D52" s="32"/>
      <c r="H52" s="141" t="str">
        <f aca="false" t="array" ref="H52:H52">IFERROR(INDEX(#REF!, MATCH(0, COUNTIF($H$4:H51,#REF!), 0)), "")</f>
        <v/>
      </c>
      <c r="I52" s="142" t="e">
        <f aca="false">SUMIFS(#REF!,#REF!,'scenario analysis'!H52)+SUMIFS(storage!$E$2:$E$75,storage!$I$2:$I$75,'scenario analysis'!H52)+SUMIFS(EV_aggregator!$E$2:$E$75,EV_aggregator!$I$2:$I$75,'scenario analysis'!H52)+SUMIF(#REF!,H52,'non-vre plants'!#ref!)</f>
        <v>#VALUE!</v>
      </c>
      <c r="J52" s="142" t="n">
        <f aca="false">SUMIF('demand centres'!$C$1:$C$50,'scenario analysis'!H52,'demand centres'!$B$1:$B$50)</f>
        <v>0</v>
      </c>
      <c r="K52" s="142" t="e">
        <f aca="false" t="array" ref="K52:K52">SUMIF('existing transmission'!#ref!,H52, 'existing transmission'!$D$2:$D$3)+SUMIF('existing transmission'!$G$2:$G$3,H52, 'existing transmission'!$D$2:$D$3)</f>
        <v>#VALUE!</v>
      </c>
      <c r="L52" s="110" t="e">
        <f aca="false" t="array" ref="L52:L52">SUMIF('existing transmission'!#ref!,H52, 'existing transmission'!$B$2:$B$3)+SUMIF('existing transmission'!$G$2:$G$3,H52, 'existing transmission'!$B$2:$B$3)</f>
        <v>#VALUE!</v>
      </c>
      <c r="N52" s="143" t="str">
        <f aca="false" t="array" ref="N52:N52">IFERROR(INDEX(#REF!, MATCH(0, COUNTIF($N$4:N51,#REF!), 0)), "")</f>
        <v/>
      </c>
      <c r="O52" s="144" t="e">
        <f aca="false">SUMIFS(#REF!,#REF!, 'scenario analysis'!N52,#REF!, "wind_onshore") +SUMIFS(#REF!,#REF!, 'scenario analysis'!N52,#REF!, "wind_offshore")</f>
        <v>#VALUE!</v>
      </c>
      <c r="P52" s="145" t="e">
        <f aca="false">SUMIFS(#REF!,#REF!,'scenario analysis'!N52,#REF!,"multi c-Si")</f>
        <v>#VALUE!</v>
      </c>
      <c r="Q52" s="142" t="e">
        <f aca="false">SUMIFS(#REF!,#REF!, 'scenario analysis'!N52,#REF!, "mono c-Si")</f>
        <v>#VALUE!</v>
      </c>
      <c r="R52" s="142" t="e">
        <f aca="false">SUMIFS(#REF!,#REF!,'scenario analysis'!N52,#REF!,"thin film")</f>
        <v>#VALUE!</v>
      </c>
    </row>
    <row r="53" customFormat="false" ht="15" hidden="false" customHeight="false" outlineLevel="0" collapsed="false">
      <c r="D53" s="32"/>
      <c r="H53" s="141" t="str">
        <f aca="false" t="array" ref="H53:H53">IFERROR(INDEX(#REF!, MATCH(0, COUNTIF($H$4:H52,#REF!), 0)), "")</f>
        <v/>
      </c>
      <c r="I53" s="56" t="e">
        <f aca="false">SUMIF(#REF!,H53,'non-vre plants'!#ref!)</f>
        <v>#VALUE!</v>
      </c>
      <c r="J53" s="142" t="n">
        <f aca="false">SUMIF('demand centres'!$C$1:$C$50,'scenario analysis'!H53,'demand centres'!$B$1:$B$50)</f>
        <v>0</v>
      </c>
      <c r="K53" s="142" t="e">
        <f aca="false" t="array" ref="K53:K53">SUMIF('existing transmission'!#ref!,H53, 'existing transmission'!$D$2:$D$3)+SUMIF('existing transmission'!$G$2:$G$3,H53, 'existing transmission'!$D$2:$D$3)</f>
        <v>#VALUE!</v>
      </c>
      <c r="L53" s="110" t="e">
        <f aca="false" t="array" ref="L53:L53">SUMIF('existing transmission'!#ref!,H53, 'existing transmission'!$B$2:$B$3)+SUMIF('existing transmission'!$G$2:$G$3,H53, 'existing transmission'!$B$2:$B$3)</f>
        <v>#VALUE!</v>
      </c>
      <c r="N53" s="143" t="str">
        <f aca="false" t="array" ref="N53:N53">IFERROR(INDEX(#REF!, MATCH(0, COUNTIF($N$4:N52,#REF!), 0)), "")</f>
        <v/>
      </c>
      <c r="O53" s="144" t="e">
        <f aca="false">SUMIFS(#REF!,#REF!, 'scenario analysis'!N53,#REF!, "wind_onshore") +SUMIFS(#REF!,#REF!, 'scenario analysis'!N53,#REF!, "wind_offshore")</f>
        <v>#VALUE!</v>
      </c>
      <c r="P53" s="145" t="e">
        <f aca="false">SUMIFS(#REF!,#REF!,'scenario analysis'!N53,#REF!,"multi c-Si")</f>
        <v>#VALUE!</v>
      </c>
      <c r="Q53" s="142" t="e">
        <f aca="false">SUMIFS(#REF!,#REF!, 'scenario analysis'!N53,#REF!, "mono c-Si")</f>
        <v>#VALUE!</v>
      </c>
      <c r="R53" s="142" t="e">
        <f aca="false">SUMIFS(#REF!,#REF!,'scenario analysis'!N53,#REF!,"thin film")</f>
        <v>#VALUE!</v>
      </c>
    </row>
    <row r="54" customFormat="false" ht="15" hidden="false" customHeight="false" outlineLevel="0" collapsed="false">
      <c r="D54" s="32"/>
      <c r="H54" s="141" t="str">
        <f aca="false" t="array" ref="H54:H54">IFERROR(INDEX(#REF!, MATCH(0, COUNTIF($H$4:H53,#REF!), 0)), "")</f>
        <v/>
      </c>
      <c r="I54" s="142" t="e">
        <f aca="false">SUMIFS(#REF!,#REF!,'scenario analysis'!H54)+SUMIFS(storage!$E$2:$E$75,storage!$I$2:$I$75,'scenario analysis'!H54)+SUMIFS(EV_aggregator!$E$2:$E$75,EV_aggregator!$I$2:$I$75,'scenario analysis'!H54)+SUMIF(#REF!,H54,'non-vre plants'!#ref!)</f>
        <v>#VALUE!</v>
      </c>
      <c r="J54" s="142" t="n">
        <f aca="false">SUMIF('demand centres'!$C$1:$C$50,'scenario analysis'!H54,'demand centres'!$B$1:$B$50)</f>
        <v>0</v>
      </c>
      <c r="K54" s="142" t="e">
        <f aca="false" t="array" ref="K54:K54">SUMIF('existing transmission'!#ref!,H54, 'existing transmission'!$D$2:$D$3)+SUMIF('existing transmission'!$G$2:$G$3,H54, 'existing transmission'!$D$2:$D$3)</f>
        <v>#VALUE!</v>
      </c>
      <c r="L54" s="110" t="e">
        <f aca="false" t="array" ref="L54:L54">SUMIF('existing transmission'!#ref!,H54, 'existing transmission'!$B$2:$B$3)+SUMIF('existing transmission'!$G$2:$G$3,H54, 'existing transmission'!$B$2:$B$3)</f>
        <v>#VALUE!</v>
      </c>
      <c r="N54" s="143" t="str">
        <f aca="false" t="array" ref="N54:N54">IFERROR(INDEX(#REF!, MATCH(0, COUNTIF($N$4:N53,#REF!), 0)), "")</f>
        <v/>
      </c>
      <c r="O54" s="144" t="e">
        <f aca="false">SUMIFS(#REF!,#REF!, 'scenario analysis'!N54,#REF!, "wind_onshore") +SUMIFS(#REF!,#REF!, 'scenario analysis'!N54,#REF!, "wind_offshore")</f>
        <v>#VALUE!</v>
      </c>
      <c r="P54" s="145" t="e">
        <f aca="false">SUMIFS(#REF!,#REF!,'scenario analysis'!N54,#REF!,"multi c-Si")</f>
        <v>#VALUE!</v>
      </c>
      <c r="Q54" s="142" t="e">
        <f aca="false">SUMIFS(#REF!,#REF!, 'scenario analysis'!N54,#REF!, "mono c-Si")</f>
        <v>#VALUE!</v>
      </c>
      <c r="R54" s="142" t="e">
        <f aca="false">SUMIFS(#REF!,#REF!,'scenario analysis'!N54,#REF!,"thin film")</f>
        <v>#VALUE!</v>
      </c>
    </row>
    <row r="55" customFormat="false" ht="15" hidden="false" customHeight="false" outlineLevel="0" collapsed="false">
      <c r="D55" s="32"/>
      <c r="H55" s="141" t="str">
        <f aca="false" t="array" ref="H55:H55">IFERROR(INDEX(#REF!, MATCH(0, COUNTIF($H$4:H54,#REF!), 0)), "")</f>
        <v/>
      </c>
      <c r="I55" s="56" t="e">
        <f aca="false">SUMIF(#REF!,H55,'non-vre plants'!#ref!)</f>
        <v>#VALUE!</v>
      </c>
      <c r="J55" s="142" t="n">
        <f aca="false">SUMIF('demand centres'!$C$1:$C$50,'scenario analysis'!H55,'demand centres'!$B$1:$B$50)</f>
        <v>0</v>
      </c>
      <c r="K55" s="142" t="e">
        <f aca="false" t="array" ref="K55:K55">SUMIF('existing transmission'!#ref!,H55, 'existing transmission'!$D$2:$D$3)+SUMIF('existing transmission'!$G$2:$G$3,H55, 'existing transmission'!$D$2:$D$3)</f>
        <v>#VALUE!</v>
      </c>
      <c r="L55" s="110" t="e">
        <f aca="false" t="array" ref="L55:L55">SUMIF('existing transmission'!#ref!,H55, 'existing transmission'!$B$2:$B$3)+SUMIF('existing transmission'!$G$2:$G$3,H55, 'existing transmission'!$B$2:$B$3)</f>
        <v>#VALUE!</v>
      </c>
      <c r="N55" s="143" t="str">
        <f aca="false" t="array" ref="N55:N55">IFERROR(INDEX(#REF!, MATCH(0, COUNTIF($N$4:N54,#REF!), 0)), "")</f>
        <v/>
      </c>
      <c r="O55" s="144" t="e">
        <f aca="false">SUMIFS(#REF!,#REF!, 'scenario analysis'!N55,#REF!, "wind_onshore") +SUMIFS(#REF!,#REF!, 'scenario analysis'!N55,#REF!, "wind_offshore")</f>
        <v>#VALUE!</v>
      </c>
      <c r="P55" s="145" t="e">
        <f aca="false">SUMIFS(#REF!,#REF!,'scenario analysis'!N55,#REF!,"multi c-Si")</f>
        <v>#VALUE!</v>
      </c>
      <c r="Q55" s="142" t="e">
        <f aca="false">SUMIFS(#REF!,#REF!, 'scenario analysis'!N55,#REF!, "mono c-Si")</f>
        <v>#VALUE!</v>
      </c>
      <c r="R55" s="142" t="e">
        <f aca="false">SUMIFS(#REF!,#REF!,'scenario analysis'!N55,#REF!,"thin film")</f>
        <v>#VALUE!</v>
      </c>
    </row>
    <row r="56" customFormat="false" ht="15" hidden="false" customHeight="false" outlineLevel="0" collapsed="false">
      <c r="D56" s="32"/>
      <c r="H56" s="141" t="str">
        <f aca="false" t="array" ref="H56:H56">IFERROR(INDEX(#REF!, MATCH(0, COUNTIF($H$4:H55,#REF!), 0)), "")</f>
        <v/>
      </c>
      <c r="I56" s="142" t="e">
        <f aca="false">SUMIFS(#REF!,#REF!,'scenario analysis'!H56)+SUMIFS(storage!$E$2:$E$75,storage!$I$2:$I$75,'scenario analysis'!H56)+SUMIFS(EV_aggregator!$E$2:$E$75,EV_aggregator!$I$2:$I$75,'scenario analysis'!H56)+SUMIF(#REF!,H56,'non-vre plants'!#ref!)</f>
        <v>#VALUE!</v>
      </c>
      <c r="J56" s="142" t="n">
        <f aca="false">SUMIF('demand centres'!$C$1:$C$50,'scenario analysis'!H56,'demand centres'!$B$1:$B$50)</f>
        <v>0</v>
      </c>
      <c r="K56" s="142" t="e">
        <f aca="false" t="array" ref="K56:K56">SUMIF('existing transmission'!#ref!,H56, 'existing transmission'!$D$2:$D$3)+SUMIF('existing transmission'!$G$2:$G$3,H56, 'existing transmission'!$D$2:$D$3)</f>
        <v>#VALUE!</v>
      </c>
      <c r="L56" s="110" t="e">
        <f aca="false" t="array" ref="L56:L56">SUMIF('existing transmission'!#ref!,H56, 'existing transmission'!$B$2:$B$3)+SUMIF('existing transmission'!$G$2:$G$3,H56, 'existing transmission'!$B$2:$B$3)</f>
        <v>#VALUE!</v>
      </c>
      <c r="N56" s="143" t="str">
        <f aca="false" t="array" ref="N56:N56">IFERROR(INDEX(#REF!, MATCH(0, COUNTIF($N$4:N55,#REF!), 0)), "")</f>
        <v/>
      </c>
      <c r="O56" s="144" t="e">
        <f aca="false">SUMIFS(#REF!,#REF!, 'scenario analysis'!N56,#REF!, "wind_onshore") +SUMIFS(#REF!,#REF!, 'scenario analysis'!N56,#REF!, "wind_offshore")</f>
        <v>#VALUE!</v>
      </c>
      <c r="P56" s="145" t="e">
        <f aca="false">SUMIFS(#REF!,#REF!,'scenario analysis'!N56,#REF!,"multi c-Si")</f>
        <v>#VALUE!</v>
      </c>
      <c r="Q56" s="142" t="e">
        <f aca="false">SUMIFS(#REF!,#REF!, 'scenario analysis'!N56,#REF!, "mono c-Si")</f>
        <v>#VALUE!</v>
      </c>
      <c r="R56" s="142" t="e">
        <f aca="false">SUMIFS(#REF!,#REF!,'scenario analysis'!N56,#REF!,"thin film")</f>
        <v>#VALUE!</v>
      </c>
    </row>
    <row r="57" customFormat="false" ht="15" hidden="false" customHeight="false" outlineLevel="0" collapsed="false">
      <c r="D57" s="32"/>
      <c r="H57" s="141" t="str">
        <f aca="false" t="array" ref="H57:H57">IFERROR(INDEX(#REF!, MATCH(0, COUNTIF($H$4:H56,#REF!), 0)), "")</f>
        <v/>
      </c>
      <c r="I57" s="142" t="e">
        <f aca="false">SUMIFS(#REF!,#REF!,'scenario analysis'!H57)+SUMIFS(storage!$E$2:$E$75,storage!$I$2:$I$75,'scenario analysis'!H57)+SUMIFS(EV_aggregator!$E$2:$E$75,EV_aggregator!$I$2:$I$75,'scenario analysis'!H57)+SUMIF(#REF!,H57,'non-vre plants'!#ref!)</f>
        <v>#VALUE!</v>
      </c>
      <c r="J57" s="142" t="n">
        <f aca="false">SUMIF('demand centres'!$C$1:$C$50,'scenario analysis'!H57,'demand centres'!$B$1:$B$50)</f>
        <v>0</v>
      </c>
      <c r="K57" s="142" t="e">
        <f aca="false" t="array" ref="K57:K57">SUMIF('existing transmission'!#ref!,H57, 'existing transmission'!$D$2:$D$3)+SUMIF('existing transmission'!$G$2:$G$3,H57, 'existing transmission'!$D$2:$D$3)</f>
        <v>#VALUE!</v>
      </c>
      <c r="L57" s="110" t="e">
        <f aca="false" t="array" ref="L57:L57">SUMIF('existing transmission'!#ref!,H57, 'existing transmission'!$B$2:$B$3)+SUMIF('existing transmission'!$G$2:$G$3,H57, 'existing transmission'!$B$2:$B$3)</f>
        <v>#VALUE!</v>
      </c>
      <c r="N57" s="143" t="str">
        <f aca="false" t="array" ref="N57:N57">IFERROR(INDEX(#REF!, MATCH(0, COUNTIF($N$4:N56,#REF!), 0)), "")</f>
        <v/>
      </c>
      <c r="O57" s="144" t="e">
        <f aca="false">SUMIFS(#REF!,#REF!, 'scenario analysis'!N57,#REF!, "wind_onshore") +SUMIFS(#REF!,#REF!, 'scenario analysis'!N57,#REF!, "wind_offshore")</f>
        <v>#VALUE!</v>
      </c>
      <c r="P57" s="145" t="e">
        <f aca="false">SUMIFS(#REF!,#REF!,'scenario analysis'!N57,#REF!,"multi c-Si")</f>
        <v>#VALUE!</v>
      </c>
      <c r="Q57" s="142" t="e">
        <f aca="false">SUMIFS(#REF!,#REF!, 'scenario analysis'!N57,#REF!, "mono c-Si")</f>
        <v>#VALUE!</v>
      </c>
      <c r="R57" s="142" t="e">
        <f aca="false">SUMIFS(#REF!,#REF!,'scenario analysis'!N57,#REF!,"thin film")</f>
        <v>#VALUE!</v>
      </c>
    </row>
    <row r="58" customFormat="false" ht="15" hidden="false" customHeight="false" outlineLevel="0" collapsed="false">
      <c r="D58" s="32"/>
      <c r="H58" s="141" t="str">
        <f aca="false" t="array" ref="H58:H58">IFERROR(INDEX(#REF!, MATCH(0, COUNTIF($H$4:H57,#REF!), 0)), "")</f>
        <v/>
      </c>
      <c r="I58" s="56" t="e">
        <f aca="false">SUMIF(#REF!,H58,'non-vre plants'!#ref!)</f>
        <v>#VALUE!</v>
      </c>
      <c r="J58" s="142" t="n">
        <f aca="false">SUMIF('demand centres'!$C$1:$C$50,'scenario analysis'!H58,'demand centres'!$B$1:$B$50)</f>
        <v>0</v>
      </c>
      <c r="K58" s="142" t="e">
        <f aca="false" t="array" ref="K58:K58">SUMIF('existing transmission'!#ref!,H58, 'existing transmission'!$D$2:$D$3)+SUMIF('existing transmission'!$G$2:$G$3,H58, 'existing transmission'!$D$2:$D$3)</f>
        <v>#VALUE!</v>
      </c>
      <c r="L58" s="110" t="e">
        <f aca="false" t="array" ref="L58:L58">SUMIF('existing transmission'!#ref!,H58, 'existing transmission'!$B$2:$B$3)+SUMIF('existing transmission'!$G$2:$G$3,H58, 'existing transmission'!$B$2:$B$3)</f>
        <v>#VALUE!</v>
      </c>
      <c r="N58" s="143" t="str">
        <f aca="false" t="array" ref="N58:N58">IFERROR(INDEX(#REF!, MATCH(0, COUNTIF($N$4:N57,#REF!), 0)), "")</f>
        <v/>
      </c>
      <c r="O58" s="144" t="e">
        <f aca="false">SUMIFS(#REF!,#REF!, 'scenario analysis'!N58,#REF!, "wind_onshore") +SUMIFS(#REF!,#REF!, 'scenario analysis'!N58,#REF!, "wind_offshore")</f>
        <v>#VALUE!</v>
      </c>
      <c r="P58" s="145" t="e">
        <f aca="false">SUMIFS(#REF!,#REF!,'scenario analysis'!N58,#REF!,"multi c-Si")</f>
        <v>#VALUE!</v>
      </c>
      <c r="Q58" s="142" t="e">
        <f aca="false">SUMIFS(#REF!,#REF!, 'scenario analysis'!N58,#REF!, "mono c-Si")</f>
        <v>#VALUE!</v>
      </c>
      <c r="R58" s="142" t="e">
        <f aca="false">SUMIFS(#REF!,#REF!,'scenario analysis'!N58,#REF!,"thin film")</f>
        <v>#VALUE!</v>
      </c>
    </row>
    <row r="59" customFormat="false" ht="15" hidden="false" customHeight="false" outlineLevel="0" collapsed="false">
      <c r="D59" s="32"/>
      <c r="H59" s="141" t="str">
        <f aca="false" t="array" ref="H59:H59">IFERROR(INDEX(#REF!, MATCH(0, COUNTIF($H$4:H58,#REF!), 0)), "")</f>
        <v/>
      </c>
      <c r="I59" s="142" t="e">
        <f aca="false">SUMIFS(#REF!,#REF!,'scenario analysis'!H59)+SUMIFS(storage!$E$2:$E$75,storage!$I$2:$I$75,'scenario analysis'!H59)+SUMIFS(EV_aggregator!$E$2:$E$75,EV_aggregator!$I$2:$I$75,'scenario analysis'!H59)+SUMIF(#REF!,H59,'non-vre plants'!#ref!)</f>
        <v>#VALUE!</v>
      </c>
      <c r="J59" s="142" t="n">
        <f aca="false">SUMIF('demand centres'!$C$1:$C$50,'scenario analysis'!H59,'demand centres'!$B$1:$B$50)</f>
        <v>0</v>
      </c>
      <c r="K59" s="142" t="e">
        <f aca="false" t="array" ref="K59:K59">SUMIF('existing transmission'!#ref!,H59, 'existing transmission'!$D$2:$D$3)+SUMIF('existing transmission'!$G$2:$G$3,H59, 'existing transmission'!$D$2:$D$3)</f>
        <v>#VALUE!</v>
      </c>
      <c r="L59" s="110" t="e">
        <f aca="false" t="array" ref="L59:L59">SUMIF('existing transmission'!#ref!,H59, 'existing transmission'!$B$2:$B$3)+SUMIF('existing transmission'!$G$2:$G$3,H59, 'existing transmission'!$B$2:$B$3)</f>
        <v>#VALUE!</v>
      </c>
      <c r="N59" s="143" t="str">
        <f aca="false" t="array" ref="N59:N59">IFERROR(INDEX(#REF!, MATCH(0, COUNTIF($N$4:N58,#REF!), 0)), "")</f>
        <v/>
      </c>
      <c r="O59" s="144" t="e">
        <f aca="false">SUMIFS(#REF!,#REF!, 'scenario analysis'!N59,#REF!, "wind_onshore") +SUMIFS(#REF!,#REF!, 'scenario analysis'!N59,#REF!, "wind_offshore")</f>
        <v>#VALUE!</v>
      </c>
      <c r="P59" s="145" t="e">
        <f aca="false">SUMIFS(#REF!,#REF!,'scenario analysis'!N59,#REF!,"multi c-Si")</f>
        <v>#VALUE!</v>
      </c>
      <c r="Q59" s="142" t="e">
        <f aca="false">SUMIFS(#REF!,#REF!, 'scenario analysis'!N59,#REF!, "mono c-Si")</f>
        <v>#VALUE!</v>
      </c>
      <c r="R59" s="142" t="e">
        <f aca="false">SUMIFS(#REF!,#REF!,'scenario analysis'!N59,#REF!,"thin film")</f>
        <v>#VALUE!</v>
      </c>
    </row>
    <row r="60" customFormat="false" ht="15" hidden="false" customHeight="false" outlineLevel="0" collapsed="false">
      <c r="D60" s="32"/>
      <c r="H60" s="141" t="str">
        <f aca="false" t="array" ref="H60:H60">IFERROR(INDEX(#REF!, MATCH(0, COUNTIF($H$4:H59,#REF!), 0)), "")</f>
        <v/>
      </c>
      <c r="I60" s="56" t="e">
        <f aca="false">SUMIF(#REF!,H60,'non-vre plants'!#ref!)</f>
        <v>#VALUE!</v>
      </c>
      <c r="J60" s="142" t="n">
        <f aca="false">SUMIF('demand centres'!$C$1:$C$50,'scenario analysis'!H60,'demand centres'!$B$1:$B$50)</f>
        <v>0</v>
      </c>
      <c r="K60" s="142" t="e">
        <f aca="false" t="array" ref="K60:K60">SUMIF('existing transmission'!#ref!,H60, 'existing transmission'!$D$2:$D$3)+SUMIF('existing transmission'!$G$2:$G$3,H60, 'existing transmission'!$D$2:$D$3)</f>
        <v>#VALUE!</v>
      </c>
      <c r="L60" s="110" t="e">
        <f aca="false" t="array" ref="L60:L60">SUMIF('existing transmission'!#ref!,H60, 'existing transmission'!$B$2:$B$3)+SUMIF('existing transmission'!$G$2:$G$3,H60, 'existing transmission'!$B$2:$B$3)</f>
        <v>#VALUE!</v>
      </c>
      <c r="N60" s="143" t="str">
        <f aca="false" t="array" ref="N60:N60">IFERROR(INDEX(#REF!, MATCH(0, COUNTIF($N$4:N59,#REF!), 0)), "")</f>
        <v/>
      </c>
      <c r="O60" s="144" t="e">
        <f aca="false">SUMIFS(#REF!,#REF!, 'scenario analysis'!N60,#REF!, "wind_onshore") +SUMIFS(#REF!,#REF!, 'scenario analysis'!N60,#REF!, "wind_offshore")</f>
        <v>#VALUE!</v>
      </c>
      <c r="P60" s="145" t="e">
        <f aca="false">SUMIFS(#REF!,#REF!,'scenario analysis'!N60,#REF!,"multi c-Si")</f>
        <v>#VALUE!</v>
      </c>
      <c r="Q60" s="142" t="e">
        <f aca="false">SUMIFS(#REF!,#REF!, 'scenario analysis'!N60,#REF!, "mono c-Si")</f>
        <v>#VALUE!</v>
      </c>
      <c r="R60" s="142" t="e">
        <f aca="false">SUMIFS(#REF!,#REF!,'scenario analysis'!N60,#REF!,"thin film")</f>
        <v>#VALUE!</v>
      </c>
    </row>
    <row r="61" customFormat="false" ht="15" hidden="false" customHeight="false" outlineLevel="0" collapsed="false">
      <c r="D61" s="32"/>
      <c r="H61" s="141" t="str">
        <f aca="false" t="array" ref="H61:H61">IFERROR(INDEX(#REF!, MATCH(0, COUNTIF($H$4:H60,#REF!), 0)), "")</f>
        <v/>
      </c>
      <c r="I61" s="56" t="e">
        <f aca="false">SUMIF(#REF!,H61,'non-vre plants'!#ref!)</f>
        <v>#VALUE!</v>
      </c>
      <c r="J61" s="142" t="n">
        <f aca="false">SUMIF('demand centres'!$C$1:$C$50,'scenario analysis'!H61,'demand centres'!$B$1:$B$50)</f>
        <v>0</v>
      </c>
      <c r="K61" s="142" t="e">
        <f aca="false" t="array" ref="K61:K61">SUMIF('existing transmission'!#ref!,H61, 'existing transmission'!$D$2:$D$3)+SUMIF('existing transmission'!$G$2:$G$3,H61, 'existing transmission'!$D$2:$D$3)</f>
        <v>#VALUE!</v>
      </c>
      <c r="L61" s="110" t="e">
        <f aca="false" t="array" ref="L61:L61">SUMIF('existing transmission'!#ref!,H61, 'existing transmission'!$B$2:$B$3)+SUMIF('existing transmission'!$G$2:$G$3,H61, 'existing transmission'!$B$2:$B$3)</f>
        <v>#VALUE!</v>
      </c>
      <c r="N61" s="143" t="str">
        <f aca="false" t="array" ref="N61:N61">IFERROR(INDEX(#REF!, MATCH(0, COUNTIF($N$4:N60,#REF!), 0)), "")</f>
        <v/>
      </c>
      <c r="O61" s="144" t="e">
        <f aca="false">SUMIFS(#REF!,#REF!, 'scenario analysis'!N61,#REF!, "wind_onshore") +SUMIFS(#REF!,#REF!, 'scenario analysis'!N61,#REF!, "wind_offshore")</f>
        <v>#VALUE!</v>
      </c>
      <c r="P61" s="145" t="e">
        <f aca="false">SUMIFS(#REF!,#REF!,'scenario analysis'!N61,#REF!,"multi c-Si")</f>
        <v>#VALUE!</v>
      </c>
      <c r="Q61" s="142" t="e">
        <f aca="false">SUMIFS(#REF!,#REF!, 'scenario analysis'!N61,#REF!, "mono c-Si")</f>
        <v>#VALUE!</v>
      </c>
      <c r="R61" s="142" t="e">
        <f aca="false">SUMIFS(#REF!,#REF!,'scenario analysis'!N61,#REF!,"thin film")</f>
        <v>#VALUE!</v>
      </c>
    </row>
    <row r="62" customFormat="false" ht="15" hidden="false" customHeight="false" outlineLevel="0" collapsed="false">
      <c r="D62" s="32"/>
      <c r="H62" s="141" t="str">
        <f aca="false" t="array" ref="H62:H62">IFERROR(INDEX(#REF!, MATCH(0, COUNTIF($H$4:H61,#REF!), 0)), "")</f>
        <v/>
      </c>
      <c r="I62" s="56" t="e">
        <f aca="false">SUMIF(#REF!,H62,'non-vre plants'!#ref!)</f>
        <v>#VALUE!</v>
      </c>
      <c r="J62" s="142" t="n">
        <f aca="false">SUMIF('demand centres'!$C$1:$C$50,'scenario analysis'!H62,'demand centres'!$B$1:$B$50)</f>
        <v>0</v>
      </c>
      <c r="K62" s="142" t="e">
        <f aca="false" t="array" ref="K62:K62">SUMIF('existing transmission'!#ref!,H62, 'existing transmission'!$D$2:$D$3)+SUMIF('existing transmission'!$G$2:$G$3,H62, 'existing transmission'!$D$2:$D$3)</f>
        <v>#VALUE!</v>
      </c>
      <c r="L62" s="110" t="e">
        <f aca="false" t="array" ref="L62:L62">SUMIF('existing transmission'!#ref!,H62, 'existing transmission'!$B$2:$B$3)+SUMIF('existing transmission'!$G$2:$G$3,H62, 'existing transmission'!$B$2:$B$3)</f>
        <v>#VALUE!</v>
      </c>
      <c r="N62" s="143" t="str">
        <f aca="false" t="array" ref="N62:N62">IFERROR(INDEX(#REF!, MATCH(0, COUNTIF($N$4:N61,#REF!), 0)), "")</f>
        <v/>
      </c>
      <c r="O62" s="144" t="e">
        <f aca="false">SUMIFS(#REF!,#REF!, 'scenario analysis'!N62,#REF!, "wind_onshore") +SUMIFS(#REF!,#REF!, 'scenario analysis'!N62,#REF!, "wind_offshore")</f>
        <v>#VALUE!</v>
      </c>
      <c r="P62" s="145" t="e">
        <f aca="false">SUMIFS(#REF!,#REF!,'scenario analysis'!N62,#REF!,"multi c-Si")</f>
        <v>#VALUE!</v>
      </c>
      <c r="Q62" s="142" t="e">
        <f aca="false">SUMIFS(#REF!,#REF!, 'scenario analysis'!N62,#REF!, "mono c-Si")</f>
        <v>#VALUE!</v>
      </c>
      <c r="R62" s="142" t="e">
        <f aca="false">SUMIFS(#REF!,#REF!,'scenario analysis'!N62,#REF!,"thin film")</f>
        <v>#VALUE!</v>
      </c>
    </row>
    <row r="63" customFormat="false" ht="15" hidden="false" customHeight="false" outlineLevel="0" collapsed="false">
      <c r="D63" s="32"/>
      <c r="H63" s="141" t="str">
        <f aca="false" t="array" ref="H63:H63">IFERROR(INDEX(#REF!, MATCH(0, COUNTIF($H$4:H62,#REF!), 0)), "")</f>
        <v/>
      </c>
      <c r="I63" s="56" t="e">
        <f aca="false">SUMIF(#REF!,H63,'non-vre plants'!#ref!)</f>
        <v>#VALUE!</v>
      </c>
      <c r="J63" s="142" t="n">
        <f aca="false">SUMIF('demand centres'!$C$1:$C$50,'scenario analysis'!H63,'demand centres'!$B$1:$B$50)</f>
        <v>0</v>
      </c>
      <c r="K63" s="142" t="e">
        <f aca="false" t="array" ref="K63:K63">SUMIF('existing transmission'!#ref!,H63, 'existing transmission'!$D$2:$D$3)+SUMIF('existing transmission'!$G$2:$G$3,H63, 'existing transmission'!$D$2:$D$3)</f>
        <v>#VALUE!</v>
      </c>
      <c r="L63" s="110" t="e">
        <f aca="false" t="array" ref="L63:L63">SUMIF('existing transmission'!#ref!,H63, 'existing transmission'!$B$2:$B$3)+SUMIF('existing transmission'!$G$2:$G$3,H63, 'existing transmission'!$B$2:$B$3)</f>
        <v>#VALUE!</v>
      </c>
      <c r="N63" s="143" t="str">
        <f aca="false" t="array" ref="N63:N63">IFERROR(INDEX(#REF!, MATCH(0, COUNTIF($N$4:N62,#REF!), 0)), "")</f>
        <v/>
      </c>
      <c r="O63" s="144" t="e">
        <f aca="false">SUMIFS(#REF!,#REF!, 'scenario analysis'!N63,#REF!, "wind_onshore") +SUMIFS(#REF!,#REF!, 'scenario analysis'!N63,#REF!, "wind_offshore")</f>
        <v>#VALUE!</v>
      </c>
      <c r="P63" s="145" t="e">
        <f aca="false">SUMIFS(#REF!,#REF!,'scenario analysis'!N63,#REF!,"multi c-Si")</f>
        <v>#VALUE!</v>
      </c>
      <c r="Q63" s="142" t="e">
        <f aca="false">SUMIFS(#REF!,#REF!, 'scenario analysis'!N63,#REF!, "mono c-Si")</f>
        <v>#VALUE!</v>
      </c>
      <c r="R63" s="142" t="e">
        <f aca="false">SUMIFS(#REF!,#REF!,'scenario analysis'!N63,#REF!,"thin film")</f>
        <v>#VALUE!</v>
      </c>
    </row>
    <row r="64" customFormat="false" ht="15" hidden="false" customHeight="false" outlineLevel="0" collapsed="false">
      <c r="H64" s="141" t="str">
        <f aca="false" t="array" ref="H64:H64">IFERROR(INDEX(#REF!, MATCH(0, COUNTIF($H$4:H63,#REF!), 0)), "")</f>
        <v/>
      </c>
      <c r="I64" s="56" t="e">
        <f aca="false">SUMIF(#REF!,H64,'non-vre plants'!#ref!)</f>
        <v>#VALUE!</v>
      </c>
      <c r="J64" s="142" t="n">
        <f aca="false">SUMIF('demand centres'!$C$1:$C$50,'scenario analysis'!H64,'demand centres'!$B$1:$B$50)</f>
        <v>0</v>
      </c>
      <c r="K64" s="142" t="e">
        <f aca="false" t="array" ref="K64:K64">SUMIF('existing transmission'!#ref!,H64, 'existing transmission'!$D$2:$D$3)+SUMIF('existing transmission'!$G$2:$G$3,H64, 'existing transmission'!$D$2:$D$3)</f>
        <v>#VALUE!</v>
      </c>
      <c r="L64" s="110" t="e">
        <f aca="false" t="array" ref="L64:L64">SUMIF('existing transmission'!#ref!,H64, 'existing transmission'!$B$2:$B$3)+SUMIF('existing transmission'!$G$2:$G$3,H64, 'existing transmission'!$B$2:$B$3)</f>
        <v>#VALUE!</v>
      </c>
      <c r="N64" s="143" t="str">
        <f aca="false" t="array" ref="N64:N64">IFERROR(INDEX(#REF!, MATCH(0, COUNTIF($N$4:N63,#REF!), 0)), "")</f>
        <v/>
      </c>
      <c r="O64" s="144" t="e">
        <f aca="false">SUMIFS(#REF!,#REF!, 'scenario analysis'!N64,#REF!, "wind_onshore") +SUMIFS(#REF!,#REF!, 'scenario analysis'!N64,#REF!, "wind_offshore")</f>
        <v>#VALUE!</v>
      </c>
      <c r="P64" s="145" t="e">
        <f aca="false">SUMIFS(#REF!,#REF!,'scenario analysis'!N64,#REF!,"multi c-Si")</f>
        <v>#VALUE!</v>
      </c>
      <c r="Q64" s="142" t="e">
        <f aca="false">SUMIFS(#REF!,#REF!, 'scenario analysis'!N64,#REF!, "mono c-Si")</f>
        <v>#VALUE!</v>
      </c>
      <c r="R64" s="142" t="e">
        <f aca="false">SUMIFS(#REF!,#REF!,'scenario analysis'!N64,#REF!,"thin film")</f>
        <v>#VALUE!</v>
      </c>
    </row>
    <row r="65" customFormat="false" ht="15" hidden="false" customHeight="false" outlineLevel="0" collapsed="false">
      <c r="H65" s="141" t="str">
        <f aca="false" t="array" ref="H65:H65">IFERROR(INDEX(#REF!, MATCH(0, COUNTIF($H$4:H64,#REF!), 0)), "")</f>
        <v/>
      </c>
      <c r="I65" s="142" t="e">
        <f aca="false">SUMIFS(#REF!,#REF!,'scenario analysis'!H65)+SUMIFS(storage!$E$2:$E$75,storage!$I$2:$I$75,'scenario analysis'!H65)+SUMIFS(EV_aggregator!$E$2:$E$75,EV_aggregator!$I$2:$I$75,'scenario analysis'!H65)+SUMIF(#REF!,H65,'non-vre plants'!#ref!)</f>
        <v>#VALUE!</v>
      </c>
      <c r="J65" s="142" t="n">
        <f aca="false">SUMIF('demand centres'!$C$1:$C$50,'scenario analysis'!H65,'demand centres'!$B$1:$B$50)</f>
        <v>0</v>
      </c>
      <c r="K65" s="142" t="e">
        <f aca="false" t="array" ref="K65:K65">SUMIF('existing transmission'!#ref!,H65, 'existing transmission'!$D$2:$D$3)+SUMIF('existing transmission'!$G$2:$G$3,H65, 'existing transmission'!$D$2:$D$3)</f>
        <v>#VALUE!</v>
      </c>
      <c r="L65" s="110" t="e">
        <f aca="false" t="array" ref="L65:L65">SUMIF('existing transmission'!#ref!,H65, 'existing transmission'!$B$2:$B$3)+SUMIF('existing transmission'!$G$2:$G$3,H65, 'existing transmission'!$B$2:$B$3)</f>
        <v>#VALUE!</v>
      </c>
      <c r="N65" s="143" t="str">
        <f aca="false" t="array" ref="N65:N65">IFERROR(INDEX(#REF!, MATCH(0, COUNTIF($N$4:N64,#REF!), 0)), "")</f>
        <v/>
      </c>
      <c r="O65" s="144" t="e">
        <f aca="false">SUMIFS(#REF!,#REF!, 'scenario analysis'!N65,#REF!, "wind_onshore") +SUMIFS(#REF!,#REF!, 'scenario analysis'!N65,#REF!, "wind_offshore")</f>
        <v>#VALUE!</v>
      </c>
      <c r="P65" s="145" t="e">
        <f aca="false">SUMIFS(#REF!,#REF!,'scenario analysis'!N65,#REF!,"multi c-Si")</f>
        <v>#VALUE!</v>
      </c>
      <c r="Q65" s="142" t="e">
        <f aca="false">SUMIFS(#REF!,#REF!, 'scenario analysis'!N65,#REF!, "mono c-Si")</f>
        <v>#VALUE!</v>
      </c>
      <c r="R65" s="142" t="e">
        <f aca="false">SUMIFS(#REF!,#REF!,'scenario analysis'!N65,#REF!,"thin film")</f>
        <v>#VALUE!</v>
      </c>
    </row>
    <row r="66" customFormat="false" ht="15" hidden="false" customHeight="false" outlineLevel="0" collapsed="false">
      <c r="H66" s="141" t="str">
        <f aca="false" t="array" ref="H66:H66">IFERROR(INDEX(#REF!, MATCH(0, COUNTIF($H$4:H65,#REF!), 0)), "")</f>
        <v/>
      </c>
      <c r="I66" s="56" t="e">
        <f aca="false">SUMIF(#REF!,H66,'non-vre plants'!#ref!)</f>
        <v>#VALUE!</v>
      </c>
      <c r="J66" s="142" t="n">
        <f aca="false">SUMIF('demand centres'!$C$1:$C$50,'scenario analysis'!H66,'demand centres'!$B$1:$B$50)</f>
        <v>0</v>
      </c>
      <c r="K66" s="142" t="e">
        <f aca="false" t="array" ref="K66:K66">SUMIF('existing transmission'!#ref!,H66, 'existing transmission'!$D$2:$D$3)+SUMIF('existing transmission'!$G$2:$G$3,H66, 'existing transmission'!$D$2:$D$3)</f>
        <v>#VALUE!</v>
      </c>
      <c r="L66" s="110" t="e">
        <f aca="false" t="array" ref="L66:L66">SUMIF('existing transmission'!#ref!,H66, 'existing transmission'!$B$2:$B$3)+SUMIF('existing transmission'!$G$2:$G$3,H66, 'existing transmission'!$B$2:$B$3)</f>
        <v>#VALUE!</v>
      </c>
      <c r="N66" s="143" t="str">
        <f aca="false" t="array" ref="N66:N66">IFERROR(INDEX(#REF!, MATCH(0, COUNTIF($N$4:N65,#REF!), 0)), "")</f>
        <v/>
      </c>
      <c r="O66" s="144" t="e">
        <f aca="false">SUMIFS(#REF!,#REF!, 'scenario analysis'!N66,#REF!, "wind_onshore") +SUMIFS(#REF!,#REF!, 'scenario analysis'!N66,#REF!, "wind_offshore")</f>
        <v>#VALUE!</v>
      </c>
      <c r="P66" s="145" t="e">
        <f aca="false">SUMIFS(#REF!,#REF!,'scenario analysis'!N66,#REF!,"multi c-Si")</f>
        <v>#VALUE!</v>
      </c>
      <c r="Q66" s="142" t="e">
        <f aca="false">SUMIFS(#REF!,#REF!, 'scenario analysis'!N66,#REF!, "mono c-Si")</f>
        <v>#VALUE!</v>
      </c>
      <c r="R66" s="142" t="e">
        <f aca="false">SUMIFS(#REF!,#REF!,'scenario analysis'!N66,#REF!,"thin film")</f>
        <v>#VALUE!</v>
      </c>
    </row>
    <row r="67" customFormat="false" ht="15" hidden="false" customHeight="false" outlineLevel="0" collapsed="false">
      <c r="H67" s="141" t="str">
        <f aca="false" t="array" ref="H67:H67">IFERROR(INDEX(#REF!, MATCH(0, COUNTIF($H$4:H66,#REF!), 0)), "")</f>
        <v/>
      </c>
      <c r="I67" s="142" t="e">
        <f aca="false">SUMIFS(#REF!,#REF!,'scenario analysis'!H67)+SUMIFS(storage!$E$2:$E$75,storage!$I$2:$I$75,'scenario analysis'!H67)+SUMIFS(EV_aggregator!$E$2:$E$75,EV_aggregator!$I$2:$I$75,'scenario analysis'!H67)+SUMIF(#REF!,H67,'non-vre plants'!#ref!)</f>
        <v>#VALUE!</v>
      </c>
      <c r="J67" s="142" t="n">
        <f aca="false">SUMIF('demand centres'!$C$1:$C$50,'scenario analysis'!H67,'demand centres'!$B$1:$B$50)</f>
        <v>0</v>
      </c>
      <c r="K67" s="142" t="e">
        <f aca="false" t="array" ref="K67:K67">SUMIF('existing transmission'!#ref!,H67, 'existing transmission'!$D$2:$D$3)+SUMIF('existing transmission'!$G$2:$G$3,H67, 'existing transmission'!$D$2:$D$3)</f>
        <v>#VALUE!</v>
      </c>
      <c r="L67" s="110" t="e">
        <f aca="false" t="array" ref="L67:L67">SUMIF('existing transmission'!#ref!,H67, 'existing transmission'!$B$2:$B$3)+SUMIF('existing transmission'!$G$2:$G$3,H67, 'existing transmission'!$B$2:$B$3)</f>
        <v>#VALUE!</v>
      </c>
      <c r="N67" s="143" t="str">
        <f aca="false" t="array" ref="N67:N67">IFERROR(INDEX(#REF!, MATCH(0, COUNTIF($N$4:N66,#REF!), 0)), "")</f>
        <v/>
      </c>
      <c r="O67" s="144" t="e">
        <f aca="false">SUMIFS(#REF!,#REF!, 'scenario analysis'!N67,#REF!, "wind_onshore") +SUMIFS(#REF!,#REF!, 'scenario analysis'!N67,#REF!, "wind_offshore")</f>
        <v>#VALUE!</v>
      </c>
      <c r="P67" s="145" t="e">
        <f aca="false">SUMIFS(#REF!,#REF!,'scenario analysis'!N67,#REF!,"multi c-Si")</f>
        <v>#VALUE!</v>
      </c>
      <c r="Q67" s="142" t="e">
        <f aca="false">SUMIFS(#REF!,#REF!, 'scenario analysis'!N67,#REF!, "mono c-Si")</f>
        <v>#VALUE!</v>
      </c>
      <c r="R67" s="142" t="e">
        <f aca="false">SUMIFS(#REF!,#REF!,'scenario analysis'!N67,#REF!,"thin film")</f>
        <v>#VALUE!</v>
      </c>
    </row>
    <row r="68" customFormat="false" ht="15" hidden="false" customHeight="false" outlineLevel="0" collapsed="false">
      <c r="H68" s="141" t="str">
        <f aca="false" t="array" ref="H68:H68">IFERROR(INDEX(#REF!, MATCH(0, COUNTIF($H$4:H67,#REF!), 0)), "")</f>
        <v/>
      </c>
      <c r="I68" s="56" t="e">
        <f aca="false">SUMIF(#REF!,H68,'non-vre plants'!#ref!)</f>
        <v>#VALUE!</v>
      </c>
      <c r="J68" s="142" t="n">
        <f aca="false">SUMIF('demand centres'!$C$1:$C$50,'scenario analysis'!H68,'demand centres'!$B$1:$B$50)</f>
        <v>0</v>
      </c>
      <c r="K68" s="142" t="e">
        <f aca="false" t="array" ref="K68:K68">SUMIF('existing transmission'!#ref!,H68, 'existing transmission'!$D$2:$D$3)+SUMIF('existing transmission'!$G$2:$G$3,H68, 'existing transmission'!$D$2:$D$3)</f>
        <v>#VALUE!</v>
      </c>
      <c r="L68" s="110" t="e">
        <f aca="false" t="array" ref="L68:L68">SUMIF('existing transmission'!#ref!,H68, 'existing transmission'!$B$2:$B$3)+SUMIF('existing transmission'!$G$2:$G$3,H68, 'existing transmission'!$B$2:$B$3)</f>
        <v>#VALUE!</v>
      </c>
      <c r="N68" s="143" t="str">
        <f aca="false" t="array" ref="N68:N68">IFERROR(INDEX(#REF!, MATCH(0, COUNTIF($N$4:N67,#REF!), 0)), "")</f>
        <v/>
      </c>
      <c r="O68" s="144" t="e">
        <f aca="false">SUMIFS(#REF!,#REF!, 'scenario analysis'!N68,#REF!, "wind_onshore") +SUMIFS(#REF!,#REF!, 'scenario analysis'!N68,#REF!, "wind_offshore")</f>
        <v>#VALUE!</v>
      </c>
      <c r="P68" s="145" t="e">
        <f aca="false">SUMIFS(#REF!,#REF!,'scenario analysis'!N68,#REF!,"multi c-Si")</f>
        <v>#VALUE!</v>
      </c>
      <c r="Q68" s="142" t="e">
        <f aca="false">SUMIFS(#REF!,#REF!, 'scenario analysis'!N68,#REF!, "mono c-Si")</f>
        <v>#VALUE!</v>
      </c>
      <c r="R68" s="142" t="e">
        <f aca="false">SUMIFS(#REF!,#REF!,'scenario analysis'!N68,#REF!,"thin film")</f>
        <v>#VALUE!</v>
      </c>
    </row>
    <row r="69" customFormat="false" ht="15" hidden="false" customHeight="false" outlineLevel="0" collapsed="false">
      <c r="H69" s="141" t="str">
        <f aca="false" t="array" ref="H69:H69">IFERROR(INDEX(#REF!, MATCH(0, COUNTIF($H$4:H68,#REF!), 0)), "")</f>
        <v/>
      </c>
      <c r="I69" s="56" t="e">
        <f aca="false">SUMIF(#REF!,H69,'non-vre plants'!#ref!)</f>
        <v>#VALUE!</v>
      </c>
      <c r="J69" s="142" t="n">
        <f aca="false">SUMIF('demand centres'!$C$1:$C$50,'scenario analysis'!H69,'demand centres'!$B$1:$B$50)</f>
        <v>0</v>
      </c>
      <c r="K69" s="142" t="e">
        <f aca="false" t="array" ref="K69:K69">SUMIF('existing transmission'!#ref!,H69, 'existing transmission'!$D$2:$D$3)+SUMIF('existing transmission'!$G$2:$G$3,H69, 'existing transmission'!$D$2:$D$3)</f>
        <v>#VALUE!</v>
      </c>
      <c r="L69" s="110" t="e">
        <f aca="false" t="array" ref="L69:L69">SUMIF('existing transmission'!#ref!,H69, 'existing transmission'!$B$2:$B$3)+SUMIF('existing transmission'!$G$2:$G$3,H69, 'existing transmission'!$B$2:$B$3)</f>
        <v>#VALUE!</v>
      </c>
      <c r="N69" s="143" t="str">
        <f aca="false" t="array" ref="N69:N69">IFERROR(INDEX(#REF!, MATCH(0, COUNTIF($N$4:N68,#REF!), 0)), "")</f>
        <v/>
      </c>
      <c r="O69" s="144" t="e">
        <f aca="false">SUMIFS(#REF!,#REF!, 'scenario analysis'!N69,#REF!, "wind_onshore") +SUMIFS(#REF!,#REF!, 'scenario analysis'!N69,#REF!, "wind_offshore")</f>
        <v>#VALUE!</v>
      </c>
      <c r="P69" s="145" t="e">
        <f aca="false">SUMIFS(#REF!,#REF!,'scenario analysis'!N69,#REF!,"multi c-Si")</f>
        <v>#VALUE!</v>
      </c>
      <c r="Q69" s="142" t="e">
        <f aca="false">SUMIFS(#REF!,#REF!, 'scenario analysis'!N69,#REF!, "mono c-Si")</f>
        <v>#VALUE!</v>
      </c>
      <c r="R69" s="142" t="e">
        <f aca="false">SUMIFS(#REF!,#REF!,'scenario analysis'!N69,#REF!,"thin film")</f>
        <v>#VALUE!</v>
      </c>
    </row>
    <row r="70" customFormat="false" ht="15" hidden="false" customHeight="false" outlineLevel="0" collapsed="false">
      <c r="H70" s="141" t="str">
        <f aca="false" t="array" ref="H70:H70">IFERROR(INDEX(#REF!, MATCH(0, COUNTIF($H$4:H69,#REF!), 0)), "")</f>
        <v/>
      </c>
      <c r="I70" s="142" t="e">
        <f aca="false">SUMIFS(#REF!,#REF!,'scenario analysis'!H70)+SUMIFS(storage!$E$2:$E$75,storage!$I$2:$I$75,'scenario analysis'!H70)+SUMIFS(EV_aggregator!$E$2:$E$75,EV_aggregator!$I$2:$I$75,'scenario analysis'!H70)+SUMIF(#REF!,H70,'non-vre plants'!#ref!)</f>
        <v>#VALUE!</v>
      </c>
      <c r="J70" s="142" t="n">
        <f aca="false">SUMIF('demand centres'!$C$1:$C$50,'scenario analysis'!H70,'demand centres'!$B$1:$B$50)</f>
        <v>0</v>
      </c>
      <c r="K70" s="142" t="e">
        <f aca="false" t="array" ref="K70:K70">SUMIF('existing transmission'!#ref!,H70, 'existing transmission'!$D$2:$D$3)+SUMIF('existing transmission'!$G$2:$G$3,H70, 'existing transmission'!$D$2:$D$3)</f>
        <v>#VALUE!</v>
      </c>
      <c r="L70" s="110" t="e">
        <f aca="false" t="array" ref="L70:L70">SUMIF('existing transmission'!#ref!,H70, 'existing transmission'!$B$2:$B$3)+SUMIF('existing transmission'!$G$2:$G$3,H70, 'existing transmission'!$B$2:$B$3)</f>
        <v>#VALUE!</v>
      </c>
      <c r="N70" s="143" t="str">
        <f aca="false" t="array" ref="N70:N70">IFERROR(INDEX(#REF!, MATCH(0, COUNTIF($N$4:N69,#REF!), 0)), "")</f>
        <v/>
      </c>
      <c r="O70" s="144" t="e">
        <f aca="false">SUMIFS(#REF!,#REF!, 'scenario analysis'!N70,#REF!, "wind_onshore") +SUMIFS(#REF!,#REF!, 'scenario analysis'!N70,#REF!, "wind_offshore")</f>
        <v>#VALUE!</v>
      </c>
      <c r="P70" s="145" t="e">
        <f aca="false">SUMIFS(#REF!,#REF!,'scenario analysis'!N70,#REF!,"multi c-Si")</f>
        <v>#VALUE!</v>
      </c>
      <c r="Q70" s="142" t="e">
        <f aca="false">SUMIFS(#REF!,#REF!, 'scenario analysis'!N70,#REF!, "mono c-Si")</f>
        <v>#VALUE!</v>
      </c>
      <c r="R70" s="142" t="e">
        <f aca="false">SUMIFS(#REF!,#REF!,'scenario analysis'!N70,#REF!,"thin film")</f>
        <v>#VALUE!</v>
      </c>
    </row>
    <row r="71" customFormat="false" ht="15" hidden="false" customHeight="false" outlineLevel="0" collapsed="false">
      <c r="H71" s="141" t="str">
        <f aca="false" t="array" ref="H71:H71">IFERROR(INDEX(#REF!, MATCH(0, COUNTIF($H$4:H70,#REF!), 0)), "")</f>
        <v/>
      </c>
      <c r="I71" s="142" t="e">
        <f aca="false">SUMIFS(#REF!,#REF!,'scenario analysis'!H71)+SUMIFS(storage!$E$2:$E$75,storage!$I$2:$I$75,'scenario analysis'!H71)+SUMIFS(EV_aggregator!$E$2:$E$75,EV_aggregator!$I$2:$I$75,'scenario analysis'!H71)+SUMIF(#REF!,H71,'non-vre plants'!#ref!)</f>
        <v>#VALUE!</v>
      </c>
      <c r="J71" s="142" t="n">
        <f aca="false">SUMIF('demand centres'!$C$1:$C$50,'scenario analysis'!H71,'demand centres'!$B$1:$B$50)</f>
        <v>0</v>
      </c>
      <c r="K71" s="142" t="e">
        <f aca="false" t="array" ref="K71:K71">SUMIF('existing transmission'!#ref!,H71, 'existing transmission'!$D$2:$D$3)+SUMIF('existing transmission'!$G$2:$G$3,H71, 'existing transmission'!$D$2:$D$3)</f>
        <v>#VALUE!</v>
      </c>
      <c r="L71" s="110" t="e">
        <f aca="false" t="array" ref="L71:L71">SUMIF('existing transmission'!#ref!,H71, 'existing transmission'!$B$2:$B$3)+SUMIF('existing transmission'!$G$2:$G$3,H71, 'existing transmission'!$B$2:$B$3)</f>
        <v>#VALUE!</v>
      </c>
      <c r="N71" s="143" t="str">
        <f aca="false" t="array" ref="N71:N71">IFERROR(INDEX(#REF!, MATCH(0, COUNTIF($N$4:N70,#REF!), 0)), "")</f>
        <v/>
      </c>
      <c r="O71" s="144" t="e">
        <f aca="false">SUMIFS(#REF!,#REF!, 'scenario analysis'!N71,#REF!, "wind_onshore") +SUMIFS(#REF!,#REF!, 'scenario analysis'!N71,#REF!, "wind_offshore")</f>
        <v>#VALUE!</v>
      </c>
      <c r="P71" s="145" t="e">
        <f aca="false">SUMIFS(#REF!,#REF!,'scenario analysis'!N71,#REF!,"multi c-Si")</f>
        <v>#VALUE!</v>
      </c>
      <c r="Q71" s="142" t="e">
        <f aca="false">SUMIFS(#REF!,#REF!, 'scenario analysis'!N71,#REF!, "mono c-Si")</f>
        <v>#VALUE!</v>
      </c>
      <c r="R71" s="142" t="e">
        <f aca="false">SUMIFS(#REF!,#REF!,'scenario analysis'!N71,#REF!,"thin film")</f>
        <v>#VALUE!</v>
      </c>
    </row>
    <row r="72" customFormat="false" ht="15" hidden="false" customHeight="false" outlineLevel="0" collapsed="false">
      <c r="H72" s="141" t="str">
        <f aca="false" t="array" ref="H72:H72">IFERROR(INDEX(#REF!, MATCH(0, COUNTIF($H$4:H71,#REF!), 0)), "")</f>
        <v/>
      </c>
      <c r="I72" s="56" t="e">
        <f aca="false">SUMIF(#REF!,H72,'non-vre plants'!#ref!)</f>
        <v>#VALUE!</v>
      </c>
      <c r="J72" s="142" t="n">
        <f aca="false">SUMIF('demand centres'!$C$1:$C$50,'scenario analysis'!H72,'demand centres'!$B$1:$B$50)</f>
        <v>0</v>
      </c>
      <c r="K72" s="142" t="e">
        <f aca="false" t="array" ref="K72:K72">SUMIF('existing transmission'!#ref!,H72, 'existing transmission'!$D$2:$D$3)+SUMIF('existing transmission'!$G$2:$G$3,H72, 'existing transmission'!$D$2:$D$3)</f>
        <v>#VALUE!</v>
      </c>
      <c r="L72" s="110" t="e">
        <f aca="false" t="array" ref="L72:L72">SUMIF('existing transmission'!#ref!,H72, 'existing transmission'!$B$2:$B$3)+SUMIF('existing transmission'!$G$2:$G$3,H72, 'existing transmission'!$B$2:$B$3)</f>
        <v>#VALUE!</v>
      </c>
      <c r="N72" s="143" t="str">
        <f aca="false" t="array" ref="N72:N72">IFERROR(INDEX(#REF!, MATCH(0, COUNTIF($N$4:N71,#REF!), 0)), "")</f>
        <v/>
      </c>
      <c r="O72" s="144" t="e">
        <f aca="false">SUMIFS(#REF!,#REF!, 'scenario analysis'!N72,#REF!, "wind_onshore") +SUMIFS(#REF!,#REF!, 'scenario analysis'!N72,#REF!, "wind_offshore")</f>
        <v>#VALUE!</v>
      </c>
      <c r="P72" s="145" t="e">
        <f aca="false">SUMIFS(#REF!,#REF!,'scenario analysis'!N72,#REF!,"multi c-Si")</f>
        <v>#VALUE!</v>
      </c>
      <c r="Q72" s="142" t="e">
        <f aca="false">SUMIFS(#REF!,#REF!, 'scenario analysis'!N72,#REF!, "mono c-Si")</f>
        <v>#VALUE!</v>
      </c>
      <c r="R72" s="142" t="e">
        <f aca="false">SUMIFS(#REF!,#REF!,'scenario analysis'!N72,#REF!,"thin film")</f>
        <v>#VALUE!</v>
      </c>
    </row>
    <row r="73" customFormat="false" ht="15" hidden="false" customHeight="false" outlineLevel="0" collapsed="false">
      <c r="H73" s="141" t="str">
        <f aca="false" t="array" ref="H73:H73">IFERROR(INDEX(#REF!, MATCH(0, COUNTIF($H$4:H72,#REF!), 0)), "")</f>
        <v/>
      </c>
      <c r="I73" s="142" t="e">
        <f aca="false">SUMIFS(#REF!,#REF!,'scenario analysis'!H73)+SUMIFS(storage!$E$2:$E$75,storage!$I$2:$I$75,'scenario analysis'!H73)+SUMIFS(EV_aggregator!$E$2:$E$75,EV_aggregator!$I$2:$I$75,'scenario analysis'!H73)+SUMIF(#REF!,H73,'non-vre plants'!#ref!)</f>
        <v>#VALUE!</v>
      </c>
      <c r="J73" s="142" t="n">
        <f aca="false">SUMIF('demand centres'!$C$1:$C$50,'scenario analysis'!H73,'demand centres'!$B$1:$B$50)</f>
        <v>0</v>
      </c>
      <c r="K73" s="142" t="e">
        <f aca="false" t="array" ref="K73:K73">SUMIF('existing transmission'!#ref!,H73, 'existing transmission'!$D$2:$D$3)+SUMIF('existing transmission'!$G$2:$G$3,H73, 'existing transmission'!$D$2:$D$3)</f>
        <v>#VALUE!</v>
      </c>
      <c r="L73" s="110" t="e">
        <f aca="false" t="array" ref="L73:L73">SUMIF('existing transmission'!#ref!,H73, 'existing transmission'!$B$2:$B$3)+SUMIF('existing transmission'!$G$2:$G$3,H73, 'existing transmission'!$B$2:$B$3)</f>
        <v>#VALUE!</v>
      </c>
      <c r="N73" s="143" t="str">
        <f aca="false" t="array" ref="N73:N73">IFERROR(INDEX(#REF!, MATCH(0, COUNTIF($N$4:N72,#REF!), 0)), "")</f>
        <v/>
      </c>
      <c r="O73" s="144" t="e">
        <f aca="false">SUMIFS(#REF!,#REF!, 'scenario analysis'!N73,#REF!, "wind_onshore") +SUMIFS(#REF!,#REF!, 'scenario analysis'!N73,#REF!, "wind_offshore")</f>
        <v>#VALUE!</v>
      </c>
      <c r="P73" s="145" t="e">
        <f aca="false">SUMIFS(#REF!,#REF!,'scenario analysis'!N73,#REF!,"multi c-Si")</f>
        <v>#VALUE!</v>
      </c>
      <c r="Q73" s="142" t="e">
        <f aca="false">SUMIFS(#REF!,#REF!, 'scenario analysis'!N73,#REF!, "mono c-Si")</f>
        <v>#VALUE!</v>
      </c>
      <c r="R73" s="142" t="e">
        <f aca="false">SUMIFS(#REF!,#REF!,'scenario analysis'!N73,#REF!,"thin film")</f>
        <v>#VALUE!</v>
      </c>
    </row>
    <row r="74" customFormat="false" ht="15" hidden="false" customHeight="false" outlineLevel="0" collapsed="false">
      <c r="H74" s="141" t="str">
        <f aca="false" t="array" ref="H74:H74">IFERROR(INDEX(#REF!, MATCH(0, COUNTIF($H$4:H73,#REF!), 0)), "")</f>
        <v/>
      </c>
      <c r="I74" s="56" t="e">
        <f aca="false">SUMIF(#REF!,H74,'non-vre plants'!#ref!)</f>
        <v>#VALUE!</v>
      </c>
      <c r="J74" s="142" t="n">
        <f aca="false">SUMIF('demand centres'!$C$1:$C$50,'scenario analysis'!H74,'demand centres'!$B$1:$B$50)</f>
        <v>0</v>
      </c>
      <c r="K74" s="142" t="e">
        <f aca="false" t="array" ref="K74:K74">SUMIF('existing transmission'!#ref!,H74, 'existing transmission'!$D$2:$D$3)+SUMIF('existing transmission'!$G$2:$G$3,H74, 'existing transmission'!$D$2:$D$3)</f>
        <v>#VALUE!</v>
      </c>
      <c r="L74" s="110" t="e">
        <f aca="false" t="array" ref="L74:L74">SUMIF('existing transmission'!#ref!,H74, 'existing transmission'!$B$2:$B$3)+SUMIF('existing transmission'!$G$2:$G$3,H74, 'existing transmission'!$B$2:$B$3)</f>
        <v>#VALUE!</v>
      </c>
      <c r="N74" s="143" t="str">
        <f aca="false" t="array" ref="N74:N74">IFERROR(INDEX(#REF!, MATCH(0, COUNTIF($N$4:N73,#REF!), 0)), "")</f>
        <v/>
      </c>
      <c r="O74" s="144" t="e">
        <f aca="false">SUMIFS(#REF!,#REF!, 'scenario analysis'!N74,#REF!, "wind_onshore") +SUMIFS(#REF!,#REF!, 'scenario analysis'!N74,#REF!, "wind_offshore")</f>
        <v>#VALUE!</v>
      </c>
      <c r="P74" s="145" t="e">
        <f aca="false">SUMIFS(#REF!,#REF!,'scenario analysis'!N74,#REF!,"multi c-Si")</f>
        <v>#VALUE!</v>
      </c>
      <c r="Q74" s="142" t="e">
        <f aca="false">SUMIFS(#REF!,#REF!, 'scenario analysis'!N74,#REF!, "mono c-Si")</f>
        <v>#VALUE!</v>
      </c>
      <c r="R74" s="142" t="e">
        <f aca="false">SUMIFS(#REF!,#REF!,'scenario analysis'!N74,#REF!,"thin film")</f>
        <v>#VALUE!</v>
      </c>
    </row>
    <row r="75" customFormat="false" ht="15" hidden="false" customHeight="false" outlineLevel="0" collapsed="false">
      <c r="H75" s="141" t="str">
        <f aca="false" t="array" ref="H75:H75">IFERROR(INDEX(#REF!, MATCH(0, COUNTIF($H$4:H74,#REF!), 0)), "")</f>
        <v/>
      </c>
      <c r="I75" s="56" t="e">
        <f aca="false">SUMIF(#REF!,H75,'non-vre plants'!#ref!)</f>
        <v>#VALUE!</v>
      </c>
      <c r="J75" s="142" t="n">
        <f aca="false">SUMIF('demand centres'!$C$1:$C$50,'scenario analysis'!H75,'demand centres'!$B$1:$B$50)</f>
        <v>0</v>
      </c>
      <c r="K75" s="142" t="e">
        <f aca="false">SUMIF('existing transmission'!#ref!,H75, 'existing transmission'!$D$2:$D$3)+SUMIF('existing transmission'!$G$2:$G$3,H75, 'existing transmission'!$D$2:$D$3)</f>
        <v>#VALUE!</v>
      </c>
      <c r="L75" s="110" t="e">
        <f aca="false" t="array" ref="L75:L75">SUMIF('existing transmission'!#ref!,H75, 'existing transmission'!$B$2:$B$3)+SUMIF('existing transmission'!$G$2:$G$3,H75, 'existing transmission'!$B$2:$B$3)</f>
        <v>#VALUE!</v>
      </c>
      <c r="N75" s="143" t="str">
        <f aca="false" t="array" ref="N75:N75">IFERROR(INDEX(#REF!, MATCH(0, COUNTIF($N$4:N74,#REF!), 0)), "")</f>
        <v/>
      </c>
      <c r="O75" s="144" t="e">
        <f aca="false">SUMIFS(#REF!,#REF!, 'scenario analysis'!N75,#REF!, "wind_onshore") +SUMIFS(#REF!,#REF!, 'scenario analysis'!N75,#REF!, "wind_offshore")</f>
        <v>#VALUE!</v>
      </c>
      <c r="P75" s="145" t="e">
        <f aca="false">SUMIFS(#REF!,#REF!,'scenario analysis'!N75,#REF!,"multi c-Si")</f>
        <v>#VALUE!</v>
      </c>
      <c r="Q75" s="142" t="e">
        <f aca="false">SUMIFS(#REF!,#REF!, 'scenario analysis'!N75,#REF!, "mono c-Si")</f>
        <v>#VALUE!</v>
      </c>
      <c r="R75" s="142" t="e">
        <f aca="false">SUMIFS(#REF!,#REF!,'scenario analysis'!N75,#REF!,"thin film")</f>
        <v>#VALUE!</v>
      </c>
    </row>
    <row r="76" customFormat="false" ht="15" hidden="false" customHeight="false" outlineLevel="0" collapsed="false">
      <c r="H76" s="141" t="str">
        <f aca="false" t="array" ref="H76:H76">IFERROR(INDEX(#REF!, MATCH(0, COUNTIF($H$4:H75,#REF!), 0)), "")</f>
        <v/>
      </c>
      <c r="I76" s="142" t="e">
        <f aca="false">SUMIFS(#REF!,#REF!,'scenario analysis'!H76)+SUMIFS(storage!$E$2:$E$75,storage!$I$2:$I$75,'scenario analysis'!H76)+SUMIFS(EV_aggregator!$E$2:$E$75,EV_aggregator!$I$2:$I$75,'scenario analysis'!H76)+SUMIF(#REF!,H76,'non-vre plants'!#ref!)</f>
        <v>#VALUE!</v>
      </c>
      <c r="J76" s="142" t="n">
        <f aca="false">SUMIF('demand centres'!$C$1:$C$50,'scenario analysis'!H76,'demand centres'!$B$1:$B$50)</f>
        <v>0</v>
      </c>
      <c r="K76" s="142" t="e">
        <f aca="false" t="array" ref="K76:K76">SUMIF('existing transmission'!#ref!,H76, 'existing transmission'!$D$2:$D$3)+SUMIF('existing transmission'!$G$2:$G$3,H76, 'existing transmission'!$D$2:$D$3)</f>
        <v>#VALUE!</v>
      </c>
      <c r="L76" s="110" t="e">
        <f aca="false" t="array" ref="L76:L76">SUMIF('existing transmission'!#ref!,H76, 'existing transmission'!$B$2:$B$3)+SUMIF('existing transmission'!$G$2:$G$3,H76, 'existing transmission'!$B$2:$B$3)</f>
        <v>#VALUE!</v>
      </c>
      <c r="N76" s="143" t="str">
        <f aca="false" t="array" ref="N76:N76">IFERROR(INDEX(#REF!, MATCH(0, COUNTIF($N$4:N75,#REF!), 0)), "")</f>
        <v/>
      </c>
      <c r="O76" s="144" t="e">
        <f aca="false">SUMIFS(#REF!,#REF!, 'scenario analysis'!N76,#REF!, "wind_onshore") +SUMIFS(#REF!,#REF!, 'scenario analysis'!N76,#REF!, "wind_offshore")</f>
        <v>#VALUE!</v>
      </c>
      <c r="P76" s="145" t="e">
        <f aca="false">SUMIFS(#REF!,#REF!,'scenario analysis'!N76,#REF!,"multi c-Si")</f>
        <v>#VALUE!</v>
      </c>
      <c r="Q76" s="142" t="e">
        <f aca="false">SUMIFS(#REF!,#REF!, 'scenario analysis'!N76,#REF!, "mono c-Si")</f>
        <v>#VALUE!</v>
      </c>
      <c r="R76" s="142" t="e">
        <f aca="false">SUMIFS(#REF!,#REF!,'scenario analysis'!N76,#REF!,"thin film")</f>
        <v>#VALUE!</v>
      </c>
    </row>
    <row r="77" customFormat="false" ht="15" hidden="false" customHeight="false" outlineLevel="0" collapsed="false">
      <c r="H77" s="141" t="str">
        <f aca="false" t="array" ref="H77:H77">IFERROR(INDEX(#REF!, MATCH(0, COUNTIF($H$4:H76,#REF!), 0)), "")</f>
        <v/>
      </c>
      <c r="I77" s="142" t="e">
        <f aca="false">SUMIFS(#REF!,#REF!,'scenario analysis'!H77)+SUMIFS(storage!$E$2:$E$75,storage!$I$2:$I$75,'scenario analysis'!H77)+SUMIFS(EV_aggregator!$E$2:$E$75,EV_aggregator!$I$2:$I$75,'scenario analysis'!H77)+SUMIF(#REF!,H77,'non-vre plants'!#ref!)</f>
        <v>#VALUE!</v>
      </c>
      <c r="J77" s="142" t="n">
        <f aca="false">SUMIF('demand centres'!$C$1:$C$50,'scenario analysis'!H77,'demand centres'!$B$1:$B$50)</f>
        <v>0</v>
      </c>
      <c r="K77" s="142" t="e">
        <f aca="false" t="array" ref="K77:K77">SUMIF('existing transmission'!#ref!,H77, 'existing transmission'!$D$2:$D$3)+SUMIF('existing transmission'!$G$2:$G$3,H77, 'existing transmission'!$D$2:$D$3)</f>
        <v>#VALUE!</v>
      </c>
      <c r="L77" s="110" t="e">
        <f aca="false" t="array" ref="L77:L77">SUMIF('existing transmission'!#ref!,H77, 'existing transmission'!$B$2:$B$3)+SUMIF('existing transmission'!$G$2:$G$3,H77, 'existing transmission'!$B$2:$B$3)</f>
        <v>#VALUE!</v>
      </c>
      <c r="N77" s="143" t="str">
        <f aca="false" t="array" ref="N77:N77">IFERROR(INDEX(#REF!, MATCH(0, COUNTIF($N$4:N76,#REF!), 0)), "")</f>
        <v/>
      </c>
      <c r="O77" s="144" t="e">
        <f aca="false">SUMIFS(#REF!,#REF!, 'scenario analysis'!N77,#REF!, "wind_onshore") +SUMIFS(#REF!,#REF!, 'scenario analysis'!N77,#REF!, "wind_offshore")</f>
        <v>#VALUE!</v>
      </c>
      <c r="P77" s="145" t="e">
        <f aca="false">SUMIFS(#REF!,#REF!,'scenario analysis'!N77,#REF!,"multi c-Si")</f>
        <v>#VALUE!</v>
      </c>
      <c r="Q77" s="142" t="e">
        <f aca="false">SUMIFS(#REF!,#REF!, 'scenario analysis'!N77,#REF!, "mono c-Si")</f>
        <v>#VALUE!</v>
      </c>
      <c r="R77" s="142" t="e">
        <f aca="false">SUMIFS(#REF!,#REF!,'scenario analysis'!N77,#REF!,"thin film")</f>
        <v>#VALUE!</v>
      </c>
    </row>
    <row r="78" customFormat="false" ht="15" hidden="false" customHeight="false" outlineLevel="0" collapsed="false">
      <c r="H78" s="141" t="str">
        <f aca="false" t="array" ref="H78:H78">IFERROR(INDEX(#REF!, MATCH(0, COUNTIF($H$4:H77,#REF!), 0)), "")</f>
        <v/>
      </c>
      <c r="I78" s="142" t="e">
        <f aca="false">SUMIFS(#REF!,#REF!,'scenario analysis'!H78)+SUMIFS(storage!$E$2:$E$75,storage!$I$2:$I$75,'scenario analysis'!H78)+SUMIFS(EV_aggregator!$E$2:$E$75,EV_aggregator!$I$2:$I$75,'scenario analysis'!H78)+SUMIF(#REF!,H78,'non-vre plants'!#ref!)</f>
        <v>#VALUE!</v>
      </c>
      <c r="J78" s="142" t="n">
        <f aca="false">SUMIF('demand centres'!$C$1:$C$50,'scenario analysis'!H78,'demand centres'!$B$1:$B$50)</f>
        <v>0</v>
      </c>
      <c r="K78" s="142" t="e">
        <f aca="false" t="array" ref="K78:K78">SUMIF('existing transmission'!#ref!,H78, 'existing transmission'!$D$2:$D$3)+SUMIF('existing transmission'!$G$2:$G$3,H78, 'existing transmission'!$D$2:$D$3)</f>
        <v>#VALUE!</v>
      </c>
      <c r="L78" s="110" t="e">
        <f aca="false" t="array" ref="L78:L78">SUMIF('existing transmission'!#ref!,H78, 'existing transmission'!$B$2:$B$3)+SUMIF('existing transmission'!$G$2:$G$3,H78, 'existing transmission'!$B$2:$B$3)</f>
        <v>#VALUE!</v>
      </c>
      <c r="N78" s="143" t="str">
        <f aca="false" t="array" ref="N78:N78">IFERROR(INDEX(#REF!, MATCH(0, COUNTIF($N$4:N77,#REF!), 0)), "")</f>
        <v/>
      </c>
      <c r="O78" s="144" t="e">
        <f aca="false">SUMIFS(#REF!,#REF!, 'scenario analysis'!N78,#REF!, "wind_onshore") +SUMIFS(#REF!,#REF!, 'scenario analysis'!N78,#REF!, "wind_offshore")</f>
        <v>#VALUE!</v>
      </c>
      <c r="P78" s="145" t="e">
        <f aca="false">SUMIFS(#REF!,#REF!,'scenario analysis'!N78,#REF!,"multi c-Si")</f>
        <v>#VALUE!</v>
      </c>
      <c r="Q78" s="142" t="e">
        <f aca="false">SUMIFS(#REF!,#REF!, 'scenario analysis'!N78,#REF!, "mono c-Si")</f>
        <v>#VALUE!</v>
      </c>
      <c r="R78" s="142" t="e">
        <f aca="false">SUMIFS(#REF!,#REF!,'scenario analysis'!N78,#REF!,"thin film")</f>
        <v>#VALUE!</v>
      </c>
    </row>
    <row r="79" customFormat="false" ht="15" hidden="false" customHeight="false" outlineLevel="0" collapsed="false">
      <c r="H79" s="141" t="str">
        <f aca="false" t="array" ref="H79:H79">IFERROR(INDEX(#REF!, MATCH(0, COUNTIF($H$4:H78,#REF!), 0)), "")</f>
        <v/>
      </c>
      <c r="I79" s="142" t="e">
        <f aca="false">SUMIFS(#REF!,#REF!,'scenario analysis'!H79)+SUMIFS(storage!$E$2:$E$75,storage!$I$2:$I$75,'scenario analysis'!H79)+SUMIFS(EV_aggregator!$E$2:$E$75,EV_aggregator!$I$2:$I$75,'scenario analysis'!H79)+SUMIF(#REF!,H79,'non-vre plants'!#ref!)</f>
        <v>#VALUE!</v>
      </c>
      <c r="J79" s="142" t="n">
        <f aca="false">SUMIF('demand centres'!$C$1:$C$50,'scenario analysis'!H79,'demand centres'!$B$1:$B$50)</f>
        <v>0</v>
      </c>
      <c r="K79" s="142" t="e">
        <f aca="false" t="array" ref="K79:K79">SUMIF('existing transmission'!#ref!,H79, 'existing transmission'!$D$2:$D$3)+SUMIF('existing transmission'!$G$2:$G$3,H79, 'existing transmission'!$D$2:$D$3)</f>
        <v>#VALUE!</v>
      </c>
      <c r="L79" s="110" t="e">
        <f aca="false" t="array" ref="L79:L79">SUMIF('existing transmission'!#ref!,H79, 'existing transmission'!$B$2:$B$3)+SUMIF('existing transmission'!$G$2:$G$3,H79, 'existing transmission'!$B$2:$B$3)</f>
        <v>#VALUE!</v>
      </c>
      <c r="N79" s="143" t="str">
        <f aca="false" t="array" ref="N79:N79">IFERROR(INDEX(#REF!, MATCH(0, COUNTIF($N$4:N78,#REF!), 0)), "")</f>
        <v/>
      </c>
      <c r="O79" s="144" t="e">
        <f aca="false">SUMIFS(#REF!,#REF!, 'scenario analysis'!N79,#REF!, "wind_onshore") +SUMIFS(#REF!,#REF!, 'scenario analysis'!N79,#REF!, "wind_offshore")</f>
        <v>#VALUE!</v>
      </c>
      <c r="P79" s="145" t="e">
        <f aca="false">SUMIFS(#REF!,#REF!,'scenario analysis'!N79,#REF!,"multi c-Si")</f>
        <v>#VALUE!</v>
      </c>
      <c r="Q79" s="142" t="e">
        <f aca="false">SUMIFS(#REF!,#REF!, 'scenario analysis'!N79,#REF!, "mono c-Si")</f>
        <v>#VALUE!</v>
      </c>
      <c r="R79" s="142" t="e">
        <f aca="false">SUMIFS(#REF!,#REF!,'scenario analysis'!N79,#REF!,"thin film")</f>
        <v>#VALUE!</v>
      </c>
    </row>
    <row r="80" customFormat="false" ht="15" hidden="false" customHeight="false" outlineLevel="0" collapsed="false">
      <c r="H80" s="141"/>
      <c r="N80" s="143"/>
    </row>
    <row r="81" customFormat="false" ht="15" hidden="false" customHeight="false" outlineLevel="0" collapsed="false">
      <c r="H81" s="141"/>
      <c r="N81" s="143"/>
    </row>
    <row r="82" customFormat="false" ht="15" hidden="false" customHeight="false" outlineLevel="0" collapsed="false">
      <c r="H82" s="141"/>
      <c r="N82" s="143"/>
    </row>
    <row r="83" customFormat="false" ht="15" hidden="false" customHeight="false" outlineLevel="0" collapsed="false">
      <c r="H83" s="141"/>
      <c r="N83" s="143"/>
    </row>
    <row r="84" customFormat="false" ht="15" hidden="false" customHeight="false" outlineLevel="0" collapsed="false">
      <c r="H84" s="141"/>
      <c r="N84" s="143"/>
    </row>
    <row r="85" customFormat="false" ht="15" hidden="false" customHeight="false" outlineLevel="0" collapsed="false">
      <c r="H85" s="141"/>
      <c r="N85" s="143"/>
    </row>
    <row r="86" customFormat="false" ht="15" hidden="false" customHeight="false" outlineLevel="0" collapsed="false">
      <c r="H86" s="141"/>
      <c r="N86" s="143"/>
    </row>
    <row r="87" customFormat="false" ht="15" hidden="false" customHeight="false" outlineLevel="0" collapsed="false">
      <c r="H87" s="141"/>
      <c r="N87" s="143"/>
    </row>
    <row r="88" customFormat="false" ht="15" hidden="false" customHeight="false" outlineLevel="0" collapsed="false">
      <c r="H88" s="141"/>
      <c r="N88" s="143"/>
    </row>
    <row r="89" customFormat="false" ht="15" hidden="false" customHeight="false" outlineLevel="0" collapsed="false">
      <c r="H89" s="141"/>
      <c r="N89" s="143"/>
    </row>
    <row r="90" customFormat="false" ht="15" hidden="false" customHeight="false" outlineLevel="0" collapsed="false">
      <c r="H90" s="141"/>
      <c r="N90" s="143"/>
    </row>
    <row r="91" customFormat="false" ht="15" hidden="false" customHeight="false" outlineLevel="0" collapsed="false">
      <c r="H91" s="141"/>
      <c r="N91" s="143"/>
    </row>
    <row r="92" customFormat="false" ht="15" hidden="false" customHeight="false" outlineLevel="0" collapsed="false">
      <c r="H92" s="141"/>
      <c r="N92" s="143"/>
    </row>
    <row r="93" customFormat="false" ht="15" hidden="false" customHeight="false" outlineLevel="0" collapsed="false">
      <c r="H93" s="141"/>
      <c r="N93" s="143"/>
    </row>
    <row r="94" customFormat="false" ht="15" hidden="false" customHeight="false" outlineLevel="0" collapsed="false">
      <c r="H94" s="141"/>
      <c r="N94" s="143"/>
    </row>
    <row r="95" customFormat="false" ht="15" hidden="false" customHeight="false" outlineLevel="0" collapsed="false">
      <c r="H95" s="141"/>
      <c r="N95" s="143"/>
    </row>
    <row r="96" customFormat="false" ht="15" hidden="false" customHeight="false" outlineLevel="0" collapsed="false">
      <c r="H96" s="141"/>
      <c r="N96" s="143"/>
    </row>
    <row r="97" customFormat="false" ht="15" hidden="false" customHeight="false" outlineLevel="0" collapsed="false">
      <c r="H97" s="141"/>
      <c r="N97" s="143"/>
    </row>
    <row r="98" customFormat="false" ht="15" hidden="false" customHeight="false" outlineLevel="0" collapsed="false">
      <c r="H98" s="141"/>
      <c r="N98" s="143"/>
    </row>
    <row r="99" customFormat="false" ht="15" hidden="false" customHeight="false" outlineLevel="0" collapsed="false">
      <c r="H99" s="141"/>
      <c r="N99" s="143"/>
    </row>
    <row r="100" customFormat="false" ht="15" hidden="false" customHeight="false" outlineLevel="0" collapsed="false">
      <c r="H100" s="141"/>
      <c r="N100" s="143"/>
    </row>
    <row r="101" customFormat="false" ht="15" hidden="false" customHeight="false" outlineLevel="0" collapsed="false">
      <c r="H101" s="141"/>
      <c r="N101" s="143"/>
    </row>
    <row r="102" customFormat="false" ht="15" hidden="false" customHeight="false" outlineLevel="0" collapsed="false">
      <c r="H102" s="141"/>
    </row>
    <row r="103" customFormat="false" ht="15" hidden="false" customHeight="false" outlineLevel="0" collapsed="false">
      <c r="H103" s="141"/>
    </row>
    <row r="104" customFormat="false" ht="15" hidden="false" customHeight="false" outlineLevel="0" collapsed="false">
      <c r="H104" s="141"/>
    </row>
    <row r="105" customFormat="false" ht="15" hidden="false" customHeight="false" outlineLevel="0" collapsed="false">
      <c r="H105" s="141"/>
    </row>
    <row r="106" customFormat="false" ht="15" hidden="false" customHeight="false" outlineLevel="0" collapsed="false">
      <c r="H106" s="141"/>
    </row>
    <row r="107" customFormat="false" ht="15" hidden="false" customHeight="false" outlineLevel="0" collapsed="false">
      <c r="H107" s="141"/>
    </row>
    <row r="108" customFormat="false" ht="15" hidden="false" customHeight="false" outlineLevel="0" collapsed="false">
      <c r="H108" s="141"/>
    </row>
  </sheetData>
  <mergeCells count="3">
    <mergeCell ref="E2:F2"/>
    <mergeCell ref="H2:L2"/>
    <mergeCell ref="N2:P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67"/>
  <sheetViews>
    <sheetView showFormulas="false" showGridLines="true" showRowColHeaders="true" showZeros="true" rightToLeft="false" tabSelected="false" showOutlineSymbols="true" defaultGridColor="true" view="normal" topLeftCell="A49" colorId="64" zoomScale="85" zoomScaleNormal="85" zoomScalePageLayoutView="100" workbookViewId="0">
      <selection pane="topLeft" activeCell="G60" activeCellId="0" sqref="G60"/>
    </sheetView>
  </sheetViews>
  <sheetFormatPr defaultColWidth="9.14453125" defaultRowHeight="15" zeroHeight="false" outlineLevelRow="0" outlineLevelCol="0"/>
  <cols>
    <col collapsed="false" customWidth="true" hidden="false" outlineLevel="0" max="1" min="1" style="5" width="35.28"/>
    <col collapsed="false" customWidth="true" hidden="false" outlineLevel="0" max="2" min="2" style="5" width="19.14"/>
    <col collapsed="false" customWidth="true" hidden="false" outlineLevel="0" max="3" min="3" style="5" width="21"/>
    <col collapsed="false" customWidth="true" hidden="false" outlineLevel="0" max="4" min="4" style="5" width="10.71"/>
    <col collapsed="false" customWidth="true" hidden="false" outlineLevel="0" max="5" min="5" style="5" width="8"/>
    <col collapsed="false" customWidth="true" hidden="false" outlineLevel="0" max="6" min="6" style="5" width="18.43"/>
    <col collapsed="false" customWidth="true" hidden="false" outlineLevel="0" max="7" min="7" style="149" width="21.28"/>
    <col collapsed="false" customWidth="true" hidden="false" outlineLevel="0" max="9" min="8" style="5" width="21.28"/>
    <col collapsed="false" customWidth="true" hidden="false" outlineLevel="0" max="10" min="10" style="5" width="23.57"/>
    <col collapsed="false" customWidth="true" hidden="false" outlineLevel="0" max="11" min="11" style="5" width="14"/>
    <col collapsed="false" customWidth="true" hidden="false" outlineLevel="0" max="12" min="12" style="5" width="18.28"/>
    <col collapsed="false" customWidth="false" hidden="false" outlineLevel="0" max="1024" min="13" style="5" width="9.14"/>
  </cols>
  <sheetData>
    <row r="1" customFormat="false" ht="45" hidden="false" customHeight="false" outlineLevel="0" collapsed="false">
      <c r="A1" s="5" t="s">
        <v>0</v>
      </c>
      <c r="B1" s="5" t="s">
        <v>1</v>
      </c>
      <c r="C1" s="5" t="s">
        <v>2</v>
      </c>
      <c r="D1" s="5" t="s">
        <v>503</v>
      </c>
      <c r="E1" s="5" t="s">
        <v>536</v>
      </c>
      <c r="F1" s="5" t="s">
        <v>5</v>
      </c>
      <c r="G1" s="149" t="s">
        <v>6</v>
      </c>
      <c r="H1" s="5" t="s">
        <v>537</v>
      </c>
      <c r="I1" s="5" t="s">
        <v>538</v>
      </c>
      <c r="J1" s="5" t="s">
        <v>539</v>
      </c>
      <c r="K1" s="5" t="s">
        <v>540</v>
      </c>
      <c r="L1" s="5" t="s">
        <v>541</v>
      </c>
      <c r="M1" s="5" t="s">
        <v>539</v>
      </c>
      <c r="N1" s="5" t="s">
        <v>540</v>
      </c>
      <c r="O1" s="5" t="s">
        <v>541</v>
      </c>
      <c r="P1" s="5" t="s">
        <v>542</v>
      </c>
      <c r="Q1" s="5" t="s">
        <v>543</v>
      </c>
      <c r="R1" s="150" t="s">
        <v>544</v>
      </c>
      <c r="S1" s="150" t="s">
        <v>545</v>
      </c>
      <c r="T1" s="150" t="s">
        <v>546</v>
      </c>
      <c r="U1" s="150" t="s">
        <v>547</v>
      </c>
      <c r="V1" s="150" t="s">
        <v>548</v>
      </c>
      <c r="W1" s="150" t="s">
        <v>222</v>
      </c>
    </row>
    <row r="2" customFormat="false" ht="15" hidden="false" customHeight="false" outlineLevel="0" collapsed="false">
      <c r="A2" s="5" t="s">
        <v>549</v>
      </c>
      <c r="B2" s="5" t="s">
        <v>549</v>
      </c>
      <c r="C2" s="5" t="s">
        <v>257</v>
      </c>
      <c r="D2" s="5" t="s">
        <v>550</v>
      </c>
      <c r="E2" s="5" t="n">
        <v>0</v>
      </c>
      <c r="F2" s="5" t="n">
        <v>3524</v>
      </c>
      <c r="G2" s="149" t="s">
        <v>551</v>
      </c>
      <c r="H2" s="5" t="s">
        <v>551</v>
      </c>
    </row>
    <row r="3" customFormat="false" ht="15" hidden="false" customHeight="false" outlineLevel="0" collapsed="false">
      <c r="A3" s="5" t="s">
        <v>552</v>
      </c>
      <c r="B3" s="5" t="s">
        <v>552</v>
      </c>
      <c r="C3" s="5" t="s">
        <v>257</v>
      </c>
      <c r="D3" s="5" t="s">
        <v>550</v>
      </c>
      <c r="E3" s="5" t="n">
        <v>0</v>
      </c>
      <c r="F3" s="5" t="n">
        <v>3126</v>
      </c>
      <c r="G3" s="149" t="s">
        <v>14</v>
      </c>
      <c r="H3" s="5" t="s">
        <v>14</v>
      </c>
    </row>
    <row r="4" customFormat="false" ht="15" hidden="false" customHeight="false" outlineLevel="0" collapsed="false">
      <c r="A4" s="5" t="s">
        <v>553</v>
      </c>
      <c r="B4" s="5" t="s">
        <v>553</v>
      </c>
      <c r="C4" s="5" t="s">
        <v>257</v>
      </c>
      <c r="D4" s="5" t="s">
        <v>550</v>
      </c>
      <c r="E4" s="5" t="n">
        <v>0</v>
      </c>
      <c r="F4" s="5" t="n">
        <v>3268</v>
      </c>
      <c r="G4" s="149" t="s">
        <v>554</v>
      </c>
      <c r="H4" s="5" t="s">
        <v>554</v>
      </c>
    </row>
    <row r="5" customFormat="false" ht="15" hidden="false" customHeight="false" outlineLevel="0" collapsed="false">
      <c r="A5" s="5" t="s">
        <v>555</v>
      </c>
      <c r="B5" s="5" t="s">
        <v>555</v>
      </c>
      <c r="C5" s="5" t="s">
        <v>257</v>
      </c>
      <c r="D5" s="5" t="s">
        <v>550</v>
      </c>
      <c r="E5" s="5" t="n">
        <v>0</v>
      </c>
      <c r="F5" s="5" t="n">
        <v>3102</v>
      </c>
      <c r="G5" s="151" t="s">
        <v>43</v>
      </c>
      <c r="H5" s="5" t="s">
        <v>556</v>
      </c>
    </row>
    <row r="6" customFormat="false" ht="15" hidden="false" customHeight="false" outlineLevel="0" collapsed="false">
      <c r="A6" s="5" t="s">
        <v>557</v>
      </c>
      <c r="B6" s="5" t="s">
        <v>557</v>
      </c>
      <c r="C6" s="5" t="s">
        <v>261</v>
      </c>
      <c r="D6" s="5" t="s">
        <v>558</v>
      </c>
      <c r="E6" s="5" t="n">
        <v>0</v>
      </c>
      <c r="F6" s="5" t="n">
        <v>58</v>
      </c>
      <c r="G6" s="151" t="s">
        <v>155</v>
      </c>
      <c r="H6" s="152" t="s">
        <v>559</v>
      </c>
      <c r="I6" s="152"/>
    </row>
    <row r="7" customFormat="false" ht="15" hidden="false" customHeight="false" outlineLevel="0" collapsed="false">
      <c r="A7" s="5" t="s">
        <v>560</v>
      </c>
      <c r="B7" s="5" t="s">
        <v>560</v>
      </c>
      <c r="C7" s="5" t="s">
        <v>261</v>
      </c>
      <c r="D7" s="5" t="s">
        <v>558</v>
      </c>
      <c r="E7" s="5" t="n">
        <v>0</v>
      </c>
      <c r="F7" s="5" t="n">
        <v>47</v>
      </c>
      <c r="G7" s="151" t="s">
        <v>33</v>
      </c>
      <c r="H7" s="152" t="s">
        <v>561</v>
      </c>
      <c r="I7" s="152"/>
    </row>
    <row r="8" customFormat="false" ht="15" hidden="false" customHeight="false" outlineLevel="0" collapsed="false">
      <c r="A8" s="5" t="s">
        <v>562</v>
      </c>
      <c r="B8" s="5" t="s">
        <v>562</v>
      </c>
      <c r="C8" s="5" t="s">
        <v>261</v>
      </c>
      <c r="D8" s="5" t="s">
        <v>558</v>
      </c>
      <c r="E8" s="5" t="n">
        <v>0</v>
      </c>
      <c r="F8" s="5" t="n">
        <v>192</v>
      </c>
      <c r="G8" s="151" t="s">
        <v>21</v>
      </c>
      <c r="H8" s="5" t="s">
        <v>563</v>
      </c>
    </row>
    <row r="9" customFormat="false" ht="15" hidden="false" customHeight="false" outlineLevel="0" collapsed="false">
      <c r="A9" s="5" t="s">
        <v>564</v>
      </c>
      <c r="B9" s="5" t="s">
        <v>564</v>
      </c>
      <c r="C9" s="5" t="s">
        <v>261</v>
      </c>
      <c r="D9" s="5" t="s">
        <v>558</v>
      </c>
      <c r="E9" s="5" t="n">
        <v>0</v>
      </c>
      <c r="F9" s="5" t="n">
        <v>860.5</v>
      </c>
      <c r="G9" s="151" t="s">
        <v>41</v>
      </c>
      <c r="H9" s="5" t="s">
        <v>565</v>
      </c>
    </row>
    <row r="10" customFormat="false" ht="15" hidden="false" customHeight="false" outlineLevel="0" collapsed="false">
      <c r="A10" s="5" t="s">
        <v>566</v>
      </c>
      <c r="B10" s="5" t="s">
        <v>566</v>
      </c>
      <c r="C10" s="5" t="s">
        <v>261</v>
      </c>
      <c r="D10" s="5" t="s">
        <v>558</v>
      </c>
      <c r="E10" s="5" t="n">
        <v>0</v>
      </c>
      <c r="F10" s="5" t="n">
        <v>1</v>
      </c>
      <c r="G10" s="151" t="s">
        <v>89</v>
      </c>
      <c r="H10" s="5" t="s">
        <v>567</v>
      </c>
    </row>
    <row r="11" customFormat="false" ht="15" hidden="false" customHeight="false" outlineLevel="0" collapsed="false">
      <c r="A11" s="5" t="s">
        <v>568</v>
      </c>
      <c r="B11" s="5" t="s">
        <v>568</v>
      </c>
      <c r="C11" s="5" t="s">
        <v>261</v>
      </c>
      <c r="D11" s="5" t="s">
        <v>558</v>
      </c>
      <c r="E11" s="5" t="n">
        <v>0</v>
      </c>
      <c r="F11" s="5" t="n">
        <v>2119.2</v>
      </c>
      <c r="G11" s="151" t="s">
        <v>35</v>
      </c>
      <c r="H11" s="5" t="s">
        <v>569</v>
      </c>
    </row>
    <row r="12" customFormat="false" ht="15" hidden="false" customHeight="false" outlineLevel="0" collapsed="false">
      <c r="A12" s="5" t="s">
        <v>570</v>
      </c>
      <c r="B12" s="5" t="s">
        <v>570</v>
      </c>
      <c r="C12" s="5" t="s">
        <v>261</v>
      </c>
      <c r="D12" s="5" t="s">
        <v>558</v>
      </c>
      <c r="E12" s="5" t="n">
        <v>0</v>
      </c>
      <c r="F12" s="5" t="n">
        <v>214</v>
      </c>
      <c r="G12" s="151" t="s">
        <v>106</v>
      </c>
      <c r="H12" s="152" t="s">
        <v>571</v>
      </c>
    </row>
    <row r="13" customFormat="false" ht="15" hidden="false" customHeight="false" outlineLevel="0" collapsed="false">
      <c r="A13" s="5" t="s">
        <v>572</v>
      </c>
      <c r="B13" s="5" t="s">
        <v>572</v>
      </c>
      <c r="C13" s="5" t="s">
        <v>261</v>
      </c>
      <c r="D13" s="5" t="s">
        <v>558</v>
      </c>
      <c r="E13" s="5" t="n">
        <v>0</v>
      </c>
      <c r="F13" s="5" t="n">
        <v>1417.5</v>
      </c>
      <c r="G13" s="151" t="s">
        <v>72</v>
      </c>
      <c r="H13" s="152" t="s">
        <v>573</v>
      </c>
    </row>
    <row r="14" customFormat="false" ht="15" hidden="false" customHeight="false" outlineLevel="0" collapsed="false">
      <c r="A14" s="5" t="s">
        <v>574</v>
      </c>
      <c r="B14" s="5" t="s">
        <v>574</v>
      </c>
      <c r="C14" s="5" t="s">
        <v>261</v>
      </c>
      <c r="D14" s="5" t="s">
        <v>558</v>
      </c>
      <c r="E14" s="5" t="n">
        <v>0</v>
      </c>
      <c r="F14" s="5" t="n">
        <v>27.2</v>
      </c>
      <c r="G14" s="151" t="s">
        <v>43</v>
      </c>
      <c r="H14" s="152" t="s">
        <v>575</v>
      </c>
    </row>
    <row r="15" customFormat="false" ht="15" hidden="false" customHeight="false" outlineLevel="0" collapsed="false">
      <c r="A15" s="5" t="s">
        <v>576</v>
      </c>
      <c r="B15" s="5" t="s">
        <v>576</v>
      </c>
      <c r="C15" s="5" t="s">
        <v>261</v>
      </c>
      <c r="D15" s="5" t="s">
        <v>558</v>
      </c>
      <c r="E15" s="5" t="n">
        <v>0</v>
      </c>
      <c r="F15" s="5" t="n">
        <v>289</v>
      </c>
      <c r="G15" s="151" t="s">
        <v>75</v>
      </c>
      <c r="H15" s="152" t="s">
        <v>577</v>
      </c>
    </row>
    <row r="16" customFormat="false" ht="15" hidden="false" customHeight="false" outlineLevel="0" collapsed="false">
      <c r="A16" s="5" t="s">
        <v>578</v>
      </c>
      <c r="B16" s="5" t="s">
        <v>578</v>
      </c>
      <c r="C16" s="5" t="s">
        <v>262</v>
      </c>
      <c r="D16" s="5" t="s">
        <v>558</v>
      </c>
      <c r="E16" s="5" t="n">
        <v>0</v>
      </c>
      <c r="F16" s="5" t="n">
        <v>23</v>
      </c>
      <c r="G16" s="151" t="s">
        <v>21</v>
      </c>
      <c r="H16" s="5" t="s">
        <v>579</v>
      </c>
    </row>
    <row r="17" customFormat="false" ht="15" hidden="false" customHeight="false" outlineLevel="0" collapsed="false">
      <c r="A17" s="5" t="s">
        <v>580</v>
      </c>
      <c r="B17" s="5" t="s">
        <v>580</v>
      </c>
      <c r="C17" s="5" t="s">
        <v>262</v>
      </c>
      <c r="D17" s="5" t="s">
        <v>558</v>
      </c>
      <c r="E17" s="5" t="n">
        <v>0</v>
      </c>
      <c r="F17" s="5" t="n">
        <v>206</v>
      </c>
      <c r="G17" s="151" t="s">
        <v>35</v>
      </c>
      <c r="H17" s="5" t="s">
        <v>581</v>
      </c>
    </row>
    <row r="18" customFormat="false" ht="15" hidden="false" customHeight="false" outlineLevel="0" collapsed="false">
      <c r="A18" s="5" t="s">
        <v>582</v>
      </c>
      <c r="B18" s="5" t="s">
        <v>582</v>
      </c>
      <c r="C18" s="5" t="s">
        <v>262</v>
      </c>
      <c r="D18" s="5" t="s">
        <v>558</v>
      </c>
      <c r="E18" s="5" t="n">
        <v>0</v>
      </c>
      <c r="F18" s="5" t="n">
        <v>928</v>
      </c>
      <c r="G18" s="151" t="s">
        <v>41</v>
      </c>
      <c r="H18" s="5" t="s">
        <v>583</v>
      </c>
    </row>
    <row r="19" customFormat="false" ht="15" hidden="false" customHeight="false" outlineLevel="0" collapsed="false">
      <c r="A19" s="5" t="s">
        <v>584</v>
      </c>
      <c r="B19" s="5" t="s">
        <v>584</v>
      </c>
      <c r="C19" s="5" t="s">
        <v>262</v>
      </c>
      <c r="D19" s="5" t="s">
        <v>558</v>
      </c>
      <c r="E19" s="5" t="n">
        <v>0</v>
      </c>
      <c r="F19" s="5" t="n">
        <v>1662</v>
      </c>
      <c r="G19" s="151" t="s">
        <v>106</v>
      </c>
      <c r="H19" s="5" t="s">
        <v>585</v>
      </c>
    </row>
    <row r="20" customFormat="false" ht="15" hidden="false" customHeight="false" outlineLevel="0" collapsed="false">
      <c r="A20" s="5" t="s">
        <v>586</v>
      </c>
      <c r="B20" s="5" t="s">
        <v>586</v>
      </c>
      <c r="C20" s="5" t="s">
        <v>262</v>
      </c>
      <c r="D20" s="5" t="s">
        <v>558</v>
      </c>
      <c r="E20" s="5" t="n">
        <v>0</v>
      </c>
      <c r="F20" s="5" t="n">
        <v>1274</v>
      </c>
      <c r="G20" s="151" t="s">
        <v>72</v>
      </c>
      <c r="H20" s="5" t="s">
        <v>587</v>
      </c>
    </row>
    <row r="21" customFormat="false" ht="15" hidden="false" customHeight="false" outlineLevel="0" collapsed="false">
      <c r="A21" s="5" t="s">
        <v>588</v>
      </c>
      <c r="B21" s="5" t="s">
        <v>588</v>
      </c>
      <c r="C21" s="5" t="s">
        <v>266</v>
      </c>
      <c r="D21" s="5" t="s">
        <v>589</v>
      </c>
      <c r="E21" s="5" t="n">
        <f aca="false">ROUND(F21*0.1,0)</f>
        <v>36</v>
      </c>
      <c r="F21" s="5" t="n">
        <v>360</v>
      </c>
      <c r="G21" s="151" t="s">
        <v>41</v>
      </c>
      <c r="H21" s="5" t="s">
        <v>590</v>
      </c>
    </row>
    <row r="22" customFormat="false" ht="15" hidden="false" customHeight="false" outlineLevel="0" collapsed="false">
      <c r="A22" s="5" t="s">
        <v>591</v>
      </c>
      <c r="B22" s="5" t="s">
        <v>591</v>
      </c>
      <c r="C22" s="5" t="s">
        <v>266</v>
      </c>
      <c r="D22" s="5" t="s">
        <v>589</v>
      </c>
      <c r="E22" s="5" t="n">
        <f aca="false">ROUND(F22*0.1,0)</f>
        <v>0</v>
      </c>
      <c r="F22" s="5" t="n">
        <v>2.4</v>
      </c>
      <c r="G22" s="151" t="s">
        <v>72</v>
      </c>
      <c r="H22" s="5" t="s">
        <v>592</v>
      </c>
    </row>
    <row r="23" customFormat="false" ht="15" hidden="false" customHeight="false" outlineLevel="0" collapsed="false">
      <c r="A23" s="5" t="s">
        <v>593</v>
      </c>
      <c r="B23" s="5" t="s">
        <v>593</v>
      </c>
      <c r="C23" s="5" t="s">
        <v>266</v>
      </c>
      <c r="D23" s="5" t="s">
        <v>589</v>
      </c>
      <c r="E23" s="5" t="n">
        <f aca="false">ROUND(F23*0.1,0)</f>
        <v>2</v>
      </c>
      <c r="F23" s="5" t="n">
        <v>15</v>
      </c>
      <c r="G23" s="151" t="s">
        <v>89</v>
      </c>
      <c r="H23" s="5" t="s">
        <v>594</v>
      </c>
    </row>
    <row r="24" customFormat="false" ht="15" hidden="false" customHeight="false" outlineLevel="0" collapsed="false">
      <c r="A24" s="5" t="s">
        <v>595</v>
      </c>
      <c r="B24" s="5" t="s">
        <v>595</v>
      </c>
      <c r="C24" s="5" t="s">
        <v>266</v>
      </c>
      <c r="D24" s="5" t="s">
        <v>589</v>
      </c>
      <c r="E24" s="5" t="n">
        <f aca="false">ROUND(F24*0.1,0)</f>
        <v>0</v>
      </c>
      <c r="F24" s="5" t="n">
        <v>3</v>
      </c>
      <c r="G24" s="151" t="s">
        <v>33</v>
      </c>
      <c r="H24" s="5" t="s">
        <v>596</v>
      </c>
    </row>
    <row r="25" customFormat="false" ht="15" hidden="false" customHeight="false" outlineLevel="0" collapsed="false">
      <c r="A25" s="5" t="s">
        <v>597</v>
      </c>
      <c r="B25" s="5" t="s">
        <v>597</v>
      </c>
      <c r="C25" s="5" t="s">
        <v>266</v>
      </c>
      <c r="D25" s="5" t="s">
        <v>589</v>
      </c>
      <c r="E25" s="5" t="n">
        <f aca="false">ROUND(F25*0.1,0)</f>
        <v>2</v>
      </c>
      <c r="F25" s="5" t="n">
        <v>15.1</v>
      </c>
      <c r="G25" s="151" t="s">
        <v>89</v>
      </c>
      <c r="H25" s="5" t="s">
        <v>598</v>
      </c>
      <c r="I25" s="152"/>
    </row>
    <row r="26" customFormat="false" ht="15" hidden="false" customHeight="false" outlineLevel="0" collapsed="false">
      <c r="A26" s="5" t="s">
        <v>599</v>
      </c>
      <c r="B26" s="5" t="s">
        <v>599</v>
      </c>
      <c r="C26" s="5" t="s">
        <v>266</v>
      </c>
      <c r="D26" s="5" t="s">
        <v>589</v>
      </c>
      <c r="E26" s="5" t="n">
        <f aca="false">ROUND(F26*0.1,0)</f>
        <v>1</v>
      </c>
      <c r="F26" s="5" t="n">
        <v>11.4</v>
      </c>
      <c r="G26" s="151" t="s">
        <v>35</v>
      </c>
      <c r="H26" s="5" t="s">
        <v>600</v>
      </c>
      <c r="I26" s="152"/>
    </row>
    <row r="27" customFormat="false" ht="15" hidden="false" customHeight="false" outlineLevel="0" collapsed="false">
      <c r="A27" s="5" t="s">
        <v>601</v>
      </c>
      <c r="B27" s="5" t="s">
        <v>601</v>
      </c>
      <c r="C27" s="5" t="s">
        <v>266</v>
      </c>
      <c r="D27" s="5" t="s">
        <v>589</v>
      </c>
      <c r="E27" s="5" t="n">
        <f aca="false">ROUND(F27*0.1,0)</f>
        <v>5</v>
      </c>
      <c r="F27" s="5" t="n">
        <v>53</v>
      </c>
      <c r="G27" s="151" t="s">
        <v>106</v>
      </c>
      <c r="H27" s="5" t="s">
        <v>602</v>
      </c>
      <c r="I27" s="152"/>
    </row>
    <row r="28" customFormat="false" ht="15" hidden="false" customHeight="false" outlineLevel="0" collapsed="false">
      <c r="A28" s="5" t="s">
        <v>603</v>
      </c>
      <c r="B28" s="5" t="s">
        <v>603</v>
      </c>
      <c r="C28" s="5" t="s">
        <v>268</v>
      </c>
      <c r="D28" s="5" t="s">
        <v>589</v>
      </c>
      <c r="E28" s="5" t="n">
        <f aca="false">ROUND(F28*0.1,0)</f>
        <v>1</v>
      </c>
      <c r="F28" s="5" t="n">
        <v>7.6</v>
      </c>
      <c r="G28" s="151" t="s">
        <v>43</v>
      </c>
      <c r="H28" s="5" t="s">
        <v>575</v>
      </c>
      <c r="I28" s="152"/>
    </row>
    <row r="29" customFormat="false" ht="15" hidden="false" customHeight="false" outlineLevel="0" collapsed="false">
      <c r="A29" s="5" t="s">
        <v>604</v>
      </c>
      <c r="B29" s="5" t="s">
        <v>604</v>
      </c>
      <c r="C29" s="5" t="s">
        <v>268</v>
      </c>
      <c r="D29" s="5" t="s">
        <v>589</v>
      </c>
      <c r="E29" s="5" t="n">
        <f aca="false">ROUND(F29*0.1,0)</f>
        <v>2</v>
      </c>
      <c r="F29" s="5" t="n">
        <v>17.6</v>
      </c>
      <c r="G29" s="151" t="s">
        <v>72</v>
      </c>
      <c r="H29" s="5" t="s">
        <v>605</v>
      </c>
      <c r="I29" s="152"/>
    </row>
    <row r="30" customFormat="false" ht="15" hidden="false" customHeight="false" outlineLevel="0" collapsed="false">
      <c r="A30" s="5" t="s">
        <v>606</v>
      </c>
      <c r="B30" s="5" t="s">
        <v>606</v>
      </c>
      <c r="C30" s="5" t="s">
        <v>268</v>
      </c>
      <c r="D30" s="5" t="s">
        <v>589</v>
      </c>
      <c r="E30" s="5" t="n">
        <f aca="false">ROUND(F30*0.1,0)</f>
        <v>0</v>
      </c>
      <c r="F30" s="5" t="n">
        <v>3.2</v>
      </c>
      <c r="G30" s="151" t="s">
        <v>41</v>
      </c>
      <c r="H30" s="5" t="s">
        <v>607</v>
      </c>
    </row>
    <row r="31" customFormat="false" ht="15" hidden="false" customHeight="false" outlineLevel="0" collapsed="false">
      <c r="A31" s="5" t="s">
        <v>608</v>
      </c>
      <c r="B31" s="5" t="s">
        <v>608</v>
      </c>
      <c r="C31" s="5" t="s">
        <v>268</v>
      </c>
      <c r="D31" s="5" t="s">
        <v>589</v>
      </c>
      <c r="E31" s="5" t="n">
        <f aca="false">ROUND(F31*0.1,0)</f>
        <v>2</v>
      </c>
      <c r="F31" s="5" t="n">
        <v>19.4</v>
      </c>
      <c r="G31" s="151" t="s">
        <v>35</v>
      </c>
      <c r="H31" s="5" t="s">
        <v>609</v>
      </c>
      <c r="I31" s="152"/>
    </row>
    <row r="32" customFormat="false" ht="15" hidden="false" customHeight="false" outlineLevel="0" collapsed="false">
      <c r="A32" s="5" t="s">
        <v>610</v>
      </c>
      <c r="B32" s="5" t="s">
        <v>610</v>
      </c>
      <c r="C32" s="5" t="s">
        <v>268</v>
      </c>
      <c r="D32" s="5" t="s">
        <v>589</v>
      </c>
      <c r="E32" s="5" t="n">
        <f aca="false">ROUND(F32*0.1,0)</f>
        <v>1</v>
      </c>
      <c r="F32" s="5" t="n">
        <v>7.6</v>
      </c>
      <c r="G32" s="151" t="s">
        <v>155</v>
      </c>
      <c r="H32" s="5" t="s">
        <v>611</v>
      </c>
      <c r="I32" s="152"/>
    </row>
    <row r="33" customFormat="false" ht="15" hidden="false" customHeight="false" outlineLevel="0" collapsed="false">
      <c r="A33" s="5" t="s">
        <v>612</v>
      </c>
      <c r="B33" s="5" t="s">
        <v>612</v>
      </c>
      <c r="C33" s="5" t="s">
        <v>268</v>
      </c>
      <c r="D33" s="5" t="s">
        <v>589</v>
      </c>
      <c r="E33" s="5" t="n">
        <f aca="false">ROUND(F33*0.1,0)</f>
        <v>1</v>
      </c>
      <c r="F33" s="5" t="n">
        <v>8.95</v>
      </c>
      <c r="G33" s="151" t="s">
        <v>33</v>
      </c>
      <c r="H33" s="5" t="s">
        <v>613</v>
      </c>
      <c r="I33" s="152"/>
    </row>
    <row r="34" customFormat="false" ht="15" hidden="false" customHeight="false" outlineLevel="0" collapsed="false">
      <c r="A34" s="5" t="s">
        <v>614</v>
      </c>
      <c r="B34" s="5" t="s">
        <v>614</v>
      </c>
      <c r="C34" s="5" t="s">
        <v>268</v>
      </c>
      <c r="D34" s="5" t="s">
        <v>589</v>
      </c>
      <c r="E34" s="5" t="n">
        <f aca="false">ROUND(F34*0.1,0)</f>
        <v>0</v>
      </c>
      <c r="F34" s="5" t="n">
        <v>4.7</v>
      </c>
      <c r="G34" s="151" t="s">
        <v>89</v>
      </c>
      <c r="H34" s="5" t="s">
        <v>615</v>
      </c>
      <c r="I34" s="152"/>
    </row>
    <row r="35" customFormat="false" ht="15" hidden="false" customHeight="false" outlineLevel="0" collapsed="false">
      <c r="A35" s="5" t="s">
        <v>616</v>
      </c>
      <c r="B35" s="5" t="s">
        <v>616</v>
      </c>
      <c r="C35" s="5" t="s">
        <v>254</v>
      </c>
      <c r="D35" s="5" t="s">
        <v>617</v>
      </c>
      <c r="E35" s="5" t="n">
        <f aca="false">ROUND(F35*0.2,0)</f>
        <v>59</v>
      </c>
      <c r="F35" s="5" t="n">
        <v>293</v>
      </c>
      <c r="G35" s="151" t="s">
        <v>33</v>
      </c>
      <c r="H35" s="5" t="s">
        <v>618</v>
      </c>
      <c r="I35" s="152"/>
    </row>
    <row r="36" customFormat="false" ht="15" hidden="false" customHeight="false" outlineLevel="0" collapsed="false">
      <c r="A36" s="5" t="s">
        <v>619</v>
      </c>
      <c r="B36" s="5" t="s">
        <v>619</v>
      </c>
      <c r="C36" s="5" t="s">
        <v>254</v>
      </c>
      <c r="D36" s="5" t="s">
        <v>617</v>
      </c>
      <c r="E36" s="5" t="n">
        <f aca="false">ROUND(F36*0.2,0)</f>
        <v>68</v>
      </c>
      <c r="F36" s="5" t="n">
        <v>341</v>
      </c>
      <c r="G36" s="151" t="s">
        <v>72</v>
      </c>
      <c r="H36" s="5" t="s">
        <v>620</v>
      </c>
      <c r="I36" s="152"/>
    </row>
    <row r="37" customFormat="false" ht="15" hidden="false" customHeight="false" outlineLevel="0" collapsed="false">
      <c r="A37" s="5" t="s">
        <v>621</v>
      </c>
      <c r="B37" s="5" t="s">
        <v>621</v>
      </c>
      <c r="C37" s="5" t="s">
        <v>254</v>
      </c>
      <c r="D37" s="5" t="s">
        <v>617</v>
      </c>
      <c r="E37" s="5" t="n">
        <f aca="false">ROUND(F37*0.2,0)</f>
        <v>16</v>
      </c>
      <c r="F37" s="5" t="n">
        <v>80.5</v>
      </c>
      <c r="G37" s="151" t="s">
        <v>43</v>
      </c>
      <c r="H37" s="5" t="s">
        <v>622</v>
      </c>
      <c r="I37" s="152"/>
    </row>
    <row r="38" customFormat="false" ht="15" hidden="false" customHeight="false" outlineLevel="0" collapsed="false">
      <c r="A38" s="5" t="s">
        <v>623</v>
      </c>
      <c r="B38" s="5" t="s">
        <v>623</v>
      </c>
      <c r="C38" s="5" t="s">
        <v>254</v>
      </c>
      <c r="D38" s="5" t="s">
        <v>617</v>
      </c>
      <c r="E38" s="5" t="n">
        <f aca="false">ROUND(F38*0.2,0)</f>
        <v>23</v>
      </c>
      <c r="F38" s="5" t="n">
        <v>115</v>
      </c>
      <c r="G38" s="151" t="s">
        <v>89</v>
      </c>
      <c r="H38" s="5" t="s">
        <v>624</v>
      </c>
      <c r="I38" s="153"/>
    </row>
    <row r="39" customFormat="false" ht="15" hidden="false" customHeight="false" outlineLevel="0" collapsed="false">
      <c r="A39" s="5" t="s">
        <v>625</v>
      </c>
      <c r="B39" s="5" t="s">
        <v>625</v>
      </c>
      <c r="C39" s="5" t="s">
        <v>254</v>
      </c>
      <c r="D39" s="5" t="s">
        <v>617</v>
      </c>
      <c r="E39" s="5" t="n">
        <f aca="false">ROUND(F39*0.2,0)</f>
        <v>1</v>
      </c>
      <c r="F39" s="5" t="n">
        <v>3.233</v>
      </c>
      <c r="G39" s="151" t="s">
        <v>14</v>
      </c>
      <c r="H39" s="5" t="s">
        <v>626</v>
      </c>
      <c r="I39" s="153"/>
    </row>
    <row r="40" customFormat="false" ht="15" hidden="false" customHeight="false" outlineLevel="0" collapsed="false">
      <c r="A40" s="5" t="s">
        <v>627</v>
      </c>
      <c r="B40" s="5" t="s">
        <v>627</v>
      </c>
      <c r="C40" s="5" t="s">
        <v>254</v>
      </c>
      <c r="D40" s="5" t="s">
        <v>617</v>
      </c>
      <c r="E40" s="5" t="n">
        <f aca="false">ROUND(F40*0.2,0)</f>
        <v>14</v>
      </c>
      <c r="F40" s="5" t="n">
        <v>72</v>
      </c>
      <c r="G40" s="151" t="s">
        <v>35</v>
      </c>
      <c r="H40" s="5" t="s">
        <v>628</v>
      </c>
      <c r="I40" s="153"/>
    </row>
    <row r="41" customFormat="false" ht="15" hidden="false" customHeight="false" outlineLevel="0" collapsed="false">
      <c r="A41" s="5" t="s">
        <v>629</v>
      </c>
      <c r="B41" s="5" t="s">
        <v>629</v>
      </c>
      <c r="C41" s="5" t="s">
        <v>254</v>
      </c>
      <c r="D41" s="5" t="s">
        <v>617</v>
      </c>
      <c r="E41" s="5" t="n">
        <f aca="false">ROUND(F41*0.2,0)</f>
        <v>35</v>
      </c>
      <c r="F41" s="5" t="n">
        <v>173</v>
      </c>
      <c r="G41" s="151" t="s">
        <v>155</v>
      </c>
      <c r="H41" s="5" t="s">
        <v>630</v>
      </c>
      <c r="I41" s="154"/>
    </row>
    <row r="42" customFormat="false" ht="15" hidden="false" customHeight="false" outlineLevel="0" collapsed="false">
      <c r="A42" s="5" t="s">
        <v>631</v>
      </c>
      <c r="B42" s="5" t="s">
        <v>631</v>
      </c>
      <c r="C42" s="5" t="s">
        <v>250</v>
      </c>
      <c r="D42" s="5" t="s">
        <v>632</v>
      </c>
      <c r="E42" s="5" t="n">
        <f aca="false">ROUND(F42*0.2,0)</f>
        <v>28</v>
      </c>
      <c r="F42" s="5" t="n">
        <v>140</v>
      </c>
      <c r="G42" s="151" t="s">
        <v>75</v>
      </c>
      <c r="H42" s="5" t="s">
        <v>633</v>
      </c>
      <c r="I42" s="153"/>
    </row>
    <row r="43" customFormat="false" ht="15" hidden="false" customHeight="false" outlineLevel="0" collapsed="false">
      <c r="A43" s="5" t="s">
        <v>634</v>
      </c>
      <c r="B43" s="5" t="s">
        <v>634</v>
      </c>
      <c r="C43" s="5" t="s">
        <v>250</v>
      </c>
      <c r="D43" s="5" t="s">
        <v>632</v>
      </c>
      <c r="E43" s="5" t="n">
        <f aca="false">ROUND(F43*0.2,0)</f>
        <v>65</v>
      </c>
      <c r="F43" s="5" t="n">
        <v>325</v>
      </c>
      <c r="G43" s="151" t="s">
        <v>33</v>
      </c>
      <c r="H43" s="5" t="s">
        <v>635</v>
      </c>
      <c r="I43" s="153"/>
    </row>
    <row r="44" customFormat="false" ht="15" hidden="false" customHeight="false" outlineLevel="0" collapsed="false">
      <c r="A44" s="5" t="s">
        <v>636</v>
      </c>
      <c r="B44" s="5" t="s">
        <v>636</v>
      </c>
      <c r="C44" s="5" t="s">
        <v>250</v>
      </c>
      <c r="D44" s="5" t="s">
        <v>632</v>
      </c>
      <c r="E44" s="5" t="n">
        <f aca="false">ROUND(F44*0.2,0)</f>
        <v>185</v>
      </c>
      <c r="F44" s="5" t="n">
        <v>927</v>
      </c>
      <c r="G44" s="151" t="s">
        <v>89</v>
      </c>
      <c r="H44" s="5" t="s">
        <v>637</v>
      </c>
      <c r="I44" s="153"/>
    </row>
    <row r="45" customFormat="false" ht="15" hidden="false" customHeight="false" outlineLevel="0" collapsed="false">
      <c r="A45" s="5" t="s">
        <v>638</v>
      </c>
      <c r="B45" s="5" t="s">
        <v>638</v>
      </c>
      <c r="C45" s="5" t="s">
        <v>250</v>
      </c>
      <c r="D45" s="5" t="s">
        <v>632</v>
      </c>
      <c r="E45" s="5" t="n">
        <f aca="false">ROUND(F45*0.2,0)</f>
        <v>58</v>
      </c>
      <c r="F45" s="5" t="n">
        <v>292</v>
      </c>
      <c r="G45" s="151" t="s">
        <v>106</v>
      </c>
      <c r="H45" s="5" t="s">
        <v>585</v>
      </c>
      <c r="I45" s="152"/>
    </row>
    <row r="46" customFormat="false" ht="15" hidden="false" customHeight="false" outlineLevel="0" collapsed="false">
      <c r="A46" s="5" t="s">
        <v>639</v>
      </c>
      <c r="B46" s="5" t="s">
        <v>639</v>
      </c>
      <c r="C46" s="5" t="s">
        <v>252</v>
      </c>
      <c r="D46" s="5" t="s">
        <v>617</v>
      </c>
      <c r="E46" s="5" t="n">
        <f aca="false">ROUND(F46*0.2,0)</f>
        <v>601</v>
      </c>
      <c r="F46" s="5" t="n">
        <v>3007</v>
      </c>
      <c r="G46" s="151" t="s">
        <v>75</v>
      </c>
      <c r="H46" s="5" t="s">
        <v>75</v>
      </c>
      <c r="I46" s="152"/>
    </row>
    <row r="47" customFormat="false" ht="15" hidden="false" customHeight="false" outlineLevel="0" collapsed="false">
      <c r="A47" s="5" t="s">
        <v>640</v>
      </c>
      <c r="B47" s="5" t="s">
        <v>640</v>
      </c>
      <c r="C47" s="5" t="s">
        <v>252</v>
      </c>
      <c r="D47" s="5" t="s">
        <v>617</v>
      </c>
      <c r="E47" s="5" t="n">
        <f aca="false">ROUND(F47*0.2,0)</f>
        <v>93</v>
      </c>
      <c r="F47" s="5" t="n">
        <v>464</v>
      </c>
      <c r="G47" s="151" t="s">
        <v>43</v>
      </c>
      <c r="H47" s="5" t="s">
        <v>641</v>
      </c>
      <c r="I47" s="152"/>
    </row>
    <row r="48" customFormat="false" ht="15" hidden="false" customHeight="false" outlineLevel="0" collapsed="false">
      <c r="A48" s="5" t="s">
        <v>642</v>
      </c>
      <c r="B48" s="5" t="s">
        <v>642</v>
      </c>
      <c r="C48" s="5" t="s">
        <v>252</v>
      </c>
      <c r="D48" s="5" t="s">
        <v>617</v>
      </c>
      <c r="E48" s="5" t="n">
        <f aca="false">ROUND(F48*0.2,0)</f>
        <v>7</v>
      </c>
      <c r="F48" s="5" t="n">
        <v>34</v>
      </c>
      <c r="G48" s="151" t="s">
        <v>106</v>
      </c>
      <c r="H48" s="5" t="s">
        <v>643</v>
      </c>
      <c r="I48" s="152"/>
    </row>
    <row r="49" customFormat="false" ht="15" hidden="false" customHeight="false" outlineLevel="0" collapsed="false">
      <c r="A49" s="5" t="s">
        <v>644</v>
      </c>
      <c r="B49" s="5" t="s">
        <v>644</v>
      </c>
      <c r="C49" s="5" t="s">
        <v>252</v>
      </c>
      <c r="D49" s="5" t="s">
        <v>617</v>
      </c>
      <c r="E49" s="5" t="n">
        <f aca="false">ROUND(F49*0.2,0)</f>
        <v>7</v>
      </c>
      <c r="F49" s="5" t="n">
        <v>35</v>
      </c>
      <c r="G49" s="151" t="s">
        <v>41</v>
      </c>
      <c r="H49" s="5" t="s">
        <v>645</v>
      </c>
      <c r="I49" s="152"/>
    </row>
    <row r="50" customFormat="false" ht="15" hidden="false" customHeight="false" outlineLevel="0" collapsed="false">
      <c r="A50" s="5" t="s">
        <v>646</v>
      </c>
      <c r="B50" s="5" t="s">
        <v>646</v>
      </c>
      <c r="C50" s="5" t="s">
        <v>252</v>
      </c>
      <c r="D50" s="5" t="s">
        <v>617</v>
      </c>
      <c r="E50" s="5" t="n">
        <f aca="false">ROUND(F50*0.2,0)</f>
        <v>510</v>
      </c>
      <c r="F50" s="5" t="n">
        <v>2552</v>
      </c>
      <c r="G50" s="151" t="s">
        <v>33</v>
      </c>
      <c r="H50" s="5" t="s">
        <v>647</v>
      </c>
      <c r="I50" s="152"/>
    </row>
    <row r="51" customFormat="false" ht="15" hidden="false" customHeight="false" outlineLevel="0" collapsed="false">
      <c r="A51" s="5" t="s">
        <v>648</v>
      </c>
      <c r="B51" s="5" t="s">
        <v>648</v>
      </c>
      <c r="C51" s="5" t="s">
        <v>252</v>
      </c>
      <c r="D51" s="5" t="s">
        <v>617</v>
      </c>
      <c r="E51" s="5" t="n">
        <f aca="false">ROUND(F51*0.2,0)</f>
        <v>244</v>
      </c>
      <c r="F51" s="5" t="n">
        <v>1222</v>
      </c>
      <c r="G51" s="151" t="s">
        <v>155</v>
      </c>
      <c r="H51" s="5" t="s">
        <v>649</v>
      </c>
      <c r="I51" s="152"/>
    </row>
    <row r="52" customFormat="false" ht="15" hidden="false" customHeight="false" outlineLevel="0" collapsed="false">
      <c r="A52" s="5" t="s">
        <v>650</v>
      </c>
      <c r="B52" s="5" t="s">
        <v>650</v>
      </c>
      <c r="C52" s="5" t="s">
        <v>252</v>
      </c>
      <c r="D52" s="5" t="s">
        <v>617</v>
      </c>
      <c r="E52" s="5" t="n">
        <f aca="false">ROUND(F52*0.2,0)</f>
        <v>125</v>
      </c>
      <c r="F52" s="5" t="n">
        <v>624</v>
      </c>
      <c r="G52" s="151" t="s">
        <v>35</v>
      </c>
      <c r="H52" s="5" t="s">
        <v>651</v>
      </c>
      <c r="I52" s="152"/>
    </row>
    <row r="53" customFormat="false" ht="15" hidden="false" customHeight="false" outlineLevel="0" collapsed="false">
      <c r="A53" s="5" t="s">
        <v>652</v>
      </c>
      <c r="B53" s="5" t="s">
        <v>652</v>
      </c>
      <c r="C53" s="5" t="s">
        <v>252</v>
      </c>
      <c r="D53" s="5" t="s">
        <v>617</v>
      </c>
      <c r="E53" s="5" t="n">
        <f aca="false">ROUND(F53*0.2,0)</f>
        <v>124</v>
      </c>
      <c r="F53" s="5" t="n">
        <v>618</v>
      </c>
      <c r="G53" s="151" t="s">
        <v>55</v>
      </c>
      <c r="H53" s="5" t="s">
        <v>653</v>
      </c>
      <c r="I53" s="152"/>
    </row>
    <row r="54" customFormat="false" ht="15" hidden="false" customHeight="false" outlineLevel="0" collapsed="false">
      <c r="A54" s="5" t="s">
        <v>654</v>
      </c>
      <c r="B54" s="5" t="s">
        <v>654</v>
      </c>
      <c r="C54" s="5" t="s">
        <v>252</v>
      </c>
      <c r="D54" s="5" t="s">
        <v>617</v>
      </c>
      <c r="E54" s="5" t="n">
        <f aca="false">ROUND(F54*0.2,0)</f>
        <v>37</v>
      </c>
      <c r="F54" s="5" t="n">
        <v>184</v>
      </c>
      <c r="G54" s="151" t="s">
        <v>72</v>
      </c>
      <c r="H54" s="5" t="s">
        <v>655</v>
      </c>
      <c r="I54" s="152"/>
    </row>
    <row r="55" s="155" customFormat="true" ht="15" hidden="false" customHeight="false" outlineLevel="0" collapsed="false">
      <c r="A55" s="155" t="s">
        <v>656</v>
      </c>
      <c r="B55" s="155" t="s">
        <v>656</v>
      </c>
      <c r="C55" s="155" t="s">
        <v>499</v>
      </c>
      <c r="D55" s="155" t="s">
        <v>657</v>
      </c>
      <c r="E55" s="155" t="n">
        <v>0</v>
      </c>
      <c r="F55" s="155" t="n">
        <v>1</v>
      </c>
      <c r="G55" s="156" t="s">
        <v>33</v>
      </c>
      <c r="I55" s="157"/>
    </row>
    <row r="56" s="155" customFormat="true" ht="15" hidden="false" customHeight="false" outlineLevel="0" collapsed="false">
      <c r="A56" s="155" t="s">
        <v>658</v>
      </c>
      <c r="B56" s="155" t="s">
        <v>658</v>
      </c>
      <c r="C56" s="155" t="s">
        <v>499</v>
      </c>
      <c r="D56" s="155" t="s">
        <v>657</v>
      </c>
      <c r="E56" s="155" t="n">
        <v>0</v>
      </c>
      <c r="F56" s="155" t="n">
        <v>1</v>
      </c>
      <c r="G56" s="156" t="s">
        <v>35</v>
      </c>
      <c r="I56" s="157"/>
    </row>
    <row r="57" customFormat="false" ht="15" hidden="false" customHeight="false" outlineLevel="0" collapsed="false">
      <c r="A57" s="155" t="s">
        <v>659</v>
      </c>
      <c r="B57" s="155" t="s">
        <v>659</v>
      </c>
      <c r="C57" s="155" t="s">
        <v>499</v>
      </c>
      <c r="D57" s="155" t="s">
        <v>657</v>
      </c>
      <c r="E57" s="155" t="n">
        <v>0</v>
      </c>
      <c r="F57" s="155" t="n">
        <v>1</v>
      </c>
      <c r="G57" s="151" t="s">
        <v>41</v>
      </c>
      <c r="I57" s="152"/>
    </row>
    <row r="58" customFormat="false" ht="15" hidden="false" customHeight="false" outlineLevel="0" collapsed="false">
      <c r="A58" s="155" t="s">
        <v>660</v>
      </c>
      <c r="B58" s="155" t="s">
        <v>660</v>
      </c>
      <c r="C58" s="155" t="s">
        <v>499</v>
      </c>
      <c r="D58" s="155" t="s">
        <v>657</v>
      </c>
      <c r="E58" s="155" t="n">
        <v>0</v>
      </c>
      <c r="F58" s="155" t="n">
        <v>1</v>
      </c>
      <c r="G58" s="151" t="s">
        <v>41</v>
      </c>
      <c r="I58" s="152"/>
    </row>
    <row r="59" customFormat="false" ht="15" hidden="false" customHeight="false" outlineLevel="0" collapsed="false">
      <c r="A59" s="155" t="s">
        <v>661</v>
      </c>
      <c r="B59" s="155" t="s">
        <v>661</v>
      </c>
      <c r="C59" s="155" t="s">
        <v>499</v>
      </c>
      <c r="D59" s="155" t="s">
        <v>657</v>
      </c>
      <c r="E59" s="155" t="n">
        <v>0</v>
      </c>
      <c r="F59" s="155" t="n">
        <v>1</v>
      </c>
      <c r="G59" s="151" t="s">
        <v>72</v>
      </c>
      <c r="I59" s="152"/>
    </row>
    <row r="60" customFormat="false" ht="15" hidden="false" customHeight="false" outlineLevel="0" collapsed="false">
      <c r="I60" s="152"/>
    </row>
    <row r="61" customFormat="false" ht="15" hidden="false" customHeight="false" outlineLevel="0" collapsed="false">
      <c r="I61" s="152"/>
    </row>
    <row r="62" customFormat="false" ht="15" hidden="false" customHeight="false" outlineLevel="0" collapsed="false">
      <c r="I62" s="152"/>
    </row>
    <row r="63" customFormat="false" ht="15" hidden="false" customHeight="false" outlineLevel="0" collapsed="false">
      <c r="I63" s="152"/>
    </row>
    <row r="64" customFormat="false" ht="15" hidden="false" customHeight="false" outlineLevel="0" collapsed="false">
      <c r="I64" s="152"/>
    </row>
    <row r="65" customFormat="false" ht="15" hidden="false" customHeight="false" outlineLevel="0" collapsed="false">
      <c r="I65" s="152"/>
    </row>
    <row r="66" customFormat="false" ht="15" hidden="false" customHeight="false" outlineLevel="0" collapsed="false">
      <c r="I66" s="152"/>
    </row>
    <row r="67" customFormat="false" ht="15" hidden="false" customHeight="false" outlineLevel="0" collapsed="false">
      <c r="I67" s="152"/>
    </row>
    <row r="68" customFormat="false" ht="15" hidden="false" customHeight="false" outlineLevel="0" collapsed="false">
      <c r="I68" s="152"/>
    </row>
    <row r="69" customFormat="false" ht="15" hidden="false" customHeight="false" outlineLevel="0" collapsed="false">
      <c r="I69" s="152"/>
    </row>
    <row r="70" customFormat="false" ht="15" hidden="false" customHeight="false" outlineLevel="0" collapsed="false">
      <c r="I70" s="152"/>
    </row>
    <row r="71" customFormat="false" ht="15" hidden="false" customHeight="false" outlineLevel="0" collapsed="false">
      <c r="I71" s="152"/>
    </row>
    <row r="72" customFormat="false" ht="15" hidden="false" customHeight="false" outlineLevel="0" collapsed="false">
      <c r="I72" s="152"/>
    </row>
    <row r="73" customFormat="false" ht="15" hidden="false" customHeight="false" outlineLevel="0" collapsed="false">
      <c r="I73" s="152"/>
    </row>
    <row r="74" customFormat="false" ht="15" hidden="false" customHeight="false" outlineLevel="0" collapsed="false">
      <c r="I74" s="152"/>
    </row>
    <row r="88" customFormat="false" ht="15" hidden="false" customHeight="false" outlineLevel="0" collapsed="false">
      <c r="J88" s="6"/>
    </row>
    <row r="89" customFormat="false" ht="15" hidden="false" customHeight="false" outlineLevel="0" collapsed="false">
      <c r="J89" s="6"/>
    </row>
    <row r="90" customFormat="false" ht="15" hidden="false" customHeight="false" outlineLevel="0" collapsed="false">
      <c r="J90" s="6"/>
    </row>
    <row r="91" customFormat="false" ht="15" hidden="false" customHeight="false" outlineLevel="0" collapsed="false">
      <c r="J91" s="6"/>
    </row>
    <row r="92" customFormat="false" ht="15" hidden="false" customHeight="false" outlineLevel="0" collapsed="false">
      <c r="J92" s="6"/>
    </row>
    <row r="93" customFormat="false" ht="15" hidden="false" customHeight="false" outlineLevel="0" collapsed="false">
      <c r="J93" s="6"/>
    </row>
    <row r="94" customFormat="false" ht="15" hidden="false" customHeight="false" outlineLevel="0" collapsed="false">
      <c r="J94" s="6"/>
    </row>
    <row r="95" customFormat="false" ht="15" hidden="false" customHeight="false" outlineLevel="0" collapsed="false">
      <c r="J95" s="6"/>
    </row>
    <row r="96" customFormat="false" ht="15" hidden="false" customHeight="false" outlineLevel="0" collapsed="false">
      <c r="J96" s="6"/>
    </row>
    <row r="97" customFormat="false" ht="15" hidden="false" customHeight="false" outlineLevel="0" collapsed="false">
      <c r="J97" s="6"/>
    </row>
    <row r="98" customFormat="false" ht="15" hidden="false" customHeight="false" outlineLevel="0" collapsed="false">
      <c r="J98" s="6"/>
    </row>
    <row r="99" customFormat="false" ht="15" hidden="false" customHeight="false" outlineLevel="0" collapsed="false">
      <c r="J99" s="6"/>
    </row>
    <row r="100" customFormat="false" ht="15" hidden="false" customHeight="false" outlineLevel="0" collapsed="false">
      <c r="J100" s="6"/>
    </row>
    <row r="101" customFormat="false" ht="15" hidden="false" customHeight="false" outlineLevel="0" collapsed="false">
      <c r="J101" s="6"/>
    </row>
    <row r="102" customFormat="false" ht="15" hidden="false" customHeight="false" outlineLevel="0" collapsed="false">
      <c r="J102" s="6"/>
    </row>
    <row r="103" customFormat="false" ht="15" hidden="false" customHeight="false" outlineLevel="0" collapsed="false">
      <c r="J103" s="6"/>
    </row>
    <row r="104" customFormat="false" ht="15" hidden="false" customHeight="false" outlineLevel="0" collapsed="false">
      <c r="J104" s="6"/>
    </row>
    <row r="105" customFormat="false" ht="15" hidden="false" customHeight="false" outlineLevel="0" collapsed="false">
      <c r="J105" s="6"/>
    </row>
    <row r="106" customFormat="false" ht="15" hidden="false" customHeight="false" outlineLevel="0" collapsed="false">
      <c r="J106" s="6"/>
    </row>
    <row r="107" customFormat="false" ht="15" hidden="false" customHeight="false" outlineLevel="0" collapsed="false">
      <c r="J107" s="6"/>
    </row>
    <row r="108" customFormat="false" ht="15" hidden="false" customHeight="false" outlineLevel="0" collapsed="false">
      <c r="J108" s="6"/>
    </row>
    <row r="109" customFormat="false" ht="15" hidden="false" customHeight="false" outlineLevel="0" collapsed="false">
      <c r="J109" s="6"/>
    </row>
    <row r="110" customFormat="false" ht="15" hidden="false" customHeight="false" outlineLevel="0" collapsed="false">
      <c r="J110" s="6"/>
    </row>
    <row r="111" customFormat="false" ht="15" hidden="false" customHeight="false" outlineLevel="0" collapsed="false">
      <c r="J111" s="6"/>
    </row>
    <row r="112" customFormat="false" ht="15" hidden="false" customHeight="false" outlineLevel="0" collapsed="false">
      <c r="J112" s="6"/>
    </row>
    <row r="113" customFormat="false" ht="15" hidden="false" customHeight="false" outlineLevel="0" collapsed="false">
      <c r="J113" s="6"/>
    </row>
    <row r="114" customFormat="false" ht="15" hidden="false" customHeight="false" outlineLevel="0" collapsed="false">
      <c r="J114" s="6"/>
    </row>
    <row r="141" customFormat="false" ht="15" hidden="false" customHeight="false" outlineLevel="0" collapsed="false">
      <c r="J141" s="6" t="s">
        <v>28</v>
      </c>
    </row>
    <row r="142" customFormat="false" ht="15" hidden="false" customHeight="false" outlineLevel="0" collapsed="false">
      <c r="J142" s="6" t="s">
        <v>551</v>
      </c>
    </row>
    <row r="143" customFormat="false" ht="15" hidden="false" customHeight="false" outlineLevel="0" collapsed="false">
      <c r="J143" s="6" t="s">
        <v>14</v>
      </c>
    </row>
    <row r="144" customFormat="false" ht="15" hidden="false" customHeight="false" outlineLevel="0" collapsed="false">
      <c r="J144" s="6" t="s">
        <v>554</v>
      </c>
    </row>
    <row r="145" customFormat="false" ht="15" hidden="false" customHeight="false" outlineLevel="0" collapsed="false">
      <c r="J145" s="6" t="s">
        <v>662</v>
      </c>
    </row>
    <row r="146" customFormat="false" ht="15" hidden="false" customHeight="false" outlineLevel="0" collapsed="false">
      <c r="J146" s="6" t="s">
        <v>43</v>
      </c>
    </row>
    <row r="147" customFormat="false" ht="15" hidden="false" customHeight="false" outlineLevel="0" collapsed="false">
      <c r="J147" s="6" t="s">
        <v>89</v>
      </c>
    </row>
    <row r="148" customFormat="false" ht="15" hidden="false" customHeight="false" outlineLevel="0" collapsed="false">
      <c r="J148" s="6" t="s">
        <v>663</v>
      </c>
    </row>
    <row r="149" customFormat="false" ht="15" hidden="false" customHeight="false" outlineLevel="0" collapsed="false">
      <c r="J149" s="6" t="s">
        <v>664</v>
      </c>
    </row>
    <row r="150" customFormat="false" ht="15" hidden="false" customHeight="false" outlineLevel="0" collapsed="false">
      <c r="J150" s="6" t="s">
        <v>21</v>
      </c>
    </row>
    <row r="151" customFormat="false" ht="15" hidden="false" customHeight="false" outlineLevel="0" collapsed="false">
      <c r="J151" s="6" t="s">
        <v>18</v>
      </c>
    </row>
    <row r="152" customFormat="false" ht="15" hidden="false" customHeight="false" outlineLevel="0" collapsed="false">
      <c r="J152" s="6" t="s">
        <v>41</v>
      </c>
    </row>
    <row r="153" customFormat="false" ht="15" hidden="false" customHeight="false" outlineLevel="0" collapsed="false">
      <c r="J153" s="6" t="s">
        <v>72</v>
      </c>
    </row>
    <row r="154" customFormat="false" ht="15" hidden="false" customHeight="false" outlineLevel="0" collapsed="false">
      <c r="J154" s="6" t="s">
        <v>665</v>
      </c>
    </row>
    <row r="155" customFormat="false" ht="15" hidden="false" customHeight="false" outlineLevel="0" collapsed="false">
      <c r="J155" s="6" t="s">
        <v>75</v>
      </c>
    </row>
    <row r="156" customFormat="false" ht="15" hidden="false" customHeight="false" outlineLevel="0" collapsed="false">
      <c r="J156" s="6" t="s">
        <v>33</v>
      </c>
    </row>
    <row r="157" customFormat="false" ht="15" hidden="false" customHeight="false" outlineLevel="0" collapsed="false">
      <c r="J157" s="6" t="s">
        <v>35</v>
      </c>
    </row>
    <row r="158" customFormat="false" ht="15" hidden="false" customHeight="false" outlineLevel="0" collapsed="false">
      <c r="J158" s="6" t="s">
        <v>155</v>
      </c>
    </row>
    <row r="159" customFormat="false" ht="15" hidden="false" customHeight="false" outlineLevel="0" collapsed="false">
      <c r="J159" s="6" t="s">
        <v>666</v>
      </c>
    </row>
    <row r="160" customFormat="false" ht="15" hidden="false" customHeight="false" outlineLevel="0" collapsed="false">
      <c r="J160" s="6" t="s">
        <v>667</v>
      </c>
    </row>
    <row r="161" customFormat="false" ht="15" hidden="false" customHeight="false" outlineLevel="0" collapsed="false">
      <c r="J161" s="6" t="s">
        <v>668</v>
      </c>
    </row>
    <row r="162" customFormat="false" ht="15" hidden="false" customHeight="false" outlineLevel="0" collapsed="false">
      <c r="J162" s="6" t="s">
        <v>669</v>
      </c>
    </row>
    <row r="163" customFormat="false" ht="15" hidden="false" customHeight="false" outlineLevel="0" collapsed="false">
      <c r="J163" s="6" t="s">
        <v>55</v>
      </c>
    </row>
    <row r="164" customFormat="false" ht="15" hidden="false" customHeight="false" outlineLevel="0" collapsed="false">
      <c r="J164" s="6" t="s">
        <v>670</v>
      </c>
    </row>
    <row r="165" customFormat="false" ht="15" hidden="false" customHeight="false" outlineLevel="0" collapsed="false">
      <c r="J165" s="6" t="s">
        <v>106</v>
      </c>
    </row>
    <row r="166" customFormat="false" ht="15" hidden="false" customHeight="false" outlineLevel="0" collapsed="false">
      <c r="J166" s="6" t="s">
        <v>671</v>
      </c>
    </row>
    <row r="167" customFormat="false" ht="15" hidden="false" customHeight="false" outlineLevel="0" collapsed="false">
      <c r="J167" s="6" t="s">
        <v>672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6600"/>
    <pageSetUpPr fitToPage="false"/>
  </sheetPr>
  <dimension ref="A1:Q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9" activeCellId="0" sqref="B9"/>
    </sheetView>
  </sheetViews>
  <sheetFormatPr defaultColWidth="8.5390625" defaultRowHeight="15" zeroHeight="false" outlineLevelRow="0" outlineLevelCol="0"/>
  <cols>
    <col collapsed="false" customWidth="true" hidden="false" outlineLevel="0" max="1" min="1" style="0" width="13.28"/>
    <col collapsed="false" customWidth="true" hidden="false" outlineLevel="0" max="2" min="2" style="0" width="23"/>
    <col collapsed="false" customWidth="true" hidden="false" outlineLevel="0" max="4" min="3" style="0" width="8"/>
    <col collapsed="false" customWidth="true" hidden="false" outlineLevel="0" max="5" min="5" style="0" width="13.71"/>
    <col collapsed="false" customWidth="true" hidden="false" outlineLevel="0" max="6" min="6" style="0" width="20.43"/>
    <col collapsed="false" customWidth="true" hidden="false" outlineLevel="0" max="7" min="7" style="0" width="20"/>
    <col collapsed="false" customWidth="true" hidden="false" outlineLevel="0" max="8" min="8" style="0" width="12.43"/>
    <col collapsed="false" customWidth="true" hidden="false" outlineLevel="0" max="9" min="9" style="0" width="12.14"/>
    <col collapsed="false" customWidth="true" hidden="false" outlineLevel="0" max="13" min="10" style="0" width="8"/>
    <col collapsed="false" customWidth="true" hidden="false" outlineLevel="0" max="14" min="14" style="0" width="8.85"/>
  </cols>
  <sheetData>
    <row r="1" s="15" customFormat="true" ht="60" hidden="false" customHeight="false" outlineLevel="0" collapsed="false">
      <c r="A1" s="158" t="s">
        <v>0</v>
      </c>
      <c r="B1" s="158" t="s">
        <v>1</v>
      </c>
      <c r="C1" s="158" t="s">
        <v>2</v>
      </c>
      <c r="D1" s="158" t="s">
        <v>536</v>
      </c>
      <c r="E1" s="158" t="s">
        <v>5</v>
      </c>
      <c r="F1" s="22" t="s">
        <v>673</v>
      </c>
      <c r="G1" s="22" t="s">
        <v>674</v>
      </c>
      <c r="H1" s="158" t="s">
        <v>675</v>
      </c>
      <c r="I1" s="158" t="s">
        <v>6</v>
      </c>
      <c r="J1" s="159" t="s">
        <v>503</v>
      </c>
      <c r="K1" s="158" t="s">
        <v>538</v>
      </c>
      <c r="L1" s="158" t="s">
        <v>539</v>
      </c>
      <c r="M1" s="158" t="s">
        <v>540</v>
      </c>
      <c r="N1" s="158" t="s">
        <v>541</v>
      </c>
      <c r="O1" s="22"/>
      <c r="P1" s="22"/>
      <c r="Q1" s="22"/>
    </row>
    <row r="2" customFormat="false" ht="15" hidden="false" customHeight="false" outlineLevel="0" collapsed="false">
      <c r="A2" s="160"/>
      <c r="B2" s="160"/>
      <c r="C2" s="160"/>
      <c r="D2" s="160"/>
      <c r="E2" s="160"/>
      <c r="F2" s="160"/>
      <c r="G2" s="160"/>
      <c r="H2" s="160"/>
      <c r="I2" s="161"/>
      <c r="J2" s="160"/>
      <c r="K2" s="160"/>
      <c r="L2" s="160"/>
      <c r="M2" s="160"/>
      <c r="N2" s="162"/>
      <c r="O2" s="6"/>
      <c r="P2" s="6"/>
      <c r="Q2" s="6"/>
    </row>
    <row r="3" customFormat="false" ht="15" hidden="false" customHeight="false" outlineLevel="0" collapsed="false">
      <c r="A3" s="160"/>
      <c r="B3" s="162"/>
      <c r="C3" s="160"/>
      <c r="D3" s="160"/>
      <c r="E3" s="160"/>
      <c r="F3" s="160"/>
      <c r="G3" s="160"/>
      <c r="H3" s="160"/>
      <c r="I3" s="160"/>
      <c r="J3" s="160"/>
      <c r="K3" s="162"/>
      <c r="L3" s="162"/>
      <c r="M3" s="162"/>
      <c r="N3" s="162"/>
      <c r="O3" s="6"/>
      <c r="P3" s="6"/>
      <c r="Q3" s="6"/>
    </row>
    <row r="4" customFormat="false" ht="15" hidden="false" customHeight="false" outlineLevel="0" collapsed="false">
      <c r="A4" s="160"/>
      <c r="B4" s="160"/>
      <c r="C4" s="160"/>
      <c r="D4" s="160"/>
      <c r="E4" s="160"/>
      <c r="F4" s="160"/>
      <c r="G4" s="160"/>
      <c r="H4" s="160"/>
      <c r="I4" s="161"/>
      <c r="J4" s="160"/>
      <c r="K4" s="162"/>
      <c r="L4" s="162"/>
      <c r="M4" s="162"/>
      <c r="N4" s="162"/>
      <c r="O4" s="6"/>
      <c r="P4" s="6"/>
      <c r="Q4" s="6"/>
    </row>
    <row r="5" customFormat="false" ht="15" hidden="false" customHeight="false" outlineLevel="0" collapsed="false">
      <c r="A5" s="160"/>
      <c r="B5" s="160"/>
      <c r="C5" s="160"/>
      <c r="D5" s="160"/>
      <c r="E5" s="160"/>
      <c r="F5" s="160"/>
      <c r="G5" s="160"/>
      <c r="H5" s="160"/>
      <c r="I5" s="160"/>
      <c r="J5" s="160"/>
      <c r="K5" s="162"/>
      <c r="L5" s="162"/>
      <c r="M5" s="162"/>
      <c r="N5" s="162"/>
      <c r="O5" s="6"/>
      <c r="P5" s="6"/>
      <c r="Q5" s="6"/>
    </row>
    <row r="6" customFormat="false" ht="15" hidden="false" customHeight="false" outlineLevel="0" collapsed="false">
      <c r="A6" s="32"/>
      <c r="B6" s="32"/>
      <c r="C6" s="32"/>
      <c r="D6" s="32"/>
      <c r="E6" s="32"/>
      <c r="F6" s="32"/>
      <c r="G6" s="32"/>
      <c r="H6" s="11"/>
      <c r="I6" s="32"/>
      <c r="J6" s="6"/>
      <c r="K6" s="6"/>
      <c r="L6" s="6"/>
      <c r="M6" s="6"/>
      <c r="N6" s="6"/>
      <c r="O6" s="6"/>
      <c r="P6" s="6"/>
      <c r="Q6" s="6"/>
    </row>
    <row r="7" customFormat="false" ht="18.75" hidden="false" customHeight="false" outlineLevel="0" collapsed="false">
      <c r="A7" s="32"/>
      <c r="B7" s="32"/>
      <c r="C7" s="32"/>
      <c r="D7" s="32"/>
      <c r="E7" s="32"/>
      <c r="F7" s="32"/>
      <c r="G7" s="32"/>
      <c r="H7" s="32"/>
      <c r="I7" s="163"/>
      <c r="J7" s="32"/>
      <c r="K7" s="32"/>
      <c r="L7" s="32"/>
      <c r="M7" s="32"/>
      <c r="N7" s="32"/>
      <c r="O7" s="6"/>
      <c r="P7" s="6"/>
      <c r="Q7" s="6"/>
    </row>
    <row r="8" customFormat="false" ht="18.75" hidden="false" customHeight="false" outlineLevel="0" collapsed="false">
      <c r="A8" s="32"/>
      <c r="B8" s="32"/>
      <c r="C8" s="32"/>
      <c r="D8" s="32"/>
      <c r="E8" s="32"/>
      <c r="F8" s="32"/>
      <c r="G8" s="32"/>
      <c r="H8" s="32"/>
      <c r="I8" s="163"/>
      <c r="J8" s="32"/>
      <c r="K8" s="32"/>
      <c r="L8" s="32"/>
      <c r="M8" s="32"/>
      <c r="N8" s="32"/>
      <c r="O8" s="6"/>
      <c r="P8" s="6"/>
      <c r="Q8" s="6"/>
    </row>
    <row r="9" customFormat="false" ht="15" hidden="false" customHeight="false" outlineLevel="0" collapsed="false">
      <c r="A9" s="35"/>
      <c r="B9" s="35"/>
      <c r="C9" s="35"/>
      <c r="D9" s="35"/>
      <c r="E9" s="35"/>
      <c r="F9" s="35"/>
      <c r="G9" s="35"/>
      <c r="H9" s="35"/>
      <c r="I9" s="35"/>
      <c r="J9" s="35"/>
      <c r="K9" s="35"/>
      <c r="L9" s="35"/>
      <c r="M9" s="35"/>
      <c r="N9" s="35"/>
    </row>
    <row r="10" customFormat="false" ht="15" hidden="false" customHeight="false" outlineLevel="0" collapsed="false">
      <c r="A10" s="35"/>
      <c r="B10" s="35"/>
      <c r="C10" s="35"/>
      <c r="D10" s="35"/>
      <c r="E10" s="35"/>
      <c r="F10" s="35"/>
      <c r="G10" s="35"/>
      <c r="H10" s="35"/>
      <c r="I10" s="35"/>
      <c r="J10" s="35"/>
      <c r="K10" s="35"/>
      <c r="L10" s="35"/>
      <c r="M10" s="35"/>
      <c r="N10" s="35"/>
    </row>
    <row r="11" customFormat="false" ht="15" hidden="false" customHeight="false" outlineLevel="0" collapsed="false">
      <c r="A11" s="4"/>
      <c r="B11" s="164"/>
      <c r="C11" s="164"/>
      <c r="D11" s="4"/>
      <c r="E11" s="164"/>
      <c r="F11" s="164"/>
      <c r="G11" s="164"/>
      <c r="H11" s="164"/>
      <c r="I11" s="164"/>
    </row>
    <row r="12" customFormat="false" ht="15" hidden="false" customHeight="false" outlineLevel="0" collapsed="false">
      <c r="A12" s="165"/>
      <c r="B12" s="165"/>
      <c r="C12" s="165"/>
      <c r="D12" s="165"/>
      <c r="E12" s="165"/>
      <c r="F12" s="165"/>
      <c r="G12" s="165"/>
      <c r="H12" s="165"/>
      <c r="I12" s="165"/>
    </row>
    <row r="13" customFormat="false" ht="15" hidden="false" customHeight="false" outlineLevel="0" collapsed="false">
      <c r="A13" s="165"/>
      <c r="B13" s="165"/>
      <c r="C13" s="165"/>
      <c r="D13" s="165"/>
      <c r="E13" s="165"/>
      <c r="F13" s="165"/>
      <c r="G13" s="165"/>
      <c r="H13" s="165"/>
      <c r="I13" s="165"/>
    </row>
    <row r="14" customFormat="false" ht="15" hidden="false" customHeight="false" outlineLevel="0" collapsed="false">
      <c r="A14" s="165"/>
      <c r="B14" s="165"/>
      <c r="C14" s="165"/>
      <c r="D14" s="165"/>
      <c r="E14" s="165"/>
      <c r="F14" s="165"/>
      <c r="G14" s="165"/>
      <c r="H14" s="165"/>
      <c r="I14" s="165"/>
    </row>
    <row r="15" customFormat="false" ht="15" hidden="false" customHeight="false" outlineLevel="0" collapsed="false">
      <c r="A15" s="165"/>
      <c r="B15" s="165"/>
      <c r="C15" s="165"/>
      <c r="D15" s="165"/>
      <c r="E15" s="165"/>
      <c r="F15" s="165"/>
      <c r="G15" s="165"/>
      <c r="H15" s="165"/>
      <c r="I15" s="165"/>
    </row>
    <row r="16" customFormat="false" ht="15" hidden="false" customHeight="false" outlineLevel="0" collapsed="false">
      <c r="A16" s="165"/>
      <c r="B16" s="165"/>
      <c r="C16" s="165"/>
      <c r="D16" s="165"/>
      <c r="E16" s="165"/>
      <c r="F16" s="165"/>
      <c r="G16" s="165"/>
      <c r="H16" s="165"/>
      <c r="I16" s="165"/>
    </row>
  </sheetData>
  <dataValidations count="3">
    <dataValidation allowBlank="true" operator="between" showDropDown="false" showErrorMessage="true" showInputMessage="true" sqref="I2" type="custom">
      <formula1>M1&lt;T2</formula1>
      <formula2>0</formula2>
    </dataValidation>
    <dataValidation allowBlank="true" operator="between" showDropDown="false" showErrorMessage="true" showInputMessage="true" sqref="I4" type="custom">
      <formula1>I15&lt;V25*10^6</formula1>
      <formula2>0</formula2>
    </dataValidation>
    <dataValidation allowBlank="true" operator="between" showDropDown="false" showErrorMessage="true" showInputMessage="true" sqref="B3" type="custom">
      <formula1>E3&lt;M3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L15" activeCellId="0" sqref="L15"/>
    </sheetView>
  </sheetViews>
  <sheetFormatPr defaultColWidth="8.5390625" defaultRowHeight="15" zeroHeight="false" outlineLevelRow="0" outlineLevelCol="0"/>
  <cols>
    <col collapsed="false" customWidth="true" hidden="false" outlineLevel="0" max="1" min="1" style="0" width="16"/>
    <col collapsed="false" customWidth="true" hidden="false" outlineLevel="0" max="2" min="2" style="0" width="12.71"/>
    <col collapsed="false" customWidth="true" hidden="false" outlineLevel="0" max="3" min="3" style="0" width="6.57"/>
    <col collapsed="false" customWidth="true" hidden="false" outlineLevel="0" max="5" min="5" style="0" width="9"/>
    <col collapsed="false" customWidth="true" hidden="false" outlineLevel="0" max="6" min="6" style="0" width="6.71"/>
    <col collapsed="false" customWidth="true" hidden="false" outlineLevel="0" max="7" min="7" style="0" width="17.28"/>
    <col collapsed="false" customWidth="true" hidden="false" outlineLevel="0" max="8" min="8" style="0" width="10.57"/>
    <col collapsed="false" customWidth="true" hidden="false" outlineLevel="0" max="9" min="9" style="0" width="11.57"/>
    <col collapsed="false" customWidth="true" hidden="false" outlineLevel="0" max="16" min="16" style="0" width="11"/>
  </cols>
  <sheetData>
    <row r="1" s="166" customFormat="true" ht="53.25" hidden="false" customHeight="true" outlineLevel="0" collapsed="false">
      <c r="A1" s="5" t="s">
        <v>0</v>
      </c>
      <c r="B1" s="5" t="s">
        <v>1</v>
      </c>
      <c r="C1" s="5" t="s">
        <v>2</v>
      </c>
      <c r="D1" s="5" t="s">
        <v>5</v>
      </c>
      <c r="E1" s="5" t="s">
        <v>673</v>
      </c>
      <c r="F1" s="166" t="s">
        <v>674</v>
      </c>
      <c r="G1" s="166" t="s">
        <v>676</v>
      </c>
      <c r="H1" s="166" t="s">
        <v>677</v>
      </c>
      <c r="I1" s="5" t="s">
        <v>6</v>
      </c>
      <c r="J1" s="5" t="s">
        <v>538</v>
      </c>
      <c r="K1" s="5" t="s">
        <v>539</v>
      </c>
      <c r="L1" s="5" t="s">
        <v>540</v>
      </c>
      <c r="M1" s="5" t="s">
        <v>541</v>
      </c>
      <c r="N1" s="167" t="s">
        <v>503</v>
      </c>
      <c r="O1" s="166" t="s">
        <v>536</v>
      </c>
    </row>
    <row r="2" customFormat="false" ht="15" hidden="false" customHeight="false" outlineLevel="0" collapsed="false">
      <c r="A2" s="168"/>
      <c r="B2" s="168"/>
      <c r="C2" s="168"/>
      <c r="D2" s="168"/>
      <c r="E2" s="168"/>
      <c r="F2" s="168"/>
      <c r="G2" s="169"/>
      <c r="H2" s="170"/>
      <c r="I2" s="171"/>
      <c r="J2" s="172"/>
      <c r="K2" s="172"/>
      <c r="L2" s="172"/>
      <c r="M2" s="168"/>
      <c r="N2" s="171"/>
      <c r="O2" s="171"/>
    </row>
    <row r="3" customFormat="false" ht="15" hidden="false" customHeight="false" outlineLevel="0" collapsed="false">
      <c r="A3" s="168"/>
      <c r="B3" s="168"/>
      <c r="C3" s="168"/>
      <c r="D3" s="168"/>
      <c r="E3" s="168"/>
      <c r="F3" s="168"/>
      <c r="G3" s="169"/>
      <c r="H3" s="170"/>
      <c r="I3" s="171"/>
      <c r="J3" s="172"/>
      <c r="K3" s="172"/>
      <c r="L3" s="172"/>
      <c r="M3" s="168"/>
      <c r="N3" s="171"/>
      <c r="O3" s="171"/>
    </row>
    <row r="4" customFormat="false" ht="15" hidden="false" customHeight="false" outlineLevel="0" collapsed="false">
      <c r="A4" s="168"/>
      <c r="B4" s="168"/>
      <c r="C4" s="168"/>
      <c r="D4" s="168"/>
      <c r="E4" s="168"/>
      <c r="F4" s="168"/>
      <c r="G4" s="169"/>
      <c r="H4" s="170"/>
      <c r="I4" s="171"/>
      <c r="J4" s="172"/>
      <c r="K4" s="172"/>
      <c r="L4" s="172"/>
      <c r="M4" s="168"/>
      <c r="N4" s="171"/>
      <c r="O4" s="171"/>
    </row>
    <row r="5" customFormat="false" ht="15" hidden="false" customHeight="false" outlineLevel="0" collapsed="false">
      <c r="A5" s="168"/>
      <c r="B5" s="168"/>
      <c r="C5" s="168"/>
      <c r="D5" s="168"/>
      <c r="E5" s="168"/>
      <c r="F5" s="168"/>
      <c r="G5" s="169"/>
      <c r="H5" s="170"/>
      <c r="I5" s="171"/>
      <c r="J5" s="171"/>
      <c r="K5" s="171"/>
      <c r="L5" s="171"/>
      <c r="M5" s="168"/>
      <c r="N5" s="171"/>
      <c r="O5" s="171"/>
    </row>
    <row r="6" customFormat="false" ht="15" hidden="false" customHeight="false" outlineLevel="0" collapsed="false">
      <c r="A6" s="168"/>
      <c r="B6" s="168"/>
      <c r="C6" s="168"/>
      <c r="D6" s="168"/>
      <c r="E6" s="168"/>
      <c r="F6" s="168"/>
      <c r="G6" s="169"/>
      <c r="H6" s="170"/>
      <c r="I6" s="171"/>
      <c r="J6" s="171"/>
      <c r="K6" s="171"/>
      <c r="L6" s="171"/>
      <c r="M6" s="168"/>
      <c r="N6" s="171"/>
      <c r="O6" s="171"/>
    </row>
    <row r="7" customFormat="false" ht="15" hidden="false" customHeight="false" outlineLevel="0" collapsed="false">
      <c r="A7" s="168"/>
      <c r="B7" s="168"/>
      <c r="C7" s="168"/>
      <c r="D7" s="168"/>
      <c r="E7" s="168"/>
      <c r="F7" s="168"/>
      <c r="G7" s="169"/>
      <c r="H7" s="170"/>
      <c r="I7" s="171"/>
      <c r="J7" s="171"/>
      <c r="K7" s="171"/>
      <c r="L7" s="171"/>
      <c r="M7" s="168"/>
      <c r="N7" s="171"/>
      <c r="O7" s="171"/>
    </row>
    <row r="8" customFormat="false" ht="15" hidden="false" customHeight="false" outlineLevel="0" collapsed="false">
      <c r="A8" s="168"/>
      <c r="B8" s="168"/>
      <c r="C8" s="168"/>
      <c r="D8" s="168"/>
      <c r="E8" s="168"/>
      <c r="F8" s="168"/>
      <c r="G8" s="169"/>
      <c r="H8" s="170"/>
      <c r="I8" s="171"/>
      <c r="J8" s="171"/>
      <c r="K8" s="171"/>
      <c r="L8" s="171"/>
      <c r="M8" s="168"/>
      <c r="N8" s="171"/>
      <c r="O8" s="171"/>
    </row>
    <row r="9" customFormat="false" ht="15" hidden="false" customHeight="false" outlineLevel="0" collapsed="false">
      <c r="A9" s="168"/>
      <c r="B9" s="168"/>
      <c r="C9" s="168"/>
      <c r="D9" s="168"/>
      <c r="E9" s="168"/>
      <c r="F9" s="168"/>
      <c r="G9" s="169"/>
      <c r="H9" s="170"/>
      <c r="I9" s="171"/>
      <c r="J9" s="171"/>
      <c r="K9" s="171"/>
      <c r="L9" s="171"/>
      <c r="M9" s="168"/>
      <c r="N9" s="171"/>
      <c r="O9" s="171"/>
    </row>
    <row r="10" customFormat="false" ht="15" hidden="false" customHeight="false" outlineLevel="0" collapsed="false">
      <c r="A10" s="168"/>
      <c r="B10" s="168"/>
      <c r="C10" s="168"/>
      <c r="D10" s="168"/>
      <c r="E10" s="168"/>
      <c r="F10" s="168"/>
      <c r="G10" s="169"/>
      <c r="H10" s="170"/>
      <c r="I10" s="171"/>
      <c r="J10" s="171"/>
      <c r="K10" s="171"/>
      <c r="L10" s="171"/>
      <c r="M10" s="168"/>
      <c r="N10" s="171"/>
      <c r="O10" s="171"/>
    </row>
    <row r="11" customFormat="false" ht="15" hidden="false" customHeight="false" outlineLevel="0" collapsed="false">
      <c r="A11" s="173"/>
      <c r="B11" s="173"/>
      <c r="C11" s="173"/>
      <c r="D11" s="173"/>
      <c r="E11" s="173"/>
      <c r="F11" s="173"/>
      <c r="G11" s="173"/>
      <c r="H11" s="173"/>
      <c r="I11" s="173"/>
    </row>
    <row r="12" customFormat="false" ht="15" hidden="false" customHeight="false" outlineLevel="0" collapsed="false">
      <c r="A12" s="173"/>
      <c r="B12" s="173"/>
      <c r="C12" s="173"/>
      <c r="D12" s="173"/>
      <c r="E12" s="173"/>
      <c r="F12" s="173"/>
      <c r="G12" s="173"/>
      <c r="H12" s="173"/>
      <c r="I12" s="173"/>
    </row>
    <row r="13" customFormat="false" ht="15" hidden="false" customHeight="false" outlineLevel="0" collapsed="false">
      <c r="A13" s="173"/>
      <c r="B13" s="173"/>
      <c r="C13" s="173"/>
      <c r="D13" s="173"/>
      <c r="E13" s="173"/>
      <c r="F13" s="173"/>
      <c r="G13" s="173"/>
      <c r="H13" s="173"/>
      <c r="I13" s="173"/>
    </row>
    <row r="14" customFormat="false" ht="15" hidden="false" customHeight="false" outlineLevel="0" collapsed="false">
      <c r="A14" s="173"/>
      <c r="B14" s="173"/>
      <c r="C14" s="173"/>
      <c r="D14" s="173"/>
      <c r="E14" s="173"/>
      <c r="F14" s="173"/>
      <c r="G14" s="173"/>
      <c r="H14" s="173"/>
      <c r="I14" s="173"/>
    </row>
    <row r="15" customFormat="false" ht="15" hidden="false" customHeight="false" outlineLevel="0" collapsed="false">
      <c r="A15" s="173"/>
      <c r="B15" s="173"/>
      <c r="C15" s="173"/>
      <c r="D15" s="173"/>
      <c r="E15" s="173"/>
      <c r="F15" s="173"/>
      <c r="G15" s="173"/>
      <c r="H15" s="173"/>
      <c r="I15" s="173"/>
    </row>
    <row r="16" customFormat="false" ht="15" hidden="false" customHeight="false" outlineLevel="0" collapsed="false">
      <c r="A16" s="173"/>
      <c r="B16" s="173"/>
      <c r="C16" s="173"/>
      <c r="D16" s="173"/>
      <c r="E16" s="173"/>
      <c r="F16" s="173"/>
      <c r="G16" s="173"/>
      <c r="H16" s="173"/>
      <c r="I16" s="173"/>
    </row>
    <row r="17" customFormat="false" ht="15" hidden="false" customHeight="false" outlineLevel="0" collapsed="false">
      <c r="A17" s="173"/>
      <c r="B17" s="173"/>
      <c r="C17" s="173"/>
      <c r="D17" s="173"/>
      <c r="E17" s="173"/>
      <c r="F17" s="173"/>
      <c r="G17" s="173"/>
      <c r="H17" s="173"/>
      <c r="I17" s="173"/>
    </row>
    <row r="18" customFormat="false" ht="15" hidden="false" customHeight="false" outlineLevel="0" collapsed="false">
      <c r="A18" s="173"/>
      <c r="B18" s="173"/>
      <c r="C18" s="173"/>
      <c r="D18" s="173"/>
      <c r="E18" s="173"/>
      <c r="F18" s="173"/>
      <c r="G18" s="173"/>
      <c r="H18" s="173"/>
      <c r="I18" s="173"/>
    </row>
    <row r="19" customFormat="false" ht="15" hidden="false" customHeight="false" outlineLevel="0" collapsed="false">
      <c r="A19" s="173"/>
      <c r="B19" s="173"/>
      <c r="C19" s="173"/>
      <c r="D19" s="173"/>
      <c r="E19" s="173"/>
      <c r="F19" s="173"/>
      <c r="G19" s="173"/>
      <c r="H19" s="173"/>
      <c r="I19" s="173"/>
    </row>
    <row r="20" customFormat="false" ht="15" hidden="false" customHeight="false" outlineLevel="0" collapsed="false">
      <c r="A20" s="173"/>
      <c r="B20" s="173"/>
      <c r="C20" s="173"/>
      <c r="D20" s="173"/>
      <c r="E20" s="173"/>
      <c r="F20" s="173"/>
      <c r="G20" s="38"/>
      <c r="H20" s="173"/>
      <c r="I20" s="173"/>
    </row>
    <row r="21" customFormat="false" ht="15" hidden="false" customHeight="false" outlineLevel="0" collapsed="false">
      <c r="A21" s="173"/>
      <c r="B21" s="173"/>
      <c r="C21" s="173"/>
      <c r="D21" s="173"/>
      <c r="E21" s="173"/>
      <c r="F21" s="173"/>
      <c r="G21" s="38"/>
      <c r="H21" s="173"/>
      <c r="I21" s="173"/>
    </row>
    <row r="22" customFormat="false" ht="15" hidden="false" customHeight="false" outlineLevel="0" collapsed="false">
      <c r="A22" s="173"/>
      <c r="B22" s="173"/>
      <c r="C22" s="173"/>
      <c r="D22" s="173"/>
      <c r="E22" s="173"/>
      <c r="F22" s="173"/>
      <c r="G22" s="38"/>
      <c r="H22" s="173"/>
      <c r="I22" s="173"/>
    </row>
    <row r="23" customFormat="false" ht="15" hidden="false" customHeight="false" outlineLevel="0" collapsed="false">
      <c r="A23" s="173"/>
      <c r="B23" s="173"/>
      <c r="C23" s="173"/>
      <c r="D23" s="173"/>
      <c r="E23" s="173"/>
      <c r="F23" s="173"/>
      <c r="G23" s="38"/>
      <c r="H23" s="173"/>
      <c r="I23" s="173"/>
    </row>
    <row r="24" customFormat="false" ht="15" hidden="false" customHeight="false" outlineLevel="0" collapsed="false">
      <c r="A24" s="173"/>
      <c r="B24" s="173"/>
      <c r="C24" s="173"/>
      <c r="D24" s="173"/>
      <c r="E24" s="173"/>
      <c r="F24" s="173"/>
      <c r="G24" s="38"/>
      <c r="H24" s="173"/>
      <c r="I24" s="173"/>
    </row>
    <row r="25" customFormat="false" ht="15" hidden="false" customHeight="false" outlineLevel="0" collapsed="false">
      <c r="A25" s="173"/>
      <c r="B25" s="173"/>
      <c r="C25" s="173"/>
      <c r="D25" s="173"/>
      <c r="E25" s="173"/>
      <c r="F25" s="173"/>
      <c r="G25" s="38"/>
      <c r="H25" s="173"/>
      <c r="I25" s="173"/>
    </row>
    <row r="26" customFormat="false" ht="15" hidden="false" customHeight="false" outlineLevel="0" collapsed="false">
      <c r="A26" s="173"/>
      <c r="B26" s="173"/>
      <c r="C26" s="173"/>
      <c r="D26" s="173"/>
      <c r="E26" s="173"/>
      <c r="F26" s="173"/>
      <c r="G26" s="38"/>
      <c r="H26" s="173"/>
      <c r="I26" s="173"/>
    </row>
    <row r="27" customFormat="false" ht="15" hidden="false" customHeight="false" outlineLevel="0" collapsed="false">
      <c r="A27" s="173"/>
      <c r="B27" s="173"/>
      <c r="C27" s="173"/>
      <c r="D27" s="173"/>
      <c r="E27" s="173"/>
      <c r="F27" s="173"/>
      <c r="G27" s="38"/>
      <c r="H27" s="173"/>
      <c r="I27" s="173"/>
    </row>
    <row r="28" customFormat="false" ht="15" hidden="false" customHeight="false" outlineLevel="0" collapsed="false">
      <c r="A28" s="173"/>
      <c r="B28" s="173"/>
      <c r="C28" s="173"/>
      <c r="D28" s="173"/>
      <c r="E28" s="173"/>
      <c r="F28" s="173"/>
      <c r="G28" s="38"/>
      <c r="H28" s="173"/>
      <c r="I28" s="173"/>
    </row>
    <row r="29" customFormat="false" ht="15" hidden="false" customHeight="false" outlineLevel="0" collapsed="false">
      <c r="G29" s="3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6600"/>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5390625" defaultRowHeight="15" zeroHeight="false" outlineLevelRow="0" outlineLevelCol="0"/>
  <cols>
    <col collapsed="false" customWidth="true" hidden="false" outlineLevel="0" max="1" min="1" style="0" width="38"/>
    <col collapsed="false" customWidth="true" hidden="false" outlineLevel="0" max="2" min="2" style="35" width="16.71"/>
    <col collapsed="false" customWidth="true" hidden="false" outlineLevel="0" max="3" min="3" style="35" width="17.71"/>
  </cols>
  <sheetData>
    <row r="1" customFormat="false" ht="15" hidden="false" customHeight="false" outlineLevel="0" collapsed="false">
      <c r="A1" s="0" t="s">
        <v>678</v>
      </c>
      <c r="B1" s="35" t="n">
        <v>1</v>
      </c>
      <c r="C1" s="35" t="n">
        <v>2</v>
      </c>
    </row>
    <row r="2" customFormat="false" ht="15" hidden="false" customHeight="false" outlineLevel="0" collapsed="false">
      <c r="B2" s="35" t="s">
        <v>539</v>
      </c>
      <c r="C2" s="35" t="s">
        <v>540</v>
      </c>
    </row>
    <row r="3" customFormat="false" ht="15" hidden="false" customHeight="false" outlineLevel="0" collapsed="false">
      <c r="A3" s="0" t="s">
        <v>679</v>
      </c>
      <c r="B3" s="35" t="n">
        <v>0</v>
      </c>
      <c r="C3" s="35" t="n">
        <v>0</v>
      </c>
    </row>
    <row r="5" customFormat="false" ht="15" hidden="false" customHeight="false" outlineLevel="0" collapsed="false">
      <c r="A5" s="0" t="s">
        <v>680</v>
      </c>
    </row>
    <row r="6" customFormat="false" ht="15" hidden="false" customHeight="false" outlineLevel="0" collapsed="false">
      <c r="B6" s="35" t="s">
        <v>681</v>
      </c>
      <c r="C6" s="35" t="s">
        <v>682</v>
      </c>
    </row>
    <row r="7" customFormat="false" ht="15" hidden="false" customHeight="false" outlineLevel="0" collapsed="false">
      <c r="A7" s="0" t="s">
        <v>683</v>
      </c>
      <c r="B7" s="174" t="n">
        <v>1.3</v>
      </c>
      <c r="C7" s="175" t="n">
        <v>0.7</v>
      </c>
    </row>
    <row r="8" customFormat="false" ht="15" hidden="false" customHeight="false" outlineLevel="0" collapsed="false">
      <c r="B8" s="176"/>
      <c r="C8" s="177"/>
    </row>
    <row r="9" customFormat="false" ht="15" hidden="false" customHeight="false" outlineLevel="0" collapsed="false">
      <c r="B9" s="176" t="s">
        <v>684</v>
      </c>
      <c r="C9" s="177" t="s">
        <v>685</v>
      </c>
    </row>
    <row r="10" customFormat="false" ht="15" hidden="false" customHeight="false" outlineLevel="0" collapsed="false">
      <c r="A10" s="0" t="s">
        <v>686</v>
      </c>
      <c r="B10" s="178" t="n">
        <v>6000</v>
      </c>
      <c r="C10" s="178" t="n">
        <v>2</v>
      </c>
    </row>
    <row r="12" customFormat="false" ht="15" hidden="false" customHeight="false" outlineLevel="0" collapsed="false">
      <c r="B12" s="35" t="s">
        <v>684</v>
      </c>
    </row>
    <row r="13" customFormat="false" ht="15" hidden="false" customHeight="false" outlineLevel="0" collapsed="false">
      <c r="A13" s="0" t="s">
        <v>687</v>
      </c>
      <c r="B13" s="178" t="n">
        <f aca="false">B10*24</f>
        <v>144000</v>
      </c>
    </row>
    <row r="15" customFormat="false" ht="15" hidden="false" customHeight="false" outlineLevel="0" collapsed="false">
      <c r="B15" s="35" t="s">
        <v>688</v>
      </c>
      <c r="C15" s="35" t="s">
        <v>689</v>
      </c>
    </row>
    <row r="16" customFormat="false" ht="15" hidden="false" customHeight="false" outlineLevel="0" collapsed="false">
      <c r="A16" s="0" t="s">
        <v>690</v>
      </c>
      <c r="B16" s="178" t="n">
        <v>1000</v>
      </c>
      <c r="C16" s="178" t="n">
        <v>-1000</v>
      </c>
    </row>
    <row r="18" customFormat="false" ht="15" hidden="false" customHeight="false" outlineLevel="0" collapsed="false">
      <c r="B18" s="35" t="s">
        <v>691</v>
      </c>
      <c r="C18" s="35" t="s">
        <v>692</v>
      </c>
    </row>
    <row r="19" customFormat="false" ht="15" hidden="false" customHeight="false" outlineLevel="0" collapsed="false">
      <c r="A19" s="0" t="s">
        <v>693</v>
      </c>
      <c r="B19" s="179" t="n">
        <v>1</v>
      </c>
      <c r="C19" s="179"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6600"/>
    <pageSetUpPr fitToPage="false"/>
  </sheetPr>
  <dimension ref="A1:E111"/>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C13" activeCellId="0" sqref="C13"/>
    </sheetView>
  </sheetViews>
  <sheetFormatPr defaultColWidth="8.5390625" defaultRowHeight="13.8" zeroHeight="false" outlineLevelRow="0" outlineLevelCol="0"/>
  <cols>
    <col collapsed="false" customWidth="true" hidden="false" outlineLevel="0" max="1" min="1" style="0" width="19.14"/>
    <col collapsed="false" customWidth="true" hidden="false" outlineLevel="0" max="2" min="2" style="0" width="18.57"/>
    <col collapsed="false" customWidth="true" hidden="false" outlineLevel="0" max="3" min="3" style="0" width="22.28"/>
    <col collapsed="false" customWidth="true" hidden="false" outlineLevel="0" max="4" min="4" style="0" width="15.43"/>
    <col collapsed="false" customWidth="true" hidden="false" outlineLevel="0" max="5" min="5" style="0" width="10.43"/>
    <col collapsed="false" customWidth="true" hidden="false" outlineLevel="0" max="1024" min="1023" style="0" width="9.14"/>
  </cols>
  <sheetData>
    <row r="1" customFormat="false" ht="13.8" hidden="false" customHeight="false" outlineLevel="0" collapsed="false">
      <c r="A1" s="49" t="s">
        <v>694</v>
      </c>
      <c r="B1" s="49" t="s">
        <v>695</v>
      </c>
      <c r="C1" s="49" t="s">
        <v>6</v>
      </c>
      <c r="D1" s="49" t="s">
        <v>696</v>
      </c>
      <c r="E1" s="49" t="s">
        <v>697</v>
      </c>
    </row>
    <row r="2" customFormat="false" ht="13.8" hidden="false" customHeight="false" outlineLevel="0" collapsed="false">
      <c r="A2" s="180" t="s">
        <v>698</v>
      </c>
      <c r="B2" s="181" t="n">
        <v>0.33</v>
      </c>
      <c r="C2" s="0" t="s">
        <v>28</v>
      </c>
      <c r="D2" s="182" t="n">
        <v>0.00145503355245576</v>
      </c>
      <c r="E2" s="183" t="n">
        <v>40</v>
      </c>
    </row>
    <row r="3" customFormat="false" ht="13.8" hidden="false" customHeight="false" outlineLevel="0" collapsed="false">
      <c r="A3" s="180" t="s">
        <v>699</v>
      </c>
      <c r="B3" s="181" t="n">
        <v>0.2</v>
      </c>
      <c r="C3" s="0" t="s">
        <v>28</v>
      </c>
      <c r="D3" s="182" t="n">
        <v>0.00101345176642084</v>
      </c>
      <c r="E3" s="183" t="n">
        <v>41</v>
      </c>
    </row>
    <row r="4" customFormat="false" ht="13.8" hidden="false" customHeight="false" outlineLevel="0" collapsed="false">
      <c r="A4" s="180" t="s">
        <v>700</v>
      </c>
      <c r="B4" s="181" t="n">
        <v>0.25</v>
      </c>
      <c r="C4" s="0" t="s">
        <v>551</v>
      </c>
      <c r="D4" s="182" t="n">
        <v>0.00159121906140569</v>
      </c>
      <c r="E4" s="183" t="n">
        <v>14</v>
      </c>
    </row>
    <row r="5" customFormat="false" ht="13.8" hidden="false" customHeight="false" outlineLevel="0" collapsed="false">
      <c r="A5" s="180" t="s">
        <v>701</v>
      </c>
      <c r="B5" s="181" t="n">
        <v>0.2</v>
      </c>
      <c r="C5" s="0" t="s">
        <v>551</v>
      </c>
      <c r="D5" s="182" t="n">
        <v>0.00205578409002525</v>
      </c>
      <c r="E5" s="183" t="n">
        <v>15</v>
      </c>
    </row>
    <row r="6" customFormat="false" ht="13.8" hidden="false" customHeight="false" outlineLevel="0" collapsed="false">
      <c r="A6" s="180" t="s">
        <v>702</v>
      </c>
      <c r="B6" s="181" t="n">
        <v>0.125</v>
      </c>
      <c r="C6" s="0" t="s">
        <v>551</v>
      </c>
      <c r="D6" s="182" t="n">
        <v>0.000701035744225339</v>
      </c>
      <c r="E6" s="183" t="n">
        <v>16</v>
      </c>
    </row>
    <row r="7" customFormat="false" ht="13.8" hidden="false" customHeight="false" outlineLevel="0" collapsed="false">
      <c r="A7" s="180" t="s">
        <v>703</v>
      </c>
      <c r="B7" s="181" t="n">
        <v>0.125</v>
      </c>
      <c r="C7" s="0" t="s">
        <v>551</v>
      </c>
      <c r="D7" s="182" t="n">
        <v>0.00600310711370359</v>
      </c>
      <c r="E7" s="183" t="n">
        <v>18</v>
      </c>
    </row>
    <row r="8" customFormat="false" ht="13.8" hidden="false" customHeight="false" outlineLevel="0" collapsed="false">
      <c r="A8" s="180" t="s">
        <v>704</v>
      </c>
      <c r="B8" s="181" t="n">
        <v>0.2</v>
      </c>
      <c r="C8" s="0" t="s">
        <v>14</v>
      </c>
      <c r="D8" s="182" t="n">
        <v>0.00101345176642084</v>
      </c>
      <c r="E8" s="183" t="n">
        <v>41</v>
      </c>
    </row>
    <row r="9" customFormat="false" ht="13.8" hidden="false" customHeight="false" outlineLevel="0" collapsed="false">
      <c r="A9" s="180" t="s">
        <v>705</v>
      </c>
      <c r="B9" s="181" t="n">
        <v>0.33</v>
      </c>
      <c r="C9" s="0" t="s">
        <v>14</v>
      </c>
      <c r="D9" s="182" t="n">
        <v>0.0023024064999397</v>
      </c>
      <c r="E9" s="183" t="n">
        <v>42</v>
      </c>
    </row>
    <row r="10" customFormat="false" ht="13.8" hidden="false" customHeight="false" outlineLevel="0" collapsed="false">
      <c r="A10" s="180" t="s">
        <v>706</v>
      </c>
      <c r="B10" s="181" t="n">
        <v>0.2</v>
      </c>
      <c r="C10" s="0" t="s">
        <v>554</v>
      </c>
      <c r="D10" s="182" t="n">
        <v>0.00101345176642084</v>
      </c>
      <c r="E10" s="183" t="n">
        <v>41</v>
      </c>
    </row>
    <row r="11" customFormat="false" ht="13.8" hidden="false" customHeight="false" outlineLevel="0" collapsed="false">
      <c r="A11" s="180" t="s">
        <v>707</v>
      </c>
      <c r="B11" s="181" t="n">
        <v>0.33</v>
      </c>
      <c r="C11" s="0" t="s">
        <v>554</v>
      </c>
      <c r="D11" s="182" t="n">
        <v>0.0023024064999397</v>
      </c>
      <c r="E11" s="183" t="n">
        <v>42</v>
      </c>
    </row>
    <row r="12" customFormat="false" ht="13.8" hidden="false" customHeight="false" outlineLevel="0" collapsed="false">
      <c r="A12" s="180" t="s">
        <v>708</v>
      </c>
      <c r="B12" s="181" t="n">
        <v>0.2</v>
      </c>
      <c r="C12" s="0" t="s">
        <v>662</v>
      </c>
      <c r="D12" s="182" t="n">
        <v>0.00101345176642084</v>
      </c>
      <c r="E12" s="183" t="n">
        <v>41</v>
      </c>
    </row>
    <row r="13" customFormat="false" ht="13.8" hidden="false" customHeight="false" outlineLevel="0" collapsed="false">
      <c r="A13" s="180" t="s">
        <v>709</v>
      </c>
      <c r="B13" s="181" t="n">
        <v>0.33</v>
      </c>
      <c r="C13" s="0" t="s">
        <v>662</v>
      </c>
      <c r="D13" s="182" t="n">
        <v>0.0023024064999397</v>
      </c>
      <c r="E13" s="183" t="n">
        <v>42</v>
      </c>
    </row>
    <row r="14" customFormat="false" ht="13.8" hidden="false" customHeight="false" outlineLevel="0" collapsed="false">
      <c r="A14" s="180" t="s">
        <v>710</v>
      </c>
      <c r="B14" s="181" t="n">
        <v>0.125</v>
      </c>
      <c r="C14" s="0" t="s">
        <v>43</v>
      </c>
      <c r="D14" s="182" t="n">
        <v>0.000701035744225339</v>
      </c>
      <c r="E14" s="183" t="n">
        <v>16</v>
      </c>
    </row>
    <row r="15" customFormat="false" ht="13.8" hidden="false" customHeight="false" outlineLevel="0" collapsed="false">
      <c r="A15" s="180" t="s">
        <v>711</v>
      </c>
      <c r="B15" s="181" t="n">
        <v>0.125</v>
      </c>
      <c r="C15" s="0" t="s">
        <v>43</v>
      </c>
      <c r="D15" s="182" t="n">
        <v>0.00600310711370359</v>
      </c>
      <c r="E15" s="183" t="n">
        <v>18</v>
      </c>
    </row>
    <row r="16" customFormat="false" ht="13.8" hidden="false" customHeight="false" outlineLevel="0" collapsed="false">
      <c r="A16" s="180" t="s">
        <v>712</v>
      </c>
      <c r="B16" s="181" t="n">
        <v>0.17</v>
      </c>
      <c r="C16" s="0" t="s">
        <v>43</v>
      </c>
      <c r="D16" s="182" t="n">
        <v>0.014030160551806</v>
      </c>
      <c r="E16" s="183" t="n">
        <v>19</v>
      </c>
    </row>
    <row r="17" customFormat="false" ht="13.8" hidden="false" customHeight="false" outlineLevel="0" collapsed="false">
      <c r="A17" s="180" t="s">
        <v>713</v>
      </c>
      <c r="B17" s="181" t="n">
        <v>0.25</v>
      </c>
      <c r="C17" s="0" t="s">
        <v>43</v>
      </c>
      <c r="D17" s="182" t="n">
        <v>0.0507783808358021</v>
      </c>
      <c r="E17" s="183" t="n">
        <v>20</v>
      </c>
    </row>
    <row r="18" customFormat="false" ht="13.8" hidden="false" customHeight="false" outlineLevel="0" collapsed="false">
      <c r="A18" s="180" t="s">
        <v>714</v>
      </c>
      <c r="B18" s="181" t="n">
        <v>0.125</v>
      </c>
      <c r="C18" s="0" t="s">
        <v>89</v>
      </c>
      <c r="D18" s="182" t="n">
        <v>0.000701035744225339</v>
      </c>
      <c r="E18" s="183" t="n">
        <v>16</v>
      </c>
    </row>
    <row r="19" customFormat="false" ht="13.8" hidden="false" customHeight="false" outlineLevel="0" collapsed="false">
      <c r="A19" s="180" t="s">
        <v>715</v>
      </c>
      <c r="B19" s="181" t="n">
        <v>0.125</v>
      </c>
      <c r="C19" s="0" t="s">
        <v>89</v>
      </c>
      <c r="D19" s="182" t="n">
        <v>0.00600310711370359</v>
      </c>
      <c r="E19" s="183" t="n">
        <v>18</v>
      </c>
    </row>
    <row r="20" customFormat="false" ht="13.8" hidden="false" customHeight="false" outlineLevel="0" collapsed="false">
      <c r="A20" s="180" t="s">
        <v>716</v>
      </c>
      <c r="B20" s="181" t="n">
        <v>0.17</v>
      </c>
      <c r="C20" s="0" t="s">
        <v>89</v>
      </c>
      <c r="D20" s="182" t="n">
        <v>0.014030160551806</v>
      </c>
      <c r="E20" s="183" t="n">
        <v>19</v>
      </c>
    </row>
    <row r="21" customFormat="false" ht="13.8" hidden="false" customHeight="false" outlineLevel="0" collapsed="false">
      <c r="A21" s="180" t="s">
        <v>717</v>
      </c>
      <c r="B21" s="181" t="n">
        <v>0.25</v>
      </c>
      <c r="C21" s="0" t="s">
        <v>89</v>
      </c>
      <c r="D21" s="182" t="n">
        <v>0.0507783808358021</v>
      </c>
      <c r="E21" s="183" t="n">
        <v>20</v>
      </c>
    </row>
    <row r="22" customFormat="false" ht="13.8" hidden="false" customHeight="false" outlineLevel="0" collapsed="false">
      <c r="A22" s="180" t="s">
        <v>718</v>
      </c>
      <c r="B22" s="181" t="n">
        <v>0.25</v>
      </c>
      <c r="C22" s="0" t="s">
        <v>663</v>
      </c>
      <c r="D22" s="182" t="n">
        <v>0.00159121906140569</v>
      </c>
      <c r="E22" s="183" t="n">
        <v>14</v>
      </c>
    </row>
    <row r="23" customFormat="false" ht="13.8" hidden="false" customHeight="false" outlineLevel="0" collapsed="false">
      <c r="A23" s="180" t="s">
        <v>719</v>
      </c>
      <c r="B23" s="181" t="n">
        <v>0.2</v>
      </c>
      <c r="C23" s="0" t="s">
        <v>663</v>
      </c>
      <c r="D23" s="182" t="n">
        <v>0.00205578409002525</v>
      </c>
      <c r="E23" s="183" t="n">
        <v>15</v>
      </c>
    </row>
    <row r="24" customFormat="false" ht="13.8" hidden="false" customHeight="false" outlineLevel="0" collapsed="false">
      <c r="A24" s="180" t="s">
        <v>720</v>
      </c>
      <c r="B24" s="181" t="n">
        <v>0.125</v>
      </c>
      <c r="C24" s="0" t="s">
        <v>663</v>
      </c>
      <c r="D24" s="182" t="n">
        <v>0.000701035744225339</v>
      </c>
      <c r="E24" s="183" t="n">
        <v>16</v>
      </c>
    </row>
    <row r="25" customFormat="false" ht="13.8" hidden="false" customHeight="false" outlineLevel="0" collapsed="false">
      <c r="A25" s="180" t="s">
        <v>721</v>
      </c>
      <c r="B25" s="181" t="n">
        <v>0.125</v>
      </c>
      <c r="C25" s="0" t="s">
        <v>663</v>
      </c>
      <c r="D25" s="182" t="n">
        <v>0.00600310711370359</v>
      </c>
      <c r="E25" s="183" t="n">
        <v>18</v>
      </c>
    </row>
    <row r="26" customFormat="false" ht="13.8" hidden="false" customHeight="false" outlineLevel="0" collapsed="false">
      <c r="A26" s="180" t="s">
        <v>722</v>
      </c>
      <c r="B26" s="181" t="n">
        <v>0.25</v>
      </c>
      <c r="C26" s="0" t="s">
        <v>664</v>
      </c>
      <c r="D26" s="182" t="n">
        <v>0.00159121906140569</v>
      </c>
      <c r="E26" s="183" t="n">
        <v>14</v>
      </c>
    </row>
    <row r="27" customFormat="false" ht="13.8" hidden="false" customHeight="false" outlineLevel="0" collapsed="false">
      <c r="A27" s="180" t="s">
        <v>723</v>
      </c>
      <c r="B27" s="181" t="n">
        <v>0.2</v>
      </c>
      <c r="C27" s="0" t="s">
        <v>664</v>
      </c>
      <c r="D27" s="182" t="n">
        <v>0.00205578409002525</v>
      </c>
      <c r="E27" s="183" t="n">
        <v>15</v>
      </c>
    </row>
    <row r="28" customFormat="false" ht="13.8" hidden="false" customHeight="false" outlineLevel="0" collapsed="false">
      <c r="A28" s="180" t="s">
        <v>724</v>
      </c>
      <c r="B28" s="181" t="n">
        <v>0.125</v>
      </c>
      <c r="C28" s="0" t="s">
        <v>664</v>
      </c>
      <c r="D28" s="182" t="n">
        <v>0.000701035744225339</v>
      </c>
      <c r="E28" s="183" t="n">
        <v>16</v>
      </c>
    </row>
    <row r="29" customFormat="false" ht="13.8" hidden="false" customHeight="false" outlineLevel="0" collapsed="false">
      <c r="A29" s="180" t="s">
        <v>725</v>
      </c>
      <c r="B29" s="181" t="n">
        <v>0.125</v>
      </c>
      <c r="C29" s="0" t="s">
        <v>664</v>
      </c>
      <c r="D29" s="182" t="n">
        <v>0.00600310711370359</v>
      </c>
      <c r="E29" s="183" t="n">
        <v>18</v>
      </c>
    </row>
    <row r="30" customFormat="false" ht="13.8" hidden="false" customHeight="false" outlineLevel="0" collapsed="false">
      <c r="A30" s="180" t="s">
        <v>726</v>
      </c>
      <c r="B30" s="181" t="n">
        <v>0.5</v>
      </c>
      <c r="C30" s="0" t="s">
        <v>21</v>
      </c>
      <c r="D30" s="182" t="n">
        <v>0.0178328517676403</v>
      </c>
      <c r="E30" s="183" t="n">
        <v>43</v>
      </c>
    </row>
    <row r="31" customFormat="false" ht="13.8" hidden="false" customHeight="false" outlineLevel="0" collapsed="false">
      <c r="A31" s="180" t="s">
        <v>727</v>
      </c>
      <c r="B31" s="181" t="n">
        <v>0.25</v>
      </c>
      <c r="C31" s="0" t="s">
        <v>18</v>
      </c>
      <c r="D31" s="182" t="n">
        <v>0.00159121906140569</v>
      </c>
      <c r="E31" s="183" t="n">
        <v>14</v>
      </c>
    </row>
    <row r="32" customFormat="false" ht="13.8" hidden="false" customHeight="false" outlineLevel="0" collapsed="false">
      <c r="A32" s="180" t="s">
        <v>728</v>
      </c>
      <c r="B32" s="181" t="n">
        <v>0.2</v>
      </c>
      <c r="C32" s="0" t="s">
        <v>18</v>
      </c>
      <c r="D32" s="182" t="n">
        <v>0.00205578409002525</v>
      </c>
      <c r="E32" s="183" t="n">
        <v>15</v>
      </c>
    </row>
    <row r="33" customFormat="false" ht="13.8" hidden="false" customHeight="false" outlineLevel="0" collapsed="false">
      <c r="A33" s="180" t="s">
        <v>729</v>
      </c>
      <c r="B33" s="181" t="n">
        <v>0.125</v>
      </c>
      <c r="C33" s="0" t="s">
        <v>18</v>
      </c>
      <c r="D33" s="182" t="n">
        <v>0.000701035744225339</v>
      </c>
      <c r="E33" s="183" t="n">
        <v>16</v>
      </c>
    </row>
    <row r="34" customFormat="false" ht="13.8" hidden="false" customHeight="false" outlineLevel="0" collapsed="false">
      <c r="A34" s="180" t="s">
        <v>730</v>
      </c>
      <c r="B34" s="181" t="n">
        <v>0.125</v>
      </c>
      <c r="C34" s="0" t="s">
        <v>18</v>
      </c>
      <c r="D34" s="182" t="n">
        <v>0.00600310711370359</v>
      </c>
      <c r="E34" s="183" t="n">
        <v>18</v>
      </c>
    </row>
    <row r="35" customFormat="false" ht="13.8" hidden="false" customHeight="false" outlineLevel="0" collapsed="false">
      <c r="A35" s="180" t="s">
        <v>731</v>
      </c>
      <c r="B35" s="181" t="n">
        <v>0.17</v>
      </c>
      <c r="C35" s="0" t="s">
        <v>18</v>
      </c>
      <c r="D35" s="182" t="n">
        <v>0.014030160551806</v>
      </c>
      <c r="E35" s="183" t="n">
        <v>19</v>
      </c>
    </row>
    <row r="36" customFormat="false" ht="13.8" hidden="false" customHeight="false" outlineLevel="0" collapsed="false">
      <c r="A36" s="180" t="s">
        <v>732</v>
      </c>
      <c r="B36" s="181" t="n">
        <v>0.25</v>
      </c>
      <c r="C36" s="0" t="s">
        <v>18</v>
      </c>
      <c r="D36" s="182" t="n">
        <v>0.0507783808358021</v>
      </c>
      <c r="E36" s="183" t="n">
        <v>20</v>
      </c>
    </row>
    <row r="37" customFormat="false" ht="13.8" hidden="false" customHeight="false" outlineLevel="0" collapsed="false">
      <c r="A37" s="180" t="s">
        <v>733</v>
      </c>
      <c r="B37" s="181" t="n">
        <v>1</v>
      </c>
      <c r="C37" s="0" t="s">
        <v>41</v>
      </c>
      <c r="D37" s="182" t="n">
        <v>0.00761378932094553</v>
      </c>
      <c r="E37" s="183" t="n">
        <v>47</v>
      </c>
    </row>
    <row r="38" customFormat="false" ht="13.8" hidden="false" customHeight="false" outlineLevel="0" collapsed="false">
      <c r="A38" s="180" t="s">
        <v>734</v>
      </c>
      <c r="B38" s="181" t="n">
        <v>0.5</v>
      </c>
      <c r="C38" s="0" t="s">
        <v>41</v>
      </c>
      <c r="D38" s="182" t="n">
        <v>0.00309142421448825</v>
      </c>
      <c r="E38" s="183" t="n">
        <v>48</v>
      </c>
    </row>
    <row r="39" customFormat="false" ht="13.8" hidden="false" customHeight="false" outlineLevel="0" collapsed="false">
      <c r="A39" s="180" t="s">
        <v>735</v>
      </c>
      <c r="B39" s="181" t="n">
        <v>0.5</v>
      </c>
      <c r="C39" s="0" t="s">
        <v>41</v>
      </c>
      <c r="D39" s="182" t="n">
        <v>0.00159214853350866</v>
      </c>
      <c r="E39" s="183" t="n">
        <v>49</v>
      </c>
    </row>
    <row r="40" customFormat="false" ht="13.8" hidden="false" customHeight="false" outlineLevel="0" collapsed="false">
      <c r="A40" s="180" t="s">
        <v>736</v>
      </c>
      <c r="B40" s="181" t="n">
        <v>1</v>
      </c>
      <c r="C40" s="0" t="s">
        <v>41</v>
      </c>
      <c r="D40" s="182" t="n">
        <v>0.000985612217992587</v>
      </c>
      <c r="E40" s="183" t="n">
        <v>51</v>
      </c>
    </row>
    <row r="41" customFormat="false" ht="13.8" hidden="false" customHeight="false" outlineLevel="0" collapsed="false">
      <c r="A41" s="180" t="s">
        <v>737</v>
      </c>
      <c r="B41" s="181" t="n">
        <v>1</v>
      </c>
      <c r="C41" s="0" t="s">
        <v>41</v>
      </c>
      <c r="D41" s="182" t="n">
        <v>0.00160211247445253</v>
      </c>
      <c r="E41" s="183" t="n">
        <v>52</v>
      </c>
    </row>
    <row r="42" customFormat="false" ht="13.8" hidden="false" customHeight="false" outlineLevel="0" collapsed="false">
      <c r="A42" s="180" t="s">
        <v>738</v>
      </c>
      <c r="B42" s="181" t="n">
        <v>1</v>
      </c>
      <c r="C42" s="0" t="s">
        <v>41</v>
      </c>
      <c r="D42" s="182" t="n">
        <v>0.0120197101623423</v>
      </c>
      <c r="E42" s="183" t="n">
        <v>53</v>
      </c>
    </row>
    <row r="43" customFormat="false" ht="13.8" hidden="false" customHeight="false" outlineLevel="0" collapsed="false">
      <c r="A43" s="180" t="s">
        <v>739</v>
      </c>
      <c r="B43" s="181" t="n">
        <v>1</v>
      </c>
      <c r="C43" s="0" t="s">
        <v>41</v>
      </c>
      <c r="D43" s="182" t="n">
        <v>0.00848377520932827</v>
      </c>
      <c r="E43" s="183" t="n">
        <v>57</v>
      </c>
    </row>
    <row r="44" customFormat="false" ht="13.8" hidden="false" customHeight="false" outlineLevel="0" collapsed="false">
      <c r="A44" s="180" t="s">
        <v>740</v>
      </c>
      <c r="B44" s="181" t="n">
        <v>1</v>
      </c>
      <c r="C44" s="0" t="s">
        <v>41</v>
      </c>
      <c r="D44" s="182" t="n">
        <v>0.0108598033356003</v>
      </c>
      <c r="E44" s="183" t="n">
        <v>58</v>
      </c>
    </row>
    <row r="45" customFormat="false" ht="13.8" hidden="false" customHeight="false" outlineLevel="0" collapsed="false">
      <c r="A45" s="180" t="s">
        <v>741</v>
      </c>
      <c r="B45" s="181" t="n">
        <v>1</v>
      </c>
      <c r="C45" s="0" t="s">
        <v>41</v>
      </c>
      <c r="D45" s="182" t="n">
        <v>0.00149533471926299</v>
      </c>
      <c r="E45" s="183" t="n">
        <v>59</v>
      </c>
    </row>
    <row r="46" customFormat="false" ht="13.8" hidden="false" customHeight="false" outlineLevel="0" collapsed="false">
      <c r="A46" s="180" t="s">
        <v>742</v>
      </c>
      <c r="B46" s="181" t="n">
        <v>1</v>
      </c>
      <c r="C46" s="0" t="s">
        <v>41</v>
      </c>
      <c r="D46" s="182" t="n">
        <v>0.00487288762593046</v>
      </c>
      <c r="E46" s="183" t="n">
        <v>60</v>
      </c>
    </row>
    <row r="47" customFormat="false" ht="13.8" hidden="false" customHeight="false" outlineLevel="0" collapsed="false">
      <c r="A47" s="180" t="s">
        <v>743</v>
      </c>
      <c r="B47" s="181" t="n">
        <v>1</v>
      </c>
      <c r="C47" s="0" t="s">
        <v>72</v>
      </c>
      <c r="D47" s="182" t="n">
        <v>0.00843432729345011</v>
      </c>
      <c r="E47" s="183" t="n">
        <v>1</v>
      </c>
    </row>
    <row r="48" customFormat="false" ht="13.8" hidden="false" customHeight="false" outlineLevel="0" collapsed="false">
      <c r="A48" s="180" t="s">
        <v>744</v>
      </c>
      <c r="B48" s="181" t="n">
        <v>1</v>
      </c>
      <c r="C48" s="0" t="s">
        <v>72</v>
      </c>
      <c r="D48" s="182" t="n">
        <v>0.00664260250999108</v>
      </c>
      <c r="E48" s="183" t="n">
        <v>2</v>
      </c>
    </row>
    <row r="49" customFormat="false" ht="13.8" hidden="false" customHeight="false" outlineLevel="0" collapsed="false">
      <c r="A49" s="180" t="s">
        <v>745</v>
      </c>
      <c r="B49" s="181" t="n">
        <v>1</v>
      </c>
      <c r="C49" s="0" t="s">
        <v>72</v>
      </c>
      <c r="D49" s="182" t="n">
        <v>0.0694682244718256</v>
      </c>
      <c r="E49" s="183" t="n">
        <v>6</v>
      </c>
    </row>
    <row r="50" customFormat="false" ht="13.8" hidden="false" customHeight="false" outlineLevel="0" collapsed="false">
      <c r="A50" s="180" t="s">
        <v>746</v>
      </c>
      <c r="B50" s="181" t="n">
        <v>1</v>
      </c>
      <c r="C50" s="0" t="s">
        <v>72</v>
      </c>
      <c r="D50" s="182" t="n">
        <v>0.007476376165242</v>
      </c>
      <c r="E50" s="183" t="n">
        <v>7</v>
      </c>
    </row>
    <row r="51" customFormat="false" ht="13.8" hidden="false" customHeight="false" outlineLevel="0" collapsed="false">
      <c r="A51" s="180" t="s">
        <v>747</v>
      </c>
      <c r="B51" s="181" t="n">
        <v>1</v>
      </c>
      <c r="C51" s="0" t="s">
        <v>72</v>
      </c>
      <c r="D51" s="182" t="n">
        <v>0.00510822996240323</v>
      </c>
      <c r="E51" s="183" t="n">
        <v>9</v>
      </c>
    </row>
    <row r="52" customFormat="false" ht="13.8" hidden="false" customHeight="false" outlineLevel="0" collapsed="false">
      <c r="A52" s="180" t="s">
        <v>748</v>
      </c>
      <c r="B52" s="184" t="n">
        <v>0.5</v>
      </c>
      <c r="C52" s="0" t="s">
        <v>665</v>
      </c>
      <c r="D52" s="182" t="n">
        <v>0.00285518958479663</v>
      </c>
      <c r="E52" s="183" t="n">
        <v>31</v>
      </c>
    </row>
    <row r="53" customFormat="false" ht="13.8" hidden="false" customHeight="false" outlineLevel="0" collapsed="false">
      <c r="A53" s="180" t="s">
        <v>749</v>
      </c>
      <c r="B53" s="184" t="n">
        <v>0.33</v>
      </c>
      <c r="C53" s="0" t="s">
        <v>665</v>
      </c>
      <c r="D53" s="182" t="n">
        <v>0.00145503355245576</v>
      </c>
      <c r="E53" s="183" t="n">
        <v>40</v>
      </c>
    </row>
    <row r="54" customFormat="false" ht="13.8" hidden="false" customHeight="false" outlineLevel="0" collapsed="false">
      <c r="A54" s="180" t="s">
        <v>750</v>
      </c>
      <c r="B54" s="184" t="n">
        <v>0.2</v>
      </c>
      <c r="C54" s="0" t="s">
        <v>665</v>
      </c>
      <c r="D54" s="182" t="n">
        <v>0.00101345176642084</v>
      </c>
      <c r="E54" s="183" t="n">
        <v>41</v>
      </c>
    </row>
    <row r="55" customFormat="false" ht="13.8" hidden="false" customHeight="false" outlineLevel="0" collapsed="false">
      <c r="A55" s="180" t="s">
        <v>751</v>
      </c>
      <c r="B55" s="184" t="n">
        <v>0.5</v>
      </c>
      <c r="C55" s="0" t="s">
        <v>75</v>
      </c>
      <c r="D55" s="182" t="n">
        <v>0.00559449258779459</v>
      </c>
      <c r="E55" s="183" t="n">
        <v>10</v>
      </c>
    </row>
    <row r="56" customFormat="false" ht="13.8" hidden="false" customHeight="false" outlineLevel="0" collapsed="false">
      <c r="A56" s="180" t="s">
        <v>752</v>
      </c>
      <c r="B56" s="184" t="n">
        <v>0.5</v>
      </c>
      <c r="C56" s="0" t="s">
        <v>75</v>
      </c>
      <c r="D56" s="182" t="n">
        <v>0.00159452798209227</v>
      </c>
      <c r="E56" s="183" t="n">
        <v>11</v>
      </c>
    </row>
    <row r="57" customFormat="false" ht="13.8" hidden="false" customHeight="false" outlineLevel="0" collapsed="false">
      <c r="A57" s="180" t="s">
        <v>753</v>
      </c>
      <c r="B57" s="184" t="n">
        <v>0.5</v>
      </c>
      <c r="C57" s="0" t="s">
        <v>75</v>
      </c>
      <c r="D57" s="182" t="n">
        <v>0.00507287284360613</v>
      </c>
      <c r="E57" s="183" t="n">
        <v>12</v>
      </c>
    </row>
    <row r="58" customFormat="false" ht="13.8" hidden="false" customHeight="false" outlineLevel="0" collapsed="false">
      <c r="A58" s="180" t="s">
        <v>754</v>
      </c>
      <c r="B58" s="184" t="n">
        <v>0.5</v>
      </c>
      <c r="C58" s="0" t="s">
        <v>75</v>
      </c>
      <c r="D58" s="182" t="n">
        <v>0.000919619698681503</v>
      </c>
      <c r="E58" s="183" t="n">
        <v>13</v>
      </c>
    </row>
    <row r="59" customFormat="false" ht="13.8" hidden="false" customHeight="false" outlineLevel="0" collapsed="false">
      <c r="A59" s="180" t="s">
        <v>755</v>
      </c>
      <c r="B59" s="184" t="n">
        <v>1</v>
      </c>
      <c r="C59" s="0" t="s">
        <v>33</v>
      </c>
      <c r="D59" s="182" t="n">
        <v>0.00661620550226665</v>
      </c>
      <c r="E59" s="183" t="n">
        <v>34</v>
      </c>
    </row>
    <row r="60" customFormat="false" ht="13.8" hidden="false" customHeight="false" outlineLevel="0" collapsed="false">
      <c r="A60" s="180" t="s">
        <v>756</v>
      </c>
      <c r="B60" s="184" t="n">
        <v>1</v>
      </c>
      <c r="C60" s="0" t="s">
        <v>33</v>
      </c>
      <c r="D60" s="182" t="n">
        <v>0.00758761538652581</v>
      </c>
      <c r="E60" s="183" t="n">
        <v>36</v>
      </c>
    </row>
    <row r="61" customFormat="false" ht="13.8" hidden="false" customHeight="false" outlineLevel="0" collapsed="false">
      <c r="A61" s="180" t="s">
        <v>757</v>
      </c>
      <c r="B61" s="184" t="n">
        <v>1</v>
      </c>
      <c r="C61" s="0" t="s">
        <v>33</v>
      </c>
      <c r="D61" s="182" t="n">
        <v>0.0296652547117915</v>
      </c>
      <c r="E61" s="183" t="n">
        <v>37</v>
      </c>
    </row>
    <row r="62" customFormat="false" ht="13.8" hidden="false" customHeight="false" outlineLevel="0" collapsed="false">
      <c r="A62" s="180" t="s">
        <v>758</v>
      </c>
      <c r="B62" s="184" t="n">
        <v>1</v>
      </c>
      <c r="C62" s="0" t="s">
        <v>33</v>
      </c>
      <c r="D62" s="182" t="n">
        <v>0.00941651905410375</v>
      </c>
      <c r="E62" s="183" t="n">
        <v>38</v>
      </c>
    </row>
    <row r="63" customFormat="false" ht="13.8" hidden="false" customHeight="false" outlineLevel="0" collapsed="false">
      <c r="A63" s="180" t="s">
        <v>759</v>
      </c>
      <c r="B63" s="184" t="n">
        <v>0.5</v>
      </c>
      <c r="C63" s="0" t="s">
        <v>33</v>
      </c>
      <c r="D63" s="182" t="n">
        <v>0.0169359483671555</v>
      </c>
      <c r="E63" s="183" t="n">
        <v>39</v>
      </c>
    </row>
    <row r="64" customFormat="false" ht="13.8" hidden="false" customHeight="false" outlineLevel="0" collapsed="false">
      <c r="A64" s="180" t="s">
        <v>760</v>
      </c>
      <c r="B64" s="184" t="n">
        <v>0.5</v>
      </c>
      <c r="C64" s="0" t="s">
        <v>35</v>
      </c>
      <c r="D64" s="182" t="n">
        <v>0.0199619749244785</v>
      </c>
      <c r="E64" s="183" t="n">
        <v>25</v>
      </c>
    </row>
    <row r="65" customFormat="false" ht="13.8" hidden="false" customHeight="false" outlineLevel="0" collapsed="false">
      <c r="A65" s="180" t="s">
        <v>761</v>
      </c>
      <c r="B65" s="184" t="n">
        <v>1</v>
      </c>
      <c r="C65" s="0" t="s">
        <v>35</v>
      </c>
      <c r="D65" s="182" t="n">
        <v>0.0333039521005103</v>
      </c>
      <c r="E65" s="183" t="n">
        <v>26</v>
      </c>
    </row>
    <row r="66" customFormat="false" ht="13.8" hidden="false" customHeight="false" outlineLevel="0" collapsed="false">
      <c r="A66" s="180" t="s">
        <v>762</v>
      </c>
      <c r="B66" s="184" t="n">
        <v>0.5</v>
      </c>
      <c r="C66" s="0" t="s">
        <v>35</v>
      </c>
      <c r="D66" s="182" t="n">
        <v>0.00408175815076394</v>
      </c>
      <c r="E66" s="183" t="n">
        <v>28</v>
      </c>
    </row>
    <row r="67" customFormat="false" ht="13.8" hidden="false" customHeight="false" outlineLevel="0" collapsed="false">
      <c r="A67" s="180" t="s">
        <v>763</v>
      </c>
      <c r="B67" s="184" t="n">
        <v>1</v>
      </c>
      <c r="C67" s="0" t="s">
        <v>35</v>
      </c>
      <c r="D67" s="182" t="n">
        <v>0.0100240220206069</v>
      </c>
      <c r="E67" s="183" t="n">
        <v>29</v>
      </c>
    </row>
    <row r="68" customFormat="false" ht="13.8" hidden="false" customHeight="false" outlineLevel="0" collapsed="false">
      <c r="A68" s="180" t="s">
        <v>764</v>
      </c>
      <c r="B68" s="184" t="n">
        <v>0.5</v>
      </c>
      <c r="C68" s="0" t="s">
        <v>35</v>
      </c>
      <c r="D68" s="182" t="n">
        <v>0.0198964285517769</v>
      </c>
      <c r="E68" s="183" t="n">
        <v>30</v>
      </c>
    </row>
    <row r="69" customFormat="false" ht="13.8" hidden="false" customHeight="false" outlineLevel="0" collapsed="false">
      <c r="A69" s="180" t="s">
        <v>765</v>
      </c>
      <c r="B69" s="184" t="n">
        <v>0.17</v>
      </c>
      <c r="C69" s="0" t="s">
        <v>155</v>
      </c>
      <c r="D69" s="182" t="n">
        <v>0.014030160551806</v>
      </c>
      <c r="E69" s="183" t="n">
        <v>19</v>
      </c>
    </row>
    <row r="70" customFormat="false" ht="13.8" hidden="false" customHeight="false" outlineLevel="0" collapsed="false">
      <c r="A70" s="180" t="s">
        <v>766</v>
      </c>
      <c r="B70" s="184" t="n">
        <v>0.25</v>
      </c>
      <c r="C70" s="0" t="s">
        <v>155</v>
      </c>
      <c r="D70" s="182" t="n">
        <v>0.0507783808358021</v>
      </c>
      <c r="E70" s="183" t="n">
        <v>20</v>
      </c>
    </row>
    <row r="71" customFormat="false" ht="13.8" hidden="false" customHeight="false" outlineLevel="0" collapsed="false">
      <c r="A71" s="180" t="s">
        <v>767</v>
      </c>
      <c r="B71" s="184" t="n">
        <v>0.5</v>
      </c>
      <c r="C71" s="0" t="s">
        <v>155</v>
      </c>
      <c r="D71" s="182" t="n">
        <v>0.0513715141635933</v>
      </c>
      <c r="E71" s="183" t="n">
        <v>21</v>
      </c>
    </row>
    <row r="72" customFormat="false" ht="13.8" hidden="false" customHeight="false" outlineLevel="0" collapsed="false">
      <c r="A72" s="180" t="s">
        <v>768</v>
      </c>
      <c r="B72" s="184" t="n">
        <v>0.5</v>
      </c>
      <c r="C72" s="0" t="s">
        <v>155</v>
      </c>
      <c r="D72" s="182" t="n">
        <v>0.0203902013117603</v>
      </c>
      <c r="E72" s="183" t="n">
        <v>24</v>
      </c>
    </row>
    <row r="73" customFormat="false" ht="13.8" hidden="false" customHeight="false" outlineLevel="0" collapsed="false">
      <c r="A73" s="180" t="s">
        <v>769</v>
      </c>
      <c r="B73" s="184" t="n">
        <v>0.5</v>
      </c>
      <c r="C73" s="0" t="s">
        <v>666</v>
      </c>
      <c r="D73" s="182" t="n">
        <v>0.00408175815076394</v>
      </c>
      <c r="E73" s="183" t="n">
        <v>28</v>
      </c>
    </row>
    <row r="74" customFormat="false" ht="13.8" hidden="false" customHeight="false" outlineLevel="0" collapsed="false">
      <c r="A74" s="180" t="s">
        <v>770</v>
      </c>
      <c r="B74" s="184" t="n">
        <v>0.1</v>
      </c>
      <c r="C74" s="0" t="s">
        <v>667</v>
      </c>
      <c r="D74" s="182" t="n">
        <v>0.00111889851755892</v>
      </c>
      <c r="E74" s="183" t="n">
        <v>10</v>
      </c>
    </row>
    <row r="75" customFormat="false" ht="13.8" hidden="false" customHeight="false" outlineLevel="0" collapsed="false">
      <c r="A75" s="180" t="s">
        <v>771</v>
      </c>
      <c r="B75" s="184" t="n">
        <v>0.5</v>
      </c>
      <c r="C75" s="0" t="s">
        <v>667</v>
      </c>
      <c r="D75" s="182" t="n">
        <v>0.00159452798209227</v>
      </c>
      <c r="E75" s="183" t="n">
        <v>11</v>
      </c>
    </row>
    <row r="76" customFormat="false" ht="13.8" hidden="false" customHeight="false" outlineLevel="0" collapsed="false">
      <c r="A76" s="180" t="s">
        <v>772</v>
      </c>
      <c r="B76" s="184" t="n">
        <v>0.5</v>
      </c>
      <c r="C76" s="0" t="s">
        <v>667</v>
      </c>
      <c r="D76" s="182" t="n">
        <v>0.00507287284360613</v>
      </c>
      <c r="E76" s="183" t="n">
        <v>12</v>
      </c>
    </row>
    <row r="77" customFormat="false" ht="13.8" hidden="false" customHeight="false" outlineLevel="0" collapsed="false">
      <c r="A77" s="180" t="s">
        <v>773</v>
      </c>
      <c r="B77" s="184" t="n">
        <v>0.5</v>
      </c>
      <c r="C77" s="0" t="s">
        <v>667</v>
      </c>
      <c r="D77" s="182" t="n">
        <v>0.000919619698681503</v>
      </c>
      <c r="E77" s="183" t="n">
        <v>13</v>
      </c>
    </row>
    <row r="78" customFormat="false" ht="13.8" hidden="false" customHeight="false" outlineLevel="0" collapsed="false">
      <c r="A78" s="180" t="s">
        <v>774</v>
      </c>
      <c r="B78" s="184" t="n">
        <v>0.5</v>
      </c>
      <c r="C78" s="0" t="s">
        <v>668</v>
      </c>
      <c r="D78" s="182" t="n">
        <v>0.00225300319872247</v>
      </c>
      <c r="E78" s="183" t="n">
        <v>44</v>
      </c>
    </row>
    <row r="79" customFormat="false" ht="13.8" hidden="false" customHeight="false" outlineLevel="0" collapsed="false">
      <c r="A79" s="180" t="s">
        <v>775</v>
      </c>
      <c r="B79" s="184" t="n">
        <v>1</v>
      </c>
      <c r="C79" s="0" t="s">
        <v>668</v>
      </c>
      <c r="D79" s="182" t="n">
        <v>0.00134305000991189</v>
      </c>
      <c r="E79" s="183" t="n">
        <v>46</v>
      </c>
    </row>
    <row r="80" customFormat="false" ht="13.8" hidden="false" customHeight="false" outlineLevel="0" collapsed="false">
      <c r="A80" s="180" t="s">
        <v>776</v>
      </c>
      <c r="B80" s="184" t="n">
        <v>0.5</v>
      </c>
      <c r="C80" s="0" t="s">
        <v>668</v>
      </c>
      <c r="D80" s="182" t="n">
        <v>0.00159214853350866</v>
      </c>
      <c r="E80" s="183" t="n">
        <v>49</v>
      </c>
    </row>
    <row r="81" customFormat="false" ht="13.8" hidden="false" customHeight="false" outlineLevel="0" collapsed="false">
      <c r="A81" s="180" t="s">
        <v>777</v>
      </c>
      <c r="B81" s="184" t="n">
        <v>0.5</v>
      </c>
      <c r="C81" s="0" t="s">
        <v>669</v>
      </c>
      <c r="D81" s="182" t="n">
        <v>0.00285518958479663</v>
      </c>
      <c r="E81" s="183" t="n">
        <v>31</v>
      </c>
    </row>
    <row r="82" customFormat="false" ht="13.8" hidden="false" customHeight="false" outlineLevel="0" collapsed="false">
      <c r="A82" s="180" t="s">
        <v>778</v>
      </c>
      <c r="B82" s="184" t="n">
        <v>0.5</v>
      </c>
      <c r="C82" s="0" t="s">
        <v>669</v>
      </c>
      <c r="D82" s="182" t="n">
        <v>0.0169359483671555</v>
      </c>
      <c r="E82" s="183" t="n">
        <v>39</v>
      </c>
    </row>
    <row r="83" customFormat="false" ht="13.8" hidden="false" customHeight="false" outlineLevel="0" collapsed="false">
      <c r="A83" s="180" t="s">
        <v>779</v>
      </c>
      <c r="B83" s="184" t="n">
        <v>0.33</v>
      </c>
      <c r="C83" s="0" t="s">
        <v>669</v>
      </c>
      <c r="D83" s="182" t="n">
        <v>0.00145503355245576</v>
      </c>
      <c r="E83" s="183" t="n">
        <v>40</v>
      </c>
    </row>
    <row r="84" customFormat="false" ht="13.8" hidden="false" customHeight="false" outlineLevel="0" collapsed="false">
      <c r="A84" s="180" t="s">
        <v>780</v>
      </c>
      <c r="B84" s="184" t="n">
        <v>0.2</v>
      </c>
      <c r="C84" s="0" t="s">
        <v>55</v>
      </c>
      <c r="D84" s="182" t="n">
        <v>0.00205578409002525</v>
      </c>
      <c r="E84" s="183" t="n">
        <v>15</v>
      </c>
    </row>
    <row r="85" customFormat="false" ht="13.8" hidden="false" customHeight="false" outlineLevel="0" collapsed="false">
      <c r="A85" s="180" t="s">
        <v>781</v>
      </c>
      <c r="B85" s="184" t="n">
        <v>0.125</v>
      </c>
      <c r="C85" s="0" t="s">
        <v>55</v>
      </c>
      <c r="D85" s="182" t="n">
        <v>0.000701035744225339</v>
      </c>
      <c r="E85" s="183" t="n">
        <v>16</v>
      </c>
    </row>
    <row r="86" customFormat="false" ht="13.8" hidden="false" customHeight="false" outlineLevel="0" collapsed="false">
      <c r="A86" s="180" t="s">
        <v>782</v>
      </c>
      <c r="B86" s="184" t="n">
        <v>0.125</v>
      </c>
      <c r="C86" s="0" t="s">
        <v>55</v>
      </c>
      <c r="D86" s="182" t="n">
        <v>0.00600310711370359</v>
      </c>
      <c r="E86" s="183" t="n">
        <v>18</v>
      </c>
    </row>
    <row r="87" customFormat="false" ht="13.8" hidden="false" customHeight="false" outlineLevel="0" collapsed="false">
      <c r="A87" s="180" t="s">
        <v>783</v>
      </c>
      <c r="B87" s="184" t="n">
        <v>0.19</v>
      </c>
      <c r="C87" s="0" t="s">
        <v>55</v>
      </c>
      <c r="D87" s="182" t="n">
        <v>0.0156807676755479</v>
      </c>
      <c r="E87" s="183" t="n">
        <v>19</v>
      </c>
    </row>
    <row r="88" customFormat="false" ht="13.8" hidden="false" customHeight="false" outlineLevel="0" collapsed="false">
      <c r="A88" s="180" t="s">
        <v>784</v>
      </c>
      <c r="B88" s="184" t="n">
        <v>0.15</v>
      </c>
      <c r="C88" s="0" t="s">
        <v>670</v>
      </c>
      <c r="D88" s="182" t="n">
        <v>0.00154183806751894</v>
      </c>
      <c r="E88" s="183" t="n">
        <v>15</v>
      </c>
    </row>
    <row r="89" customFormat="false" ht="13.8" hidden="false" customHeight="false" outlineLevel="0" collapsed="false">
      <c r="A89" s="180" t="s">
        <v>785</v>
      </c>
      <c r="B89" s="184" t="n">
        <v>0.125</v>
      </c>
      <c r="C89" s="0" t="s">
        <v>670</v>
      </c>
      <c r="D89" s="182" t="n">
        <v>0.000701035744225339</v>
      </c>
      <c r="E89" s="183" t="n">
        <v>16</v>
      </c>
    </row>
    <row r="90" customFormat="false" ht="13.8" hidden="false" customHeight="false" outlineLevel="0" collapsed="false">
      <c r="A90" s="180" t="s">
        <v>786</v>
      </c>
      <c r="B90" s="184" t="n">
        <v>0.125</v>
      </c>
      <c r="C90" s="0" t="s">
        <v>670</v>
      </c>
      <c r="D90" s="182" t="n">
        <v>0.00600310711370359</v>
      </c>
      <c r="E90" s="183" t="n">
        <v>18</v>
      </c>
    </row>
    <row r="91" customFormat="false" ht="13.8" hidden="false" customHeight="false" outlineLevel="0" collapsed="false">
      <c r="A91" s="180" t="s">
        <v>787</v>
      </c>
      <c r="B91" s="184" t="n">
        <v>0.17</v>
      </c>
      <c r="C91" s="0" t="s">
        <v>670</v>
      </c>
      <c r="D91" s="182" t="n">
        <v>0.014030160551806</v>
      </c>
      <c r="E91" s="183" t="n">
        <v>19</v>
      </c>
    </row>
    <row r="92" customFormat="false" ht="13.8" hidden="false" customHeight="false" outlineLevel="0" collapsed="false">
      <c r="A92" s="180" t="s">
        <v>788</v>
      </c>
      <c r="B92" s="184" t="n">
        <v>0.5</v>
      </c>
      <c r="C92" s="0" t="s">
        <v>106</v>
      </c>
      <c r="D92" s="182" t="n">
        <v>0.00309142421448825</v>
      </c>
      <c r="E92" s="183" t="n">
        <v>48</v>
      </c>
    </row>
    <row r="93" customFormat="false" ht="13.8" hidden="false" customHeight="false" outlineLevel="0" collapsed="false">
      <c r="A93" s="180" t="s">
        <v>789</v>
      </c>
      <c r="B93" s="184" t="n">
        <v>1</v>
      </c>
      <c r="C93" s="0" t="s">
        <v>106</v>
      </c>
      <c r="D93" s="182" t="n">
        <v>0.00239811238343862</v>
      </c>
      <c r="E93" s="183" t="n">
        <v>54</v>
      </c>
    </row>
    <row r="94" customFormat="false" ht="13.8" hidden="false" customHeight="false" outlineLevel="0" collapsed="false">
      <c r="A94" s="180" t="s">
        <v>790</v>
      </c>
      <c r="B94" s="184" t="n">
        <v>1</v>
      </c>
      <c r="C94" s="0" t="s">
        <v>106</v>
      </c>
      <c r="D94" s="182" t="n">
        <v>0.00592497568872768</v>
      </c>
      <c r="E94" s="183" t="n">
        <v>56</v>
      </c>
    </row>
    <row r="95" customFormat="false" ht="13.8" hidden="false" customHeight="false" outlineLevel="0" collapsed="false">
      <c r="A95" s="180" t="s">
        <v>791</v>
      </c>
      <c r="B95" s="184" t="n">
        <v>0.5</v>
      </c>
      <c r="C95" s="0" t="s">
        <v>671</v>
      </c>
      <c r="D95" s="182" t="n">
        <v>0.0513715141635933</v>
      </c>
      <c r="E95" s="183" t="n">
        <v>21</v>
      </c>
    </row>
    <row r="96" customFormat="false" ht="13.8" hidden="false" customHeight="false" outlineLevel="0" collapsed="false">
      <c r="A96" s="180" t="s">
        <v>792</v>
      </c>
      <c r="B96" s="184" t="n">
        <v>1</v>
      </c>
      <c r="C96" s="0" t="s">
        <v>671</v>
      </c>
      <c r="D96" s="182" t="n">
        <v>0.00459047682216314</v>
      </c>
      <c r="E96" s="183" t="n">
        <v>22</v>
      </c>
    </row>
    <row r="97" customFormat="false" ht="13.8" hidden="false" customHeight="false" outlineLevel="0" collapsed="false">
      <c r="A97" s="180" t="s">
        <v>793</v>
      </c>
      <c r="B97" s="184" t="n">
        <v>1</v>
      </c>
      <c r="C97" s="0" t="s">
        <v>671</v>
      </c>
      <c r="D97" s="182" t="n">
        <v>0.0165614082885415</v>
      </c>
      <c r="E97" s="183" t="n">
        <v>23</v>
      </c>
    </row>
    <row r="98" customFormat="false" ht="13.8" hidden="false" customHeight="false" outlineLevel="0" collapsed="false">
      <c r="A98" s="180" t="s">
        <v>794</v>
      </c>
      <c r="B98" s="184" t="n">
        <v>0.5</v>
      </c>
      <c r="C98" s="0" t="s">
        <v>671</v>
      </c>
      <c r="D98" s="182" t="n">
        <v>0.0203902013117603</v>
      </c>
      <c r="E98" s="183" t="n">
        <v>24</v>
      </c>
    </row>
    <row r="99" customFormat="false" ht="13.8" hidden="false" customHeight="false" outlineLevel="0" collapsed="false">
      <c r="A99" s="180" t="s">
        <v>795</v>
      </c>
      <c r="B99" s="184" t="n">
        <v>0.5</v>
      </c>
      <c r="C99" s="0" t="s">
        <v>671</v>
      </c>
      <c r="D99" s="182" t="n">
        <v>0.0199619749244785</v>
      </c>
      <c r="E99" s="183" t="n">
        <v>25</v>
      </c>
    </row>
    <row r="100" customFormat="false" ht="13.8" hidden="false" customHeight="false" outlineLevel="0" collapsed="false">
      <c r="A100" s="180" t="s">
        <v>796</v>
      </c>
      <c r="B100" s="184" t="n">
        <v>0.5</v>
      </c>
      <c r="C100" s="0" t="s">
        <v>671</v>
      </c>
      <c r="D100" s="182" t="n">
        <v>0.0198964285517769</v>
      </c>
      <c r="E100" s="183" t="n">
        <v>30</v>
      </c>
    </row>
    <row r="101" customFormat="false" ht="13.8" hidden="false" customHeight="false" outlineLevel="0" collapsed="false">
      <c r="A101" s="180" t="s">
        <v>797</v>
      </c>
      <c r="B101" s="184" t="n">
        <v>0.5</v>
      </c>
      <c r="C101" s="0" t="s">
        <v>672</v>
      </c>
      <c r="D101" s="182" t="n">
        <v>0.0178328517676403</v>
      </c>
      <c r="E101" s="183" t="n">
        <v>43</v>
      </c>
    </row>
    <row r="102" customFormat="false" ht="13.8" hidden="false" customHeight="false" outlineLevel="0" collapsed="false">
      <c r="A102" s="180" t="s">
        <v>798</v>
      </c>
      <c r="B102" s="184" t="n">
        <v>0.5</v>
      </c>
      <c r="C102" s="0" t="s">
        <v>672</v>
      </c>
      <c r="D102" s="182" t="n">
        <v>0.00225300319872247</v>
      </c>
      <c r="E102" s="183" t="n">
        <v>44</v>
      </c>
    </row>
    <row r="103" customFormat="false" ht="13.8" hidden="false" customHeight="false" outlineLevel="0" collapsed="false">
      <c r="A103" s="185"/>
      <c r="B103" s="185"/>
      <c r="C103" s="185"/>
      <c r="D103" s="185"/>
      <c r="E103" s="185"/>
    </row>
    <row r="104" customFormat="false" ht="13.8" hidden="false" customHeight="false" outlineLevel="0" collapsed="false">
      <c r="A104" s="185"/>
      <c r="B104" s="185"/>
      <c r="C104" s="185"/>
      <c r="D104" s="185"/>
      <c r="E104" s="185"/>
    </row>
    <row r="105" customFormat="false" ht="13.8" hidden="false" customHeight="false" outlineLevel="0" collapsed="false">
      <c r="A105" s="185"/>
      <c r="B105" s="185"/>
      <c r="C105" s="185"/>
      <c r="D105" s="185"/>
      <c r="E105" s="185"/>
    </row>
    <row r="106" customFormat="false" ht="13.8" hidden="false" customHeight="false" outlineLevel="0" collapsed="false">
      <c r="A106" s="185"/>
      <c r="B106" s="185"/>
      <c r="C106" s="185"/>
      <c r="D106" s="185"/>
      <c r="E106" s="185"/>
    </row>
    <row r="107" customFormat="false" ht="13.8" hidden="false" customHeight="false" outlineLevel="0" collapsed="false">
      <c r="A107" s="185"/>
      <c r="B107" s="185"/>
      <c r="C107" s="185"/>
      <c r="D107" s="185"/>
      <c r="E107" s="185"/>
    </row>
    <row r="108" customFormat="false" ht="13.8" hidden="false" customHeight="false" outlineLevel="0" collapsed="false">
      <c r="A108" s="185"/>
      <c r="B108" s="185"/>
      <c r="C108" s="185"/>
      <c r="D108" s="185"/>
      <c r="E108" s="185"/>
    </row>
    <row r="109" customFormat="false" ht="13.8" hidden="false" customHeight="false" outlineLevel="0" collapsed="false">
      <c r="A109" s="185"/>
      <c r="B109" s="185"/>
      <c r="C109" s="185"/>
      <c r="D109" s="185"/>
      <c r="E109" s="185"/>
    </row>
    <row r="110" customFormat="false" ht="13.8" hidden="false" customHeight="false" outlineLevel="0" collapsed="false">
      <c r="A110" s="185"/>
      <c r="B110" s="185"/>
      <c r="C110" s="185"/>
      <c r="D110" s="185"/>
      <c r="E110" s="185"/>
    </row>
    <row r="111" customFormat="false" ht="13.8" hidden="false" customHeight="false" outlineLevel="0" collapsed="false">
      <c r="A111" s="185"/>
      <c r="B111" s="185"/>
      <c r="C111" s="185"/>
      <c r="D111" s="185"/>
      <c r="E111" s="18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6600"/>
    <pageSetUpPr fitToPage="false"/>
  </sheetPr>
  <dimension ref="A1:M59"/>
  <sheetViews>
    <sheetView showFormulas="false" showGridLines="true" showRowColHeaders="true" showZeros="true" rightToLeft="false" tabSelected="false" showOutlineSymbols="true" defaultGridColor="true" view="normal" topLeftCell="A26" colorId="64" zoomScale="100" zoomScaleNormal="100" zoomScalePageLayoutView="100" workbookViewId="0">
      <selection pane="topLeft" activeCell="A2" activeCellId="0" sqref="A2"/>
    </sheetView>
  </sheetViews>
  <sheetFormatPr defaultColWidth="9.14453125" defaultRowHeight="15" zeroHeight="false" outlineLevelRow="0" outlineLevelCol="0"/>
  <cols>
    <col collapsed="false" customWidth="true" hidden="false" outlineLevel="0" max="1" min="1" style="6" width="27.85"/>
    <col collapsed="false" customWidth="true" hidden="false" outlineLevel="0" max="3" min="2" style="6" width="18.57"/>
    <col collapsed="false" customWidth="true" hidden="false" outlineLevel="0" max="4" min="4" style="6" width="11.85"/>
    <col collapsed="false" customWidth="true" hidden="false" outlineLevel="0" max="5" min="5" style="6" width="12.43"/>
    <col collapsed="false" customWidth="true" hidden="false" outlineLevel="0" max="6" min="6" style="6" width="15.85"/>
    <col collapsed="false" customWidth="true" hidden="false" outlineLevel="0" max="7" min="7" style="32" width="13"/>
    <col collapsed="false" customWidth="true" hidden="false" outlineLevel="0" max="9" min="8" style="6" width="11"/>
    <col collapsed="false" customWidth="true" hidden="false" outlineLevel="0" max="10" min="10" style="6" width="18.57"/>
    <col collapsed="false" customWidth="true" hidden="false" outlineLevel="0" max="11" min="11" style="32" width="19.43"/>
    <col collapsed="false" customWidth="true" hidden="false" outlineLevel="0" max="12" min="12" style="6" width="18.43"/>
    <col collapsed="false" customWidth="true" hidden="false" outlineLevel="0" max="13" min="13" style="6" width="29"/>
    <col collapsed="false" customWidth="true" hidden="false" outlineLevel="0" max="17" min="14" style="6" width="11"/>
    <col collapsed="false" customWidth="false" hidden="false" outlineLevel="0" max="1024" min="18" style="6" width="9.14"/>
  </cols>
  <sheetData>
    <row r="1" customFormat="false" ht="15" hidden="false" customHeight="false" outlineLevel="0" collapsed="false">
      <c r="A1" s="6" t="s">
        <v>1</v>
      </c>
      <c r="B1" s="6" t="s">
        <v>799</v>
      </c>
      <c r="C1" s="6" t="s">
        <v>800</v>
      </c>
      <c r="D1" s="6" t="s">
        <v>801</v>
      </c>
      <c r="E1" s="6" t="s">
        <v>802</v>
      </c>
      <c r="F1" s="6" t="s">
        <v>803</v>
      </c>
      <c r="G1" s="186" t="s">
        <v>804</v>
      </c>
      <c r="H1" s="6" t="s">
        <v>805</v>
      </c>
      <c r="I1" s="6" t="s">
        <v>806</v>
      </c>
      <c r="J1" s="6" t="s">
        <v>807</v>
      </c>
    </row>
    <row r="2" customFormat="false" ht="15" hidden="false" customHeight="false" outlineLevel="0" collapsed="false">
      <c r="A2" s="6" t="s">
        <v>808</v>
      </c>
      <c r="B2" s="6" t="s">
        <v>28</v>
      </c>
      <c r="C2" s="6" t="s">
        <v>33</v>
      </c>
      <c r="D2" s="186" t="n">
        <v>500</v>
      </c>
      <c r="E2" s="187"/>
      <c r="F2" s="6" t="n">
        <v>135</v>
      </c>
      <c r="G2" s="188"/>
      <c r="I2" s="187"/>
      <c r="L2" s="187"/>
      <c r="M2" s="187"/>
    </row>
    <row r="3" customFormat="false" ht="15" hidden="false" customHeight="false" outlineLevel="0" collapsed="false">
      <c r="A3" s="6" t="s">
        <v>809</v>
      </c>
      <c r="B3" s="6" t="s">
        <v>28</v>
      </c>
      <c r="C3" s="6" t="s">
        <v>665</v>
      </c>
      <c r="D3" s="186" t="n">
        <v>500</v>
      </c>
      <c r="E3" s="187"/>
      <c r="F3" s="6" t="n">
        <v>1</v>
      </c>
      <c r="G3" s="188"/>
      <c r="I3" s="187"/>
      <c r="L3" s="187"/>
      <c r="M3" s="187"/>
    </row>
    <row r="4" customFormat="false" ht="15" hidden="false" customHeight="false" outlineLevel="0" collapsed="false">
      <c r="A4" s="6" t="s">
        <v>810</v>
      </c>
      <c r="B4" s="6" t="s">
        <v>554</v>
      </c>
      <c r="C4" s="6" t="s">
        <v>672</v>
      </c>
      <c r="D4" s="32" t="n">
        <v>500</v>
      </c>
      <c r="F4" s="6" t="n">
        <v>16</v>
      </c>
      <c r="G4" s="6"/>
    </row>
    <row r="5" customFormat="false" ht="15" hidden="false" customHeight="false" outlineLevel="0" collapsed="false">
      <c r="A5" s="6" t="s">
        <v>811</v>
      </c>
      <c r="B5" s="6" t="s">
        <v>672</v>
      </c>
      <c r="C5" s="6" t="s">
        <v>155</v>
      </c>
      <c r="D5" s="32" t="n">
        <v>500</v>
      </c>
      <c r="F5" s="6" t="n">
        <v>160</v>
      </c>
      <c r="G5" s="6"/>
    </row>
    <row r="6" customFormat="false" ht="15" hidden="false" customHeight="false" outlineLevel="0" collapsed="false">
      <c r="A6" s="6" t="s">
        <v>812</v>
      </c>
      <c r="B6" s="6" t="s">
        <v>14</v>
      </c>
      <c r="C6" s="6" t="s">
        <v>672</v>
      </c>
      <c r="D6" s="32" t="n">
        <v>500</v>
      </c>
      <c r="F6" s="6" t="n">
        <v>16</v>
      </c>
      <c r="G6" s="6"/>
    </row>
    <row r="7" customFormat="false" ht="15" hidden="false" customHeight="false" outlineLevel="0" collapsed="false">
      <c r="A7" s="6" t="s">
        <v>813</v>
      </c>
      <c r="B7" s="6" t="s">
        <v>672</v>
      </c>
      <c r="C7" s="6" t="s">
        <v>155</v>
      </c>
      <c r="D7" s="32" t="n">
        <v>500</v>
      </c>
      <c r="F7" s="6" t="n">
        <v>160</v>
      </c>
      <c r="G7" s="6"/>
    </row>
    <row r="8" customFormat="false" ht="15" hidden="false" customHeight="false" outlineLevel="0" collapsed="false">
      <c r="A8" s="6" t="s">
        <v>814</v>
      </c>
      <c r="B8" s="6" t="s">
        <v>551</v>
      </c>
      <c r="C8" s="6" t="s">
        <v>43</v>
      </c>
      <c r="D8" s="32" t="n">
        <v>500</v>
      </c>
      <c r="F8" s="6" t="n">
        <v>45</v>
      </c>
      <c r="G8" s="6"/>
    </row>
    <row r="9" customFormat="false" ht="15" hidden="false" customHeight="false" outlineLevel="0" collapsed="false">
      <c r="A9" s="6" t="s">
        <v>815</v>
      </c>
      <c r="B9" s="6" t="s">
        <v>551</v>
      </c>
      <c r="C9" s="6" t="s">
        <v>43</v>
      </c>
      <c r="D9" s="32" t="n">
        <v>500</v>
      </c>
      <c r="F9" s="6" t="n">
        <v>45</v>
      </c>
      <c r="G9" s="6"/>
    </row>
    <row r="10" customFormat="false" ht="15" hidden="false" customHeight="false" outlineLevel="0" collapsed="false">
      <c r="A10" s="6" t="s">
        <v>816</v>
      </c>
      <c r="B10" s="6" t="s">
        <v>551</v>
      </c>
      <c r="C10" s="6" t="s">
        <v>43</v>
      </c>
      <c r="D10" s="32" t="n">
        <v>500</v>
      </c>
      <c r="F10" s="6" t="n">
        <v>45</v>
      </c>
      <c r="G10" s="6"/>
    </row>
    <row r="11" customFormat="false" ht="15" hidden="false" customHeight="false" outlineLevel="0" collapsed="false">
      <c r="A11" s="6" t="s">
        <v>817</v>
      </c>
      <c r="B11" s="6" t="s">
        <v>551</v>
      </c>
      <c r="C11" s="6" t="s">
        <v>663</v>
      </c>
      <c r="D11" s="32" t="n">
        <v>500</v>
      </c>
      <c r="F11" s="6" t="n">
        <v>20</v>
      </c>
      <c r="G11" s="6"/>
    </row>
    <row r="12" customFormat="false" ht="15" hidden="false" customHeight="false" outlineLevel="0" collapsed="false">
      <c r="A12" s="6" t="s">
        <v>818</v>
      </c>
      <c r="B12" s="6" t="s">
        <v>663</v>
      </c>
      <c r="C12" s="6" t="s">
        <v>43</v>
      </c>
      <c r="D12" s="32" t="n">
        <v>500</v>
      </c>
      <c r="F12" s="6" t="n">
        <v>25</v>
      </c>
      <c r="G12" s="6"/>
    </row>
    <row r="13" customFormat="false" ht="15" hidden="false" customHeight="false" outlineLevel="0" collapsed="false">
      <c r="A13" s="6" t="s">
        <v>819</v>
      </c>
      <c r="B13" s="6" t="s">
        <v>663</v>
      </c>
      <c r="C13" s="6" t="s">
        <v>664</v>
      </c>
      <c r="D13" s="32" t="n">
        <v>500</v>
      </c>
      <c r="F13" s="6" t="n">
        <v>0.1</v>
      </c>
      <c r="G13" s="6"/>
    </row>
    <row r="14" customFormat="false" ht="15" hidden="false" customHeight="false" outlineLevel="0" collapsed="false">
      <c r="A14" s="6" t="s">
        <v>820</v>
      </c>
      <c r="B14" s="6" t="s">
        <v>14</v>
      </c>
      <c r="C14" s="6" t="s">
        <v>672</v>
      </c>
      <c r="D14" s="32" t="n">
        <v>500</v>
      </c>
      <c r="F14" s="6" t="n">
        <v>16</v>
      </c>
      <c r="G14" s="6"/>
    </row>
    <row r="15" customFormat="false" ht="15" hidden="false" customHeight="false" outlineLevel="0" collapsed="false">
      <c r="A15" s="6" t="s">
        <v>821</v>
      </c>
      <c r="B15" s="6" t="s">
        <v>672</v>
      </c>
      <c r="C15" s="6" t="s">
        <v>155</v>
      </c>
      <c r="D15" s="32" t="n">
        <v>500</v>
      </c>
      <c r="F15" s="6" t="n">
        <v>160</v>
      </c>
      <c r="G15" s="6"/>
    </row>
    <row r="16" customFormat="false" ht="15" hidden="false" customHeight="false" outlineLevel="0" collapsed="false">
      <c r="A16" s="6" t="s">
        <v>822</v>
      </c>
      <c r="B16" s="6" t="s">
        <v>155</v>
      </c>
      <c r="C16" s="6" t="s">
        <v>89</v>
      </c>
      <c r="D16" s="32" t="n">
        <v>500</v>
      </c>
      <c r="F16" s="6" t="n">
        <v>38</v>
      </c>
      <c r="G16" s="6"/>
      <c r="M16" s="189"/>
    </row>
    <row r="17" customFormat="false" ht="15" hidden="false" customHeight="false" outlineLevel="0" collapsed="false">
      <c r="A17" s="6" t="s">
        <v>823</v>
      </c>
      <c r="B17" s="6" t="s">
        <v>554</v>
      </c>
      <c r="C17" s="6" t="s">
        <v>662</v>
      </c>
      <c r="D17" s="32" t="n">
        <v>500</v>
      </c>
      <c r="F17" s="6" t="n">
        <v>0.1</v>
      </c>
      <c r="G17" s="6"/>
      <c r="M17" s="189"/>
    </row>
    <row r="18" customFormat="false" ht="15" hidden="false" customHeight="false" outlineLevel="0" collapsed="false">
      <c r="A18" s="6" t="s">
        <v>824</v>
      </c>
      <c r="B18" s="6" t="s">
        <v>662</v>
      </c>
      <c r="C18" s="6" t="s">
        <v>672</v>
      </c>
      <c r="D18" s="32" t="n">
        <v>500</v>
      </c>
      <c r="F18" s="6" t="n">
        <v>16</v>
      </c>
      <c r="G18" s="6"/>
      <c r="M18" s="189"/>
    </row>
    <row r="19" customFormat="false" ht="15" hidden="false" customHeight="false" outlineLevel="0" collapsed="false">
      <c r="A19" s="6" t="s">
        <v>825</v>
      </c>
      <c r="B19" s="6" t="s">
        <v>672</v>
      </c>
      <c r="C19" s="6" t="s">
        <v>155</v>
      </c>
      <c r="D19" s="32" t="n">
        <v>500</v>
      </c>
      <c r="F19" s="6" t="n">
        <v>160</v>
      </c>
      <c r="G19" s="6"/>
      <c r="M19" s="189"/>
    </row>
    <row r="20" customFormat="false" ht="15" hidden="false" customHeight="false" outlineLevel="0" collapsed="false">
      <c r="A20" s="6" t="s">
        <v>826</v>
      </c>
      <c r="B20" s="6" t="s">
        <v>14</v>
      </c>
      <c r="C20" s="6" t="s">
        <v>672</v>
      </c>
      <c r="D20" s="32" t="n">
        <v>500</v>
      </c>
      <c r="F20" s="6" t="n">
        <v>16</v>
      </c>
      <c r="G20" s="6"/>
      <c r="M20" s="189"/>
    </row>
    <row r="21" customFormat="false" ht="15" hidden="false" customHeight="false" outlineLevel="0" collapsed="false">
      <c r="A21" s="6" t="s">
        <v>827</v>
      </c>
      <c r="B21" s="6" t="s">
        <v>672</v>
      </c>
      <c r="C21" s="6" t="s">
        <v>18</v>
      </c>
      <c r="D21" s="32" t="n">
        <v>500</v>
      </c>
      <c r="F21" s="6" t="n">
        <v>150</v>
      </c>
      <c r="G21" s="6"/>
      <c r="M21" s="189"/>
    </row>
    <row r="22" customFormat="false" ht="15" hidden="false" customHeight="false" outlineLevel="0" collapsed="false">
      <c r="A22" s="6" t="s">
        <v>828</v>
      </c>
      <c r="B22" s="6" t="s">
        <v>554</v>
      </c>
      <c r="C22" s="6" t="s">
        <v>662</v>
      </c>
      <c r="D22" s="32" t="n">
        <v>500</v>
      </c>
      <c r="F22" s="6" t="n">
        <v>0.1</v>
      </c>
      <c r="G22" s="6"/>
      <c r="M22" s="189"/>
    </row>
    <row r="23" customFormat="false" ht="15" hidden="false" customHeight="false" outlineLevel="0" collapsed="false">
      <c r="A23" s="6" t="s">
        <v>829</v>
      </c>
      <c r="B23" s="6" t="s">
        <v>662</v>
      </c>
      <c r="C23" s="6" t="s">
        <v>672</v>
      </c>
      <c r="D23" s="32" t="n">
        <v>500</v>
      </c>
      <c r="F23" s="6" t="n">
        <v>16</v>
      </c>
      <c r="G23" s="6"/>
      <c r="M23" s="189"/>
    </row>
    <row r="24" customFormat="false" ht="15" hidden="false" customHeight="false" outlineLevel="0" collapsed="false">
      <c r="A24" s="6" t="s">
        <v>830</v>
      </c>
      <c r="B24" s="6" t="s">
        <v>672</v>
      </c>
      <c r="C24" s="6" t="s">
        <v>28</v>
      </c>
      <c r="D24" s="32" t="n">
        <v>500</v>
      </c>
      <c r="F24" s="6" t="n">
        <v>45</v>
      </c>
      <c r="G24" s="6"/>
      <c r="M24" s="189"/>
    </row>
    <row r="25" customFormat="false" ht="15" hidden="false" customHeight="false" outlineLevel="0" collapsed="false">
      <c r="A25" s="6" t="s">
        <v>831</v>
      </c>
      <c r="B25" s="6" t="s">
        <v>14</v>
      </c>
      <c r="C25" s="6" t="s">
        <v>662</v>
      </c>
      <c r="D25" s="32" t="n">
        <v>500</v>
      </c>
      <c r="F25" s="6" t="n">
        <v>0.5</v>
      </c>
      <c r="G25" s="6"/>
      <c r="M25" s="189"/>
    </row>
    <row r="26" customFormat="false" ht="15" hidden="false" customHeight="false" outlineLevel="0" collapsed="false">
      <c r="A26" s="6" t="s">
        <v>832</v>
      </c>
      <c r="B26" s="6" t="s">
        <v>662</v>
      </c>
      <c r="C26" s="6" t="s">
        <v>554</v>
      </c>
      <c r="D26" s="32" t="n">
        <v>500</v>
      </c>
      <c r="F26" s="6" t="n">
        <v>0.5</v>
      </c>
      <c r="G26" s="6"/>
      <c r="M26" s="189"/>
    </row>
    <row r="27" customFormat="false" ht="15" hidden="false" customHeight="false" outlineLevel="0" collapsed="false">
      <c r="A27" s="6" t="s">
        <v>833</v>
      </c>
      <c r="B27" s="6" t="s">
        <v>43</v>
      </c>
      <c r="C27" s="6" t="s">
        <v>55</v>
      </c>
      <c r="D27" s="32" t="n">
        <v>500</v>
      </c>
      <c r="F27" s="6" t="n">
        <v>17.5</v>
      </c>
      <c r="G27" s="6"/>
      <c r="M27" s="189"/>
    </row>
    <row r="28" customFormat="false" ht="15" hidden="false" customHeight="false" outlineLevel="0" collapsed="false">
      <c r="A28" s="6" t="s">
        <v>834</v>
      </c>
      <c r="B28" s="6" t="s">
        <v>55</v>
      </c>
      <c r="C28" s="6" t="s">
        <v>89</v>
      </c>
      <c r="D28" s="32" t="n">
        <v>500</v>
      </c>
      <c r="F28" s="6" t="n">
        <v>25</v>
      </c>
      <c r="G28" s="6"/>
      <c r="M28" s="189"/>
    </row>
    <row r="29" customFormat="false" ht="15" hidden="false" customHeight="false" outlineLevel="0" collapsed="false">
      <c r="A29" s="6" t="s">
        <v>835</v>
      </c>
      <c r="B29" s="6" t="s">
        <v>55</v>
      </c>
      <c r="C29" s="6" t="s">
        <v>670</v>
      </c>
      <c r="D29" s="32" t="n">
        <v>500</v>
      </c>
      <c r="F29" s="6" t="n">
        <v>0.1</v>
      </c>
      <c r="G29" s="6"/>
      <c r="M29" s="189"/>
    </row>
    <row r="30" customFormat="false" ht="15" hidden="false" customHeight="false" outlineLevel="0" collapsed="false">
      <c r="A30" s="6" t="s">
        <v>836</v>
      </c>
      <c r="B30" s="6" t="s">
        <v>43</v>
      </c>
      <c r="C30" s="6" t="s">
        <v>89</v>
      </c>
      <c r="D30" s="32" t="n">
        <v>500</v>
      </c>
      <c r="F30" s="6" t="n">
        <v>42.5</v>
      </c>
      <c r="G30" s="6"/>
      <c r="M30" s="189"/>
    </row>
    <row r="31" customFormat="false" ht="15" hidden="false" customHeight="false" outlineLevel="0" collapsed="false">
      <c r="A31" s="6" t="s">
        <v>837</v>
      </c>
      <c r="B31" s="6" t="s">
        <v>43</v>
      </c>
      <c r="C31" s="6" t="s">
        <v>89</v>
      </c>
      <c r="D31" s="32" t="n">
        <v>500</v>
      </c>
      <c r="F31" s="6" t="n">
        <v>42.5</v>
      </c>
      <c r="G31" s="6"/>
      <c r="M31" s="189"/>
    </row>
    <row r="32" customFormat="false" ht="15" hidden="false" customHeight="false" outlineLevel="0" collapsed="false">
      <c r="A32" s="6" t="s">
        <v>838</v>
      </c>
      <c r="B32" s="6" t="s">
        <v>43</v>
      </c>
      <c r="C32" s="6" t="s">
        <v>55</v>
      </c>
      <c r="D32" s="32" t="n">
        <v>500</v>
      </c>
      <c r="F32" s="6" t="n">
        <v>17.5</v>
      </c>
      <c r="G32" s="6"/>
      <c r="M32" s="189"/>
    </row>
    <row r="33" customFormat="false" ht="15" hidden="false" customHeight="false" outlineLevel="0" collapsed="false">
      <c r="A33" s="6" t="s">
        <v>839</v>
      </c>
      <c r="B33" s="6" t="s">
        <v>55</v>
      </c>
      <c r="C33" s="6" t="s">
        <v>89</v>
      </c>
      <c r="D33" s="32" t="n">
        <v>500</v>
      </c>
      <c r="F33" s="6" t="n">
        <v>25</v>
      </c>
      <c r="G33" s="6"/>
      <c r="M33" s="189"/>
    </row>
    <row r="34" customFormat="false" ht="15" hidden="false" customHeight="false" outlineLevel="0" collapsed="false">
      <c r="A34" s="6" t="s">
        <v>840</v>
      </c>
      <c r="B34" s="6" t="s">
        <v>55</v>
      </c>
      <c r="C34" s="6" t="s">
        <v>670</v>
      </c>
      <c r="D34" s="32" t="n">
        <v>500</v>
      </c>
      <c r="F34" s="6" t="n">
        <v>0.1</v>
      </c>
      <c r="G34" s="6"/>
      <c r="M34" s="189"/>
    </row>
    <row r="35" customFormat="false" ht="15" hidden="false" customHeight="false" outlineLevel="0" collapsed="false">
      <c r="A35" s="6" t="s">
        <v>841</v>
      </c>
      <c r="B35" s="6" t="s">
        <v>21</v>
      </c>
      <c r="C35" s="6" t="s">
        <v>89</v>
      </c>
      <c r="D35" s="32" t="n">
        <v>500</v>
      </c>
      <c r="F35" s="6" t="n">
        <v>65</v>
      </c>
      <c r="G35" s="6"/>
      <c r="M35" s="189"/>
    </row>
    <row r="36" customFormat="false" ht="15" hidden="false" customHeight="false" outlineLevel="0" collapsed="false">
      <c r="A36" s="6" t="s">
        <v>842</v>
      </c>
      <c r="B36" s="6" t="s">
        <v>21</v>
      </c>
      <c r="C36" s="6" t="s">
        <v>89</v>
      </c>
      <c r="D36" s="32" t="n">
        <v>500</v>
      </c>
      <c r="F36" s="6" t="n">
        <v>65</v>
      </c>
      <c r="G36" s="6"/>
      <c r="M36" s="189"/>
    </row>
    <row r="37" customFormat="false" ht="15" hidden="false" customHeight="false" outlineLevel="0" collapsed="false">
      <c r="A37" s="6" t="s">
        <v>843</v>
      </c>
      <c r="B37" s="6" t="s">
        <v>18</v>
      </c>
      <c r="C37" s="6" t="s">
        <v>33</v>
      </c>
      <c r="D37" s="32" t="n">
        <v>500</v>
      </c>
      <c r="F37" s="6" t="n">
        <v>36</v>
      </c>
      <c r="G37" s="6"/>
      <c r="M37" s="189"/>
    </row>
    <row r="38" customFormat="false" ht="15" hidden="false" customHeight="false" outlineLevel="0" collapsed="false">
      <c r="A38" s="6" t="s">
        <v>844</v>
      </c>
      <c r="B38" s="6" t="s">
        <v>18</v>
      </c>
      <c r="C38" s="6" t="s">
        <v>669</v>
      </c>
      <c r="D38" s="32" t="n">
        <v>500</v>
      </c>
      <c r="F38" s="6" t="n">
        <v>0.1</v>
      </c>
      <c r="G38" s="6"/>
      <c r="M38" s="189"/>
    </row>
    <row r="39" customFormat="false" ht="15" hidden="false" customHeight="false" outlineLevel="0" collapsed="false">
      <c r="A39" s="6" t="s">
        <v>845</v>
      </c>
      <c r="B39" s="6" t="s">
        <v>155</v>
      </c>
      <c r="C39" s="6" t="s">
        <v>89</v>
      </c>
      <c r="D39" s="32" t="n">
        <v>500</v>
      </c>
      <c r="F39" s="6" t="n">
        <v>38</v>
      </c>
      <c r="G39" s="6"/>
      <c r="M39" s="189"/>
    </row>
    <row r="40" customFormat="false" ht="15" hidden="false" customHeight="false" outlineLevel="0" collapsed="false">
      <c r="A40" s="6" t="s">
        <v>846</v>
      </c>
      <c r="B40" s="6" t="s">
        <v>155</v>
      </c>
      <c r="C40" s="6" t="s">
        <v>89</v>
      </c>
      <c r="D40" s="32" t="n">
        <v>500</v>
      </c>
      <c r="F40" s="6" t="n">
        <v>38</v>
      </c>
      <c r="G40" s="6"/>
      <c r="M40" s="189"/>
    </row>
    <row r="41" customFormat="false" ht="15" hidden="false" customHeight="false" outlineLevel="0" collapsed="false">
      <c r="A41" s="6" t="s">
        <v>847</v>
      </c>
      <c r="B41" s="6" t="s">
        <v>155</v>
      </c>
      <c r="C41" s="6" t="s">
        <v>671</v>
      </c>
      <c r="D41" s="32" t="n">
        <v>500</v>
      </c>
      <c r="F41" s="6" t="n">
        <v>12</v>
      </c>
      <c r="G41" s="6"/>
      <c r="M41" s="189"/>
    </row>
    <row r="42" customFormat="false" ht="15" hidden="false" customHeight="false" outlineLevel="0" collapsed="false">
      <c r="A42" s="6" t="s">
        <v>848</v>
      </c>
      <c r="B42" s="6" t="s">
        <v>155</v>
      </c>
      <c r="C42" s="6" t="s">
        <v>671</v>
      </c>
      <c r="D42" s="32" t="n">
        <v>500</v>
      </c>
      <c r="F42" s="6" t="n">
        <v>12</v>
      </c>
      <c r="G42" s="6"/>
      <c r="M42" s="189"/>
    </row>
    <row r="43" customFormat="false" ht="15" hidden="false" customHeight="false" outlineLevel="0" collapsed="false">
      <c r="A43" s="6" t="s">
        <v>849</v>
      </c>
      <c r="B43" s="6" t="s">
        <v>35</v>
      </c>
      <c r="C43" s="6" t="s">
        <v>155</v>
      </c>
      <c r="D43" s="32" t="n">
        <v>500</v>
      </c>
      <c r="F43" s="6" t="n">
        <v>65</v>
      </c>
      <c r="G43" s="6"/>
    </row>
    <row r="44" customFormat="false" ht="15" hidden="false" customHeight="false" outlineLevel="0" collapsed="false">
      <c r="A44" s="6" t="s">
        <v>850</v>
      </c>
      <c r="B44" s="6" t="s">
        <v>666</v>
      </c>
      <c r="C44" s="6" t="s">
        <v>35</v>
      </c>
      <c r="D44" s="32" t="n">
        <v>500</v>
      </c>
      <c r="F44" s="6" t="n">
        <v>35</v>
      </c>
      <c r="G44" s="6"/>
    </row>
    <row r="45" customFormat="false" ht="15" hidden="false" customHeight="false" outlineLevel="0" collapsed="false">
      <c r="A45" s="6" t="s">
        <v>851</v>
      </c>
      <c r="B45" s="6" t="s">
        <v>666</v>
      </c>
      <c r="C45" s="6" t="s">
        <v>35</v>
      </c>
      <c r="D45" s="32" t="n">
        <v>500</v>
      </c>
      <c r="F45" s="6" t="n">
        <v>35</v>
      </c>
      <c r="G45" s="6"/>
    </row>
    <row r="46" customFormat="false" ht="15" hidden="false" customHeight="false" outlineLevel="0" collapsed="false">
      <c r="A46" s="6" t="s">
        <v>852</v>
      </c>
      <c r="B46" s="6" t="s">
        <v>666</v>
      </c>
      <c r="C46" s="6" t="s">
        <v>33</v>
      </c>
      <c r="D46" s="32" t="n">
        <v>500</v>
      </c>
      <c r="F46" s="6" t="n">
        <v>150</v>
      </c>
      <c r="G46" s="6"/>
    </row>
    <row r="47" customFormat="false" ht="15" hidden="false" customHeight="false" outlineLevel="0" collapsed="false">
      <c r="A47" s="6" t="s">
        <v>853</v>
      </c>
      <c r="B47" s="6" t="s">
        <v>106</v>
      </c>
      <c r="C47" s="6" t="s">
        <v>41</v>
      </c>
      <c r="D47" s="32" t="n">
        <v>500</v>
      </c>
      <c r="F47" s="6" t="n">
        <v>200</v>
      </c>
      <c r="G47" s="6"/>
    </row>
    <row r="48" customFormat="false" ht="15" hidden="false" customHeight="false" outlineLevel="0" collapsed="false">
      <c r="A48" s="6" t="s">
        <v>854</v>
      </c>
      <c r="B48" s="6" t="s">
        <v>41</v>
      </c>
      <c r="C48" s="6" t="s">
        <v>668</v>
      </c>
      <c r="D48" s="32" t="n">
        <v>500</v>
      </c>
      <c r="F48" s="6" t="n">
        <v>150</v>
      </c>
      <c r="G48" s="6"/>
    </row>
    <row r="49" customFormat="false" ht="15" hidden="false" customHeight="false" outlineLevel="0" collapsed="false">
      <c r="A49" s="6" t="s">
        <v>855</v>
      </c>
      <c r="B49" s="6" t="s">
        <v>668</v>
      </c>
      <c r="C49" s="6" t="s">
        <v>21</v>
      </c>
      <c r="D49" s="32" t="n">
        <v>500</v>
      </c>
      <c r="F49" s="6" t="n">
        <v>130</v>
      </c>
      <c r="G49" s="6"/>
    </row>
    <row r="50" customFormat="false" ht="15" hidden="false" customHeight="false" outlineLevel="0" collapsed="false">
      <c r="A50" s="6" t="s">
        <v>856</v>
      </c>
      <c r="B50" s="6" t="s">
        <v>41</v>
      </c>
      <c r="C50" s="6" t="s">
        <v>668</v>
      </c>
      <c r="D50" s="32" t="n">
        <v>500</v>
      </c>
      <c r="F50" s="6" t="n">
        <v>150</v>
      </c>
      <c r="G50" s="6"/>
    </row>
    <row r="51" customFormat="false" ht="15" hidden="false" customHeight="false" outlineLevel="0" collapsed="false">
      <c r="A51" s="6" t="s">
        <v>857</v>
      </c>
      <c r="B51" s="6" t="s">
        <v>668</v>
      </c>
      <c r="C51" s="6" t="s">
        <v>21</v>
      </c>
      <c r="D51" s="32" t="n">
        <v>500</v>
      </c>
      <c r="F51" s="6" t="n">
        <v>130</v>
      </c>
      <c r="G51" s="6"/>
    </row>
    <row r="52" customFormat="false" ht="15" hidden="false" customHeight="false" outlineLevel="0" collapsed="false">
      <c r="A52" s="6" t="s">
        <v>858</v>
      </c>
      <c r="B52" s="6" t="s">
        <v>75</v>
      </c>
      <c r="C52" s="6" t="s">
        <v>551</v>
      </c>
      <c r="D52" s="32" t="n">
        <v>500</v>
      </c>
      <c r="F52" s="6" t="n">
        <v>170</v>
      </c>
      <c r="G52" s="6"/>
    </row>
    <row r="53" customFormat="false" ht="15" hidden="false" customHeight="false" outlineLevel="0" collapsed="false">
      <c r="A53" s="6" t="s">
        <v>859</v>
      </c>
      <c r="B53" s="6" t="s">
        <v>75</v>
      </c>
      <c r="C53" s="6" t="s">
        <v>551</v>
      </c>
      <c r="D53" s="32" t="n">
        <v>500</v>
      </c>
      <c r="F53" s="6" t="n">
        <v>170</v>
      </c>
      <c r="G53" s="6"/>
    </row>
    <row r="54" customFormat="false" ht="15" hidden="false" customHeight="false" outlineLevel="0" collapsed="false">
      <c r="A54" s="6" t="s">
        <v>860</v>
      </c>
      <c r="B54" s="6" t="s">
        <v>75</v>
      </c>
      <c r="C54" s="6" t="s">
        <v>72</v>
      </c>
      <c r="D54" s="32" t="n">
        <v>500</v>
      </c>
      <c r="F54" s="6" t="n">
        <v>190</v>
      </c>
      <c r="G54" s="6"/>
    </row>
    <row r="55" customFormat="false" ht="15" hidden="false" customHeight="false" outlineLevel="0" collapsed="false">
      <c r="A55" s="6" t="s">
        <v>861</v>
      </c>
      <c r="B55" s="6" t="s">
        <v>75</v>
      </c>
      <c r="C55" s="6" t="s">
        <v>72</v>
      </c>
      <c r="D55" s="32" t="n">
        <v>500</v>
      </c>
      <c r="F55" s="6" t="n">
        <v>190</v>
      </c>
      <c r="G55" s="6"/>
    </row>
    <row r="56" customFormat="false" ht="15" hidden="false" customHeight="false" outlineLevel="0" collapsed="false">
      <c r="A56" s="6" t="s">
        <v>862</v>
      </c>
      <c r="B56" s="6" t="s">
        <v>75</v>
      </c>
      <c r="C56" s="6" t="s">
        <v>551</v>
      </c>
      <c r="D56" s="32" t="n">
        <v>500</v>
      </c>
      <c r="F56" s="6" t="n">
        <v>170</v>
      </c>
      <c r="G56" s="6"/>
    </row>
    <row r="57" customFormat="false" ht="15" hidden="false" customHeight="false" outlineLevel="0" collapsed="false">
      <c r="A57" s="6" t="s">
        <v>863</v>
      </c>
      <c r="B57" s="6" t="s">
        <v>75</v>
      </c>
      <c r="C57" s="6" t="s">
        <v>551</v>
      </c>
      <c r="D57" s="32" t="n">
        <v>500</v>
      </c>
      <c r="F57" s="6" t="n">
        <v>170</v>
      </c>
      <c r="G57" s="6"/>
    </row>
    <row r="58" customFormat="false" ht="15" hidden="false" customHeight="false" outlineLevel="0" collapsed="false">
      <c r="A58" s="6" t="s">
        <v>864</v>
      </c>
      <c r="B58" s="6" t="s">
        <v>75</v>
      </c>
      <c r="C58" s="6" t="s">
        <v>667</v>
      </c>
      <c r="D58" s="32" t="n">
        <v>500</v>
      </c>
      <c r="F58" s="6" t="n">
        <v>15</v>
      </c>
      <c r="G58" s="6"/>
    </row>
    <row r="59" customFormat="false" ht="15" hidden="false" customHeight="false" outlineLevel="0" collapsed="false">
      <c r="A59" s="6" t="s">
        <v>865</v>
      </c>
      <c r="B59" s="6" t="s">
        <v>75</v>
      </c>
      <c r="C59" s="6" t="s">
        <v>667</v>
      </c>
      <c r="D59" s="32" t="n">
        <v>500</v>
      </c>
      <c r="F59" s="6" t="n">
        <v>15</v>
      </c>
      <c r="G59" s="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8" activeCellId="0" sqref="C28"/>
    </sheetView>
  </sheetViews>
  <sheetFormatPr defaultColWidth="8.5390625" defaultRowHeight="15" zeroHeight="false" outlineLevelRow="0" outlineLevelCol="0"/>
  <cols>
    <col collapsed="false" customWidth="true" hidden="false" outlineLevel="0" max="1" min="1" style="0" width="12.57"/>
    <col collapsed="false" customWidth="true" hidden="false" outlineLevel="0" max="2" min="2" style="0" width="16"/>
    <col collapsed="false" customWidth="true" hidden="false" outlineLevel="0" max="3" min="3" style="0" width="10.14"/>
    <col collapsed="false" customWidth="true" hidden="false" outlineLevel="0" max="4" min="4" style="0" width="12.71"/>
    <col collapsed="false" customWidth="true" hidden="false" outlineLevel="0" max="5" min="5" style="0" width="10"/>
    <col collapsed="false" customWidth="true" hidden="false" outlineLevel="0" max="6" min="6" style="0" width="12.71"/>
    <col collapsed="false" customWidth="true" hidden="false" outlineLevel="0" max="8" min="7" style="0" width="12.85"/>
    <col collapsed="false" customWidth="true" hidden="false" outlineLevel="0" max="9" min="9" style="0" width="13.14"/>
    <col collapsed="false" customWidth="true" hidden="false" outlineLevel="0" max="10" min="10" style="0" width="14"/>
    <col collapsed="false" customWidth="true" hidden="false" outlineLevel="0" max="11" min="11" style="0" width="12.14"/>
    <col collapsed="false" customWidth="true" hidden="false" outlineLevel="0" max="12" min="12" style="0" width="9.14"/>
  </cols>
  <sheetData>
    <row r="1" customFormat="false" ht="19.5" hidden="false" customHeight="false" outlineLevel="0" collapsed="false">
      <c r="A1" s="90" t="s">
        <v>484</v>
      </c>
    </row>
    <row r="2" customFormat="false" ht="31.5" hidden="false" customHeight="true" outlineLevel="0" collapsed="false">
      <c r="A2" s="91"/>
      <c r="B2" s="117" t="s">
        <v>485</v>
      </c>
      <c r="C2" s="117"/>
      <c r="D2" s="117"/>
      <c r="E2" s="118" t="s">
        <v>486</v>
      </c>
      <c r="F2" s="118"/>
      <c r="G2" s="190" t="s">
        <v>487</v>
      </c>
      <c r="H2" s="190"/>
      <c r="I2" s="190"/>
      <c r="J2" s="190"/>
      <c r="K2" s="191"/>
      <c r="L2" s="192"/>
    </row>
    <row r="3" customFormat="false" ht="15" hidden="false" customHeight="false" outlineLevel="0" collapsed="false">
      <c r="A3" s="97" t="s">
        <v>488</v>
      </c>
      <c r="B3" s="193" t="s">
        <v>503</v>
      </c>
      <c r="C3" s="193" t="s">
        <v>489</v>
      </c>
      <c r="D3" s="193" t="s">
        <v>231</v>
      </c>
      <c r="E3" s="194" t="s">
        <v>490</v>
      </c>
      <c r="F3" s="194" t="s">
        <v>491</v>
      </c>
      <c r="G3" s="195" t="s">
        <v>492</v>
      </c>
      <c r="H3" s="195" t="s">
        <v>493</v>
      </c>
      <c r="I3" s="195" t="s">
        <v>866</v>
      </c>
      <c r="J3" s="196" t="s">
        <v>867</v>
      </c>
      <c r="K3" s="142"/>
      <c r="L3" s="35"/>
      <c r="M3" s="35"/>
      <c r="N3" s="35"/>
      <c r="O3" s="35"/>
    </row>
    <row r="4" customFormat="false" ht="15.75" hidden="false" customHeight="false" outlineLevel="0" collapsed="false">
      <c r="A4" s="97"/>
      <c r="B4" s="197" t="s">
        <v>868</v>
      </c>
      <c r="C4" s="197" t="s">
        <v>495</v>
      </c>
      <c r="D4" s="197" t="s">
        <v>495</v>
      </c>
      <c r="E4" s="198" t="s">
        <v>243</v>
      </c>
      <c r="F4" s="198" t="s">
        <v>243</v>
      </c>
      <c r="G4" s="199" t="s">
        <v>496</v>
      </c>
      <c r="H4" s="199" t="s">
        <v>496</v>
      </c>
      <c r="I4" s="199" t="s">
        <v>496</v>
      </c>
      <c r="J4" s="200" t="s">
        <v>496</v>
      </c>
      <c r="K4" s="142"/>
      <c r="L4" s="35"/>
      <c r="M4" s="35"/>
      <c r="N4" s="35"/>
      <c r="O4" s="35"/>
    </row>
    <row r="5" customFormat="false" ht="15" hidden="false" customHeight="false" outlineLevel="0" collapsed="false">
      <c r="A5" s="97" t="str">
        <f aca="false">'site independent'!A5</f>
        <v>coal</v>
      </c>
      <c r="B5" s="139" t="str">
        <f aca="false">ROUND(('site independent'!D5*(1/3412)), 5) &amp;"P + "&amp;'site independent'!P5</f>
        <v>0.00888P + 10000</v>
      </c>
      <c r="C5" s="142" t="n">
        <f aca="false">IF(ISBLANK('site independent'!O5), "",  'site independent'!O5)</f>
        <v>105</v>
      </c>
      <c r="D5" s="142" t="n">
        <f aca="false">IF(ISBLANK('site independent'!S5), "",  'site independent'!S5)</f>
        <v>0</v>
      </c>
      <c r="E5" s="142" t="n">
        <f aca="false">IF('site independent'!Q5&gt;0, 'site independent'!Q5, "")</f>
        <v>3</v>
      </c>
      <c r="F5" s="142" t="n">
        <f aca="false">IF('site independent'!R5&gt;0, 'site independent'!R5, "")</f>
        <v>3</v>
      </c>
      <c r="G5" s="142" t="n">
        <f aca="false">IF(ISBLANK('site independent'!L5), "", ('site independent'!L5)*60)</f>
        <v>120</v>
      </c>
      <c r="H5" s="142" t="n">
        <f aca="false">IF(ISBLANK('site independent'!L5), "", (-1)*('site independent'!L5)*60)</f>
        <v>-120</v>
      </c>
      <c r="I5" s="106" t="n">
        <f aca="false">IF(ISBLANK('site independent'!K5), "",  (1/'site independent'!K5))</f>
        <v>0.1</v>
      </c>
      <c r="J5" s="107" t="n">
        <f aca="false">IF(ISBLANK('site independent'!K5), "",  (-1)*(1/'site independent'!K5))</f>
        <v>-0.1</v>
      </c>
      <c r="K5" s="142"/>
      <c r="L5" s="35"/>
      <c r="M5" s="35"/>
      <c r="N5" s="35"/>
      <c r="O5" s="35"/>
    </row>
    <row r="6" customFormat="false" ht="15" hidden="false" customHeight="false" outlineLevel="0" collapsed="false">
      <c r="A6" s="97" t="str">
        <f aca="false">'site independent'!A6</f>
        <v>Natural gas</v>
      </c>
      <c r="B6" s="139" t="str">
        <f aca="false">ROUND(('site independent'!D6*(1/3412)), 5) &amp;"P + "&amp;'site independent'!P6</f>
        <v>0P + 10000</v>
      </c>
      <c r="C6" s="142" t="str">
        <f aca="false">IF(ISBLANK('site independent'!O6), "",  'site independent'!O6)</f>
        <v/>
      </c>
      <c r="D6" s="142" t="n">
        <f aca="false">IF(ISBLANK('site independent'!S6), "",  'site independent'!S6)</f>
        <v>0</v>
      </c>
      <c r="E6" s="142" t="n">
        <f aca="false">IF('site independent'!Q6&gt;0, 'site independent'!Q6, "")</f>
        <v>4</v>
      </c>
      <c r="F6" s="142" t="n">
        <f aca="false">IF('site independent'!R6&gt;0, 'site independent'!R6, "")</f>
        <v>3</v>
      </c>
      <c r="G6" s="142" t="str">
        <f aca="false">IF(ISBLANK('site independent'!L6), "", ('site independent'!L6)*60)</f>
        <v/>
      </c>
      <c r="H6" s="142" t="str">
        <f aca="false">IF(ISBLANK('site independent'!L6), "", (-1)*('site independent'!L6)*60)</f>
        <v/>
      </c>
      <c r="I6" s="106" t="str">
        <f aca="false">IF('site independent'!K6&gt;0, (1/'site independent'!K6), "")</f>
        <v/>
      </c>
      <c r="J6" s="107" t="str">
        <f aca="false">IF(ISBLANK('site independent'!K6), "",  (-1)*(1/'site independent'!K6))</f>
        <v/>
      </c>
      <c r="K6" s="142"/>
      <c r="L6" s="35"/>
      <c r="M6" s="35"/>
      <c r="N6" s="35"/>
      <c r="O6" s="35"/>
    </row>
    <row r="7" customFormat="false" ht="15" hidden="false" customHeight="false" outlineLevel="0" collapsed="false">
      <c r="A7" s="97" t="str">
        <f aca="false">'site independent'!A7</f>
        <v>NG_CC</v>
      </c>
      <c r="B7" s="139" t="str">
        <f aca="false">ROUND(('site independent'!D7*(1/3412)), 5) &amp;"P + "&amp;'site independent'!P7</f>
        <v>0.01439P + 10000</v>
      </c>
      <c r="C7" s="142" t="n">
        <f aca="false">IF(ISBLANK('site independent'!O7), "",  'site independent'!O7)</f>
        <v>79</v>
      </c>
      <c r="D7" s="142" t="n">
        <f aca="false">IF(ISBLANK('site independent'!S7), "",  'site independent'!S7)</f>
        <v>0</v>
      </c>
      <c r="E7" s="142" t="n">
        <f aca="false">IF('site independent'!Q7&gt;0, 'site independent'!Q7, "")</f>
        <v>4</v>
      </c>
      <c r="F7" s="142" t="n">
        <f aca="false">IF('site independent'!R7&gt;0, 'site independent'!R7, "")</f>
        <v>3</v>
      </c>
      <c r="G7" s="142" t="n">
        <f aca="false">IF(ISBLANK('site independent'!L7), "", ('site independent'!L7)*60)</f>
        <v>300</v>
      </c>
      <c r="H7" s="142" t="n">
        <f aca="false">IF(ISBLANK('site independent'!L7), "", (-1)*('site independent'!L7)*60)</f>
        <v>-300</v>
      </c>
      <c r="I7" s="106" t="n">
        <f aca="false">IF('site independent'!K7&gt;0, (1/'site independent'!K7), "")</f>
        <v>0.25</v>
      </c>
      <c r="J7" s="107" t="n">
        <f aca="false">IF(ISBLANK('site independent'!K7), "",  (-1)*(1/'site independent'!K7))</f>
        <v>-0.25</v>
      </c>
      <c r="K7" s="142"/>
      <c r="L7" s="35"/>
      <c r="M7" s="35"/>
      <c r="N7" s="35"/>
      <c r="O7" s="35"/>
    </row>
    <row r="8" customFormat="false" ht="15" hidden="false" customHeight="false" outlineLevel="0" collapsed="false">
      <c r="A8" s="97" t="str">
        <f aca="false">'site independent'!A8</f>
        <v>NG_CT</v>
      </c>
      <c r="B8" s="139" t="str">
        <f aca="false">ROUND(('site independent'!D8*(1/3412)), 5) &amp;"P + "&amp;'site independent'!P8</f>
        <v>0.02403P + 10000</v>
      </c>
      <c r="C8" s="142" t="n">
        <f aca="false">IF(ISBLANK('site independent'!O8), "",  'site independent'!O8)</f>
        <v>103</v>
      </c>
      <c r="D8" s="142" t="n">
        <f aca="false">IF(ISBLANK('site independent'!S8), "",  'site independent'!S8)</f>
        <v>0</v>
      </c>
      <c r="E8" s="142" t="n">
        <f aca="false">IF('site independent'!Q8&gt;0, 'site independent'!Q8, "")</f>
        <v>4</v>
      </c>
      <c r="F8" s="142" t="n">
        <f aca="false">IF('site independent'!R8&gt;0, 'site independent'!R8, "")</f>
        <v>3</v>
      </c>
      <c r="G8" s="142" t="n">
        <f aca="false">IF(ISBLANK('site independent'!L8), "", ('site independent'!L8)*60)</f>
        <v>480</v>
      </c>
      <c r="H8" s="142" t="n">
        <f aca="false">IF(ISBLANK('site independent'!L8), "", (-1)*('site independent'!L8)*60)</f>
        <v>-480</v>
      </c>
      <c r="I8" s="106" t="n">
        <f aca="false">IF('site independent'!K8&gt;0, (1/'site independent'!K8), "")</f>
        <v>2</v>
      </c>
      <c r="J8" s="107" t="n">
        <f aca="false">IF(ISBLANK('site independent'!K8), "",  (-1)*(1/'site independent'!K8))</f>
        <v>-2</v>
      </c>
      <c r="K8" s="142"/>
      <c r="L8" s="35"/>
      <c r="M8" s="35"/>
      <c r="N8" s="35"/>
      <c r="O8" s="35"/>
    </row>
    <row r="9" customFormat="false" ht="15" hidden="false" customHeight="false" outlineLevel="0" collapsed="false">
      <c r="A9" s="97" t="str">
        <f aca="false">'site independent'!A9</f>
        <v>NG_CG</v>
      </c>
      <c r="B9" s="139" t="str">
        <f aca="false">ROUND(('site independent'!D9*(1/3412)), 5) &amp;"P + "&amp;'site independent'!P9</f>
        <v>0.02403P + 10000</v>
      </c>
      <c r="C9" s="142" t="n">
        <f aca="false">IF(ISBLANK('site independent'!O9), "",  'site independent'!O9)</f>
        <v>103</v>
      </c>
      <c r="D9" s="142" t="n">
        <f aca="false">IF(ISBLANK('site independent'!S9), "",  'site independent'!S9)</f>
        <v>0</v>
      </c>
      <c r="E9" s="142" t="n">
        <f aca="false">IF('site independent'!Q9&gt;0, 'site independent'!Q9, "")</f>
        <v>4</v>
      </c>
      <c r="F9" s="142" t="n">
        <f aca="false">IF('site independent'!R9&gt;0, 'site independent'!R9, "")</f>
        <v>3</v>
      </c>
      <c r="G9" s="142" t="n">
        <f aca="false">IF(ISBLANK('site independent'!L9), "", ('site independent'!L9)*60)</f>
        <v>480</v>
      </c>
      <c r="H9" s="142" t="n">
        <f aca="false">IF(ISBLANK('site independent'!L9), "", (-1)*('site independent'!L9)*60)</f>
        <v>-480</v>
      </c>
      <c r="I9" s="106" t="n">
        <f aca="false">IF('site independent'!K9&gt;0, (1/'site independent'!K9), "")</f>
        <v>2</v>
      </c>
      <c r="J9" s="107" t="n">
        <f aca="false">IF(ISBLANK('site independent'!K9), "",  (-1)*(1/'site independent'!K9))</f>
        <v>-2</v>
      </c>
      <c r="K9" s="142"/>
      <c r="L9" s="35"/>
      <c r="M9" s="35"/>
      <c r="N9" s="35"/>
      <c r="O9" s="35"/>
    </row>
    <row r="10" customFormat="false" ht="15" hidden="false" customHeight="false" outlineLevel="0" collapsed="false">
      <c r="A10" s="97" t="str">
        <f aca="false">'site independent'!A10</f>
        <v>diesel</v>
      </c>
      <c r="B10" s="139" t="str">
        <f aca="false">ROUND(('site independent'!D10*(1/3412)), 5) &amp;"P + "&amp;'site independent'!P10</f>
        <v>0.08441P + 10000</v>
      </c>
      <c r="C10" s="142" t="n">
        <f aca="false">IF(ISBLANK('site independent'!O10), "",  'site independent'!O10)</f>
        <v>10000000</v>
      </c>
      <c r="D10" s="142" t="n">
        <f aca="false">IF(ISBLANK('site independent'!S10), "",  'site independent'!S10)</f>
        <v>0</v>
      </c>
      <c r="E10" s="142" t="str">
        <f aca="false">IF('site independent'!Q10&gt;0, 'site independent'!Q10, "")</f>
        <v/>
      </c>
      <c r="F10" s="142" t="str">
        <f aca="false">IF('site independent'!R10&gt;0, 'site independent'!R10, "")</f>
        <v/>
      </c>
      <c r="G10" s="142" t="str">
        <f aca="false">IF(ISBLANK('site independent'!L10), "", ('site independent'!L10)*60)</f>
        <v/>
      </c>
      <c r="H10" s="142" t="str">
        <f aca="false">IF(ISBLANK('site independent'!L10), "", (-1)*('site independent'!L10)*60)</f>
        <v/>
      </c>
      <c r="I10" s="106" t="str">
        <f aca="false">IF('site independent'!K10&gt;0, (1/'site independent'!K10), "")</f>
        <v/>
      </c>
      <c r="J10" s="107" t="str">
        <f aca="false">IF(ISBLANK('site independent'!K10), "",  (-1)*(1/'site independent'!K10))</f>
        <v/>
      </c>
      <c r="K10" s="142"/>
      <c r="L10" s="35"/>
      <c r="M10" s="35"/>
      <c r="N10" s="35"/>
      <c r="O10" s="35"/>
    </row>
    <row r="11" customFormat="false" ht="15" hidden="false" customHeight="false" outlineLevel="0" collapsed="false">
      <c r="A11" s="97" t="str">
        <f aca="false">'site independent'!A11</f>
        <v>fuel oil</v>
      </c>
      <c r="B11" s="139" t="str">
        <f aca="false">ROUND(('site independent'!D11*(1/3412)), 5) &amp;"P + "&amp;'site independent'!P11</f>
        <v>0.05064P + 10000</v>
      </c>
      <c r="C11" s="142" t="n">
        <f aca="false">IF(ISBLANK('site independent'!O11), "",  'site independent'!O11)</f>
        <v>10000000</v>
      </c>
      <c r="D11" s="142" t="n">
        <f aca="false">IF(ISBLANK('site independent'!S11), "",  'site independent'!S11)</f>
        <v>0</v>
      </c>
      <c r="E11" s="142" t="str">
        <f aca="false">IF('site independent'!Q11&gt;0, 'site independent'!Q11, "")</f>
        <v/>
      </c>
      <c r="F11" s="142" t="str">
        <f aca="false">IF('site independent'!R11&gt;0, 'site independent'!R11, "")</f>
        <v/>
      </c>
      <c r="G11" s="142" t="str">
        <f aca="false">IF(ISBLANK('site independent'!L11), "", ('site independent'!L11)*60)</f>
        <v/>
      </c>
      <c r="H11" s="142" t="str">
        <f aca="false">IF(ISBLANK('site independent'!L11), "", (-1)*('site independent'!L11)*60)</f>
        <v/>
      </c>
      <c r="I11" s="106" t="str">
        <f aca="false">IF('site independent'!K11&gt;0, (1/'site independent'!K11), "")</f>
        <v/>
      </c>
      <c r="J11" s="107" t="str">
        <f aca="false">IF(ISBLANK('site independent'!K11), "",  (-1)*(1/'site independent'!K11))</f>
        <v/>
      </c>
      <c r="K11" s="142"/>
      <c r="L11" s="35"/>
      <c r="M11" s="35"/>
      <c r="N11" s="35"/>
      <c r="O11" s="35"/>
    </row>
    <row r="12" customFormat="false" ht="15" hidden="false" customHeight="false" outlineLevel="0" collapsed="false">
      <c r="A12" s="97" t="str">
        <f aca="false">'site independent'!A12</f>
        <v>nuclear</v>
      </c>
      <c r="B12" s="139" t="str">
        <f aca="false">ROUND(('site independent'!D12*(1/3412)), 5) &amp;"P + "&amp;'site independent'!P12</f>
        <v>0.00346P + 10000</v>
      </c>
      <c r="C12" s="142" t="n">
        <f aca="false">IF(ISBLANK('site independent'!O12), "",  'site independent'!O12)</f>
        <v>500</v>
      </c>
      <c r="D12" s="142" t="n">
        <f aca="false">IF(ISBLANK('site independent'!S12), "",  'site independent'!S12)</f>
        <v>0</v>
      </c>
      <c r="E12" s="142" t="n">
        <f aca="false">IF('site independent'!Q12&gt;0, 'site independent'!Q12, "")</f>
        <v>10</v>
      </c>
      <c r="F12" s="142" t="n">
        <f aca="false">IF('site independent'!R12&gt;0, 'site independent'!R12, "")</f>
        <v>3</v>
      </c>
      <c r="G12" s="142" t="n">
        <f aca="false">IF('site independent'!L12&gt;0, ('site independent'!L12/100)*(1)*60, "")</f>
        <v>3</v>
      </c>
      <c r="H12" s="142"/>
      <c r="I12" s="106" t="n">
        <f aca="false">IF('site independent'!K12&gt;0, (1/'site independent'!K12), "")</f>
        <v>0.0769230769230769</v>
      </c>
      <c r="J12" s="107" t="n">
        <f aca="false">IF(ISBLANK('site independent'!K12), "",  (-1)*(1/'site independent'!K12))</f>
        <v>-0.0769230769230769</v>
      </c>
      <c r="K12" s="142"/>
      <c r="L12" s="35"/>
      <c r="M12" s="35"/>
      <c r="N12" s="35"/>
      <c r="O12" s="35"/>
    </row>
    <row r="13" customFormat="false" ht="15" hidden="false" customHeight="false" outlineLevel="0" collapsed="false">
      <c r="A13" s="97" t="str">
        <f aca="false">'site independent'!A13</f>
        <v>hydro</v>
      </c>
      <c r="B13" s="139" t="str">
        <f aca="false">ROUND(('site independent'!D13*(1/3412)), 5) &amp;"P + "&amp;'site independent'!P13</f>
        <v>0.00188P + 10000</v>
      </c>
      <c r="C13" s="142" t="str">
        <f aca="false">IF(ISBLANK('site independent'!O13), "",  'site independent'!O13)</f>
        <v/>
      </c>
      <c r="D13" s="142" t="str">
        <f aca="false">IF(ISBLANK('site independent'!S13), "",  'site independent'!S13)</f>
        <v/>
      </c>
      <c r="E13" s="142" t="str">
        <f aca="false">IF('site independent'!Q13&gt;0, 'site independent'!Q13, "")</f>
        <v/>
      </c>
      <c r="F13" s="142" t="str">
        <f aca="false">IF('site independent'!R13&gt;0, 'site independent'!R13, "")</f>
        <v/>
      </c>
      <c r="G13" s="142" t="str">
        <f aca="false">IF('site independent'!L13&gt;0, ('site independent'!L13/100)*(1)*60, "")</f>
        <v/>
      </c>
      <c r="H13" s="142"/>
      <c r="I13" s="106" t="str">
        <f aca="false">IF('site independent'!K13&gt;0, (1/'site independent'!K13), "")</f>
        <v/>
      </c>
      <c r="J13" s="107" t="str">
        <f aca="false">IF(ISBLANK('site independent'!K13), "",  (-1)*(1/'site independent'!K13))</f>
        <v/>
      </c>
      <c r="K13" s="142"/>
      <c r="L13" s="35"/>
      <c r="M13" s="35"/>
      <c r="N13" s="35"/>
      <c r="O13" s="35"/>
    </row>
    <row r="14" customFormat="false" ht="15" hidden="false" customHeight="false" outlineLevel="0" collapsed="false">
      <c r="A14" s="97" t="str">
        <f aca="false">'site independent'!A14</f>
        <v>hydro_hourly</v>
      </c>
      <c r="B14" s="139" t="str">
        <f aca="false">ROUND(('site independent'!D14*(1/3412)), 5) &amp;"P + "&amp;'site independent'!P14</f>
        <v>0.00188P + 10000</v>
      </c>
      <c r="C14" s="142" t="str">
        <f aca="false">IF(ISBLANK('site independent'!O14), "",  'site independent'!O14)</f>
        <v/>
      </c>
      <c r="D14" s="142" t="str">
        <f aca="false">IF(ISBLANK('site independent'!S14), "",  'site independent'!S14)</f>
        <v/>
      </c>
      <c r="E14" s="142" t="str">
        <f aca="false">IF('site independent'!Q14&gt;0, 'site independent'!Q14, "")</f>
        <v/>
      </c>
      <c r="F14" s="142" t="str">
        <f aca="false">IF('site independent'!R14&gt;0, 'site independent'!R14, "")</f>
        <v/>
      </c>
      <c r="G14" s="142"/>
      <c r="H14" s="142" t="str">
        <f aca="false">IF('site independent'!L14&gt;0, ('site independent'!L14/100)*(1)*60, "")</f>
        <v/>
      </c>
      <c r="I14" s="106" t="str">
        <f aca="false">IF('site independent'!K14&gt;0, (1/'site independent'!K14), "")</f>
        <v/>
      </c>
      <c r="J14" s="107" t="str">
        <f aca="false">IF(ISBLANK('site independent'!K14), "",  (-1)*(1/'site independent'!K14))</f>
        <v/>
      </c>
      <c r="K14" s="142"/>
      <c r="L14" s="35"/>
      <c r="M14" s="35"/>
      <c r="N14" s="35"/>
      <c r="O14" s="35"/>
    </row>
    <row r="15" customFormat="false" ht="15" hidden="false" customHeight="false" outlineLevel="0" collapsed="false">
      <c r="A15" s="97" t="s">
        <v>274</v>
      </c>
      <c r="B15" s="201" t="s">
        <v>657</v>
      </c>
      <c r="C15" s="142"/>
      <c r="D15" s="142"/>
      <c r="E15" s="142"/>
      <c r="F15" s="142"/>
      <c r="G15" s="142"/>
      <c r="H15" s="142"/>
      <c r="I15" s="106"/>
      <c r="J15" s="107"/>
      <c r="K15" s="142"/>
      <c r="L15" s="35"/>
      <c r="M15" s="35"/>
      <c r="N15" s="35"/>
      <c r="O15" s="35"/>
    </row>
    <row r="16" customFormat="false" ht="15" hidden="false" customHeight="false" outlineLevel="0" collapsed="false">
      <c r="A16" s="97" t="s">
        <v>497</v>
      </c>
      <c r="B16" s="201" t="s">
        <v>657</v>
      </c>
      <c r="C16" s="142"/>
      <c r="D16" s="142"/>
      <c r="E16" s="142"/>
      <c r="F16" s="142"/>
      <c r="G16" s="142"/>
      <c r="H16" s="142"/>
      <c r="I16" s="106"/>
      <c r="J16" s="107"/>
      <c r="K16" s="142"/>
      <c r="L16" s="35"/>
      <c r="M16" s="35"/>
      <c r="N16" s="35"/>
      <c r="O16" s="35"/>
    </row>
    <row r="17" customFormat="false" ht="15" hidden="false" customHeight="false" outlineLevel="0" collapsed="false">
      <c r="A17" s="97" t="s">
        <v>300</v>
      </c>
      <c r="B17" s="201" t="s">
        <v>869</v>
      </c>
      <c r="C17" s="202" t="n">
        <v>0</v>
      </c>
      <c r="D17" s="202" t="n">
        <v>0</v>
      </c>
      <c r="E17" s="142"/>
      <c r="F17" s="142"/>
      <c r="G17" s="115"/>
      <c r="H17" s="142"/>
      <c r="I17" s="106"/>
      <c r="J17" s="107"/>
      <c r="K17" s="142"/>
      <c r="L17" s="35"/>
      <c r="M17" s="35"/>
      <c r="N17" s="35"/>
      <c r="O17" s="35"/>
    </row>
    <row r="18" customFormat="false" ht="15" hidden="false" customHeight="false" outlineLevel="0" collapsed="false">
      <c r="A18" s="97" t="s">
        <v>302</v>
      </c>
      <c r="B18" s="201" t="s">
        <v>869</v>
      </c>
      <c r="C18" s="202" t="n">
        <v>0</v>
      </c>
      <c r="D18" s="202" t="n">
        <v>0</v>
      </c>
      <c r="E18" s="142"/>
      <c r="F18" s="142"/>
      <c r="G18" s="115"/>
      <c r="H18" s="142"/>
      <c r="I18" s="106"/>
      <c r="J18" s="107"/>
      <c r="K18" s="142"/>
      <c r="L18" s="35"/>
      <c r="M18" s="35"/>
      <c r="N18" s="35"/>
      <c r="O18" s="35"/>
    </row>
    <row r="19" customFormat="false" ht="15" hidden="false" customHeight="false" outlineLevel="0" collapsed="false">
      <c r="A19" s="97" t="s">
        <v>498</v>
      </c>
      <c r="B19" s="201" t="s">
        <v>869</v>
      </c>
      <c r="C19" s="202" t="n">
        <v>0</v>
      </c>
      <c r="D19" s="202" t="n">
        <v>0</v>
      </c>
      <c r="E19" s="142"/>
      <c r="F19" s="142"/>
      <c r="G19" s="142"/>
      <c r="H19" s="142"/>
      <c r="I19" s="142"/>
      <c r="J19" s="110"/>
      <c r="K19" s="35"/>
      <c r="L19" s="35"/>
      <c r="M19" s="35"/>
      <c r="N19" s="35"/>
      <c r="O19" s="35"/>
    </row>
    <row r="20" customFormat="false" ht="15.75" hidden="false" customHeight="false" outlineLevel="0" collapsed="false">
      <c r="A20" s="111" t="s">
        <v>321</v>
      </c>
      <c r="B20" s="203" t="s">
        <v>869</v>
      </c>
      <c r="C20" s="112" t="n">
        <v>0</v>
      </c>
      <c r="D20" s="112" t="n">
        <v>0</v>
      </c>
      <c r="E20" s="113"/>
      <c r="F20" s="113"/>
      <c r="G20" s="113"/>
      <c r="H20" s="113"/>
      <c r="I20" s="113"/>
      <c r="J20" s="114"/>
      <c r="K20" s="35"/>
      <c r="L20" s="35"/>
      <c r="M20" s="35"/>
      <c r="N20" s="35"/>
      <c r="O20" s="35"/>
    </row>
    <row r="21" customFormat="false" ht="15" hidden="false" customHeight="false" outlineLevel="0" collapsed="false">
      <c r="B21" s="35"/>
      <c r="C21" s="35"/>
      <c r="D21" s="35"/>
      <c r="E21" s="35"/>
      <c r="F21" s="35"/>
      <c r="G21" s="35"/>
      <c r="H21" s="35"/>
      <c r="I21" s="35"/>
      <c r="J21" s="35"/>
      <c r="K21" s="35"/>
      <c r="L21" s="35"/>
      <c r="M21" s="35"/>
      <c r="N21" s="35"/>
      <c r="O21" s="35"/>
    </row>
    <row r="22" customFormat="false" ht="15" hidden="false" customHeight="false" outlineLevel="0" collapsed="false">
      <c r="A22" s="0" t="s">
        <v>501</v>
      </c>
      <c r="B22" s="35" t="n">
        <f aca="false">COLUMN(B3)-2</f>
        <v>0</v>
      </c>
      <c r="C22" s="35" t="n">
        <f aca="false">COLUMN(C3)-2</f>
        <v>1</v>
      </c>
      <c r="D22" s="35" t="n">
        <f aca="false">COLUMN(D3)-2</f>
        <v>2</v>
      </c>
      <c r="E22" s="35" t="n">
        <f aca="false">COLUMN(E3)-2</f>
        <v>3</v>
      </c>
      <c r="F22" s="35" t="n">
        <f aca="false">COLUMN(F3)-2</f>
        <v>4</v>
      </c>
      <c r="G22" s="35" t="n">
        <f aca="false">COLUMN(G3)-2</f>
        <v>5</v>
      </c>
      <c r="H22" s="35" t="n">
        <f aca="false">COLUMN(H3)-2</f>
        <v>6</v>
      </c>
      <c r="I22" s="35" t="n">
        <f aca="false">COLUMN(I3)-2</f>
        <v>7</v>
      </c>
      <c r="J22" s="35" t="n">
        <f aca="false">COLUMN(J3)-2</f>
        <v>8</v>
      </c>
      <c r="K22" s="35"/>
    </row>
    <row r="24" customFormat="false" ht="15" hidden="false" customHeight="false" outlineLevel="0" collapsed="false">
      <c r="A24" s="0" t="s">
        <v>502</v>
      </c>
      <c r="B24" s="50" t="s">
        <v>503</v>
      </c>
      <c r="C24" s="50" t="s">
        <v>504</v>
      </c>
      <c r="D24" s="50"/>
      <c r="E24" s="50"/>
      <c r="F24" s="50"/>
    </row>
    <row r="25" customFormat="false" ht="15" hidden="false" customHeight="false" outlineLevel="0" collapsed="false">
      <c r="B25" s="50" t="s">
        <v>489</v>
      </c>
      <c r="C25" s="0" t="s">
        <v>505</v>
      </c>
    </row>
    <row r="26" customFormat="false" ht="15" hidden="false" customHeight="false" outlineLevel="0" collapsed="false">
      <c r="B26" s="0" t="s">
        <v>231</v>
      </c>
    </row>
    <row r="27" customFormat="false" ht="15" hidden="false" customHeight="false" outlineLevel="0" collapsed="false">
      <c r="B27" s="50" t="s">
        <v>490</v>
      </c>
      <c r="C27" s="0" t="s">
        <v>506</v>
      </c>
      <c r="E27" s="15"/>
      <c r="F27" s="15"/>
    </row>
    <row r="28" customFormat="false" ht="15" hidden="false" customHeight="false" outlineLevel="0" collapsed="false">
      <c r="B28" s="50" t="s">
        <v>491</v>
      </c>
      <c r="C28" s="0" t="s">
        <v>507</v>
      </c>
      <c r="E28" s="15"/>
      <c r="F28" s="15"/>
    </row>
    <row r="29" customFormat="false" ht="15" hidden="false" customHeight="false" outlineLevel="0" collapsed="false">
      <c r="B29" s="50" t="s">
        <v>492</v>
      </c>
      <c r="C29" s="50" t="s">
        <v>508</v>
      </c>
      <c r="D29" s="15"/>
    </row>
    <row r="30" customFormat="false" ht="15" hidden="false" customHeight="false" outlineLevel="0" collapsed="false">
      <c r="B30" s="50" t="s">
        <v>493</v>
      </c>
      <c r="C30" s="50" t="s">
        <v>509</v>
      </c>
      <c r="D30" s="15"/>
    </row>
    <row r="31" customFormat="false" ht="15" hidden="false" customHeight="false" outlineLevel="0" collapsed="false">
      <c r="B31" s="50" t="s">
        <v>494</v>
      </c>
      <c r="C31" s="50" t="s">
        <v>510</v>
      </c>
    </row>
    <row r="32" customFormat="false" ht="15" hidden="false" customHeight="false" outlineLevel="0" collapsed="false">
      <c r="B32" s="50" t="s">
        <v>233</v>
      </c>
      <c r="C32" s="50" t="s">
        <v>511</v>
      </c>
    </row>
  </sheetData>
  <mergeCells count="3">
    <mergeCell ref="B2:D2"/>
    <mergeCell ref="E2:F2"/>
    <mergeCell ref="G2:J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E38"/>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D38" activeCellId="0" sqref="D38"/>
    </sheetView>
  </sheetViews>
  <sheetFormatPr defaultColWidth="8.5390625" defaultRowHeight="15" zeroHeight="false" outlineLevelRow="0" outlineLevelCol="0"/>
  <cols>
    <col collapsed="false" customWidth="true" hidden="false" outlineLevel="0" max="3" min="3" style="0" width="24.85"/>
    <col collapsed="false" customWidth="true" hidden="false" outlineLevel="0" max="4" min="4" style="0" width="15"/>
    <col collapsed="false" customWidth="true" hidden="false" outlineLevel="0" max="5" min="5" style="0" width="20.14"/>
  </cols>
  <sheetData>
    <row r="2" customFormat="false" ht="15" hidden="false" customHeight="false" outlineLevel="0" collapsed="false">
      <c r="B2" s="0" t="s">
        <v>870</v>
      </c>
    </row>
    <row r="4" customFormat="false" ht="15" hidden="false" customHeight="false" outlineLevel="0" collapsed="false">
      <c r="C4" s="0" t="s">
        <v>871</v>
      </c>
      <c r="E4" s="0" t="s">
        <v>872</v>
      </c>
    </row>
    <row r="5" customFormat="false" ht="15" hidden="false" customHeight="false" outlineLevel="0" collapsed="false">
      <c r="C5" s="204" t="s">
        <v>274</v>
      </c>
      <c r="E5" s="204" t="s">
        <v>300</v>
      </c>
    </row>
    <row r="6" customFormat="false" ht="15" hidden="false" customHeight="false" outlineLevel="0" collapsed="false">
      <c r="C6" s="205" t="s">
        <v>873</v>
      </c>
      <c r="E6" s="205" t="s">
        <v>302</v>
      </c>
    </row>
    <row r="7" customFormat="false" ht="15" hidden="false" customHeight="false" outlineLevel="0" collapsed="false">
      <c r="C7" s="206" t="s">
        <v>874</v>
      </c>
      <c r="E7" s="206" t="s">
        <v>304</v>
      </c>
    </row>
    <row r="8" customFormat="false" ht="15" hidden="false" customHeight="false" outlineLevel="0" collapsed="false">
      <c r="C8" s="206" t="s">
        <v>875</v>
      </c>
      <c r="E8" s="207" t="s">
        <v>308</v>
      </c>
    </row>
    <row r="9" customFormat="false" ht="15" hidden="false" customHeight="false" outlineLevel="0" collapsed="false">
      <c r="C9" s="206" t="s">
        <v>876</v>
      </c>
      <c r="E9" s="204" t="s">
        <v>310</v>
      </c>
    </row>
    <row r="10" customFormat="false" ht="15" hidden="false" customHeight="false" outlineLevel="0" collapsed="false">
      <c r="C10" s="207" t="s">
        <v>279</v>
      </c>
      <c r="E10" s="205" t="s">
        <v>311</v>
      </c>
    </row>
    <row r="11" customFormat="false" ht="15" hidden="false" customHeight="false" outlineLevel="0" collapsed="false">
      <c r="C11" s="204" t="s">
        <v>246</v>
      </c>
      <c r="E11" s="206" t="s">
        <v>312</v>
      </c>
    </row>
    <row r="12" customFormat="false" ht="15" hidden="false" customHeight="false" outlineLevel="0" collapsed="false">
      <c r="C12" s="205" t="s">
        <v>877</v>
      </c>
      <c r="E12" s="207" t="s">
        <v>313</v>
      </c>
    </row>
    <row r="13" customFormat="false" ht="15" hidden="false" customHeight="false" outlineLevel="0" collapsed="false">
      <c r="C13" s="205" t="s">
        <v>878</v>
      </c>
      <c r="E13" s="204" t="s">
        <v>314</v>
      </c>
    </row>
    <row r="14" customFormat="false" ht="15" hidden="false" customHeight="false" outlineLevel="0" collapsed="false">
      <c r="C14" s="206" t="s">
        <v>255</v>
      </c>
      <c r="E14" s="205" t="s">
        <v>315</v>
      </c>
    </row>
    <row r="15" customFormat="false" ht="15" hidden="false" customHeight="false" outlineLevel="0" collapsed="false">
      <c r="C15" s="207" t="s">
        <v>256</v>
      </c>
      <c r="E15" s="206" t="s">
        <v>879</v>
      </c>
    </row>
    <row r="16" customFormat="false" ht="15" hidden="false" customHeight="false" outlineLevel="0" collapsed="false">
      <c r="C16" s="204" t="s">
        <v>257</v>
      </c>
      <c r="E16" s="207" t="s">
        <v>880</v>
      </c>
    </row>
    <row r="17" customFormat="false" ht="15" hidden="false" customHeight="false" outlineLevel="0" collapsed="false">
      <c r="C17" s="205" t="s">
        <v>259</v>
      </c>
      <c r="E17" s="204" t="s">
        <v>318</v>
      </c>
    </row>
    <row r="18" customFormat="false" ht="15" hidden="false" customHeight="false" outlineLevel="0" collapsed="false">
      <c r="C18" s="206" t="s">
        <v>264</v>
      </c>
      <c r="E18" s="205" t="s">
        <v>319</v>
      </c>
    </row>
    <row r="19" customFormat="false" ht="15" hidden="false" customHeight="false" outlineLevel="0" collapsed="false">
      <c r="C19" s="207" t="s">
        <v>266</v>
      </c>
    </row>
    <row r="22" customFormat="false" ht="15" hidden="false" customHeight="false" outlineLevel="0" collapsed="false">
      <c r="C22" s="208" t="s">
        <v>881</v>
      </c>
      <c r="D22" s="208" t="s">
        <v>882</v>
      </c>
      <c r="E22" s="0" t="s">
        <v>883</v>
      </c>
    </row>
    <row r="23" customFormat="false" ht="15" hidden="false" customHeight="false" outlineLevel="0" collapsed="false">
      <c r="C23" s="208" t="s">
        <v>884</v>
      </c>
      <c r="D23" s="208" t="n">
        <v>255</v>
      </c>
    </row>
    <row r="24" customFormat="false" ht="15" hidden="false" customHeight="false" outlineLevel="0" collapsed="false">
      <c r="C24" s="208" t="s">
        <v>885</v>
      </c>
      <c r="D24" s="208" t="n">
        <v>1.688</v>
      </c>
    </row>
    <row r="26" customFormat="false" ht="15" hidden="false" customHeight="false" outlineLevel="0" collapsed="false">
      <c r="C26" s="208" t="s">
        <v>886</v>
      </c>
      <c r="D26" s="208" t="s">
        <v>887</v>
      </c>
    </row>
    <row r="27" customFormat="false" ht="15" hidden="false" customHeight="false" outlineLevel="0" collapsed="false">
      <c r="C27" s="208" t="s">
        <v>884</v>
      </c>
      <c r="D27" s="208" t="n">
        <v>225</v>
      </c>
    </row>
    <row r="28" customFormat="false" ht="15" hidden="false" customHeight="false" outlineLevel="0" collapsed="false">
      <c r="C28" s="208" t="s">
        <v>885</v>
      </c>
      <c r="D28" s="208" t="n">
        <v>1.353</v>
      </c>
    </row>
    <row r="30" customFormat="false" ht="15" hidden="false" customHeight="false" outlineLevel="0" collapsed="false">
      <c r="C30" s="208" t="s">
        <v>888</v>
      </c>
      <c r="D30" s="208" t="s">
        <v>889</v>
      </c>
    </row>
    <row r="31" customFormat="false" ht="15" hidden="false" customHeight="false" outlineLevel="0" collapsed="false">
      <c r="C31" s="208" t="s">
        <v>884</v>
      </c>
      <c r="D31" s="208" t="n">
        <v>95</v>
      </c>
    </row>
    <row r="32" customFormat="false" ht="15" hidden="false" customHeight="false" outlineLevel="0" collapsed="false">
      <c r="C32" s="208" t="s">
        <v>890</v>
      </c>
      <c r="D32" s="208" t="n">
        <v>0.72</v>
      </c>
    </row>
    <row r="36" customFormat="false" ht="15" hidden="false" customHeight="false" outlineLevel="0" collapsed="false">
      <c r="C36" s="0" t="s">
        <v>891</v>
      </c>
    </row>
    <row r="38" customFormat="false" ht="15" hidden="false" customHeight="false" outlineLevel="0" collapsed="false">
      <c r="C38" s="0" t="s">
        <v>892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8" activeCellId="0" sqref="D28"/>
    </sheetView>
  </sheetViews>
  <sheetFormatPr defaultColWidth="8.5390625" defaultRowHeight="15" zeroHeight="false" outlineLevelRow="0" outlineLevelCol="0"/>
  <cols>
    <col collapsed="false" customWidth="true" hidden="false" outlineLevel="0" max="1" min="1" style="0" width="23"/>
    <col collapsed="false" customWidth="true" hidden="false" outlineLevel="0" max="2" min="2" style="0" width="15.43"/>
    <col collapsed="false" customWidth="true" hidden="false" outlineLevel="0" max="4" min="3" style="0" width="14"/>
    <col collapsed="false" customWidth="true" hidden="false" outlineLevel="0" max="6" min="6" style="0" width="12.57"/>
  </cols>
  <sheetData>
    <row r="1" customFormat="false" ht="15" hidden="false" customHeight="false" outlineLevel="0" collapsed="false">
      <c r="A1" s="54" t="s">
        <v>893</v>
      </c>
    </row>
    <row r="3" customFormat="false" ht="15" hidden="false" customHeight="false" outlineLevel="0" collapsed="false">
      <c r="A3" s="0" t="s">
        <v>894</v>
      </c>
      <c r="B3" s="0" t="s">
        <v>11</v>
      </c>
      <c r="C3" s="0" t="s">
        <v>91</v>
      </c>
    </row>
    <row r="4" customFormat="false" ht="15" hidden="false" customHeight="false" outlineLevel="0" collapsed="false">
      <c r="B4" s="16" t="s">
        <v>13</v>
      </c>
      <c r="C4" s="209" t="s">
        <v>93</v>
      </c>
    </row>
    <row r="5" customFormat="false" ht="15" hidden="false" customHeight="false" outlineLevel="0" collapsed="false">
      <c r="B5" s="16" t="s">
        <v>895</v>
      </c>
      <c r="C5" s="209" t="s">
        <v>896</v>
      </c>
    </row>
    <row r="6" customFormat="false" ht="15" hidden="false" customHeight="false" outlineLevel="0" collapsed="false">
      <c r="C6" s="210" t="s">
        <v>897</v>
      </c>
    </row>
    <row r="8" customFormat="false" ht="15" hidden="false" customHeight="false" outlineLevel="0" collapsed="false">
      <c r="A8" s="0" t="s">
        <v>898</v>
      </c>
      <c r="B8" s="16" t="s">
        <v>13</v>
      </c>
      <c r="C8" s="16" t="s">
        <v>895</v>
      </c>
      <c r="D8" s="209" t="s">
        <v>93</v>
      </c>
      <c r="E8" s="209" t="s">
        <v>896</v>
      </c>
      <c r="F8" s="210" t="s">
        <v>897</v>
      </c>
    </row>
    <row r="9" customFormat="false" ht="15" hidden="false" customHeight="false" outlineLevel="0" collapsed="false">
      <c r="B9" s="211" t="s">
        <v>15</v>
      </c>
      <c r="C9" s="211" t="s">
        <v>15</v>
      </c>
      <c r="D9" s="212" t="s">
        <v>899</v>
      </c>
      <c r="E9" s="212" t="s">
        <v>94</v>
      </c>
      <c r="F9" s="212" t="s">
        <v>900</v>
      </c>
    </row>
    <row r="10" customFormat="false" ht="15" hidden="false" customHeight="false" outlineLevel="0" collapsed="false">
      <c r="D10" s="0" t="s">
        <v>901</v>
      </c>
      <c r="E10" s="0" t="s">
        <v>902</v>
      </c>
    </row>
    <row r="11" customFormat="false" ht="15" hidden="false" customHeight="false" outlineLevel="0" collapsed="false">
      <c r="D11" s="0" t="s">
        <v>903</v>
      </c>
      <c r="E11" s="0" t="s">
        <v>904</v>
      </c>
    </row>
    <row r="12" customFormat="false" ht="15" hidden="false" customHeight="false" outlineLevel="0" collapsed="false">
      <c r="A12" s="16"/>
    </row>
  </sheetData>
  <dataValidations count="4">
    <dataValidation allowBlank="true" operator="between" showDropDown="false" showErrorMessage="true" showInputMessage="true" sqref="B9:C9" type="custom">
      <formula1>E7&lt;M7</formula1>
      <formula2>0</formula2>
    </dataValidation>
    <dataValidation allowBlank="true" operator="between" showDropDown="false" showErrorMessage="true" showInputMessage="true" sqref="D9" type="custom">
      <formula1>D15&lt;Q25*10^6</formula1>
      <formula2>0</formula2>
    </dataValidation>
    <dataValidation allowBlank="true" operator="between" showDropDown="false" showErrorMessage="true" showInputMessage="true" sqref="F9" type="custom">
      <formula1>D10&lt;Q20*10^6</formula1>
      <formula2>0</formula2>
    </dataValidation>
    <dataValidation allowBlank="true" operator="between" showDropDown="false" showErrorMessage="true" showInputMessage="true" sqref="E9" type="custom">
      <formula1>#ref!&lt;Q19*10^6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2015-05-08T16:44:21Z</dcterms:created>
  <dc:creator>Nathalin</dc:creator>
  <dc:description/>
  <dc:language>en-CA</dc:language>
  <cp:lastModifiedBy/>
  <cp:lastPrinted>2015-06-03T16:51:47Z</cp:lastPrinted>
  <dcterms:modified xsi:type="dcterms:W3CDTF">2022-10-07T15:13:22Z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