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hmad\Desktop\SILVER\SILVER_UC\SILVER_Data\user_inputs\"/>
    </mc:Choice>
  </mc:AlternateContent>
  <xr:revisionPtr revIDLastSave="0" documentId="13_ncr:1_{35F59A58-0767-4B63-90DB-B24C296BB986}" xr6:coauthVersionLast="47" xr6:coauthVersionMax="47" xr10:uidLastSave="{00000000-0000-0000-0000-000000000000}"/>
  <bookViews>
    <workbookView xWindow="-120" yWindow="-120" windowWidth="20730" windowHeight="11160" tabRatio="774" firstSheet="7" activeTab="12" xr2:uid="{00000000-000D-0000-FFFF-FFFF00000000}"/>
  </bookViews>
  <sheets>
    <sheet name="site independent" sheetId="1" r:id="rId1"/>
    <sheet name="modeled attributes" sheetId="43" r:id="rId2"/>
    <sheet name="scenario analysis" sheetId="38" r:id="rId3"/>
    <sheet name="vre plants" sheetId="22" r:id="rId4"/>
    <sheet name="non-vre plants" sheetId="41" r:id="rId5"/>
    <sheet name="storage" sheetId="25" r:id="rId6"/>
    <sheet name="EV_aggregator" sheetId="26" r:id="rId7"/>
    <sheet name="demand response" sheetId="18" r:id="rId8"/>
    <sheet name="demand centres" sheetId="14" r:id="rId9"/>
    <sheet name="existing transmission" sheetId="32" r:id="rId10"/>
    <sheet name="modeled attributes _original" sheetId="36" r:id="rId11"/>
    <sheet name="excel input instructions" sheetId="24" r:id="rId12"/>
    <sheet name="lists" sheetId="39" r:id="rId13"/>
  </sheets>
  <externalReferences>
    <externalReference r:id="rId14"/>
  </externalReferences>
  <definedNames>
    <definedName name="code" localSheetId="1">#REF!</definedName>
    <definedName name="code" localSheetId="4">#REF!</definedName>
    <definedName name="code">#REF!</definedName>
    <definedName name="mono_c_Si">lists!$F$9:$F$11</definedName>
    <definedName name="mono_tech">lists!$E$9:$E$11</definedName>
    <definedName name="multi_c_Si">lists!$D$9:$D$11</definedName>
    <definedName name="multi_tech">lists!$C$9:$C$11</definedName>
    <definedName name="_xlnm.Print_Area" localSheetId="0">'site independent'!$A$1:$O$134</definedName>
    <definedName name="renumber" localSheetId="1">#REF!</definedName>
    <definedName name="renumber" localSheetId="4">#REF!</definedName>
    <definedName name="renumber">#REF!</definedName>
    <definedName name="rerank" localSheetId="4">#REF!</definedName>
    <definedName name="rerank">#REF!</definedName>
    <definedName name="Solar">lists!$C$4:$C$6</definedName>
    <definedName name="thin_film">lists!$E$9:$E$11</definedName>
    <definedName name="thin_tech">lists!$D$9:$D$11</definedName>
    <definedName name="total" localSheetId="1">#REF!</definedName>
    <definedName name="total" localSheetId="4">#REF!</definedName>
    <definedName name="total">#REF!</definedName>
    <definedName name="user" localSheetId="4">#REF!</definedName>
    <definedName name="user">#REF!</definedName>
    <definedName name="VRE" localSheetId="1">[1]lists!$B$3:$C$3</definedName>
    <definedName name="VRE">lists!$B$3:$C$3</definedName>
    <definedName name="Wind">lists!$B$4:$B$5</definedName>
    <definedName name="wind_offshore">lists!$C$9</definedName>
    <definedName name="wind_onshore">lists!$B$9:$B$11</definedName>
    <definedName name="wind_tech">lists!$B$9:$B$11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41" l="1"/>
  <c r="I29" i="43" l="1"/>
  <c r="H29" i="43"/>
  <c r="G29" i="43"/>
  <c r="F29" i="43"/>
  <c r="E29" i="43"/>
  <c r="D29" i="43"/>
  <c r="C29" i="43"/>
  <c r="B29" i="43"/>
  <c r="H2" i="32" l="1" a="1"/>
  <c r="H2" i="32" s="1"/>
  <c r="H3" i="32" a="1"/>
  <c r="H3" i="32" s="1"/>
  <c r="H4" i="32" l="1" a="1"/>
  <c r="H4" i="32" s="1"/>
  <c r="H5" i="32" a="1"/>
  <c r="H5" i="32" s="1"/>
  <c r="H6" i="32" a="1"/>
  <c r="H6" i="32" s="1"/>
  <c r="H7" i="32" a="1"/>
  <c r="H7" i="32" s="1"/>
  <c r="H8" i="32" a="1"/>
  <c r="H8" i="32" s="1"/>
  <c r="H9" i="32" a="1"/>
  <c r="H9" i="32" s="1"/>
  <c r="H10" i="32" a="1"/>
  <c r="H10" i="32" s="1"/>
  <c r="H11" i="32" a="1"/>
  <c r="H11" i="32" s="1"/>
  <c r="C6" i="36" l="1"/>
  <c r="C7" i="36"/>
  <c r="C8" i="36"/>
  <c r="C9" i="36"/>
  <c r="C10" i="36"/>
  <c r="C11" i="36"/>
  <c r="C12" i="36"/>
  <c r="C13" i="36"/>
  <c r="C14" i="36"/>
  <c r="C15" i="36"/>
  <c r="C16" i="36"/>
  <c r="C17" i="36"/>
  <c r="C18" i="36"/>
  <c r="C19" i="36"/>
  <c r="A6" i="36"/>
  <c r="A7" i="36"/>
  <c r="A8" i="36"/>
  <c r="A9" i="36"/>
  <c r="A10" i="36"/>
  <c r="A11" i="36"/>
  <c r="A12" i="36"/>
  <c r="A13" i="36"/>
  <c r="A14" i="36"/>
  <c r="A15" i="36"/>
  <c r="A16" i="36"/>
  <c r="A17" i="36"/>
  <c r="A18" i="36"/>
  <c r="A19" i="36"/>
  <c r="B20" i="38" l="1"/>
  <c r="B21" i="38"/>
  <c r="B22" i="38"/>
  <c r="B23" i="38"/>
  <c r="B24" i="38"/>
  <c r="B25" i="38"/>
  <c r="A6" i="38"/>
  <c r="A7" i="38"/>
  <c r="A8" i="38"/>
  <c r="B8" i="38" s="1"/>
  <c r="A9" i="38"/>
  <c r="B9" i="38" s="1"/>
  <c r="A10" i="38"/>
  <c r="B10" i="38" s="1"/>
  <c r="A11" i="38"/>
  <c r="A12" i="38"/>
  <c r="A13" i="38"/>
  <c r="A14" i="38"/>
  <c r="A15" i="38"/>
  <c r="A16" i="38"/>
  <c r="B16" i="38" s="1"/>
  <c r="A17" i="38"/>
  <c r="B17" i="38" s="1"/>
  <c r="A18" i="38"/>
  <c r="B18" i="38" s="1"/>
  <c r="A19" i="38"/>
  <c r="F130" i="1"/>
  <c r="F129" i="1"/>
  <c r="F128" i="1"/>
  <c r="F127" i="1"/>
  <c r="F126" i="1"/>
  <c r="F125" i="1"/>
  <c r="F124" i="1"/>
  <c r="F123" i="1"/>
  <c r="F101" i="1"/>
  <c r="F100" i="1"/>
  <c r="F99" i="1"/>
  <c r="F98" i="1"/>
  <c r="F97" i="1"/>
  <c r="F96" i="1"/>
  <c r="F95" i="1"/>
  <c r="F94" i="1"/>
  <c r="F93" i="1"/>
  <c r="F92" i="1"/>
  <c r="F91" i="1"/>
  <c r="F90" i="1"/>
  <c r="B81" i="1"/>
  <c r="B80" i="1"/>
  <c r="B79" i="1"/>
  <c r="B78" i="1"/>
  <c r="B77" i="1"/>
  <c r="B76" i="1"/>
  <c r="B74" i="1" s="1"/>
  <c r="B75" i="1"/>
  <c r="H66" i="1"/>
  <c r="H65" i="1"/>
  <c r="H63" i="1"/>
  <c r="H62" i="1"/>
  <c r="H61" i="1"/>
  <c r="C45" i="1"/>
  <c r="B45" i="1"/>
  <c r="K41" i="1"/>
  <c r="J41" i="1"/>
  <c r="C41" i="1"/>
  <c r="B41" i="1"/>
  <c r="J40" i="1"/>
  <c r="C40" i="1"/>
  <c r="B40" i="1"/>
  <c r="C39" i="1"/>
  <c r="B39" i="1"/>
  <c r="K38" i="1"/>
  <c r="J38" i="1"/>
  <c r="C38" i="1"/>
  <c r="B38" i="1"/>
  <c r="C37" i="1"/>
  <c r="B37" i="1"/>
  <c r="C36" i="1"/>
  <c r="B36" i="1"/>
  <c r="K35" i="1"/>
  <c r="J35" i="1"/>
  <c r="C35" i="1"/>
  <c r="B35" i="1"/>
  <c r="K33" i="1"/>
  <c r="J33" i="1"/>
  <c r="C33" i="1"/>
  <c r="B33" i="1"/>
  <c r="K32" i="1"/>
  <c r="J32" i="1"/>
  <c r="C32" i="1"/>
  <c r="B32" i="1"/>
  <c r="K31" i="1"/>
  <c r="J31" i="1"/>
  <c r="C31" i="1"/>
  <c r="B31" i="1"/>
  <c r="L22" i="1"/>
  <c r="G12" i="1"/>
  <c r="G11" i="1"/>
  <c r="D11" i="1"/>
  <c r="G10" i="1"/>
  <c r="P6" i="1"/>
  <c r="G5" i="1"/>
  <c r="B15" i="38" l="1"/>
  <c r="B7" i="38"/>
  <c r="B13" i="38"/>
  <c r="B12" i="38"/>
  <c r="B6" i="38"/>
  <c r="P7" i="1"/>
  <c r="B6" i="36"/>
  <c r="B19" i="38"/>
  <c r="B11" i="38"/>
  <c r="B14" i="38"/>
  <c r="I61" i="1"/>
  <c r="B8" i="41"/>
  <c r="P8" i="1" l="1"/>
  <c r="B7" i="36"/>
  <c r="B8" i="36" l="1"/>
  <c r="P9" i="1"/>
  <c r="B9" i="36" s="1"/>
  <c r="P10" i="1"/>
  <c r="P11" i="1" l="1"/>
  <c r="B10" i="36"/>
  <c r="P12" i="1" l="1"/>
  <c r="B11" i="36"/>
  <c r="P13" i="1" l="1"/>
  <c r="B12" i="36"/>
  <c r="B13" i="36" l="1"/>
  <c r="P14" i="1"/>
  <c r="P17" i="1"/>
  <c r="P18" i="1" l="1"/>
  <c r="B17" i="36"/>
  <c r="P15" i="1"/>
  <c r="B14" i="36"/>
  <c r="B13" i="18"/>
  <c r="P16" i="1" l="1"/>
  <c r="B16" i="36" s="1"/>
  <c r="B15" i="36"/>
  <c r="P19" i="1"/>
  <c r="B19" i="36" s="1"/>
  <c r="B18" i="36"/>
  <c r="B7" i="41" l="1"/>
  <c r="B6" i="41"/>
  <c r="B5" i="41"/>
  <c r="I3" i="22" l="1"/>
  <c r="I4" i="22" s="1"/>
  <c r="I5" i="22" s="1"/>
  <c r="I6" i="22" s="1"/>
  <c r="I7" i="22" s="1"/>
  <c r="I8" i="22" s="1"/>
  <c r="I9" i="22" s="1"/>
  <c r="I10" i="22" s="1"/>
  <c r="K8" i="22"/>
  <c r="K6" i="22"/>
  <c r="J6" i="22"/>
  <c r="K5" i="22"/>
  <c r="J5" i="22"/>
  <c r="J4" i="22"/>
  <c r="J2" i="22"/>
  <c r="K2" i="22"/>
  <c r="J3" i="22"/>
  <c r="K3" i="22"/>
  <c r="J7" i="22"/>
  <c r="K7" i="22"/>
  <c r="J9" i="22"/>
  <c r="K9" i="22"/>
  <c r="K10" i="22"/>
  <c r="J10" i="22"/>
  <c r="K4" i="22" l="1"/>
  <c r="J8" i="22"/>
  <c r="N5" i="38" l="1" a="1"/>
  <c r="N5" i="38" s="1"/>
  <c r="N6" i="38" s="1" a="1"/>
  <c r="N6" i="38" s="1"/>
  <c r="H5" i="38" a="1"/>
  <c r="H5" i="38" s="1"/>
  <c r="O5" i="38" l="1"/>
  <c r="Q5" i="38"/>
  <c r="L5" i="38" a="1"/>
  <c r="L5" i="38" s="1"/>
  <c r="K5" i="38" a="1"/>
  <c r="K5" i="38" s="1"/>
  <c r="H6" i="38" a="1"/>
  <c r="H6" i="38" s="1"/>
  <c r="I6" i="38" s="1"/>
  <c r="R6" i="38"/>
  <c r="Q6" i="38"/>
  <c r="O6" i="38"/>
  <c r="P6" i="38"/>
  <c r="N7" i="38" a="1"/>
  <c r="N7" i="38" s="1"/>
  <c r="P5" i="38"/>
  <c r="R5" i="38"/>
  <c r="N8" i="38" l="1" a="1"/>
  <c r="N8" i="38" s="1"/>
  <c r="P7" i="38"/>
  <c r="R7" i="38"/>
  <c r="O7" i="38"/>
  <c r="Q7" i="38"/>
  <c r="H7" i="38" a="1"/>
  <c r="H7" i="38" s="1"/>
  <c r="H8" i="38" s="1" a="1"/>
  <c r="H8" i="38" s="1"/>
  <c r="L6" i="38" a="1"/>
  <c r="L6" i="38" s="1"/>
  <c r="K6" i="38" a="1"/>
  <c r="K6" i="38" s="1"/>
  <c r="L8" i="38" l="1" a="1"/>
  <c r="L8" i="38" s="1"/>
  <c r="K8" i="38" a="1"/>
  <c r="K8" i="38" s="1"/>
  <c r="L7" i="38" a="1"/>
  <c r="L7" i="38" s="1"/>
  <c r="K7" i="38" a="1"/>
  <c r="K7" i="38" s="1"/>
  <c r="H9" i="38" a="1"/>
  <c r="H9" i="38" s="1"/>
  <c r="H10" i="38" s="1" a="1"/>
  <c r="H10" i="38" s="1"/>
  <c r="H11" i="38" s="1" a="1"/>
  <c r="H11" i="38" s="1"/>
  <c r="N9" i="38" a="1"/>
  <c r="N9" i="38" s="1"/>
  <c r="Q8" i="38"/>
  <c r="P8" i="38"/>
  <c r="O8" i="38"/>
  <c r="R8" i="38"/>
  <c r="K11" i="38" l="1" a="1"/>
  <c r="K11" i="38" s="1"/>
  <c r="L11" i="38" a="1"/>
  <c r="L11" i="38" s="1"/>
  <c r="Q9" i="38"/>
  <c r="P9" i="38"/>
  <c r="O9" i="38"/>
  <c r="R9" i="38"/>
  <c r="L9" i="38" a="1"/>
  <c r="L9" i="38" s="1"/>
  <c r="K9" i="38" a="1"/>
  <c r="K9" i="38" s="1"/>
  <c r="L10" i="38" a="1"/>
  <c r="L10" i="38" s="1"/>
  <c r="K10" i="38" a="1"/>
  <c r="K10" i="38" s="1"/>
  <c r="N10" i="38" a="1"/>
  <c r="N10" i="38" s="1"/>
  <c r="H12" i="38" a="1"/>
  <c r="H12" i="38" s="1"/>
  <c r="R10" i="38" l="1"/>
  <c r="Q10" i="38"/>
  <c r="P10" i="38"/>
  <c r="O10" i="38"/>
  <c r="L12" i="38" a="1"/>
  <c r="L12" i="38" s="1"/>
  <c r="K12" i="38" a="1"/>
  <c r="K12" i="38" s="1"/>
  <c r="N11" i="38" a="1"/>
  <c r="N11" i="38" s="1"/>
  <c r="H13" i="38" a="1"/>
  <c r="H13" i="38" s="1"/>
  <c r="R11" i="38" l="1"/>
  <c r="O11" i="38"/>
  <c r="Q11" i="38"/>
  <c r="P11" i="38"/>
  <c r="L13" i="38" a="1"/>
  <c r="L13" i="38" s="1"/>
  <c r="K13" i="38" a="1"/>
  <c r="K13" i="38" s="1"/>
  <c r="N12" i="38" a="1"/>
  <c r="N12" i="38" s="1"/>
  <c r="N13" i="38" s="1" a="1"/>
  <c r="N13" i="38" s="1"/>
  <c r="H14" i="38" a="1"/>
  <c r="H14" i="38" s="1"/>
  <c r="Q13" i="38" l="1"/>
  <c r="P13" i="38"/>
  <c r="O13" i="38"/>
  <c r="R13" i="38"/>
  <c r="Q12" i="38"/>
  <c r="P12" i="38"/>
  <c r="O12" i="38"/>
  <c r="R12" i="38"/>
  <c r="N14" i="38" a="1"/>
  <c r="N14" i="38" s="1"/>
  <c r="N20" i="38" s="1" a="1"/>
  <c r="N20" i="38" s="1"/>
  <c r="N21" i="38" s="1" a="1"/>
  <c r="N21" i="38" s="1"/>
  <c r="L14" i="38" a="1"/>
  <c r="L14" i="38" s="1"/>
  <c r="K14" i="38" a="1"/>
  <c r="K14" i="38" s="1"/>
  <c r="H20" i="38" a="1"/>
  <c r="H20" i="38" s="1"/>
  <c r="H21" i="38" s="1" a="1"/>
  <c r="H21" i="38" s="1"/>
  <c r="Q21" i="38" l="1"/>
  <c r="P21" i="38"/>
  <c r="O21" i="38"/>
  <c r="R21" i="38"/>
  <c r="H22" i="38" a="1"/>
  <c r="H22" i="38" s="1"/>
  <c r="L21" i="38" a="1"/>
  <c r="L21" i="38" s="1"/>
  <c r="K21" i="38" a="1"/>
  <c r="K21" i="38" s="1"/>
  <c r="L20" i="38" a="1"/>
  <c r="L20" i="38" s="1"/>
  <c r="K20" i="38" a="1"/>
  <c r="K20" i="38" s="1"/>
  <c r="R14" i="38"/>
  <c r="Q14" i="38"/>
  <c r="P14" i="38"/>
  <c r="O14" i="38"/>
  <c r="R20" i="38"/>
  <c r="P20" i="38"/>
  <c r="O20" i="38"/>
  <c r="Q20" i="38"/>
  <c r="N22" i="38" a="1"/>
  <c r="N22" i="38" s="1"/>
  <c r="Q22" i="38" l="1"/>
  <c r="P22" i="38"/>
  <c r="O22" i="38"/>
  <c r="R22" i="38"/>
  <c r="H23" i="38" a="1"/>
  <c r="H23" i="38" s="1"/>
  <c r="L22" i="38" a="1"/>
  <c r="L22" i="38" s="1"/>
  <c r="K22" i="38" a="1"/>
  <c r="K22" i="38" s="1"/>
  <c r="N23" i="38" a="1"/>
  <c r="N23" i="38" s="1"/>
  <c r="H24" i="38" l="1" a="1"/>
  <c r="H24" i="38" s="1"/>
  <c r="L23" i="38" a="1"/>
  <c r="L23" i="38" s="1"/>
  <c r="K23" i="38" a="1"/>
  <c r="K23" i="38" s="1"/>
  <c r="R23" i="38"/>
  <c r="Q23" i="38"/>
  <c r="P23" i="38"/>
  <c r="O23" i="38"/>
  <c r="N24" i="38" a="1"/>
  <c r="N24" i="38" s="1"/>
  <c r="N25" i="38" l="1" a="1"/>
  <c r="N25" i="38" s="1"/>
  <c r="R24" i="38"/>
  <c r="Q24" i="38"/>
  <c r="P24" i="38"/>
  <c r="O24" i="38"/>
  <c r="H25" i="38" a="1"/>
  <c r="H25" i="38" s="1"/>
  <c r="K24" i="38" a="1"/>
  <c r="K24" i="38" s="1"/>
  <c r="L24" i="38" a="1"/>
  <c r="L24" i="38" s="1"/>
  <c r="H26" i="38" l="1" a="1"/>
  <c r="H26" i="38" s="1"/>
  <c r="L25" i="38" a="1"/>
  <c r="L25" i="38" s="1"/>
  <c r="K25" i="38" a="1"/>
  <c r="K25" i="38" s="1"/>
  <c r="N26" i="38" a="1"/>
  <c r="N26" i="38" s="1"/>
  <c r="Q25" i="38"/>
  <c r="P25" i="38"/>
  <c r="O25" i="38"/>
  <c r="R25" i="38"/>
  <c r="N27" i="38" l="1" a="1"/>
  <c r="N27" i="38" s="1"/>
  <c r="Q26" i="38"/>
  <c r="P26" i="38"/>
  <c r="O26" i="38"/>
  <c r="R26" i="38"/>
  <c r="H27" i="38" a="1"/>
  <c r="H27" i="38" s="1"/>
  <c r="J27" i="38" s="1"/>
  <c r="L26" i="38" a="1"/>
  <c r="L26" i="38" s="1"/>
  <c r="K26" i="38" a="1"/>
  <c r="K26" i="38" s="1"/>
  <c r="J9" i="38"/>
  <c r="J13" i="38"/>
  <c r="J24" i="38"/>
  <c r="J26" i="38"/>
  <c r="J5" i="38"/>
  <c r="J8" i="38"/>
  <c r="J12" i="38"/>
  <c r="J14" i="38"/>
  <c r="J23" i="38"/>
  <c r="J25" i="38"/>
  <c r="H28" i="38" l="1" a="1"/>
  <c r="H28" i="38" s="1"/>
  <c r="J28" i="38" s="1"/>
  <c r="L27" i="38" a="1"/>
  <c r="L27" i="38" s="1"/>
  <c r="K27" i="38" a="1"/>
  <c r="K27" i="38" s="1"/>
  <c r="R27" i="38"/>
  <c r="Q27" i="38"/>
  <c r="P27" i="38"/>
  <c r="O27" i="38"/>
  <c r="N28" i="38" a="1"/>
  <c r="N28" i="38" s="1"/>
  <c r="J21" i="38"/>
  <c r="J11" i="38"/>
  <c r="J7" i="38"/>
  <c r="J20" i="38"/>
  <c r="J6" i="38"/>
  <c r="J22" i="38"/>
  <c r="J10" i="38"/>
  <c r="N29" i="38" l="1" a="1"/>
  <c r="N29" i="38" s="1"/>
  <c r="R28" i="38"/>
  <c r="O28" i="38"/>
  <c r="Q28" i="38"/>
  <c r="P28" i="38"/>
  <c r="H29" i="38" a="1"/>
  <c r="H29" i="38" s="1"/>
  <c r="K28" i="38" a="1"/>
  <c r="K28" i="38" s="1"/>
  <c r="L28" i="38" a="1"/>
  <c r="L28" i="38" s="1"/>
  <c r="H30" i="38" l="1" a="1"/>
  <c r="H30" i="38" s="1"/>
  <c r="L29" i="38" a="1"/>
  <c r="L29" i="38" s="1"/>
  <c r="K29" i="38" a="1"/>
  <c r="K29" i="38" s="1"/>
  <c r="J29" i="38"/>
  <c r="N30" i="38" a="1"/>
  <c r="N30" i="38" s="1"/>
  <c r="Q29" i="38"/>
  <c r="P29" i="38"/>
  <c r="O29" i="38"/>
  <c r="R29" i="38"/>
  <c r="N31" i="38" l="1" a="1"/>
  <c r="N31" i="38" s="1"/>
  <c r="Q30" i="38"/>
  <c r="P30" i="38"/>
  <c r="O30" i="38"/>
  <c r="R30" i="38"/>
  <c r="H31" i="38" a="1"/>
  <c r="H31" i="38" s="1"/>
  <c r="L30" i="38" a="1"/>
  <c r="L30" i="38" s="1"/>
  <c r="K30" i="38" a="1"/>
  <c r="K30" i="38" s="1"/>
  <c r="J30" i="38"/>
  <c r="H32" i="38" l="1" a="1"/>
  <c r="H32" i="38" s="1"/>
  <c r="L31" i="38" a="1"/>
  <c r="L31" i="38" s="1"/>
  <c r="K31" i="38" a="1"/>
  <c r="K31" i="38" s="1"/>
  <c r="J31" i="38"/>
  <c r="N32" i="38" a="1"/>
  <c r="N32" i="38" s="1"/>
  <c r="R31" i="38"/>
  <c r="Q31" i="38"/>
  <c r="P31" i="38"/>
  <c r="O31" i="38"/>
  <c r="N33" i="38" l="1" a="1"/>
  <c r="N33" i="38" s="1"/>
  <c r="R32" i="38"/>
  <c r="O32" i="38"/>
  <c r="Q32" i="38"/>
  <c r="P32" i="38"/>
  <c r="H33" i="38" a="1"/>
  <c r="H33" i="38" s="1"/>
  <c r="K32" i="38" a="1"/>
  <c r="K32" i="38" s="1"/>
  <c r="L32" i="38" a="1"/>
  <c r="L32" i="38" s="1"/>
  <c r="J32" i="38"/>
  <c r="H34" i="38" l="1" a="1"/>
  <c r="H34" i="38" s="1"/>
  <c r="L33" i="38" a="1"/>
  <c r="L33" i="38" s="1"/>
  <c r="K33" i="38" a="1"/>
  <c r="K33" i="38" s="1"/>
  <c r="J33" i="38"/>
  <c r="N34" i="38" a="1"/>
  <c r="N34" i="38" s="1"/>
  <c r="Q33" i="38"/>
  <c r="P33" i="38"/>
  <c r="O33" i="38"/>
  <c r="R33" i="38"/>
  <c r="N35" i="38" l="1" a="1"/>
  <c r="N35" i="38" s="1"/>
  <c r="Q34" i="38"/>
  <c r="P34" i="38"/>
  <c r="O34" i="38"/>
  <c r="R34" i="38"/>
  <c r="H35" i="38" a="1"/>
  <c r="H35" i="38" s="1"/>
  <c r="L34" i="38" a="1"/>
  <c r="L34" i="38" s="1"/>
  <c r="K34" i="38" a="1"/>
  <c r="K34" i="38" s="1"/>
  <c r="J34" i="38"/>
  <c r="H36" i="38" l="1" a="1"/>
  <c r="H36" i="38" s="1"/>
  <c r="L35" i="38" a="1"/>
  <c r="L35" i="38" s="1"/>
  <c r="K35" i="38" a="1"/>
  <c r="K35" i="38" s="1"/>
  <c r="J35" i="38"/>
  <c r="N36" i="38" a="1"/>
  <c r="N36" i="38" s="1"/>
  <c r="R35" i="38"/>
  <c r="Q35" i="38"/>
  <c r="P35" i="38"/>
  <c r="O35" i="38"/>
  <c r="N37" i="38" l="1" a="1"/>
  <c r="N37" i="38" s="1"/>
  <c r="R36" i="38"/>
  <c r="P36" i="38"/>
  <c r="O36" i="38"/>
  <c r="Q36" i="38"/>
  <c r="H37" i="38" a="1"/>
  <c r="H37" i="38" s="1"/>
  <c r="L36" i="38" a="1"/>
  <c r="L36" i="38" s="1"/>
  <c r="K36" i="38" a="1"/>
  <c r="K36" i="38" s="1"/>
  <c r="J36" i="38"/>
  <c r="H38" i="38" l="1" a="1"/>
  <c r="H38" i="38" s="1"/>
  <c r="L37" i="38" a="1"/>
  <c r="L37" i="38" s="1"/>
  <c r="K37" i="38" a="1"/>
  <c r="K37" i="38" s="1"/>
  <c r="J37" i="38"/>
  <c r="N38" i="38" a="1"/>
  <c r="N38" i="38" s="1"/>
  <c r="Q37" i="38"/>
  <c r="P37" i="38"/>
  <c r="O37" i="38"/>
  <c r="R37" i="38"/>
  <c r="N39" i="38" l="1" a="1"/>
  <c r="N39" i="38" s="1"/>
  <c r="Q38" i="38"/>
  <c r="P38" i="38"/>
  <c r="O38" i="38"/>
  <c r="R38" i="38"/>
  <c r="H39" i="38" a="1"/>
  <c r="H39" i="38" s="1"/>
  <c r="L38" i="38" a="1"/>
  <c r="L38" i="38" s="1"/>
  <c r="K38" i="38" a="1"/>
  <c r="K38" i="38" s="1"/>
  <c r="J38" i="38"/>
  <c r="H40" i="38" l="1" a="1"/>
  <c r="H40" i="38" s="1"/>
  <c r="L39" i="38" a="1"/>
  <c r="L39" i="38" s="1"/>
  <c r="K39" i="38" a="1"/>
  <c r="K39" i="38" s="1"/>
  <c r="J39" i="38"/>
  <c r="N40" i="38" a="1"/>
  <c r="N40" i="38" s="1"/>
  <c r="R39" i="38"/>
  <c r="Q39" i="38"/>
  <c r="P39" i="38"/>
  <c r="O39" i="38"/>
  <c r="E3" i="38"/>
  <c r="E20" i="38" l="1"/>
  <c r="F20" i="38" s="1"/>
  <c r="E21" i="38"/>
  <c r="F21" i="38" s="1"/>
  <c r="E17" i="38"/>
  <c r="F17" i="38" s="1"/>
  <c r="E22" i="38"/>
  <c r="F22" i="38" s="1"/>
  <c r="E9" i="38"/>
  <c r="F9" i="38" s="1"/>
  <c r="E25" i="38"/>
  <c r="F25" i="38" s="1"/>
  <c r="E23" i="38"/>
  <c r="F23" i="38" s="1"/>
  <c r="E24" i="38"/>
  <c r="F24" i="38" s="1"/>
  <c r="E16" i="38"/>
  <c r="F16" i="38" s="1"/>
  <c r="E10" i="38"/>
  <c r="F10" i="38" s="1"/>
  <c r="E18" i="38"/>
  <c r="F18" i="38" s="1"/>
  <c r="E8" i="38"/>
  <c r="F8" i="38" s="1"/>
  <c r="E7" i="38"/>
  <c r="F7" i="38" s="1"/>
  <c r="E13" i="38"/>
  <c r="F13" i="38" s="1"/>
  <c r="E15" i="38"/>
  <c r="F15" i="38" s="1"/>
  <c r="E12" i="38"/>
  <c r="F12" i="38" s="1"/>
  <c r="E14" i="38"/>
  <c r="F14" i="38" s="1"/>
  <c r="E11" i="38"/>
  <c r="F11" i="38" s="1"/>
  <c r="E6" i="38"/>
  <c r="F6" i="38" s="1"/>
  <c r="E19" i="38"/>
  <c r="F19" i="38" s="1"/>
  <c r="H41" i="38" a="1"/>
  <c r="H41" i="38" s="1"/>
  <c r="K40" i="38" a="1"/>
  <c r="K40" i="38" s="1"/>
  <c r="L40" i="38" a="1"/>
  <c r="L40" i="38" s="1"/>
  <c r="J40" i="38"/>
  <c r="N41" i="38" a="1"/>
  <c r="N41" i="38" s="1"/>
  <c r="R40" i="38"/>
  <c r="Q40" i="38"/>
  <c r="P40" i="38"/>
  <c r="O40" i="38"/>
  <c r="D3" i="38"/>
  <c r="C3" i="38"/>
  <c r="C21" i="38" l="1"/>
  <c r="C9" i="38"/>
  <c r="C17" i="38"/>
  <c r="C25" i="38"/>
  <c r="C10" i="38"/>
  <c r="C18" i="38"/>
  <c r="C11" i="38"/>
  <c r="C19" i="38"/>
  <c r="C12" i="38"/>
  <c r="C22" i="38"/>
  <c r="C23" i="38"/>
  <c r="C24" i="38"/>
  <c r="C20" i="38"/>
  <c r="C6" i="38"/>
  <c r="C8" i="38"/>
  <c r="C16" i="38"/>
  <c r="C13" i="38"/>
  <c r="C15" i="38"/>
  <c r="C7" i="38"/>
  <c r="C14" i="38"/>
  <c r="D22" i="38"/>
  <c r="D23" i="38"/>
  <c r="D24" i="38"/>
  <c r="D20" i="38"/>
  <c r="D25" i="38"/>
  <c r="D12" i="38"/>
  <c r="D21" i="38"/>
  <c r="D11" i="38"/>
  <c r="D14" i="38"/>
  <c r="D13" i="38"/>
  <c r="D6" i="38"/>
  <c r="D15" i="38"/>
  <c r="D17" i="38"/>
  <c r="D16" i="38"/>
  <c r="D19" i="38"/>
  <c r="D7" i="38"/>
  <c r="D18" i="38"/>
  <c r="D9" i="38"/>
  <c r="D8" i="38"/>
  <c r="D10" i="38"/>
  <c r="N42" i="38" a="1"/>
  <c r="N42" i="38" s="1"/>
  <c r="Q41" i="38"/>
  <c r="P41" i="38"/>
  <c r="O41" i="38"/>
  <c r="R41" i="38"/>
  <c r="H42" i="38" a="1"/>
  <c r="H42" i="38" s="1"/>
  <c r="L41" i="38" a="1"/>
  <c r="L41" i="38" s="1"/>
  <c r="K41" i="38" a="1"/>
  <c r="K41" i="38" s="1"/>
  <c r="J41" i="38"/>
  <c r="D27" i="38"/>
  <c r="C27" i="38"/>
  <c r="A5" i="38"/>
  <c r="B5" i="38" l="1"/>
  <c r="D5" i="38"/>
  <c r="C5" i="38"/>
  <c r="E5" i="38"/>
  <c r="H43" i="38" a="1"/>
  <c r="H43" i="38" s="1"/>
  <c r="L42" i="38" a="1"/>
  <c r="L42" i="38" s="1"/>
  <c r="K42" i="38" a="1"/>
  <c r="K42" i="38" s="1"/>
  <c r="J42" i="38"/>
  <c r="N43" i="38" a="1"/>
  <c r="N43" i="38" s="1"/>
  <c r="Q42" i="38"/>
  <c r="P42" i="38"/>
  <c r="O42" i="38"/>
  <c r="R42" i="38"/>
  <c r="F5" i="38" l="1"/>
  <c r="D30" i="38" a="1"/>
  <c r="D30" i="38" s="1"/>
  <c r="D32" i="38" s="1"/>
  <c r="C30" i="38" a="1"/>
  <c r="C30" i="38" s="1"/>
  <c r="C32" i="38" s="1"/>
  <c r="N44" i="38" a="1"/>
  <c r="N44" i="38" s="1"/>
  <c r="R43" i="38"/>
  <c r="Q43" i="38"/>
  <c r="P43" i="38"/>
  <c r="O43" i="38"/>
  <c r="H44" i="38" a="1"/>
  <c r="H44" i="38" s="1"/>
  <c r="L43" i="38" a="1"/>
  <c r="L43" i="38" s="1"/>
  <c r="K43" i="38" a="1"/>
  <c r="K43" i="38" s="1"/>
  <c r="J43" i="38"/>
  <c r="J27" i="36"/>
  <c r="I27" i="36"/>
  <c r="H27" i="36"/>
  <c r="G27" i="36"/>
  <c r="F27" i="36"/>
  <c r="E27" i="36"/>
  <c r="D27" i="36"/>
  <c r="C27" i="36"/>
  <c r="B27" i="36"/>
  <c r="J14" i="36"/>
  <c r="I14" i="36"/>
  <c r="H14" i="36"/>
  <c r="F14" i="36"/>
  <c r="E14" i="36"/>
  <c r="D14" i="36"/>
  <c r="J13" i="36"/>
  <c r="I13" i="36"/>
  <c r="G13" i="36"/>
  <c r="F13" i="36"/>
  <c r="E13" i="36"/>
  <c r="D13" i="36"/>
  <c r="J12" i="36"/>
  <c r="I12" i="36"/>
  <c r="G12" i="36"/>
  <c r="F12" i="36"/>
  <c r="E12" i="36"/>
  <c r="D12" i="36"/>
  <c r="J11" i="36"/>
  <c r="I11" i="36"/>
  <c r="H11" i="36"/>
  <c r="G11" i="36"/>
  <c r="F11" i="36"/>
  <c r="E11" i="36"/>
  <c r="D11" i="36"/>
  <c r="J10" i="36"/>
  <c r="I10" i="36"/>
  <c r="H10" i="36"/>
  <c r="G10" i="36"/>
  <c r="F10" i="36"/>
  <c r="E10" i="36"/>
  <c r="D10" i="36"/>
  <c r="J9" i="36"/>
  <c r="I9" i="36"/>
  <c r="H9" i="36"/>
  <c r="G9" i="36"/>
  <c r="F9" i="36"/>
  <c r="E9" i="36"/>
  <c r="D9" i="36"/>
  <c r="J8" i="36"/>
  <c r="I8" i="36"/>
  <c r="H8" i="36"/>
  <c r="G8" i="36"/>
  <c r="F8" i="36"/>
  <c r="E8" i="36"/>
  <c r="D8" i="36"/>
  <c r="J7" i="36"/>
  <c r="I7" i="36"/>
  <c r="H7" i="36"/>
  <c r="G7" i="36"/>
  <c r="F7" i="36"/>
  <c r="E7" i="36"/>
  <c r="D7" i="36"/>
  <c r="J6" i="36"/>
  <c r="I6" i="36"/>
  <c r="H6" i="36"/>
  <c r="G6" i="36"/>
  <c r="F6" i="36"/>
  <c r="E6" i="36"/>
  <c r="D6" i="36"/>
  <c r="J5" i="36"/>
  <c r="I5" i="36"/>
  <c r="H5" i="36"/>
  <c r="G5" i="36"/>
  <c r="F5" i="36"/>
  <c r="E5" i="36"/>
  <c r="D5" i="36"/>
  <c r="C5" i="36"/>
  <c r="B5" i="36"/>
  <c r="A5" i="36"/>
  <c r="H45" i="38" l="1" a="1"/>
  <c r="H45" i="38" s="1"/>
  <c r="K44" i="38" a="1"/>
  <c r="K44" i="38" s="1"/>
  <c r="L44" i="38" a="1"/>
  <c r="L44" i="38" s="1"/>
  <c r="J44" i="38"/>
  <c r="N45" i="38" a="1"/>
  <c r="N45" i="38" s="1"/>
  <c r="R44" i="38"/>
  <c r="O44" i="38"/>
  <c r="Q44" i="38"/>
  <c r="P44" i="38"/>
  <c r="N46" i="38" l="1" a="1"/>
  <c r="N46" i="38" s="1"/>
  <c r="Q45" i="38"/>
  <c r="P45" i="38"/>
  <c r="O45" i="38"/>
  <c r="R45" i="38"/>
  <c r="H46" i="38" a="1"/>
  <c r="H46" i="38" s="1"/>
  <c r="L45" i="38" a="1"/>
  <c r="L45" i="38" s="1"/>
  <c r="K45" i="38" a="1"/>
  <c r="K45" i="38" s="1"/>
  <c r="J45" i="38"/>
  <c r="N47" i="38" l="1" a="1"/>
  <c r="N47" i="38" s="1"/>
  <c r="Q46" i="38"/>
  <c r="P46" i="38"/>
  <c r="O46" i="38"/>
  <c r="R46" i="38"/>
  <c r="H47" i="38" a="1"/>
  <c r="H47" i="38" s="1"/>
  <c r="K46" i="38" a="1"/>
  <c r="K46" i="38" s="1"/>
  <c r="L46" i="38" a="1"/>
  <c r="L46" i="38" s="1"/>
  <c r="J46" i="38"/>
  <c r="H48" i="38" l="1" a="1"/>
  <c r="H48" i="38" s="1"/>
  <c r="L47" i="38" a="1"/>
  <c r="L47" i="38" s="1"/>
  <c r="K47" i="38" a="1"/>
  <c r="K47" i="38" s="1"/>
  <c r="J47" i="38"/>
  <c r="N48" i="38" a="1"/>
  <c r="N48" i="38" s="1"/>
  <c r="R47" i="38"/>
  <c r="Q47" i="38"/>
  <c r="P47" i="38"/>
  <c r="O47" i="38"/>
  <c r="N49" i="38" l="1" a="1"/>
  <c r="N49" i="38" s="1"/>
  <c r="R48" i="38"/>
  <c r="O48" i="38"/>
  <c r="Q48" i="38"/>
  <c r="P48" i="38"/>
  <c r="H49" i="38" a="1"/>
  <c r="H49" i="38" s="1"/>
  <c r="K48" i="38" a="1"/>
  <c r="K48" i="38" s="1"/>
  <c r="L48" i="38" a="1"/>
  <c r="L48" i="38" s="1"/>
  <c r="J48" i="38"/>
  <c r="H50" i="38" l="1" a="1"/>
  <c r="H50" i="38" s="1"/>
  <c r="L49" i="38" a="1"/>
  <c r="L49" i="38" s="1"/>
  <c r="K49" i="38" a="1"/>
  <c r="K49" i="38" s="1"/>
  <c r="J49" i="38"/>
  <c r="N50" i="38" a="1"/>
  <c r="N50" i="38" s="1"/>
  <c r="Q49" i="38"/>
  <c r="P49" i="38"/>
  <c r="O49" i="38"/>
  <c r="R49" i="38"/>
  <c r="N51" i="38" l="1" a="1"/>
  <c r="N51" i="38" s="1"/>
  <c r="Q50" i="38"/>
  <c r="P50" i="38"/>
  <c r="O50" i="38"/>
  <c r="R50" i="38"/>
  <c r="H51" i="38" a="1"/>
  <c r="H51" i="38" s="1"/>
  <c r="K50" i="38" a="1"/>
  <c r="K50" i="38" s="1"/>
  <c r="L50" i="38" a="1"/>
  <c r="L50" i="38" s="1"/>
  <c r="J50" i="38"/>
  <c r="H52" i="38" l="1" a="1"/>
  <c r="H52" i="38" s="1"/>
  <c r="L51" i="38" a="1"/>
  <c r="L51" i="38" s="1"/>
  <c r="K51" i="38" a="1"/>
  <c r="K51" i="38" s="1"/>
  <c r="J51" i="38"/>
  <c r="N52" i="38" a="1"/>
  <c r="N52" i="38" s="1"/>
  <c r="R51" i="38"/>
  <c r="Q51" i="38"/>
  <c r="P51" i="38"/>
  <c r="O51" i="38"/>
  <c r="N53" i="38" l="1" a="1"/>
  <c r="N53" i="38" s="1"/>
  <c r="R52" i="38"/>
  <c r="P52" i="38"/>
  <c r="O52" i="38"/>
  <c r="Q52" i="38"/>
  <c r="H53" i="38" a="1"/>
  <c r="H53" i="38" s="1"/>
  <c r="L52" i="38" a="1"/>
  <c r="L52" i="38" s="1"/>
  <c r="K52" i="38" a="1"/>
  <c r="K52" i="38" s="1"/>
  <c r="J52" i="38"/>
  <c r="H54" i="38" l="1" a="1"/>
  <c r="H54" i="38" s="1"/>
  <c r="L53" i="38" a="1"/>
  <c r="L53" i="38" s="1"/>
  <c r="K53" i="38" a="1"/>
  <c r="K53" i="38" s="1"/>
  <c r="J53" i="38"/>
  <c r="N54" i="38" a="1"/>
  <c r="N54" i="38" s="1"/>
  <c r="Q53" i="38"/>
  <c r="P53" i="38"/>
  <c r="O53" i="38"/>
  <c r="R53" i="38"/>
  <c r="N55" i="38" l="1" a="1"/>
  <c r="N55" i="38" s="1"/>
  <c r="Q54" i="38"/>
  <c r="P54" i="38"/>
  <c r="O54" i="38"/>
  <c r="R54" i="38"/>
  <c r="H55" i="38" a="1"/>
  <c r="H55" i="38" s="1"/>
  <c r="L54" i="38" a="1"/>
  <c r="L54" i="38" s="1"/>
  <c r="K54" i="38" a="1"/>
  <c r="K54" i="38" s="1"/>
  <c r="J54" i="38"/>
  <c r="H56" i="38" l="1" a="1"/>
  <c r="H56" i="38" s="1"/>
  <c r="I56" i="38" s="1"/>
  <c r="K55" i="38" a="1"/>
  <c r="K55" i="38" s="1"/>
  <c r="L55" i="38" a="1"/>
  <c r="L55" i="38" s="1"/>
  <c r="J55" i="38"/>
  <c r="N56" i="38" a="1"/>
  <c r="N56" i="38" s="1"/>
  <c r="R55" i="38"/>
  <c r="Q55" i="38"/>
  <c r="P55" i="38"/>
  <c r="O55" i="38"/>
  <c r="I7" i="38"/>
  <c r="I8" i="38"/>
  <c r="I11" i="38"/>
  <c r="I13" i="38"/>
  <c r="I20" i="38"/>
  <c r="I22" i="38"/>
  <c r="I24" i="38"/>
  <c r="I26" i="38"/>
  <c r="I28" i="38"/>
  <c r="I30" i="38"/>
  <c r="I32" i="38"/>
  <c r="I34" i="38"/>
  <c r="I36" i="38"/>
  <c r="I38" i="38"/>
  <c r="I40" i="38"/>
  <c r="I42" i="38"/>
  <c r="I44" i="38"/>
  <c r="I46" i="38"/>
  <c r="I48" i="38"/>
  <c r="I50" i="38"/>
  <c r="I52" i="38"/>
  <c r="I54" i="38"/>
  <c r="I9" i="38"/>
  <c r="I10" i="38"/>
  <c r="I12" i="38"/>
  <c r="I14" i="38"/>
  <c r="I21" i="38"/>
  <c r="I23" i="38"/>
  <c r="I25" i="38"/>
  <c r="I27" i="38"/>
  <c r="I29" i="38"/>
  <c r="I31" i="38"/>
  <c r="I33" i="38"/>
  <c r="I35" i="38"/>
  <c r="I37" i="38"/>
  <c r="I39" i="38"/>
  <c r="I41" i="38"/>
  <c r="I43" i="38"/>
  <c r="I45" i="38"/>
  <c r="I47" i="38"/>
  <c r="I49" i="38"/>
  <c r="I51" i="38"/>
  <c r="I53" i="38"/>
  <c r="I55" i="38"/>
  <c r="N57" i="38" l="1" a="1"/>
  <c r="N57" i="38" s="1"/>
  <c r="R56" i="38"/>
  <c r="Q56" i="38"/>
  <c r="P56" i="38"/>
  <c r="O56" i="38"/>
  <c r="H57" i="38" a="1"/>
  <c r="H57" i="38" s="1"/>
  <c r="K56" i="38" a="1"/>
  <c r="K56" i="38" s="1"/>
  <c r="L56" i="38" a="1"/>
  <c r="L56" i="38" s="1"/>
  <c r="J56" i="38"/>
  <c r="H58" i="38" l="1" a="1"/>
  <c r="H58" i="38" s="1"/>
  <c r="L57" i="38" a="1"/>
  <c r="L57" i="38" s="1"/>
  <c r="K57" i="38" a="1"/>
  <c r="K57" i="38" s="1"/>
  <c r="J57" i="38"/>
  <c r="I57" i="38"/>
  <c r="N58" i="38" a="1"/>
  <c r="N58" i="38" s="1"/>
  <c r="Q57" i="38"/>
  <c r="P57" i="38"/>
  <c r="O57" i="38"/>
  <c r="R57" i="38"/>
  <c r="H59" i="38" l="1" a="1"/>
  <c r="H59" i="38" s="1"/>
  <c r="L58" i="38" a="1"/>
  <c r="L58" i="38" s="1"/>
  <c r="K58" i="38" a="1"/>
  <c r="K58" i="38" s="1"/>
  <c r="J58" i="38"/>
  <c r="I58" i="38"/>
  <c r="N59" i="38" a="1"/>
  <c r="N59" i="38" s="1"/>
  <c r="Q58" i="38"/>
  <c r="P58" i="38"/>
  <c r="O58" i="38"/>
  <c r="R58" i="38"/>
  <c r="N60" i="38" l="1" a="1"/>
  <c r="N60" i="38" s="1"/>
  <c r="R59" i="38"/>
  <c r="Q59" i="38"/>
  <c r="P59" i="38"/>
  <c r="O59" i="38"/>
  <c r="H60" i="38" a="1"/>
  <c r="H60" i="38" s="1"/>
  <c r="L59" i="38" a="1"/>
  <c r="L59" i="38" s="1"/>
  <c r="K59" i="38" a="1"/>
  <c r="K59" i="38" s="1"/>
  <c r="J59" i="38"/>
  <c r="I59" i="38"/>
  <c r="H61" i="38" l="1" a="1"/>
  <c r="H61" i="38" s="1"/>
  <c r="K60" i="38" a="1"/>
  <c r="K60" i="38" s="1"/>
  <c r="L60" i="38" a="1"/>
  <c r="L60" i="38" s="1"/>
  <c r="J60" i="38"/>
  <c r="I60" i="38"/>
  <c r="N61" i="38" a="1"/>
  <c r="N61" i="38" s="1"/>
  <c r="R60" i="38"/>
  <c r="O60" i="38"/>
  <c r="Q60" i="38"/>
  <c r="P60" i="38"/>
  <c r="N62" i="38" l="1" a="1"/>
  <c r="N62" i="38" s="1"/>
  <c r="Q61" i="38"/>
  <c r="P61" i="38"/>
  <c r="O61" i="38"/>
  <c r="R61" i="38"/>
  <c r="H62" i="38" a="1"/>
  <c r="H62" i="38" s="1"/>
  <c r="L61" i="38" a="1"/>
  <c r="L61" i="38" s="1"/>
  <c r="K61" i="38" a="1"/>
  <c r="K61" i="38" s="1"/>
  <c r="J61" i="38"/>
  <c r="I61" i="38"/>
  <c r="N63" i="38" l="1" a="1"/>
  <c r="N63" i="38" s="1"/>
  <c r="Q62" i="38"/>
  <c r="P62" i="38"/>
  <c r="O62" i="38"/>
  <c r="R62" i="38"/>
  <c r="H63" i="38" a="1"/>
  <c r="H63" i="38" s="1"/>
  <c r="L62" i="38" a="1"/>
  <c r="L62" i="38" s="1"/>
  <c r="K62" i="38" a="1"/>
  <c r="K62" i="38" s="1"/>
  <c r="J62" i="38"/>
  <c r="I62" i="38"/>
  <c r="H64" i="38" l="1" a="1"/>
  <c r="H64" i="38" s="1"/>
  <c r="L63" i="38" a="1"/>
  <c r="L63" i="38" s="1"/>
  <c r="K63" i="38" a="1"/>
  <c r="K63" i="38" s="1"/>
  <c r="J63" i="38"/>
  <c r="I63" i="38"/>
  <c r="N64" i="38" a="1"/>
  <c r="N64" i="38" s="1"/>
  <c r="R63" i="38"/>
  <c r="Q63" i="38"/>
  <c r="P63" i="38"/>
  <c r="O63" i="38"/>
  <c r="H65" i="38" l="1" a="1"/>
  <c r="H65" i="38" s="1"/>
  <c r="K64" i="38" a="1"/>
  <c r="K64" i="38" s="1"/>
  <c r="L64" i="38" a="1"/>
  <c r="L64" i="38" s="1"/>
  <c r="J64" i="38"/>
  <c r="I64" i="38"/>
  <c r="N65" i="38" a="1"/>
  <c r="N65" i="38" s="1"/>
  <c r="R64" i="38"/>
  <c r="O64" i="38"/>
  <c r="Q64" i="38"/>
  <c r="P64" i="38"/>
  <c r="N66" i="38" l="1" a="1"/>
  <c r="N66" i="38" s="1"/>
  <c r="Q65" i="38"/>
  <c r="P65" i="38"/>
  <c r="O65" i="38"/>
  <c r="R65" i="38"/>
  <c r="H66" i="38" a="1"/>
  <c r="H66" i="38" s="1"/>
  <c r="L65" i="38" a="1"/>
  <c r="L65" i="38" s="1"/>
  <c r="K65" i="38" a="1"/>
  <c r="K65" i="38" s="1"/>
  <c r="J65" i="38"/>
  <c r="I65" i="38"/>
  <c r="H67" i="38" l="1" a="1"/>
  <c r="H67" i="38" s="1"/>
  <c r="K66" i="38" a="1"/>
  <c r="K66" i="38" s="1"/>
  <c r="L66" i="38" a="1"/>
  <c r="L66" i="38" s="1"/>
  <c r="J66" i="38"/>
  <c r="I66" i="38"/>
  <c r="N67" i="38" a="1"/>
  <c r="N67" i="38" s="1"/>
  <c r="Q66" i="38"/>
  <c r="P66" i="38"/>
  <c r="O66" i="38"/>
  <c r="R66" i="38"/>
  <c r="N68" i="38" l="1" a="1"/>
  <c r="N68" i="38" s="1"/>
  <c r="R67" i="38"/>
  <c r="Q67" i="38"/>
  <c r="P67" i="38"/>
  <c r="O67" i="38"/>
  <c r="H68" i="38" a="1"/>
  <c r="H68" i="38" s="1"/>
  <c r="L67" i="38" a="1"/>
  <c r="L67" i="38" s="1"/>
  <c r="K67" i="38" a="1"/>
  <c r="K67" i="38" s="1"/>
  <c r="J67" i="38"/>
  <c r="I67" i="38"/>
  <c r="H69" i="38" l="1" a="1"/>
  <c r="H69" i="38" s="1"/>
  <c r="L68" i="38" a="1"/>
  <c r="L68" i="38" s="1"/>
  <c r="K68" i="38" a="1"/>
  <c r="K68" i="38" s="1"/>
  <c r="J68" i="38"/>
  <c r="I68" i="38"/>
  <c r="N69" i="38" a="1"/>
  <c r="N69" i="38" s="1"/>
  <c r="R68" i="38"/>
  <c r="P68" i="38"/>
  <c r="O68" i="38"/>
  <c r="Q68" i="38"/>
  <c r="N70" i="38" l="1" a="1"/>
  <c r="N70" i="38" s="1"/>
  <c r="Q69" i="38"/>
  <c r="P69" i="38"/>
  <c r="O69" i="38"/>
  <c r="R69" i="38"/>
  <c r="H70" i="38" a="1"/>
  <c r="H70" i="38" s="1"/>
  <c r="L69" i="38" a="1"/>
  <c r="L69" i="38" s="1"/>
  <c r="K69" i="38" a="1"/>
  <c r="K69" i="38" s="1"/>
  <c r="J69" i="38"/>
  <c r="I69" i="38"/>
  <c r="H71" i="38" l="1" a="1"/>
  <c r="H71" i="38" s="1"/>
  <c r="K70" i="38" a="1"/>
  <c r="K70" i="38" s="1"/>
  <c r="L70" i="38" a="1"/>
  <c r="L70" i="38" s="1"/>
  <c r="J70" i="38"/>
  <c r="I70" i="38"/>
  <c r="N71" i="38" a="1"/>
  <c r="N71" i="38" s="1"/>
  <c r="Q70" i="38"/>
  <c r="P70" i="38"/>
  <c r="O70" i="38"/>
  <c r="R70" i="38"/>
  <c r="N72" i="38" l="1" a="1"/>
  <c r="N72" i="38" s="1"/>
  <c r="R71" i="38"/>
  <c r="Q71" i="38"/>
  <c r="P71" i="38"/>
  <c r="O71" i="38"/>
  <c r="H72" i="38" a="1"/>
  <c r="H72" i="38" s="1"/>
  <c r="L71" i="38" a="1"/>
  <c r="L71" i="38" s="1"/>
  <c r="K71" i="38" a="1"/>
  <c r="K71" i="38" s="1"/>
  <c r="J71" i="38"/>
  <c r="I71" i="38"/>
  <c r="H73" i="38" l="1" a="1"/>
  <c r="H73" i="38" s="1"/>
  <c r="L72" i="38" a="1"/>
  <c r="L72" i="38" s="1"/>
  <c r="K72" i="38" a="1"/>
  <c r="K72" i="38" s="1"/>
  <c r="J72" i="38"/>
  <c r="I72" i="38"/>
  <c r="N73" i="38" a="1"/>
  <c r="N73" i="38" s="1"/>
  <c r="R72" i="38"/>
  <c r="Q72" i="38"/>
  <c r="P72" i="38"/>
  <c r="O72" i="38"/>
  <c r="H74" i="38" l="1" a="1"/>
  <c r="H74" i="38" s="1"/>
  <c r="L73" i="38" a="1"/>
  <c r="L73" i="38" s="1"/>
  <c r="K73" i="38" a="1"/>
  <c r="K73" i="38" s="1"/>
  <c r="J73" i="38"/>
  <c r="I73" i="38"/>
  <c r="N74" i="38" a="1"/>
  <c r="N74" i="38" s="1"/>
  <c r="Q73" i="38"/>
  <c r="P73" i="38"/>
  <c r="O73" i="38"/>
  <c r="R73" i="38"/>
  <c r="N75" i="38" l="1" a="1"/>
  <c r="N75" i="38" s="1"/>
  <c r="Q74" i="38"/>
  <c r="P74" i="38"/>
  <c r="O74" i="38"/>
  <c r="R74" i="38"/>
  <c r="H75" i="38" a="1"/>
  <c r="H75" i="38" s="1"/>
  <c r="L74" i="38" a="1"/>
  <c r="L74" i="38" s="1"/>
  <c r="K74" i="38" a="1"/>
  <c r="K74" i="38" s="1"/>
  <c r="J74" i="38"/>
  <c r="I74" i="38"/>
  <c r="H76" i="38" l="1" a="1"/>
  <c r="H76" i="38" s="1"/>
  <c r="L75" i="38" a="1"/>
  <c r="L75" i="38" s="1"/>
  <c r="K75" i="38" a="1"/>
  <c r="K75" i="38" s="1"/>
  <c r="J75" i="38"/>
  <c r="I75" i="38"/>
  <c r="N76" i="38" a="1"/>
  <c r="N76" i="38" s="1"/>
  <c r="R75" i="38"/>
  <c r="Q75" i="38"/>
  <c r="P75" i="38"/>
  <c r="O75" i="38"/>
  <c r="N77" i="38" l="1" a="1"/>
  <c r="N77" i="38" s="1"/>
  <c r="R76" i="38"/>
  <c r="O76" i="38"/>
  <c r="Q76" i="38"/>
  <c r="P76" i="38"/>
  <c r="H77" i="38" a="1"/>
  <c r="H77" i="38" s="1"/>
  <c r="L76" i="38" a="1"/>
  <c r="L76" i="38" s="1"/>
  <c r="K76" i="38" a="1"/>
  <c r="K76" i="38" s="1"/>
  <c r="J76" i="38"/>
  <c r="I76" i="38"/>
  <c r="H78" i="38" l="1" a="1"/>
  <c r="H78" i="38" s="1"/>
  <c r="L77" i="38" a="1"/>
  <c r="L77" i="38" s="1"/>
  <c r="K77" i="38" a="1"/>
  <c r="K77" i="38" s="1"/>
  <c r="J77" i="38"/>
  <c r="I77" i="38"/>
  <c r="N78" i="38" a="1"/>
  <c r="N78" i="38" s="1"/>
  <c r="Q77" i="38"/>
  <c r="P77" i="38"/>
  <c r="O77" i="38"/>
  <c r="R77" i="38"/>
  <c r="N79" i="38" l="1" a="1"/>
  <c r="N79" i="38" s="1"/>
  <c r="Q78" i="38"/>
  <c r="P78" i="38"/>
  <c r="O78" i="38"/>
  <c r="R78" i="38"/>
  <c r="H79" i="38" a="1"/>
  <c r="H79" i="38" s="1"/>
  <c r="L78" i="38" a="1"/>
  <c r="L78" i="38" s="1"/>
  <c r="K78" i="38" a="1"/>
  <c r="K78" i="38" s="1"/>
  <c r="J78" i="38"/>
  <c r="I78" i="38"/>
  <c r="L79" i="38" l="1" a="1"/>
  <c r="L79" i="38" s="1"/>
  <c r="K79" i="38" a="1"/>
  <c r="K79" i="38" s="1"/>
  <c r="J79" i="38"/>
  <c r="I79" i="38"/>
  <c r="R79" i="38"/>
  <c r="Q79" i="38"/>
  <c r="P79" i="38"/>
  <c r="O79" i="3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Madeleine</author>
  </authors>
  <commentList>
    <comment ref="V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Madeleine:</t>
        </r>
        <r>
          <rPr>
            <sz val="9"/>
            <color indexed="81"/>
            <rFont val="Tahoma"/>
            <family val="2"/>
          </rPr>
          <t xml:space="preserve">
Note: the operating reserve coefficient is a fraction of generation in Nils' paper</t>
        </r>
      </text>
    </comment>
    <comment ref="B7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Madeleine:</t>
        </r>
        <r>
          <rPr>
            <sz val="9"/>
            <color indexed="81"/>
            <rFont val="Tahoma"/>
            <family val="2"/>
          </rPr>
          <t xml:space="preserve">
Need to get real values here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Madeleine</author>
  </authors>
  <commentList>
    <comment ref="L4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Madeleine: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<sst xmlns="http://schemas.openxmlformats.org/spreadsheetml/2006/main" count="795" uniqueCount="479">
  <si>
    <t>technology assumptions</t>
  </si>
  <si>
    <t>nuclear</t>
  </si>
  <si>
    <t>hydro</t>
  </si>
  <si>
    <t>variable renewable energy sources</t>
  </si>
  <si>
    <t>wind</t>
  </si>
  <si>
    <t>balancing technologies</t>
  </si>
  <si>
    <t>efficiency</t>
  </si>
  <si>
    <t>GHG emissions</t>
  </si>
  <si>
    <t>storage</t>
  </si>
  <si>
    <t>geothermal</t>
  </si>
  <si>
    <t>biomass</t>
  </si>
  <si>
    <t>levelized capital cost</t>
  </si>
  <si>
    <t>fixed o&amp;m cost</t>
  </si>
  <si>
    <t>wind - offshore</t>
  </si>
  <si>
    <t>2012 $/MWh</t>
  </si>
  <si>
    <t>non-vre sources</t>
  </si>
  <si>
    <t>solar PV</t>
  </si>
  <si>
    <t>solar thermal</t>
  </si>
  <si>
    <t>backup generation</t>
  </si>
  <si>
    <t>curtailment</t>
  </si>
  <si>
    <t>coal</t>
  </si>
  <si>
    <t>hours</t>
  </si>
  <si>
    <t>kg CO2e/MWh</t>
  </si>
  <si>
    <t>given by power curves</t>
  </si>
  <si>
    <t>transmission</t>
  </si>
  <si>
    <t>[MW]</t>
  </si>
  <si>
    <t xml:space="preserve"> -- electric vehicles</t>
  </si>
  <si>
    <t>nominal pwr at STC [Wp]</t>
  </si>
  <si>
    <r>
      <t xml:space="preserve">"Levelized cost and levelized avoided cost of new generation resources in the Annual Energy Outlook 2014" </t>
    </r>
    <r>
      <rPr>
        <i/>
        <sz val="11"/>
        <color theme="1"/>
        <rFont val="Calibri"/>
        <family val="2"/>
        <scheme val="minor"/>
      </rPr>
      <t>US Energy Information Administration</t>
    </r>
  </si>
  <si>
    <r>
      <t xml:space="preserve">"FAQ: What is the efficiency of different types of power plants?" </t>
    </r>
    <r>
      <rPr>
        <i/>
        <sz val="11"/>
        <color theme="1"/>
        <rFont val="Calibri"/>
        <family val="2"/>
        <scheme val="minor"/>
      </rPr>
      <t>US Energy Information Administration</t>
    </r>
  </si>
  <si>
    <r>
      <t xml:space="preserve">Table 8.1. Average Operating Heat Rate for Selected Energy Sources, 2003-2013. </t>
    </r>
    <r>
      <rPr>
        <i/>
        <sz val="11"/>
        <color theme="1"/>
        <rFont val="Calibri"/>
        <family val="2"/>
        <scheme val="minor"/>
      </rPr>
      <t>US Energy Information Administration</t>
    </r>
  </si>
  <si>
    <r>
      <t xml:space="preserve">Annual Energy Review 2010. Appendix F: Alternatives for Estimating Energy Consumption. Table F1. Conversion Efficiencies of noncombustible Renewable Energy Sources. </t>
    </r>
    <r>
      <rPr>
        <i/>
        <sz val="11"/>
        <color theme="1"/>
        <rFont val="Calibri"/>
        <family val="2"/>
        <scheme val="minor"/>
      </rPr>
      <t>US Energy Information Administration.</t>
    </r>
  </si>
  <si>
    <r>
      <t xml:space="preserve">"Biomass Energy Economics" </t>
    </r>
    <r>
      <rPr>
        <i/>
        <sz val="11"/>
        <color theme="1"/>
        <rFont val="Calibri"/>
        <family val="2"/>
        <scheme val="minor"/>
      </rPr>
      <t>Pacific Energy Systems, Inc.</t>
    </r>
  </si>
  <si>
    <t>variable o&amp;m cost (inc. fuel)</t>
  </si>
  <si>
    <t>Climate Change 2014: Mitigation of Climate Change. Contribution of Working Group III to the Fifth Assessment Report of the Intergovernmental Panel on Climate Change. Annex III: Technology-specific cost and performance parameters. Table A.III.2 Emissions of selected electricity supply technologies</t>
  </si>
  <si>
    <t>references colour coded</t>
  </si>
  <si>
    <t>hot start</t>
  </si>
  <si>
    <t>warm start</t>
  </si>
  <si>
    <t>cold start</t>
  </si>
  <si>
    <t>"Technical Assessment of the Operation of Coal and Gas Fired Plants" Report to the DECC</t>
  </si>
  <si>
    <t>"the westinghouse pressurized water reactor nuclear power plant" Table 16-1 Estimated Startup Time in Hours Required by NSSS</t>
  </si>
  <si>
    <t>estimated start up times (notice to full load)</t>
  </si>
  <si>
    <t>%/min</t>
  </si>
  <si>
    <t>http://www.powerauthority.on.ca/current-electricity-contracts/sc-cc</t>
  </si>
  <si>
    <t>(max)</t>
  </si>
  <si>
    <t>spin ramp rate</t>
  </si>
  <si>
    <t xml:space="preserve"> - building new lines</t>
  </si>
  <si>
    <t xml:space="preserve"> - using existing lines</t>
  </si>
  <si>
    <t>$ / kWh</t>
  </si>
  <si>
    <t>$ / km</t>
  </si>
  <si>
    <t>AEO 2015 table 8</t>
  </si>
  <si>
    <t xml:space="preserve"> -- 230 kV single circuit</t>
  </si>
  <si>
    <t xml:space="preserve"> -- 230 kV double circuit</t>
  </si>
  <si>
    <t xml:space="preserve"> -- 500 kV single circuit</t>
  </si>
  <si>
    <t xml:space="preserve"> -- 500 kV double circuit</t>
  </si>
  <si>
    <t xml:space="preserve"> -- 500 kV HVDC Bi-pole</t>
  </si>
  <si>
    <t xml:space="preserve"> -- 600 kV HVDC Bi-pole</t>
  </si>
  <si>
    <t>assumptions: aluminum conductor steel reinforced (ACSR), Tubular (230 kV)/Lattice (345 kV - 600 kV), &gt;10 miles</t>
  </si>
  <si>
    <t>"Capital Costs for Transmission and Substations" prepared for the Western Electricity Coordinating Council</t>
  </si>
  <si>
    <t>source gives in $/mile. 1 mile = 1.60934 km</t>
  </si>
  <si>
    <t>ghg emission reductions</t>
  </si>
  <si>
    <t>petroleum displacement</t>
  </si>
  <si>
    <t>assuming 50% penetration, reduces GHG emissions by 27%</t>
  </si>
  <si>
    <t>benefits to grid</t>
  </si>
  <si>
    <t>cars can serve as distributed generators</t>
  </si>
  <si>
    <t>costs</t>
  </si>
  <si>
    <t>37% improvement in fuel economy</t>
  </si>
  <si>
    <t>88% improvement in fuel efficiency</t>
  </si>
  <si>
    <t>up to 6.5 million boe/day</t>
  </si>
  <si>
    <t>storage support - particularly for wind when generation at night corresponds with typical charge time</t>
  </si>
  <si>
    <t>assume average vehicle travels about 50 km/day - battery could easily displace fuel for such distance</t>
  </si>
  <si>
    <t>vehicle class</t>
  </si>
  <si>
    <t>compact sedan</t>
  </si>
  <si>
    <t>mid-size sedan</t>
  </si>
  <si>
    <t>mid-size SUV</t>
  </si>
  <si>
    <t>full-size SUV</t>
  </si>
  <si>
    <t>annual revenue for V2G ancillary services (grid regulation) $4000/vehicle</t>
  </si>
  <si>
    <t>HEV cost premium avg $4000</t>
  </si>
  <si>
    <t>30% ghg reduction</t>
  </si>
  <si>
    <t>O&amp;M (inc. fuel) costs 15% lower</t>
  </si>
  <si>
    <t xml:space="preserve"> -- hybrid buses</t>
  </si>
  <si>
    <t>sector integration - transportation</t>
  </si>
  <si>
    <t>"Hybrid Buses Costs and Benefits" EESI</t>
  </si>
  <si>
    <t>https://www.ttc.ca/Routes/General_Information/General_Information.jsp</t>
  </si>
  <si>
    <t>required battery size [kWh]</t>
  </si>
  <si>
    <t>"Impacts Assessment of PHEV on Electric Utilities and Regional US Power Grids Part 1: Technical Analysis" PNNL</t>
  </si>
  <si>
    <t>Sovacool, B. and Hirsh, R. "Beyond batteries: an examination of the benefits and barriers to PHEVs and a V2G transition"</t>
  </si>
  <si>
    <t>** cost savings dependent on electricity pricing - current avg 110 c/L for gas, 8.0 c/kWh off peak (CAD)</t>
  </si>
  <si>
    <t>base msrp</t>
  </si>
  <si>
    <t>est. tax credit</t>
  </si>
  <si>
    <t>body type</t>
  </si>
  <si>
    <t>seats</t>
  </si>
  <si>
    <t>charge rate</t>
  </si>
  <si>
    <t>bmw i3</t>
  </si>
  <si>
    <t>sedan</t>
  </si>
  <si>
    <t>batt size [kWh]</t>
  </si>
  <si>
    <t>charge rate [kW]</t>
  </si>
  <si>
    <t>chevrolet spark</t>
  </si>
  <si>
    <t>coupe</t>
  </si>
  <si>
    <t>fiat 500 e</t>
  </si>
  <si>
    <t>ford focus</t>
  </si>
  <si>
    <t>ford focus electric</t>
  </si>
  <si>
    <t>kia soul ev</t>
  </si>
  <si>
    <t>mercedes B-class electric</t>
  </si>
  <si>
    <t>mitsubishi i-MiEV</t>
  </si>
  <si>
    <t>nissan LEAF</t>
  </si>
  <si>
    <t>smart electric drive</t>
  </si>
  <si>
    <t>tesla model s</t>
  </si>
  <si>
    <t>volkswagen E-golf</t>
  </si>
  <si>
    <t>tesla model X</t>
  </si>
  <si>
    <t>SUV</t>
  </si>
  <si>
    <t>smart</t>
  </si>
  <si>
    <t>ghg emissions</t>
  </si>
  <si>
    <t>6.9/5.7/6.3</t>
  </si>
  <si>
    <t>130g/km</t>
  </si>
  <si>
    <t>est. tax credit (US)</t>
  </si>
  <si>
    <t>fuel consumption (city/hwy/combined) [L/100km]</t>
  </si>
  <si>
    <t>9.3/6.7/8.1</t>
  </si>
  <si>
    <t>ford explorer</t>
  </si>
  <si>
    <t>suv</t>
  </si>
  <si>
    <t>13.7/9.7</t>
  </si>
  <si>
    <t>EPA range (miles conv to km)</t>
  </si>
  <si>
    <t xml:space="preserve"> -- comparison with gas vehicles</t>
  </si>
  <si>
    <t>no tax credits</t>
  </si>
  <si>
    <t>http://www.plugincars.com/cars</t>
  </si>
  <si>
    <t>http://www.thesmart.ca/ca/en/index.html</t>
  </si>
  <si>
    <t>http://www.ford.ca/cars/focus/specifications/</t>
  </si>
  <si>
    <t>fiat 500</t>
  </si>
  <si>
    <t>8.7/6.9</t>
  </si>
  <si>
    <t>http://www.fiatcanada.com/en/2015/500/</t>
  </si>
  <si>
    <t xml:space="preserve"> --plug-in hybrid</t>
  </si>
  <si>
    <t>cadillac ELR</t>
  </si>
  <si>
    <t>epa range (elec only)</t>
  </si>
  <si>
    <t>battery size</t>
  </si>
  <si>
    <t>chevy volt</t>
  </si>
  <si>
    <t>ford c-max energi</t>
  </si>
  <si>
    <t>wagon</t>
  </si>
  <si>
    <t>ford fusion energi</t>
  </si>
  <si>
    <t>honda accord PH</t>
  </si>
  <si>
    <t>porsche panamera s e-hybrid</t>
  </si>
  <si>
    <t>porsche cayenne s e-hybrid</t>
  </si>
  <si>
    <t>toyota prius PH</t>
  </si>
  <si>
    <t>cost premium avg 200 000 (~500 000 compared to 300 000) - mostly offset by govt</t>
  </si>
  <si>
    <t>orion VII can carry average 51 passengers at peak times - vehicle displacement?</t>
  </si>
  <si>
    <t>demand response - shifting</t>
  </si>
  <si>
    <t>assume x% flexibility - user input</t>
  </si>
  <si>
    <t>assume different flexibilities during different hours</t>
  </si>
  <si>
    <t>DR capacity = load * participation rate * sheddability</t>
  </si>
  <si>
    <t>participation = min (controllability, acceptability)</t>
  </si>
  <si>
    <t>commercial</t>
  </si>
  <si>
    <t xml:space="preserve"> - cooling</t>
  </si>
  <si>
    <t xml:space="preserve"> - heating</t>
  </si>
  <si>
    <t>residential</t>
  </si>
  <si>
    <t xml:space="preserve"> - water heating</t>
  </si>
  <si>
    <t>industrial</t>
  </si>
  <si>
    <t xml:space="preserve"> - agricultural water pumping</t>
  </si>
  <si>
    <t xml:space="preserve"> - data centres</t>
  </si>
  <si>
    <t xml:space="preserve"> - regrigerated warehouses</t>
  </si>
  <si>
    <t>municipal</t>
  </si>
  <si>
    <t xml:space="preserve"> - fresh water pumping</t>
  </si>
  <si>
    <t xml:space="preserve"> - waste water pumping</t>
  </si>
  <si>
    <t>lighting and ventilation are not easily shiftable!</t>
  </si>
  <si>
    <t>41-49</t>
  </si>
  <si>
    <t>sheddability (%)</t>
  </si>
  <si>
    <t>acceptability (%)</t>
  </si>
  <si>
    <t>15-25</t>
  </si>
  <si>
    <t>3-77</t>
  </si>
  <si>
    <t>46-51</t>
  </si>
  <si>
    <t>10-25</t>
  </si>
  <si>
    <t>0-77</t>
  </si>
  <si>
    <t>20-70</t>
  </si>
  <si>
    <t>2-52</t>
  </si>
  <si>
    <t>13-39</t>
  </si>
  <si>
    <t>20-30</t>
  </si>
  <si>
    <t>2-48</t>
  </si>
  <si>
    <t>0-1.5</t>
  </si>
  <si>
    <t>25</t>
  </si>
  <si>
    <t>13-26</t>
  </si>
  <si>
    <t>participation (%)</t>
  </si>
  <si>
    <t>"Grid Integration of Aggregated Demand Response, Part 1: Load Availability Profiles and Constraints for the Western Interconnection." NREL</t>
  </si>
  <si>
    <t>divide year into heating/cooling, keep others year round</t>
  </si>
  <si>
    <t>for multiple end uses, take average of shed * participation?</t>
  </si>
  <si>
    <t>for zeros, use a small non-zero number…</t>
  </si>
  <si>
    <t>** would need demand data by sector</t>
  </si>
  <si>
    <t>controllability (%)</t>
  </si>
  <si>
    <t>average</t>
  </si>
  <si>
    <t>S*P</t>
  </si>
  <si>
    <t>for ranges, take midpoint?</t>
  </si>
  <si>
    <t>0.45*0.20=0.09</t>
  </si>
  <si>
    <t>0.45*0.26=0.117</t>
  </si>
  <si>
    <t>0.25*0.01=0.0025</t>
  </si>
  <si>
    <t>0.25*0.20=0.05</t>
  </si>
  <si>
    <t>summer = 9%</t>
  </si>
  <si>
    <t>winter = 8.6 %</t>
  </si>
  <si>
    <t>summer = 8.35%</t>
  </si>
  <si>
    <t>winter = 2.5%</t>
  </si>
  <si>
    <t>ind/mun fairly flat over day</t>
  </si>
  <si>
    <t>cooling peaks from 12-8pm</t>
  </si>
  <si>
    <t>heating peaks from 7-9 am</t>
  </si>
  <si>
    <t>peaks 7am, 6pm</t>
  </si>
  <si>
    <t>shreddability (%)</t>
  </si>
  <si>
    <t>area</t>
  </si>
  <si>
    <t>area [m^2]</t>
  </si>
  <si>
    <t>CdTe</t>
  </si>
  <si>
    <t>Trina TSM-PDG5-255</t>
  </si>
  <si>
    <t>multi c-Si</t>
  </si>
  <si>
    <t>mono c-Si</t>
  </si>
  <si>
    <t>Canadian Solar CS6V-225MM</t>
  </si>
  <si>
    <t>First Solar FS395</t>
  </si>
  <si>
    <t>diesel</t>
  </si>
  <si>
    <t>longitude</t>
  </si>
  <si>
    <t>latitude</t>
  </si>
  <si>
    <t>total system LCOE</t>
  </si>
  <si>
    <t>transmission investment</t>
  </si>
  <si>
    <t>*(likely conservative) estimate based on the fact that simple cycle is less efficient</t>
  </si>
  <si>
    <t>cycling costs</t>
  </si>
  <si>
    <r>
      <t xml:space="preserve">"Power Plant Cycling Costs" </t>
    </r>
    <r>
      <rPr>
        <i/>
        <sz val="11"/>
        <color theme="1"/>
        <rFont val="Calibri"/>
        <family val="2"/>
        <scheme val="minor"/>
      </rPr>
      <t>Prepared for the National Renewable Energy Laboratory</t>
    </r>
  </si>
  <si>
    <r>
      <t xml:space="preserve">"Cost and Performance Data for Power Generation Technologies" </t>
    </r>
    <r>
      <rPr>
        <i/>
        <sz val="11"/>
        <color theme="1"/>
        <rFont val="Calibri"/>
        <family val="2"/>
        <scheme val="minor"/>
      </rPr>
      <t>Prepared for the National Renewable Energy Laboratory</t>
    </r>
  </si>
  <si>
    <t>$/MW cap.</t>
  </si>
  <si>
    <t>depends on sources data</t>
  </si>
  <si>
    <t>output - last resort</t>
  </si>
  <si>
    <t>Trends in GHG Emissions in the Alberta Electricity Market</t>
  </si>
  <si>
    <t>length</t>
  </si>
  <si>
    <t>lat</t>
  </si>
  <si>
    <t>long</t>
  </si>
  <si>
    <t>plant ID</t>
  </si>
  <si>
    <t>wind offshore</t>
  </si>
  <si>
    <t>PHS</t>
  </si>
  <si>
    <t>CAES</t>
  </si>
  <si>
    <t>batteries</t>
  </si>
  <si>
    <t>fuel oil</t>
  </si>
  <si>
    <t>FES</t>
  </si>
  <si>
    <t>hydrogen</t>
  </si>
  <si>
    <t>thermal</t>
  </si>
  <si>
    <t>vanadium</t>
  </si>
  <si>
    <t>SMES</t>
  </si>
  <si>
    <t>flow battery</t>
  </si>
  <si>
    <t>capacitors</t>
  </si>
  <si>
    <t>supercapacitors</t>
  </si>
  <si>
    <t>capital cost power</t>
  </si>
  <si>
    <t>capital cost capacity</t>
  </si>
  <si>
    <t>annual operating costs</t>
  </si>
  <si>
    <t>$/kWyr</t>
  </si>
  <si>
    <t>(avg) $/kW</t>
  </si>
  <si>
    <t>min</t>
  </si>
  <si>
    <t>max</t>
  </si>
  <si>
    <t>applicable grid system size (MW)</t>
  </si>
  <si>
    <t>storage capacity (kWh)</t>
  </si>
  <si>
    <t>discharge rate</t>
  </si>
  <si>
    <t>kW</t>
  </si>
  <si>
    <t>"Electricity Storage and Renewables for Island Power" IRENA 2012</t>
  </si>
  <si>
    <t>Kousksou et al. "Energy storage: Applications and challenges" Solar Energy Materials &amp; Solar Cells 2014</t>
  </si>
  <si>
    <t>(avg) $/kWh</t>
  </si>
  <si>
    <t>"Energy Technology Perspectives" IEA 2014</t>
  </si>
  <si>
    <t>"Comparison of Lifecycle Greenhouse Gas Emissions of Various Electricity Generation Sources" WNA</t>
  </si>
  <si>
    <t>diesel costs: Lazard LCOE version 8.0</t>
  </si>
  <si>
    <t>assumed fuel oil costs are ~60% of diesel costs based on  http://asian-power.com/regulation/commentary/reducing-diesel-power-plant-hfo-bill</t>
  </si>
  <si>
    <t>region</t>
  </si>
  <si>
    <t>frac pop</t>
  </si>
  <si>
    <t>voltage</t>
  </si>
  <si>
    <t>circuits</t>
  </si>
  <si>
    <t>NG combined</t>
  </si>
  <si>
    <t>NG simple</t>
  </si>
  <si>
    <t>bus</t>
  </si>
  <si>
    <t>reactance</t>
  </si>
  <si>
    <t>name</t>
  </si>
  <si>
    <t>to bus</t>
  </si>
  <si>
    <t>from bus</t>
  </si>
  <si>
    <t>wind_onshore</t>
  </si>
  <si>
    <t>wind_offshore</t>
  </si>
  <si>
    <t>latitude_MERRA</t>
  </si>
  <si>
    <t>longitude_MERRA</t>
  </si>
  <si>
    <t>V_112-3.0</t>
  </si>
  <si>
    <t>TSM-PDG5-255</t>
  </si>
  <si>
    <t>FS395</t>
  </si>
  <si>
    <t>*create dropdown list with these options</t>
  </si>
  <si>
    <t>kind</t>
  </si>
  <si>
    <t>Pb-acid</t>
  </si>
  <si>
    <t>Ni-Cd</t>
  </si>
  <si>
    <t>Na-S</t>
  </si>
  <si>
    <t>Li-ion</t>
  </si>
  <si>
    <t>pumprampmax</t>
  </si>
  <si>
    <t>storagecapacitymax</t>
  </si>
  <si>
    <t>EV</t>
  </si>
  <si>
    <t>shedding_allowed</t>
  </si>
  <si>
    <t>solar PV multi c-Si</t>
  </si>
  <si>
    <t>solar PV mono c-Si</t>
  </si>
  <si>
    <t>solar PV thin film</t>
  </si>
  <si>
    <t>Generating Plant IDs</t>
  </si>
  <si>
    <t>Storage Plant IDs</t>
  </si>
  <si>
    <t>capacitor</t>
  </si>
  <si>
    <t>supercapacitor</t>
  </si>
  <si>
    <t>CS6V-225MM</t>
  </si>
  <si>
    <t>TO DO: need to change 'vre plants' sheet so that the area [m^2] and # modules gets updated according to these values, given the module type</t>
  </si>
  <si>
    <t>Col number</t>
  </si>
  <si>
    <t>ramp rate max</t>
  </si>
  <si>
    <t>start up ramp limit</t>
  </si>
  <si>
    <t>cost to commit the unit ($)</t>
  </si>
  <si>
    <t>start up cost</t>
  </si>
  <si>
    <t>cost curve equation</t>
  </si>
  <si>
    <t>0P</t>
  </si>
  <si>
    <t>spinning cost</t>
  </si>
  <si>
    <t>resevoir level</t>
  </si>
  <si>
    <t>initial power</t>
  </si>
  <si>
    <t>initial status</t>
  </si>
  <si>
    <t>hours in status</t>
  </si>
  <si>
    <t>combination of variable cost (P^1) and spinning cost (P^0)</t>
  </si>
  <si>
    <t xml:space="preserve">Notes: </t>
  </si>
  <si>
    <t>[$/ MBTU]</t>
  </si>
  <si>
    <t>shut down cost</t>
  </si>
  <si>
    <t>Non-vre  technology assumptions</t>
  </si>
  <si>
    <t xml:space="preserve">Cost - related Technology Characteristics </t>
  </si>
  <si>
    <t>Operating Characteristics</t>
  </si>
  <si>
    <t>min up time</t>
  </si>
  <si>
    <t>min down time</t>
  </si>
  <si>
    <t>minimum time for which a unit must be on (status =1) after it is committed [hours]</t>
  </si>
  <si>
    <t>[hours]</t>
  </si>
  <si>
    <t xml:space="preserve">minimum time for which a unit must be off (status = 0) after it is de-commited [hours] </t>
  </si>
  <si>
    <t>research these value and add it here</t>
  </si>
  <si>
    <t>minimum up time</t>
  </si>
  <si>
    <t>minimum down time</t>
  </si>
  <si>
    <t>[$ per hour committed]</t>
  </si>
  <si>
    <t>Ramping Characteristics</t>
  </si>
  <si>
    <t>ramp rate min</t>
  </si>
  <si>
    <t>[$ / MWcap]</t>
  </si>
  <si>
    <t>positive change in real power over 1 hour (MW/hr) for a spinning unit (with status = 1)</t>
  </si>
  <si>
    <t>negative change in real power over 1 hou (MW/hr) for a spinning unit (with status =1)</t>
  </si>
  <si>
    <t>negative change in power for spinning unit</t>
  </si>
  <si>
    <t>shut down ramp limit</t>
  </si>
  <si>
    <t>maximum positive change in real power over the first hour after startup (MW/hr)</t>
  </si>
  <si>
    <t>maximum negative change in real power over the last hor before shutdown (MW/hr)</t>
  </si>
  <si>
    <t>[MW/hr p MWcap]</t>
  </si>
  <si>
    <t>start up ramp</t>
  </si>
  <si>
    <t>shut down ramp</t>
  </si>
  <si>
    <t>battery</t>
  </si>
  <si>
    <t>0P + 0</t>
  </si>
  <si>
    <t>col.</t>
  </si>
  <si>
    <t>solar</t>
  </si>
  <si>
    <t>technology type</t>
  </si>
  <si>
    <t>unit capacity [kW]</t>
  </si>
  <si>
    <t>Nils's Paper (Submitted to Energy Economics)</t>
  </si>
  <si>
    <t>[Fraction of installed capacity]</t>
  </si>
  <si>
    <t>Scenario analysis inputs</t>
  </si>
  <si>
    <t>Installed Capacity Metric</t>
  </si>
  <si>
    <t>Flexibility Factor Metric</t>
  </si>
  <si>
    <t xml:space="preserve">Transmission network capacity metric </t>
  </si>
  <si>
    <t>Investment Cost</t>
  </si>
  <si>
    <t>[fraction on installed capacity]</t>
  </si>
  <si>
    <t>[fraction of installed capacity]</t>
  </si>
  <si>
    <t>Cost</t>
  </si>
  <si>
    <t>[$]</t>
  </si>
  <si>
    <t>bus number</t>
  </si>
  <si>
    <t>total installed capacity on bus</t>
  </si>
  <si>
    <t>total transmission capacity to/from bus</t>
  </si>
  <si>
    <t>Max capacity value</t>
  </si>
  <si>
    <t>Operating reserve coeff.</t>
  </si>
  <si>
    <t>Installed capacity by type</t>
  </si>
  <si>
    <t>fraction of load on bus</t>
  </si>
  <si>
    <t>[percentage]</t>
  </si>
  <si>
    <t xml:space="preserve"> VRE Resrouce Metric</t>
  </si>
  <si>
    <t>Proposed wind capacity</t>
  </si>
  <si>
    <t>Proposed multi c-Si solar capacity</t>
  </si>
  <si>
    <t>Proposed mono c-Si solar capacity</t>
  </si>
  <si>
    <t>Proposed thin film solar capacity</t>
  </si>
  <si>
    <t>Total overnight cost in 2014</t>
  </si>
  <si>
    <t>$/kW</t>
  </si>
  <si>
    <t xml:space="preserve">EIA AEO2015 Table 8.2" Cost and Performance characteristics of new central station electricity generating technologies </t>
  </si>
  <si>
    <t>My storage paper with Nils (YSSP report)</t>
  </si>
  <si>
    <t>[$/kW installed]</t>
  </si>
  <si>
    <t>line type</t>
  </si>
  <si>
    <t>transmission line cost</t>
  </si>
  <si>
    <t>Wind</t>
  </si>
  <si>
    <t>Solar</t>
  </si>
  <si>
    <t>USER: do not alter this sheet</t>
  </si>
  <si>
    <t>VRE generation types</t>
  </si>
  <si>
    <t>Technologies</t>
  </si>
  <si>
    <t>multi_c_Si</t>
  </si>
  <si>
    <t>mono_c_Si</t>
  </si>
  <si>
    <t>thin_film</t>
  </si>
  <si>
    <t>dr_potential</t>
  </si>
  <si>
    <t>over-production</t>
  </si>
  <si>
    <t>under-production</t>
  </si>
  <si>
    <t>maximum</t>
  </si>
  <si>
    <t>minimum</t>
  </si>
  <si>
    <t>maximum hourly dr limit (% of schedule)</t>
  </si>
  <si>
    <t>maximum daily dr (MW)</t>
  </si>
  <si>
    <t>ramping limiatations (MW)</t>
  </si>
  <si>
    <t>increasing_shed</t>
  </si>
  <si>
    <t>decreasing_shed</t>
  </si>
  <si>
    <t>minimum up/down times (hours)</t>
  </si>
  <si>
    <t>uptime</t>
  </si>
  <si>
    <t>downtime</t>
  </si>
  <si>
    <t>constraint:</t>
  </si>
  <si>
    <t>absolute hourly dr limit (MW)</t>
  </si>
  <si>
    <t>index</t>
  </si>
  <si>
    <t>initial values</t>
  </si>
  <si>
    <t>Each unique node must be listed at least once in the 'existing transmission' sheet under the 'from bus' category</t>
  </si>
  <si>
    <t xml:space="preserve"> -- 115 kV double circuit</t>
  </si>
  <si>
    <t>Prince</t>
  </si>
  <si>
    <t xml:space="preserve"> -- 115 kV single circuit</t>
  </si>
  <si>
    <t>line cost</t>
  </si>
  <si>
    <t>city</t>
  </si>
  <si>
    <t>CHSM_6610P_250</t>
  </si>
  <si>
    <t>FS935</t>
  </si>
  <si>
    <t>FS4122_2</t>
  </si>
  <si>
    <t>CS6X_320P</t>
  </si>
  <si>
    <t>pmax</t>
  </si>
  <si>
    <t>storage content</t>
  </si>
  <si>
    <t>MW At Marginal Cost</t>
  </si>
  <si>
    <t xml:space="preserve">On the demand centres sheet, the dr_potential column needs to add to one. Also the dr_potential value for each city needs to be pro-rated by the percentage of load that that city consumes. The fomula in powersystems.py (Load constraints) for the second OPF is scheduled_load(time) - power(time) &gt;= dr_3 (UC dr) *dr_potential for each city. As such if the dr_3*dr_potenail is greater than the scheduled_load value for that city in that hour, then the OPF would have to have a negative power value, which is obviously impossible, and so it fails.  </t>
  </si>
  <si>
    <t>g</t>
  </si>
  <si>
    <t>pmin</t>
  </si>
  <si>
    <t>Imports</t>
  </si>
  <si>
    <t>unpluggedhours</t>
  </si>
  <si>
    <t>tripenergy</t>
  </si>
  <si>
    <t>Wind_1</t>
  </si>
  <si>
    <t>Wind_2</t>
  </si>
  <si>
    <t>Wind_3</t>
  </si>
  <si>
    <t>Wind_4</t>
  </si>
  <si>
    <t>Wind_5</t>
  </si>
  <si>
    <t>Wind_6</t>
  </si>
  <si>
    <t>Wind_7</t>
  </si>
  <si>
    <t>Wind_8</t>
  </si>
  <si>
    <t>Wind_9</t>
  </si>
  <si>
    <t>Murray Corner (NB)</t>
  </si>
  <si>
    <t>West Royalty</t>
  </si>
  <si>
    <t>Sherbrooke</t>
  </si>
  <si>
    <t>Borden-Carleton</t>
  </si>
  <si>
    <t>O'Leary</t>
  </si>
  <si>
    <t>Bedeque</t>
  </si>
  <si>
    <t>Richmond Cove</t>
  </si>
  <si>
    <t>West Cape GS</t>
  </si>
  <si>
    <t>Kings</t>
  </si>
  <si>
    <t>Queens</t>
  </si>
  <si>
    <t>biomass_1</t>
  </si>
  <si>
    <t>diesel_1</t>
  </si>
  <si>
    <t>fuel oil_1</t>
  </si>
  <si>
    <t>fuel oil_2</t>
  </si>
  <si>
    <t>fuel oil_3</t>
  </si>
  <si>
    <t>fuel oil_4</t>
  </si>
  <si>
    <t>Natural gas</t>
  </si>
  <si>
    <t>NG_CC</t>
  </si>
  <si>
    <t>NG_CT</t>
  </si>
  <si>
    <t>NG_CG</t>
  </si>
  <si>
    <t>hydro_hourly</t>
  </si>
  <si>
    <t>hydro_daily</t>
  </si>
  <si>
    <t>hydro_monthly</t>
  </si>
  <si>
    <t>biogas</t>
  </si>
  <si>
    <t>nuclear_1</t>
  </si>
  <si>
    <t>Line_1</t>
  </si>
  <si>
    <t>Line_2</t>
  </si>
  <si>
    <t>Line_3</t>
  </si>
  <si>
    <t>Line_4</t>
  </si>
  <si>
    <t>Line_8</t>
  </si>
  <si>
    <t>Line_9</t>
  </si>
  <si>
    <t>Line_10</t>
  </si>
  <si>
    <t>cascade group name</t>
  </si>
  <si>
    <t>number</t>
  </si>
  <si>
    <t>min storage</t>
  </si>
  <si>
    <t>max storage</t>
  </si>
  <si>
    <t>min water discharge</t>
  </si>
  <si>
    <t>max water discharge</t>
  </si>
  <si>
    <t>h factor</t>
  </si>
  <si>
    <t>Load_1</t>
  </si>
  <si>
    <t>Load_2</t>
  </si>
  <si>
    <t>Load_3</t>
  </si>
  <si>
    <t>Load_4</t>
  </si>
  <si>
    <t>Load_5</t>
  </si>
  <si>
    <t>Load_6</t>
  </si>
  <si>
    <t>Load_7</t>
  </si>
  <si>
    <t>Line_5</t>
  </si>
  <si>
    <t>Line_6</t>
  </si>
  <si>
    <t>Line_7</t>
  </si>
  <si>
    <t>importexport</t>
  </si>
  <si>
    <t>importexport_1</t>
  </si>
  <si>
    <t>12.P</t>
  </si>
  <si>
    <t>323.7P</t>
  </si>
  <si>
    <t>100P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</si>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</sst>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0_-;\-* #,##0.00_-;_-* &quot;-&quot;??_-;_-@_-"/>
    <numFmt numFmtId="165" formatCode="0.000"/>
    <numFmt numFmtId="166" formatCode="0.0"/>
    <numFmt numFmtId="167" formatCode="_-* #,##0_-;\-* #,##0_-;_-* &quot;-&quot;??_-;_-@_-"/>
    <numFmt numFmtId="168" formatCode="#,##0.000000"/>
  </numFmts>
  <fonts count="4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Liberation Sans"/>
    </font>
    <font>
      <sz val="10"/>
      <name val="Arial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9"/>
      <color theme="5" tint="-0.249977111117893"/>
      <name val="Calibri"/>
      <family val="2"/>
      <scheme val="minor"/>
    </font>
    <font>
      <sz val="9"/>
      <color rgb="FF9999FF"/>
      <name val="Calibri"/>
      <family val="2"/>
      <scheme val="minor"/>
    </font>
    <font>
      <sz val="9"/>
      <color rgb="FF00B050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8"/>
      <color rgb="FF9999FF"/>
      <name val="Calibri"/>
      <family val="2"/>
      <scheme val="minor"/>
    </font>
    <font>
      <sz val="8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9"/>
      <color rgb="FF0099CC"/>
      <name val="Calibri"/>
      <family val="2"/>
      <scheme val="minor"/>
    </font>
    <font>
      <sz val="8"/>
      <color rgb="FF0099CC"/>
      <name val="Calibri"/>
      <family val="2"/>
      <scheme val="minor"/>
    </font>
    <font>
      <sz val="9"/>
      <color rgb="FF7030A0"/>
      <name val="Calibri"/>
      <family val="2"/>
      <scheme val="minor"/>
    </font>
    <font>
      <sz val="8"/>
      <color rgb="FF7030A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theme="4"/>
      <name val="Calibri"/>
      <family val="2"/>
    </font>
    <font>
      <b/>
      <sz val="11"/>
      <name val="Calibri"/>
      <family val="2"/>
    </font>
    <font>
      <sz val="11"/>
      <color rgb="FF222222"/>
      <name val="Arial"/>
      <family val="2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CC66"/>
      <name val="Calibri"/>
      <family val="2"/>
      <scheme val="minor"/>
    </font>
    <font>
      <b/>
      <sz val="11"/>
      <color rgb="FF00CC66"/>
      <name val="Calibri"/>
      <family val="2"/>
      <scheme val="minor"/>
    </font>
    <font>
      <sz val="11"/>
      <color rgb="FF00808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9999FF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00FFFF"/>
        <bgColor indexed="64"/>
      </patternFill>
    </fill>
    <fill>
      <patternFill patternType="gray125">
        <fgColor theme="0" tint="-0.14996795556505021"/>
        <bgColor indexed="65"/>
      </patternFill>
    </fill>
    <fill>
      <patternFill patternType="solid">
        <fgColor rgb="FF92D050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2" fillId="0" borderId="0"/>
    <xf numFmtId="0" fontId="3" fillId="0" borderId="0"/>
    <xf numFmtId="9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164" fontId="6" fillId="0" borderId="0" applyFont="0" applyFill="0" applyBorder="0" applyAlignment="0" applyProtection="0"/>
    <xf numFmtId="0" fontId="30" fillId="0" borderId="13">
      <alignment horizontal="center" vertical="center" wrapText="1"/>
    </xf>
    <xf numFmtId="3" fontId="31" fillId="0" borderId="13">
      <alignment horizontal="right" vertical="center"/>
    </xf>
    <xf numFmtId="3" fontId="33" fillId="0" borderId="0">
      <alignment horizontal="right" vertical="center"/>
    </xf>
    <xf numFmtId="0" fontId="31" fillId="0" borderId="0"/>
    <xf numFmtId="1" fontId="36" fillId="0" borderId="13">
      <alignment horizontal="center" vertical="center" wrapText="1"/>
    </xf>
    <xf numFmtId="3" fontId="35" fillId="28" borderId="13">
      <alignment vertical="center"/>
    </xf>
    <xf numFmtId="0" fontId="29" fillId="29" borderId="13" applyNumberFormat="0" applyAlignment="0" applyProtection="0"/>
    <xf numFmtId="10" fontId="32" fillId="0" borderId="13">
      <alignment horizontal="right" vertical="center"/>
    </xf>
    <xf numFmtId="0" fontId="30" fillId="0" borderId="13">
      <alignment horizontal="left" vertical="center" wrapText="1"/>
    </xf>
    <xf numFmtId="3" fontId="34" fillId="0" borderId="0">
      <alignment horizontal="left" vertical="center"/>
    </xf>
    <xf numFmtId="0" fontId="29" fillId="0" borderId="0">
      <alignment vertical="center"/>
    </xf>
    <xf numFmtId="0" fontId="30" fillId="0" borderId="13">
      <alignment horizontal="right" vertical="center" wrapText="1"/>
    </xf>
    <xf numFmtId="168" fontId="31" fillId="0" borderId="13">
      <alignment horizontal="right" vertical="center"/>
    </xf>
    <xf numFmtId="4" fontId="31" fillId="0" borderId="13">
      <alignment horizontal="right" vertical="center"/>
    </xf>
  </cellStyleXfs>
  <cellXfs count="254">
    <xf numFmtId="0" fontId="0" fillId="0" borderId="0" xfId="0"/>
    <xf numFmtId="0" fontId="4" fillId="0" borderId="0" xfId="2" applyFo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2" fontId="0" fillId="0" borderId="0" xfId="0" applyNumberFormat="1"/>
    <xf numFmtId="0" fontId="0" fillId="10" borderId="0" xfId="0" applyFill="1"/>
    <xf numFmtId="0" fontId="0" fillId="11" borderId="0" xfId="0" applyFill="1"/>
    <xf numFmtId="2" fontId="0" fillId="12" borderId="0" xfId="0" applyNumberFormat="1" applyFill="1"/>
    <xf numFmtId="0" fontId="0" fillId="12" borderId="0" xfId="0" applyFill="1"/>
    <xf numFmtId="0" fontId="0" fillId="0" borderId="0" xfId="0" applyBorder="1"/>
    <xf numFmtId="0" fontId="7" fillId="0" borderId="0" xfId="4"/>
    <xf numFmtId="166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13" borderId="0" xfId="0" applyFill="1"/>
    <xf numFmtId="49" fontId="0" fillId="13" borderId="0" xfId="0" applyNumberFormat="1" applyFill="1"/>
    <xf numFmtId="49" fontId="0" fillId="13" borderId="2" xfId="0" applyNumberFormat="1" applyFill="1" applyBorder="1"/>
    <xf numFmtId="49" fontId="0" fillId="13" borderId="0" xfId="0" applyNumberFormat="1" applyFill="1" applyBorder="1"/>
    <xf numFmtId="49" fontId="0" fillId="13" borderId="3" xfId="0" applyNumberFormat="1" applyFill="1" applyBorder="1"/>
    <xf numFmtId="0" fontId="0" fillId="13" borderId="2" xfId="0" applyFill="1" applyBorder="1" applyAlignment="1">
      <alignment horizontal="center"/>
    </xf>
    <xf numFmtId="0" fontId="0" fillId="13" borderId="0" xfId="0" applyNumberFormat="1" applyFill="1"/>
    <xf numFmtId="9" fontId="0" fillId="13" borderId="0" xfId="3" applyFont="1" applyFill="1"/>
    <xf numFmtId="9" fontId="0" fillId="13" borderId="3" xfId="0" applyNumberFormat="1" applyFill="1" applyBorder="1" applyAlignment="1">
      <alignment horizontal="center"/>
    </xf>
    <xf numFmtId="10" fontId="0" fillId="13" borderId="1" xfId="3" applyNumberFormat="1" applyFont="1" applyFill="1" applyBorder="1"/>
    <xf numFmtId="10" fontId="0" fillId="13" borderId="0" xfId="3" applyNumberFormat="1" applyFont="1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166" fontId="0" fillId="2" borderId="0" xfId="0" applyNumberFormat="1" applyFill="1"/>
    <xf numFmtId="0" fontId="9" fillId="0" borderId="0" xfId="0" applyFont="1"/>
    <xf numFmtId="0" fontId="0" fillId="18" borderId="0" xfId="0" applyFill="1"/>
    <xf numFmtId="0" fontId="0" fillId="0" borderId="0" xfId="0" applyAlignment="1"/>
    <xf numFmtId="0" fontId="5" fillId="0" borderId="0" xfId="0" applyFont="1"/>
    <xf numFmtId="0" fontId="0" fillId="19" borderId="0" xfId="0" applyFill="1"/>
    <xf numFmtId="2" fontId="0" fillId="19" borderId="0" xfId="0" applyNumberFormat="1" applyFill="1"/>
    <xf numFmtId="0" fontId="0" fillId="20" borderId="0" xfId="0" applyFill="1"/>
    <xf numFmtId="2" fontId="0" fillId="20" borderId="0" xfId="0" applyNumberFormat="1" applyFill="1"/>
    <xf numFmtId="0" fontId="0" fillId="21" borderId="0" xfId="0" applyFill="1"/>
    <xf numFmtId="2" fontId="0" fillId="21" borderId="0" xfId="0" applyNumberFormat="1" applyFill="1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wrapText="1"/>
    </xf>
    <xf numFmtId="0" fontId="11" fillId="0" borderId="0" xfId="0" applyFont="1"/>
    <xf numFmtId="0" fontId="0" fillId="2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6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9" fillId="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8" borderId="0" xfId="0" applyFill="1" applyAlignment="1">
      <alignment horizontal="center"/>
    </xf>
    <xf numFmtId="2" fontId="0" fillId="5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5" xfId="0" applyBorder="1"/>
    <xf numFmtId="0" fontId="12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0" fillId="0" borderId="8" xfId="0" applyBorder="1"/>
    <xf numFmtId="0" fontId="10" fillId="0" borderId="0" xfId="0" applyFont="1" applyBorder="1" applyAlignment="1">
      <alignment horizontal="center"/>
    </xf>
    <xf numFmtId="2" fontId="0" fillId="0" borderId="0" xfId="5" applyNumberFormat="1" applyFont="1" applyBorder="1" applyAlignment="1">
      <alignment horizontal="center"/>
    </xf>
    <xf numFmtId="2" fontId="0" fillId="0" borderId="9" xfId="5" applyNumberFormat="1" applyFont="1" applyBorder="1" applyAlignment="1">
      <alignment horizontal="center"/>
    </xf>
    <xf numFmtId="0" fontId="0" fillId="0" borderId="11" xfId="0" applyBorder="1"/>
    <xf numFmtId="0" fontId="0" fillId="0" borderId="4" xfId="0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4" fillId="0" borderId="0" xfId="0" applyFont="1" applyBorder="1" applyAlignment="1"/>
    <xf numFmtId="0" fontId="14" fillId="0" borderId="0" xfId="0" applyFont="1" applyBorder="1" applyAlignment="1">
      <alignment wrapText="1"/>
    </xf>
    <xf numFmtId="0" fontId="19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Font="1" applyBorder="1"/>
    <xf numFmtId="166" fontId="0" fillId="0" borderId="0" xfId="0" applyNumberFormat="1" applyFill="1" applyBorder="1" applyAlignment="1">
      <alignment horizontal="center"/>
    </xf>
    <xf numFmtId="165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12" fillId="0" borderId="6" xfId="0" applyFont="1" applyBorder="1" applyAlignment="1">
      <alignment horizontal="center" wrapText="1"/>
    </xf>
    <xf numFmtId="0" fontId="13" fillId="0" borderId="6" xfId="0" applyFont="1" applyBorder="1" applyAlignment="1">
      <alignment horizontal="center" wrapText="1"/>
    </xf>
    <xf numFmtId="0" fontId="0" fillId="24" borderId="0" xfId="0" applyFill="1"/>
    <xf numFmtId="0" fontId="0" fillId="24" borderId="0" xfId="0" applyFill="1" applyAlignment="1">
      <alignment horizontal="center"/>
    </xf>
    <xf numFmtId="0" fontId="0" fillId="23" borderId="0" xfId="0" applyFill="1" applyAlignment="1">
      <alignment wrapText="1"/>
    </xf>
    <xf numFmtId="0" fontId="0" fillId="24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9" fontId="0" fillId="24" borderId="0" xfId="0" applyNumberFormat="1" applyFill="1" applyAlignment="1">
      <alignment horizontal="center"/>
    </xf>
    <xf numFmtId="0" fontId="12" fillId="0" borderId="0" xfId="0" applyFont="1" applyBorder="1" applyAlignment="1">
      <alignment horizontal="center" wrapText="1"/>
    </xf>
    <xf numFmtId="0" fontId="13" fillId="0" borderId="0" xfId="0" applyFont="1" applyBorder="1" applyAlignment="1">
      <alignment horizontal="center" wrapText="1"/>
    </xf>
    <xf numFmtId="0" fontId="24" fillId="0" borderId="0" xfId="0" applyFont="1" applyBorder="1" applyAlignment="1">
      <alignment horizontal="center" wrapText="1"/>
    </xf>
    <xf numFmtId="0" fontId="14" fillId="0" borderId="0" xfId="0" applyFont="1" applyBorder="1" applyAlignment="1">
      <alignment horizontal="center" wrapText="1"/>
    </xf>
    <xf numFmtId="0" fontId="26" fillId="0" borderId="0" xfId="0" applyFont="1" applyBorder="1" applyAlignment="1">
      <alignment horizontal="center" wrapText="1"/>
    </xf>
    <xf numFmtId="0" fontId="26" fillId="0" borderId="9" xfId="0" applyFont="1" applyBorder="1" applyAlignment="1">
      <alignment horizontal="center" wrapText="1"/>
    </xf>
    <xf numFmtId="0" fontId="15" fillId="0" borderId="4" xfId="0" applyFont="1" applyBorder="1" applyAlignment="1">
      <alignment horizontal="center" wrapText="1"/>
    </xf>
    <xf numFmtId="0" fontId="16" fillId="0" borderId="4" xfId="0" applyFont="1" applyBorder="1" applyAlignment="1">
      <alignment horizontal="center" wrapText="1"/>
    </xf>
    <xf numFmtId="0" fontId="25" fillId="0" borderId="4" xfId="0" applyFont="1" applyBorder="1" applyAlignment="1">
      <alignment horizontal="center" wrapText="1"/>
    </xf>
    <xf numFmtId="0" fontId="17" fillId="0" borderId="4" xfId="0" applyFont="1" applyBorder="1" applyAlignment="1">
      <alignment horizontal="center" wrapText="1"/>
    </xf>
    <xf numFmtId="0" fontId="27" fillId="0" borderId="4" xfId="0" applyFont="1" applyBorder="1" applyAlignment="1">
      <alignment horizontal="center" wrapText="1"/>
    </xf>
    <xf numFmtId="0" fontId="27" fillId="0" borderId="10" xfId="0" applyFont="1" applyBorder="1" applyAlignment="1">
      <alignment horizontal="center" wrapText="1"/>
    </xf>
    <xf numFmtId="0" fontId="0" fillId="0" borderId="6" xfId="0" applyBorder="1"/>
    <xf numFmtId="0" fontId="22" fillId="0" borderId="0" xfId="0" applyFont="1" applyBorder="1" applyAlignment="1">
      <alignment horizontal="center" wrapText="1"/>
    </xf>
    <xf numFmtId="0" fontId="23" fillId="0" borderId="4" xfId="0" applyFont="1" applyBorder="1" applyAlignment="1">
      <alignment horizontal="center" wrapText="1"/>
    </xf>
    <xf numFmtId="0" fontId="0" fillId="0" borderId="8" xfId="0" applyBorder="1" applyAlignment="1">
      <alignment horizontal="left"/>
    </xf>
    <xf numFmtId="9" fontId="0" fillId="0" borderId="0" xfId="0" applyNumberFormat="1" applyFill="1"/>
    <xf numFmtId="0" fontId="0" fillId="0" borderId="0" xfId="0" applyFont="1"/>
    <xf numFmtId="9" fontId="0" fillId="0" borderId="0" xfId="0" applyNumberFormat="1"/>
    <xf numFmtId="0" fontId="24" fillId="0" borderId="8" xfId="0" applyFont="1" applyBorder="1" applyAlignment="1">
      <alignment horizontal="center" wrapText="1"/>
    </xf>
    <xf numFmtId="0" fontId="24" fillId="0" borderId="9" xfId="0" applyFont="1" applyBorder="1" applyAlignment="1">
      <alignment horizontal="center" wrapText="1"/>
    </xf>
    <xf numFmtId="0" fontId="25" fillId="0" borderId="11" xfId="0" applyFont="1" applyBorder="1" applyAlignment="1">
      <alignment horizontal="center" wrapText="1"/>
    </xf>
    <xf numFmtId="0" fontId="25" fillId="0" borderId="10" xfId="0" applyFont="1" applyBorder="1" applyAlignment="1">
      <alignment horizontal="center" wrapText="1"/>
    </xf>
    <xf numFmtId="1" fontId="0" fillId="0" borderId="0" xfId="0" applyNumberFormat="1" applyBorder="1" applyAlignment="1">
      <alignment horizontal="center"/>
    </xf>
    <xf numFmtId="1" fontId="0" fillId="0" borderId="0" xfId="5" applyNumberFormat="1" applyFont="1" applyBorder="1" applyAlignment="1">
      <alignment horizontal="center"/>
    </xf>
    <xf numFmtId="164" fontId="0" fillId="0" borderId="0" xfId="5" applyFont="1" applyFill="1"/>
    <xf numFmtId="167" fontId="0" fillId="0" borderId="0" xfId="5" applyNumberFormat="1" applyFont="1" applyFill="1" applyAlignment="1">
      <alignment horizontal="center"/>
    </xf>
    <xf numFmtId="167" fontId="4" fillId="25" borderId="0" xfId="5" applyNumberFormat="1" applyFont="1" applyFill="1" applyAlignment="1">
      <alignment horizontal="center"/>
    </xf>
    <xf numFmtId="0" fontId="0" fillId="25" borderId="0" xfId="0" applyFill="1"/>
    <xf numFmtId="164" fontId="0" fillId="19" borderId="0" xfId="5" applyFont="1" applyFill="1"/>
    <xf numFmtId="167" fontId="0" fillId="0" borderId="9" xfId="5" applyNumberFormat="1" applyFont="1" applyBorder="1" applyAlignment="1">
      <alignment horizontal="center"/>
    </xf>
    <xf numFmtId="167" fontId="0" fillId="0" borderId="0" xfId="5" applyNumberFormat="1" applyFont="1"/>
    <xf numFmtId="9" fontId="0" fillId="0" borderId="0" xfId="3" applyFont="1" applyAlignment="1">
      <alignment horizontal="center"/>
    </xf>
    <xf numFmtId="9" fontId="0" fillId="0" borderId="0" xfId="0" applyNumberFormat="1" applyAlignment="1">
      <alignment horizontal="center"/>
    </xf>
    <xf numFmtId="2" fontId="0" fillId="23" borderId="0" xfId="0" applyNumberFormat="1" applyFill="1"/>
    <xf numFmtId="0" fontId="0" fillId="0" borderId="0" xfId="0" applyBorder="1" applyAlignment="1">
      <alignment horizontal="left"/>
    </xf>
    <xf numFmtId="0" fontId="4" fillId="0" borderId="0" xfId="0" applyFont="1" applyFill="1" applyBorder="1"/>
    <xf numFmtId="0" fontId="0" fillId="26" borderId="0" xfId="0" applyFill="1" applyAlignment="1">
      <alignment horizontal="center"/>
    </xf>
    <xf numFmtId="0" fontId="0" fillId="27" borderId="0" xfId="0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Alignment="1">
      <alignment horizontal="left"/>
    </xf>
    <xf numFmtId="2" fontId="0" fillId="0" borderId="0" xfId="5" applyNumberFormat="1" applyFont="1" applyFill="1" applyBorder="1" applyAlignment="1">
      <alignment horizontal="center"/>
    </xf>
    <xf numFmtId="2" fontId="0" fillId="0" borderId="9" xfId="5" applyNumberFormat="1" applyFont="1" applyFill="1" applyBorder="1" applyAlignment="1">
      <alignment horizontal="center"/>
    </xf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167" fontId="0" fillId="0" borderId="0" xfId="5" applyNumberFormat="1" applyFont="1" applyBorder="1" applyAlignment="1">
      <alignment horizontal="center"/>
    </xf>
    <xf numFmtId="43" fontId="0" fillId="0" borderId="0" xfId="0" applyNumberFormat="1" applyAlignment="1"/>
    <xf numFmtId="0" fontId="9" fillId="0" borderId="0" xfId="0" quotePrefix="1" applyFont="1" applyFill="1" applyAlignment="1">
      <alignment horizontal="left"/>
    </xf>
    <xf numFmtId="166" fontId="9" fillId="0" borderId="0" xfId="0" quotePrefix="1" applyNumberFormat="1" applyFont="1" applyFill="1" applyAlignment="1">
      <alignment horizontal="center"/>
    </xf>
    <xf numFmtId="0" fontId="9" fillId="0" borderId="0" xfId="0" applyFont="1" applyFill="1" applyAlignment="1">
      <alignment horizontal="left"/>
    </xf>
    <xf numFmtId="166" fontId="9" fillId="0" borderId="0" xfId="0" applyNumberFormat="1" applyFont="1" applyFill="1" applyAlignment="1">
      <alignment horizontal="center"/>
    </xf>
    <xf numFmtId="1" fontId="9" fillId="0" borderId="0" xfId="0" applyNumberFormat="1" applyFont="1" applyFill="1" applyAlignment="1">
      <alignment horizontal="center"/>
    </xf>
    <xf numFmtId="0" fontId="9" fillId="0" borderId="0" xfId="0" applyFont="1" applyFill="1"/>
    <xf numFmtId="165" fontId="0" fillId="0" borderId="0" xfId="0" applyNumberFormat="1" applyFill="1" applyAlignment="1">
      <alignment horizontal="left"/>
    </xf>
    <xf numFmtId="165" fontId="0" fillId="0" borderId="0" xfId="0" applyNumberForma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9" fontId="0" fillId="26" borderId="0" xfId="3" applyFont="1" applyFill="1" applyAlignment="1">
      <alignment horizontal="center"/>
    </xf>
    <xf numFmtId="9" fontId="0" fillId="26" borderId="0" xfId="0" applyNumberFormat="1" applyFill="1" applyAlignment="1">
      <alignment horizontal="center"/>
    </xf>
    <xf numFmtId="0" fontId="4" fillId="0" borderId="0" xfId="2" applyFont="1" applyAlignment="1">
      <alignment horizontal="left" vertical="center"/>
    </xf>
    <xf numFmtId="0" fontId="0" fillId="25" borderId="0" xfId="0" applyFill="1" applyAlignment="1"/>
    <xf numFmtId="0" fontId="0" fillId="25" borderId="0" xfId="0" applyFill="1" applyAlignment="1">
      <alignment wrapText="1"/>
    </xf>
    <xf numFmtId="0" fontId="29" fillId="25" borderId="0" xfId="0" applyFont="1" applyFill="1"/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0" fillId="0" borderId="0" xfId="6" applyFont="1" applyFill="1" applyBorder="1">
      <alignment horizontal="center" vertical="center" wrapText="1"/>
    </xf>
    <xf numFmtId="0" fontId="0" fillId="30" borderId="0" xfId="0" applyFill="1" applyBorder="1"/>
    <xf numFmtId="0" fontId="0" fillId="30" borderId="0" xfId="0" applyFill="1" applyBorder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37" fillId="0" borderId="0" xfId="0" applyFont="1" applyFill="1" applyBorder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Fill="1" applyAlignment="1">
      <alignment horizontal="center" vertical="center"/>
    </xf>
    <xf numFmtId="0" fontId="29" fillId="0" borderId="0" xfId="0" applyFont="1" applyFill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40" fillId="0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/>
    <xf numFmtId="0" fontId="0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2" fillId="0" borderId="12" xfId="0" applyFont="1" applyFill="1" applyBorder="1" applyAlignment="1">
      <alignment horizontal="center"/>
    </xf>
    <xf numFmtId="0" fontId="42" fillId="0" borderId="0" xfId="0" applyFont="1" applyFill="1" applyBorder="1" applyAlignment="1">
      <alignment horizontal="center"/>
    </xf>
    <xf numFmtId="0" fontId="42" fillId="0" borderId="12" xfId="0" applyFont="1" applyBorder="1" applyAlignment="1">
      <alignment horizontal="center"/>
    </xf>
    <xf numFmtId="0" fontId="42" fillId="0" borderId="0" xfId="0" applyFont="1" applyBorder="1"/>
    <xf numFmtId="0" fontId="42" fillId="0" borderId="0" xfId="0" applyFont="1" applyBorder="1" applyAlignment="1">
      <alignment horizontal="center"/>
    </xf>
    <xf numFmtId="0" fontId="42" fillId="0" borderId="0" xfId="0" applyFont="1" applyAlignment="1">
      <alignment horizontal="center"/>
    </xf>
    <xf numFmtId="0" fontId="42" fillId="0" borderId="0" xfId="0" applyFont="1" applyFill="1" applyBorder="1" applyAlignment="1">
      <alignment horizontal="left"/>
    </xf>
    <xf numFmtId="0" fontId="42" fillId="0" borderId="0" xfId="0" applyFont="1"/>
    <xf numFmtId="1" fontId="42" fillId="0" borderId="0" xfId="0" applyNumberFormat="1" applyFont="1" applyFill="1" applyBorder="1"/>
    <xf numFmtId="1" fontId="42" fillId="0" borderId="0" xfId="0" applyNumberFormat="1" applyFont="1" applyFill="1" applyBorder="1" applyAlignment="1">
      <alignment horizontal="center"/>
    </xf>
    <xf numFmtId="0" fontId="43" fillId="0" borderId="0" xfId="0" applyFont="1" applyFill="1" applyAlignment="1">
      <alignment horizontal="center" vertical="center" wrapText="1"/>
    </xf>
    <xf numFmtId="0" fontId="42" fillId="0" borderId="0" xfId="0" applyFont="1" applyFill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/>
    </xf>
    <xf numFmtId="0" fontId="42" fillId="0" borderId="0" xfId="0" applyFont="1" applyFill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1" fillId="0" borderId="0" xfId="0" applyFont="1"/>
    <xf numFmtId="0" fontId="40" fillId="0" borderId="0" xfId="0" applyFont="1"/>
    <xf numFmtId="0" fontId="40" fillId="0" borderId="0" xfId="0" applyFont="1" applyAlignment="1">
      <alignment horizontal="right" vertical="center"/>
    </xf>
    <xf numFmtId="9" fontId="40" fillId="0" borderId="0" xfId="3" applyNumberFormat="1" applyFont="1" applyAlignment="1">
      <alignment horizontal="center"/>
    </xf>
    <xf numFmtId="10" fontId="40" fillId="0" borderId="0" xfId="0" applyNumberFormat="1" applyFont="1" applyAlignment="1">
      <alignment horizontal="center"/>
    </xf>
    <xf numFmtId="0" fontId="40" fillId="30" borderId="0" xfId="0" applyFont="1" applyFill="1"/>
    <xf numFmtId="0" fontId="44" fillId="0" borderId="0" xfId="0" applyFont="1" applyAlignment="1">
      <alignment horizontal="center" vertical="center"/>
    </xf>
    <xf numFmtId="0" fontId="44" fillId="0" borderId="0" xfId="0" applyFont="1" applyFill="1" applyAlignment="1">
      <alignment horizontal="center" vertical="center"/>
    </xf>
    <xf numFmtId="0" fontId="40" fillId="22" borderId="0" xfId="0" applyFont="1" applyFill="1" applyAlignment="1">
      <alignment horizontal="center" vertical="center"/>
    </xf>
    <xf numFmtId="9" fontId="40" fillId="0" borderId="0" xfId="3" applyFont="1" applyAlignment="1">
      <alignment horizontal="left"/>
    </xf>
    <xf numFmtId="9" fontId="40" fillId="0" borderId="0" xfId="3" applyFont="1" applyAlignment="1">
      <alignment horizontal="center"/>
    </xf>
    <xf numFmtId="0" fontId="40" fillId="0" borderId="0" xfId="0" applyFont="1" applyAlignment="1">
      <alignment horizontal="center"/>
    </xf>
    <xf numFmtId="0" fontId="14" fillId="0" borderId="0" xfId="0" applyFont="1" applyAlignment="1">
      <alignment wrapText="1"/>
    </xf>
    <xf numFmtId="0" fontId="14" fillId="0" borderId="0" xfId="0" applyFont="1"/>
    <xf numFmtId="0" fontId="45" fillId="0" borderId="0" xfId="0" applyFont="1" applyAlignment="1">
      <alignment vertical="center"/>
    </xf>
    <xf numFmtId="0" fontId="46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40" fillId="0" borderId="9" xfId="0" applyFont="1" applyBorder="1" applyAlignment="1">
      <alignment vertical="center"/>
    </xf>
    <xf numFmtId="0" fontId="45" fillId="0" borderId="4" xfId="0" applyFont="1" applyBorder="1" applyAlignment="1">
      <alignment vertical="center"/>
    </xf>
    <xf numFmtId="0" fontId="46" fillId="0" borderId="4" xfId="0" applyFont="1" applyBorder="1" applyAlignment="1">
      <alignment vertical="center"/>
    </xf>
    <xf numFmtId="0" fontId="40" fillId="0" borderId="4" xfId="0" applyFont="1" applyBorder="1" applyAlignment="1">
      <alignment vertical="center"/>
    </xf>
    <xf numFmtId="0" fontId="40" fillId="0" borderId="10" xfId="0" applyFont="1" applyBorder="1" applyAlignment="1">
      <alignment vertical="center"/>
    </xf>
    <xf numFmtId="0" fontId="10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9" fillId="0" borderId="0" xfId="0" applyFont="1" applyFill="1" applyAlignment="1">
      <alignment horizontal="center" vertical="center" wrapText="1"/>
    </xf>
    <xf numFmtId="0" fontId="45" fillId="0" borderId="6" xfId="0" applyFont="1" applyBorder="1" applyAlignment="1">
      <alignment horizontal="center" vertical="center" wrapText="1"/>
    </xf>
    <xf numFmtId="0" fontId="46" fillId="0" borderId="6" xfId="0" applyFont="1" applyBorder="1" applyAlignment="1">
      <alignment horizontal="center" vertical="center" wrapText="1"/>
    </xf>
    <xf numFmtId="0" fontId="40" fillId="0" borderId="6" xfId="0" applyFont="1" applyBorder="1" applyAlignment="1">
      <alignment horizontal="center" vertical="center"/>
    </xf>
    <xf numFmtId="0" fontId="40" fillId="0" borderId="7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wrapText="1"/>
    </xf>
    <xf numFmtId="0" fontId="13" fillId="0" borderId="6" xfId="0" applyFont="1" applyBorder="1" applyAlignment="1">
      <alignment horizontal="center" wrapText="1"/>
    </xf>
    <xf numFmtId="0" fontId="14" fillId="0" borderId="6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26" fillId="0" borderId="6" xfId="0" applyFont="1" applyBorder="1" applyAlignment="1">
      <alignment horizontal="center" wrapText="1"/>
    </xf>
    <xf numFmtId="0" fontId="26" fillId="0" borderId="7" xfId="0" applyFont="1" applyBorder="1" applyAlignment="1">
      <alignment horizontal="center" wrapText="1"/>
    </xf>
    <xf numFmtId="0" fontId="14" fillId="0" borderId="0" xfId="0" applyFont="1" applyBorder="1" applyAlignment="1">
      <alignment horizontal="center" wrapText="1"/>
    </xf>
    <xf numFmtId="0" fontId="24" fillId="0" borderId="5" xfId="0" applyFont="1" applyBorder="1" applyAlignment="1">
      <alignment horizontal="center"/>
    </xf>
    <xf numFmtId="0" fontId="24" fillId="0" borderId="6" xfId="0" applyFont="1" applyBorder="1" applyAlignment="1">
      <alignment horizontal="center"/>
    </xf>
    <xf numFmtId="0" fontId="24" fillId="0" borderId="7" xfId="0" applyFont="1" applyBorder="1" applyAlignment="1">
      <alignment horizontal="center"/>
    </xf>
    <xf numFmtId="3" fontId="39" fillId="0" borderId="0" xfId="0" applyNumberFormat="1" applyFont="1" applyFill="1" applyBorder="1" applyAlignment="1">
      <alignment horizontal="center" vertical="center" wrapText="1"/>
    </xf>
    <xf numFmtId="0" fontId="39" fillId="0" borderId="0" xfId="0" applyFont="1" applyFill="1" applyBorder="1" applyAlignment="1">
      <alignment horizontal="center" vertical="center" wrapText="1"/>
    </xf>
    <xf numFmtId="3" fontId="0" fillId="0" borderId="0" xfId="0" applyNumberFormat="1" applyFill="1" applyBorder="1"/>
  </cellXfs>
  <cellStyles count="20">
    <cellStyle name="Check Cell 2" xfId="12" xr:uid="{00000000-0005-0000-0000-000000000000}"/>
    <cellStyle name="Comma" xfId="5" builtinId="3"/>
    <cellStyle name="Decimal-2" xfId="19" xr:uid="{00000000-0005-0000-0000-000002000000}"/>
    <cellStyle name="Decimal-6" xfId="18" xr:uid="{00000000-0005-0000-0000-000003000000}"/>
    <cellStyle name="Estimated" xfId="11" xr:uid="{00000000-0005-0000-0000-000004000000}"/>
    <cellStyle name="Hyperlink" xfId="4" builtinId="8"/>
    <cellStyle name="Normal" xfId="0" builtinId="0"/>
    <cellStyle name="Normal 2" xfId="1" xr:uid="{00000000-0005-0000-0000-000007000000}"/>
    <cellStyle name="Normal 2 2" xfId="9" xr:uid="{00000000-0005-0000-0000-000008000000}"/>
    <cellStyle name="Normal 3" xfId="2" xr:uid="{00000000-0005-0000-0000-000009000000}"/>
    <cellStyle name="Normal 3 2" xfId="10" xr:uid="{00000000-0005-0000-0000-00000A000000}"/>
    <cellStyle name="Normal 4" xfId="8" xr:uid="{00000000-0005-0000-0000-00000B000000}"/>
    <cellStyle name="Number" xfId="7" xr:uid="{00000000-0005-0000-0000-00000C000000}"/>
    <cellStyle name="Percent" xfId="3" builtinId="5"/>
    <cellStyle name="Percent 2" xfId="13" xr:uid="{00000000-0005-0000-0000-00000E000000}"/>
    <cellStyle name="Sub-title" xfId="16" xr:uid="{00000000-0005-0000-0000-00000F000000}"/>
    <cellStyle name="Text Centre" xfId="6" xr:uid="{00000000-0005-0000-0000-000010000000}"/>
    <cellStyle name="Text Left" xfId="14" xr:uid="{00000000-0005-0000-0000-000011000000}"/>
    <cellStyle name="Text Right" xfId="17" xr:uid="{00000000-0005-0000-0000-000012000000}"/>
    <cellStyle name="Title 2" xfId="15" xr:uid="{00000000-0005-0000-0000-000013000000}"/>
  </cellStyles>
  <dxfs count="0"/>
  <tableStyles count="0" defaultTableStyle="TableStyleMedium2" defaultPivotStyle="PivotStyleLight16"/>
  <colors>
    <mruColors>
      <color rgb="FF00FFFF"/>
      <color rgb="FF008080"/>
      <color rgb="FF00CC66"/>
      <color rgb="FFFF99FF"/>
      <color rgb="FFCC00CC"/>
      <color rgb="FF99FF99"/>
      <color rgb="FF800000"/>
      <color rgb="FF006666"/>
      <color rgb="FF009999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hmad/DOCUME~1/MobaXterm/slash/RemoteFiles/1443830_3_14/model%20inputs%20-%20A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e independent"/>
      <sheetName val="modeled attributes"/>
      <sheetName val="modeled attributes _original"/>
      <sheetName val="scenario analysis"/>
      <sheetName val="vre plants"/>
      <sheetName val="non-vre plants"/>
      <sheetName val="storage"/>
      <sheetName val="EV_aggregator"/>
      <sheetName val="demand response"/>
      <sheetName val="demand centres"/>
      <sheetName val="existing transmission"/>
      <sheetName val="excel input instructions"/>
      <sheetName val="lists"/>
      <sheetName val="Sheet1"/>
    </sheetNames>
    <sheetDataSet>
      <sheetData sheetId="0">
        <row r="5">
          <cell r="A5" t="str">
            <v>coal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3">
          <cell r="B3" t="str">
            <v>Wind</v>
          </cell>
          <cell r="C3" t="str">
            <v>Solar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tc.ca/Routes/General_Information/General_Information.jsp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A1:Z138"/>
  <sheetViews>
    <sheetView zoomScale="70" zoomScaleNormal="7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I21" sqref="I21"/>
    </sheetView>
  </sheetViews>
  <sheetFormatPr defaultRowHeight="15"/>
  <cols>
    <col min="1" max="1" width="33.140625" bestFit="1" customWidth="1"/>
    <col min="2" max="2" width="15" customWidth="1"/>
    <col min="3" max="3" width="14.140625" customWidth="1"/>
    <col min="4" max="4" width="13.85546875" customWidth="1"/>
    <col min="5" max="5" width="15.28515625" bestFit="1" customWidth="1"/>
    <col min="6" max="6" width="15.5703125" customWidth="1"/>
    <col min="7" max="7" width="15.85546875" customWidth="1"/>
    <col min="8" max="8" width="16.140625" bestFit="1" customWidth="1"/>
    <col min="9" max="9" width="14.42578125" bestFit="1" customWidth="1"/>
    <col min="10" max="10" width="15.42578125" bestFit="1" customWidth="1"/>
    <col min="11" max="11" width="14.42578125" bestFit="1" customWidth="1"/>
    <col min="12" max="16" width="14.42578125" customWidth="1"/>
    <col min="17" max="17" width="9.140625" customWidth="1"/>
    <col min="18" max="18" width="9.7109375" customWidth="1"/>
    <col min="19" max="19" width="7.42578125" customWidth="1"/>
    <col min="20" max="20" width="14.42578125" customWidth="1"/>
    <col min="21" max="21" width="11.7109375" customWidth="1"/>
    <col min="22" max="24" width="14.42578125" customWidth="1"/>
    <col min="25" max="25" width="16.140625" bestFit="1" customWidth="1"/>
  </cols>
  <sheetData>
    <row r="1" spans="1:26">
      <c r="A1" t="s">
        <v>0</v>
      </c>
      <c r="B1" s="55">
        <v>0</v>
      </c>
      <c r="C1" s="55">
        <v>1</v>
      </c>
      <c r="D1" s="55">
        <v>2</v>
      </c>
      <c r="E1" s="55">
        <v>3</v>
      </c>
      <c r="F1" s="55">
        <v>4</v>
      </c>
      <c r="G1" s="55">
        <v>5</v>
      </c>
      <c r="H1" s="55">
        <v>6</v>
      </c>
      <c r="I1" s="55">
        <v>7</v>
      </c>
      <c r="J1" s="55">
        <v>8</v>
      </c>
      <c r="K1" s="55">
        <v>9</v>
      </c>
      <c r="L1" s="55">
        <v>10</v>
      </c>
      <c r="M1" s="55">
        <v>11</v>
      </c>
      <c r="N1" s="55">
        <v>12</v>
      </c>
      <c r="O1" s="55">
        <v>13</v>
      </c>
      <c r="Y1" t="s">
        <v>35</v>
      </c>
    </row>
    <row r="2" spans="1:26" s="56" customFormat="1" ht="15" customHeight="1">
      <c r="I2" s="56" t="s">
        <v>41</v>
      </c>
      <c r="M2" s="56" t="s">
        <v>215</v>
      </c>
      <c r="P2" s="102" t="s">
        <v>318</v>
      </c>
      <c r="Q2" s="102"/>
      <c r="R2" s="102"/>
      <c r="S2" s="102"/>
      <c r="T2" s="102"/>
      <c r="U2" s="102"/>
      <c r="V2" s="103"/>
      <c r="W2" s="105"/>
      <c r="X2" s="105"/>
    </row>
    <row r="3" spans="1:26" s="56" customFormat="1" ht="60">
      <c r="A3" s="104" t="s">
        <v>15</v>
      </c>
      <c r="B3" s="56" t="s">
        <v>11</v>
      </c>
      <c r="C3" s="56" t="s">
        <v>12</v>
      </c>
      <c r="D3" s="56" t="s">
        <v>33</v>
      </c>
      <c r="E3" s="56" t="s">
        <v>213</v>
      </c>
      <c r="F3" s="56" t="s">
        <v>212</v>
      </c>
      <c r="G3" s="56" t="s">
        <v>6</v>
      </c>
      <c r="H3" s="56" t="s">
        <v>7</v>
      </c>
      <c r="I3" s="56" t="s">
        <v>36</v>
      </c>
      <c r="J3" s="56" t="s">
        <v>37</v>
      </c>
      <c r="K3" s="56" t="s">
        <v>38</v>
      </c>
      <c r="L3" s="56" t="s">
        <v>45</v>
      </c>
      <c r="M3" s="56" t="s">
        <v>36</v>
      </c>
      <c r="N3" s="56" t="s">
        <v>37</v>
      </c>
      <c r="O3" s="56" t="s">
        <v>38</v>
      </c>
      <c r="P3" s="102" t="s">
        <v>301</v>
      </c>
      <c r="Q3" s="102" t="s">
        <v>319</v>
      </c>
      <c r="R3" s="102" t="s">
        <v>320</v>
      </c>
      <c r="S3" s="102" t="s">
        <v>309</v>
      </c>
      <c r="T3" s="102" t="s">
        <v>327</v>
      </c>
      <c r="U3" s="102" t="s">
        <v>328</v>
      </c>
      <c r="V3" s="103" t="s">
        <v>355</v>
      </c>
      <c r="W3" s="105" t="s">
        <v>354</v>
      </c>
      <c r="X3" s="105" t="s">
        <v>364</v>
      </c>
    </row>
    <row r="4" spans="1:26" ht="45">
      <c r="B4" t="s">
        <v>14</v>
      </c>
      <c r="C4" t="s">
        <v>14</v>
      </c>
      <c r="D4" t="s">
        <v>14</v>
      </c>
      <c r="E4" t="s">
        <v>14</v>
      </c>
      <c r="F4" t="s">
        <v>14</v>
      </c>
      <c r="H4" t="s">
        <v>22</v>
      </c>
      <c r="I4" t="s">
        <v>21</v>
      </c>
      <c r="L4" t="s">
        <v>42</v>
      </c>
      <c r="M4" t="s">
        <v>218</v>
      </c>
      <c r="P4" t="s">
        <v>321</v>
      </c>
      <c r="Q4" t="s">
        <v>316</v>
      </c>
      <c r="R4" t="s">
        <v>316</v>
      </c>
      <c r="V4" s="103" t="s">
        <v>341</v>
      </c>
      <c r="W4" s="105" t="s">
        <v>341</v>
      </c>
      <c r="X4" s="105" t="s">
        <v>365</v>
      </c>
    </row>
    <row r="5" spans="1:26">
      <c r="A5" t="s">
        <v>20</v>
      </c>
      <c r="B5" s="58">
        <v>60</v>
      </c>
      <c r="C5" s="58">
        <v>4.2</v>
      </c>
      <c r="D5" s="58">
        <v>30.3</v>
      </c>
      <c r="E5" s="58">
        <v>1.2</v>
      </c>
      <c r="F5" s="58">
        <v>95.6</v>
      </c>
      <c r="G5" s="59">
        <f>3412/10459</f>
        <v>0.32622621665551199</v>
      </c>
      <c r="H5" s="60">
        <v>820</v>
      </c>
      <c r="I5" s="61">
        <v>3</v>
      </c>
      <c r="J5" s="61">
        <v>6.5</v>
      </c>
      <c r="K5" s="61">
        <v>10</v>
      </c>
      <c r="L5" s="62">
        <v>2</v>
      </c>
      <c r="M5" s="63">
        <v>59</v>
      </c>
      <c r="N5" s="63">
        <v>65</v>
      </c>
      <c r="O5" s="63">
        <v>105</v>
      </c>
      <c r="P5" s="64">
        <v>10000</v>
      </c>
      <c r="Q5" s="64">
        <v>3</v>
      </c>
      <c r="R5" s="64">
        <v>3</v>
      </c>
      <c r="S5" s="64">
        <v>0</v>
      </c>
      <c r="T5" s="64"/>
      <c r="U5" s="64"/>
      <c r="V5" s="101">
        <v>0.53</v>
      </c>
      <c r="W5" s="97">
        <v>1</v>
      </c>
      <c r="X5" s="134">
        <v>2917</v>
      </c>
      <c r="Y5" s="3" t="s">
        <v>28</v>
      </c>
    </row>
    <row r="6" spans="1:26">
      <c r="A6" t="s">
        <v>440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64">
        <f>P5</f>
        <v>10000</v>
      </c>
      <c r="Q6" s="64">
        <v>4</v>
      </c>
      <c r="R6" s="64">
        <v>3</v>
      </c>
      <c r="S6" s="64">
        <v>0</v>
      </c>
      <c r="T6" s="64"/>
      <c r="U6" s="64"/>
      <c r="V6" s="101"/>
      <c r="W6" s="97">
        <v>1</v>
      </c>
      <c r="X6" s="134"/>
      <c r="Y6" s="5" t="s">
        <v>29</v>
      </c>
    </row>
    <row r="7" spans="1:26">
      <c r="A7" t="s">
        <v>441</v>
      </c>
      <c r="B7" s="58">
        <v>14.3</v>
      </c>
      <c r="C7" s="58">
        <v>1.7</v>
      </c>
      <c r="D7" s="58">
        <v>49.1</v>
      </c>
      <c r="E7" s="58">
        <v>1.2</v>
      </c>
      <c r="F7" s="58">
        <v>66.3</v>
      </c>
      <c r="G7" s="65">
        <v>0.55000000000000004</v>
      </c>
      <c r="H7" s="60">
        <v>490</v>
      </c>
      <c r="I7" s="61">
        <v>1</v>
      </c>
      <c r="J7" s="61">
        <v>2</v>
      </c>
      <c r="K7" s="61">
        <v>4</v>
      </c>
      <c r="L7" s="62">
        <v>5</v>
      </c>
      <c r="M7" s="63">
        <v>35</v>
      </c>
      <c r="N7" s="63">
        <v>55</v>
      </c>
      <c r="O7" s="63">
        <v>79</v>
      </c>
      <c r="P7" s="64">
        <f t="shared" ref="P7:P19" si="0">P6</f>
        <v>10000</v>
      </c>
      <c r="Q7" s="64">
        <v>4</v>
      </c>
      <c r="R7" s="64">
        <v>3</v>
      </c>
      <c r="S7" s="64">
        <v>0</v>
      </c>
      <c r="T7" s="64"/>
      <c r="U7" s="64"/>
      <c r="V7" s="101">
        <v>0.53</v>
      </c>
      <c r="W7" s="97">
        <v>1</v>
      </c>
      <c r="X7" s="134">
        <v>671</v>
      </c>
      <c r="Z7" s="4" t="s">
        <v>30</v>
      </c>
    </row>
    <row r="8" spans="1:26">
      <c r="A8" t="s">
        <v>442</v>
      </c>
      <c r="B8" s="58">
        <v>40.200000000000003</v>
      </c>
      <c r="C8" s="58">
        <v>2.8</v>
      </c>
      <c r="D8" s="58">
        <v>82</v>
      </c>
      <c r="E8" s="58">
        <v>3.4</v>
      </c>
      <c r="F8" s="58">
        <v>128.4</v>
      </c>
      <c r="G8" s="65">
        <v>0.35</v>
      </c>
      <c r="H8" s="66">
        <v>530</v>
      </c>
      <c r="I8" s="61">
        <v>0.5</v>
      </c>
      <c r="J8" s="61">
        <v>0.5</v>
      </c>
      <c r="K8" s="61">
        <v>0.5</v>
      </c>
      <c r="L8" s="62">
        <v>8</v>
      </c>
      <c r="M8" s="63">
        <v>32</v>
      </c>
      <c r="N8" s="63">
        <v>126</v>
      </c>
      <c r="O8" s="63">
        <v>103</v>
      </c>
      <c r="P8" s="64">
        <f t="shared" si="0"/>
        <v>10000</v>
      </c>
      <c r="Q8" s="64">
        <v>4</v>
      </c>
      <c r="R8" s="64">
        <v>3</v>
      </c>
      <c r="S8" s="64">
        <v>0</v>
      </c>
      <c r="T8" s="64"/>
      <c r="U8" s="64"/>
      <c r="V8" s="101">
        <v>1</v>
      </c>
      <c r="W8" s="97">
        <v>1</v>
      </c>
      <c r="X8" s="134">
        <v>968</v>
      </c>
      <c r="Z8" s="6" t="s">
        <v>31</v>
      </c>
    </row>
    <row r="9" spans="1:26">
      <c r="A9" t="s">
        <v>443</v>
      </c>
      <c r="B9" s="58">
        <v>40.200000000000003</v>
      </c>
      <c r="C9" s="58">
        <v>2.8</v>
      </c>
      <c r="D9" s="58">
        <v>82</v>
      </c>
      <c r="E9" s="58">
        <v>3.4</v>
      </c>
      <c r="F9" s="58">
        <v>128.4</v>
      </c>
      <c r="G9" s="65">
        <v>0.35</v>
      </c>
      <c r="H9" s="66">
        <v>530</v>
      </c>
      <c r="I9" s="61">
        <v>0.5</v>
      </c>
      <c r="J9" s="61">
        <v>0.5</v>
      </c>
      <c r="K9" s="61">
        <v>0.5</v>
      </c>
      <c r="L9" s="62">
        <v>8</v>
      </c>
      <c r="M9" s="63">
        <v>32</v>
      </c>
      <c r="N9" s="63">
        <v>126</v>
      </c>
      <c r="O9" s="63">
        <v>103</v>
      </c>
      <c r="P9" s="64">
        <f t="shared" si="0"/>
        <v>10000</v>
      </c>
      <c r="Q9" s="64">
        <v>4</v>
      </c>
      <c r="R9" s="64">
        <v>3</v>
      </c>
      <c r="S9" s="64">
        <v>0</v>
      </c>
      <c r="T9" s="64"/>
      <c r="U9" s="64"/>
      <c r="V9" s="101">
        <v>1</v>
      </c>
      <c r="W9" s="97">
        <v>1</v>
      </c>
      <c r="X9" s="134">
        <v>968</v>
      </c>
      <c r="Z9" s="6"/>
    </row>
    <row r="10" spans="1:26">
      <c r="A10" t="s">
        <v>209</v>
      </c>
      <c r="B10" s="52">
        <v>8</v>
      </c>
      <c r="C10" s="52">
        <v>2</v>
      </c>
      <c r="D10" s="52">
        <v>288</v>
      </c>
      <c r="E10" s="52"/>
      <c r="F10" s="52"/>
      <c r="G10" s="59">
        <f>3412/10713</f>
        <v>0.31849155231961168</v>
      </c>
      <c r="H10" s="67">
        <v>733</v>
      </c>
      <c r="I10" s="52"/>
      <c r="J10" s="52"/>
      <c r="K10" s="52"/>
      <c r="L10" s="52"/>
      <c r="M10" s="52"/>
      <c r="N10" s="52"/>
      <c r="O10" s="52">
        <v>10000000</v>
      </c>
      <c r="P10" s="64">
        <f>P8</f>
        <v>10000</v>
      </c>
      <c r="Q10" s="64"/>
      <c r="R10" s="64"/>
      <c r="S10" s="64">
        <v>0</v>
      </c>
      <c r="T10" s="64"/>
      <c r="U10" s="64"/>
      <c r="V10" s="101">
        <v>0.86</v>
      </c>
      <c r="W10" s="97">
        <v>1</v>
      </c>
      <c r="X10" s="134"/>
    </row>
    <row r="11" spans="1:26">
      <c r="A11" t="s">
        <v>230</v>
      </c>
      <c r="B11" s="52">
        <v>8</v>
      </c>
      <c r="C11" s="52">
        <v>2</v>
      </c>
      <c r="D11" s="52">
        <f>0.6*D10</f>
        <v>172.79999999999998</v>
      </c>
      <c r="E11" s="52"/>
      <c r="F11" s="52"/>
      <c r="G11" s="59">
        <f>3412/10713</f>
        <v>0.31849155231961168</v>
      </c>
      <c r="H11" s="67">
        <v>733</v>
      </c>
      <c r="I11" s="52"/>
      <c r="J11" s="52"/>
      <c r="K11" s="52"/>
      <c r="L11" s="52"/>
      <c r="M11" s="52"/>
      <c r="N11" s="52"/>
      <c r="O11" s="52">
        <v>10000000</v>
      </c>
      <c r="P11" s="64">
        <f t="shared" si="0"/>
        <v>10000</v>
      </c>
      <c r="Q11" s="64"/>
      <c r="R11" s="64"/>
      <c r="S11" s="64">
        <v>0</v>
      </c>
      <c r="T11" s="64"/>
      <c r="U11" s="64"/>
      <c r="V11" s="101">
        <v>0.86</v>
      </c>
      <c r="W11" s="97">
        <v>1</v>
      </c>
      <c r="X11" s="134"/>
    </row>
    <row r="12" spans="1:26">
      <c r="A12" t="s">
        <v>1</v>
      </c>
      <c r="B12" s="58">
        <v>71.400000000000006</v>
      </c>
      <c r="C12" s="58">
        <v>11.8</v>
      </c>
      <c r="D12" s="58">
        <v>11.8</v>
      </c>
      <c r="E12" s="58">
        <v>1.1000000000000001</v>
      </c>
      <c r="F12" s="58">
        <v>96.1</v>
      </c>
      <c r="G12" s="59">
        <f>3412/10449</f>
        <v>0.32653842472963918</v>
      </c>
      <c r="H12" s="60">
        <v>12</v>
      </c>
      <c r="I12" s="68">
        <v>1</v>
      </c>
      <c r="J12" s="52"/>
      <c r="K12" s="68">
        <v>13</v>
      </c>
      <c r="L12" s="62">
        <v>5</v>
      </c>
      <c r="M12" s="52"/>
      <c r="N12" s="52"/>
      <c r="O12" s="52">
        <v>500</v>
      </c>
      <c r="P12" s="64">
        <f t="shared" si="0"/>
        <v>10000</v>
      </c>
      <c r="Q12" s="64">
        <v>10</v>
      </c>
      <c r="R12" s="64">
        <v>3</v>
      </c>
      <c r="S12" s="64">
        <v>0</v>
      </c>
      <c r="T12" s="64"/>
      <c r="U12" s="64"/>
      <c r="V12" s="101">
        <v>0.2</v>
      </c>
      <c r="W12" s="97">
        <v>1</v>
      </c>
      <c r="X12" s="134">
        <v>5366</v>
      </c>
      <c r="Y12" s="8" t="s">
        <v>32</v>
      </c>
    </row>
    <row r="13" spans="1:26">
      <c r="A13" t="s">
        <v>2</v>
      </c>
      <c r="B13" s="58">
        <v>72</v>
      </c>
      <c r="C13" s="58">
        <v>4.0999999999999996</v>
      </c>
      <c r="D13" s="58">
        <v>6.4</v>
      </c>
      <c r="E13" s="58">
        <v>2</v>
      </c>
      <c r="F13" s="58">
        <v>84.5</v>
      </c>
      <c r="G13" s="69">
        <v>0.9</v>
      </c>
      <c r="H13" s="60">
        <v>24</v>
      </c>
      <c r="I13" s="52"/>
      <c r="P13" s="64">
        <f t="shared" si="0"/>
        <v>10000</v>
      </c>
      <c r="V13" s="101">
        <v>0.66</v>
      </c>
      <c r="W13" s="97">
        <v>1</v>
      </c>
      <c r="X13" s="134">
        <v>2651</v>
      </c>
      <c r="Y13" s="7" t="s">
        <v>34</v>
      </c>
    </row>
    <row r="14" spans="1:26">
      <c r="A14" t="s">
        <v>444</v>
      </c>
      <c r="B14" s="58">
        <v>72</v>
      </c>
      <c r="C14" s="58">
        <v>4.0999999999999996</v>
      </c>
      <c r="D14" s="58">
        <v>6.4</v>
      </c>
      <c r="E14" s="58">
        <v>2</v>
      </c>
      <c r="F14" s="58">
        <v>84.5</v>
      </c>
      <c r="G14" s="69">
        <v>0.9</v>
      </c>
      <c r="H14" s="60">
        <v>24</v>
      </c>
      <c r="I14" s="52"/>
      <c r="P14" s="64">
        <f t="shared" si="0"/>
        <v>10000</v>
      </c>
      <c r="V14" s="101">
        <v>0.66</v>
      </c>
      <c r="W14" s="97">
        <v>1</v>
      </c>
      <c r="X14" s="134">
        <v>2651</v>
      </c>
      <c r="Y14" s="7"/>
    </row>
    <row r="15" spans="1:26">
      <c r="A15" t="s">
        <v>445</v>
      </c>
      <c r="B15" s="58">
        <v>72</v>
      </c>
      <c r="C15" s="58">
        <v>4.0999999999999996</v>
      </c>
      <c r="D15" s="58">
        <v>6.4</v>
      </c>
      <c r="E15" s="58">
        <v>2</v>
      </c>
      <c r="F15" s="58">
        <v>84.5</v>
      </c>
      <c r="G15" s="69">
        <v>0.9</v>
      </c>
      <c r="H15" s="60">
        <v>24</v>
      </c>
      <c r="I15" s="52"/>
      <c r="P15" s="64">
        <f t="shared" si="0"/>
        <v>10000</v>
      </c>
      <c r="V15" s="101">
        <v>0.66</v>
      </c>
      <c r="W15" s="97">
        <v>1</v>
      </c>
      <c r="X15" s="134">
        <v>2651</v>
      </c>
      <c r="Y15" s="7"/>
    </row>
    <row r="16" spans="1:26">
      <c r="A16" t="s">
        <v>446</v>
      </c>
      <c r="B16" s="58">
        <v>72</v>
      </c>
      <c r="C16" s="58">
        <v>4.0999999999999996</v>
      </c>
      <c r="D16" s="58">
        <v>6.4</v>
      </c>
      <c r="E16" s="58">
        <v>2</v>
      </c>
      <c r="F16" s="58">
        <v>84.5</v>
      </c>
      <c r="G16" s="69">
        <v>0.9</v>
      </c>
      <c r="H16" s="60">
        <v>24</v>
      </c>
      <c r="I16" s="52"/>
      <c r="P16" s="64">
        <f t="shared" si="0"/>
        <v>10000</v>
      </c>
      <c r="V16" s="101">
        <v>0.66</v>
      </c>
      <c r="W16" s="97">
        <v>1</v>
      </c>
      <c r="X16" s="134">
        <v>2651</v>
      </c>
      <c r="Y16" s="7"/>
    </row>
    <row r="17" spans="1:25">
      <c r="A17" t="s">
        <v>9</v>
      </c>
      <c r="B17" s="58">
        <v>34.200000000000003</v>
      </c>
      <c r="C17" s="58">
        <v>12.2</v>
      </c>
      <c r="D17" s="58">
        <v>0</v>
      </c>
      <c r="E17" s="58">
        <v>1.4</v>
      </c>
      <c r="F17" s="58">
        <v>47.9</v>
      </c>
      <c r="G17" s="69">
        <v>0.16</v>
      </c>
      <c r="H17" s="60">
        <v>38</v>
      </c>
      <c r="I17" s="52"/>
      <c r="P17" s="64">
        <f>P13</f>
        <v>10000</v>
      </c>
      <c r="V17" s="101">
        <v>0.32</v>
      </c>
      <c r="W17" s="97">
        <v>1</v>
      </c>
      <c r="X17" s="134">
        <v>2448</v>
      </c>
      <c r="Y17" s="9" t="s">
        <v>39</v>
      </c>
    </row>
    <row r="18" spans="1:25">
      <c r="A18" t="s">
        <v>10</v>
      </c>
      <c r="B18" s="58">
        <v>47.4</v>
      </c>
      <c r="C18" s="58">
        <v>14.5</v>
      </c>
      <c r="D18" s="58">
        <v>39.5</v>
      </c>
      <c r="E18" s="58">
        <v>1.2</v>
      </c>
      <c r="F18" s="58">
        <v>102.6</v>
      </c>
      <c r="G18" s="70">
        <v>0.23</v>
      </c>
      <c r="H18" s="60">
        <v>230</v>
      </c>
      <c r="I18" s="52"/>
      <c r="P18" s="64">
        <f t="shared" si="0"/>
        <v>10000</v>
      </c>
      <c r="V18" s="101">
        <v>0.53</v>
      </c>
      <c r="W18" s="97">
        <v>1</v>
      </c>
      <c r="X18" s="134">
        <v>3659</v>
      </c>
      <c r="Y18" s="10" t="s">
        <v>40</v>
      </c>
    </row>
    <row r="19" spans="1:25" ht="15" customHeight="1">
      <c r="A19" t="s">
        <v>447</v>
      </c>
      <c r="B19" s="58">
        <v>47.4</v>
      </c>
      <c r="C19" s="58">
        <v>14.5</v>
      </c>
      <c r="D19" s="58">
        <v>39.5</v>
      </c>
      <c r="E19" s="58">
        <v>1.2</v>
      </c>
      <c r="F19" s="58">
        <v>102.6</v>
      </c>
      <c r="G19" s="70">
        <v>0.23</v>
      </c>
      <c r="H19" s="60">
        <v>230</v>
      </c>
      <c r="I19" s="52"/>
      <c r="P19" s="64">
        <f t="shared" si="0"/>
        <v>10000</v>
      </c>
      <c r="V19" s="101">
        <v>0.53</v>
      </c>
      <c r="W19" s="97">
        <v>1</v>
      </c>
      <c r="X19" s="134">
        <v>3659</v>
      </c>
      <c r="Y19" s="11" t="s">
        <v>43</v>
      </c>
    </row>
    <row r="20" spans="1:25">
      <c r="A20" s="2" t="s">
        <v>3</v>
      </c>
      <c r="B20" s="42" t="s">
        <v>11</v>
      </c>
      <c r="C20" t="s">
        <v>12</v>
      </c>
      <c r="D20" s="42" t="s">
        <v>33</v>
      </c>
      <c r="E20" s="42" t="s">
        <v>213</v>
      </c>
      <c r="F20" s="42" t="s">
        <v>212</v>
      </c>
      <c r="G20" t="s">
        <v>6</v>
      </c>
      <c r="W20" s="5"/>
      <c r="X20" s="134"/>
      <c r="Y20" s="13" t="s">
        <v>217</v>
      </c>
    </row>
    <row r="21" spans="1:25"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23</v>
      </c>
      <c r="W21" s="5"/>
      <c r="X21" s="134"/>
      <c r="Y21" s="41" t="s">
        <v>216</v>
      </c>
    </row>
    <row r="22" spans="1:25">
      <c r="A22" t="s">
        <v>4</v>
      </c>
      <c r="B22" s="3">
        <v>64.099999999999994</v>
      </c>
      <c r="C22" s="3">
        <v>13</v>
      </c>
      <c r="D22" s="3">
        <v>0</v>
      </c>
      <c r="E22" s="3">
        <v>3.2</v>
      </c>
      <c r="F22" s="3">
        <v>80.3</v>
      </c>
      <c r="L22" t="b">
        <f>ISBLANK(L6)</f>
        <v>1</v>
      </c>
      <c r="V22" s="97"/>
      <c r="W22" s="106">
        <v>0.2</v>
      </c>
      <c r="X22" s="134">
        <v>19.8</v>
      </c>
    </row>
    <row r="23" spans="1:25">
      <c r="A23" t="s">
        <v>13</v>
      </c>
      <c r="B23" s="3">
        <v>175.4</v>
      </c>
      <c r="C23" s="3">
        <v>22.8</v>
      </c>
      <c r="D23" s="3">
        <v>0</v>
      </c>
      <c r="E23" s="3">
        <v>5.8</v>
      </c>
      <c r="F23" s="3">
        <v>204.1</v>
      </c>
      <c r="V23" s="97"/>
      <c r="W23" s="101"/>
      <c r="X23" s="134">
        <v>6154</v>
      </c>
      <c r="Y23" s="40" t="s">
        <v>214</v>
      </c>
    </row>
    <row r="24" spans="1:25">
      <c r="A24" t="s">
        <v>16</v>
      </c>
      <c r="B24" s="3">
        <v>114.5</v>
      </c>
      <c r="C24" s="3">
        <v>11.4</v>
      </c>
      <c r="D24" s="3">
        <v>0</v>
      </c>
      <c r="E24" s="3">
        <v>4.0999999999999996</v>
      </c>
      <c r="F24" s="3">
        <v>130</v>
      </c>
      <c r="V24" s="97"/>
      <c r="W24" s="106">
        <v>0.6</v>
      </c>
      <c r="X24" s="134">
        <v>3279</v>
      </c>
      <c r="Y24" t="s">
        <v>221</v>
      </c>
    </row>
    <row r="25" spans="1:25">
      <c r="A25" t="s">
        <v>17</v>
      </c>
      <c r="B25" s="3">
        <v>195</v>
      </c>
      <c r="C25" s="3">
        <v>42.1</v>
      </c>
      <c r="D25" s="3">
        <v>0</v>
      </c>
      <c r="E25" s="39">
        <v>6</v>
      </c>
      <c r="F25" s="3">
        <v>243.1</v>
      </c>
      <c r="V25" s="97"/>
      <c r="W25" s="101"/>
      <c r="X25" s="134">
        <v>4052</v>
      </c>
    </row>
    <row r="26" spans="1:25">
      <c r="V26" s="52"/>
      <c r="W26" s="97"/>
      <c r="X26" s="133"/>
      <c r="Y26" t="s">
        <v>255</v>
      </c>
    </row>
    <row r="27" spans="1:25">
      <c r="A27" s="2" t="s">
        <v>5</v>
      </c>
      <c r="V27" s="52"/>
      <c r="W27" s="5"/>
      <c r="X27" s="5"/>
      <c r="Y27" t="s">
        <v>256</v>
      </c>
    </row>
    <row r="28" spans="1:25">
      <c r="V28" s="52"/>
      <c r="W28" s="5"/>
      <c r="X28" s="5"/>
      <c r="Y28" s="14" t="s">
        <v>254</v>
      </c>
    </row>
    <row r="29" spans="1:25">
      <c r="A29" s="43" t="s">
        <v>8</v>
      </c>
      <c r="B29" t="s">
        <v>239</v>
      </c>
      <c r="C29" t="s">
        <v>240</v>
      </c>
      <c r="D29" t="s">
        <v>241</v>
      </c>
      <c r="E29" t="s">
        <v>6</v>
      </c>
      <c r="F29" t="s">
        <v>246</v>
      </c>
      <c r="H29" t="s">
        <v>247</v>
      </c>
      <c r="J29" t="s">
        <v>92</v>
      </c>
      <c r="K29" t="s">
        <v>248</v>
      </c>
      <c r="V29" s="52"/>
      <c r="W29" s="5"/>
      <c r="X29" s="5"/>
    </row>
    <row r="30" spans="1:25">
      <c r="B30" t="s">
        <v>243</v>
      </c>
      <c r="C30" t="s">
        <v>252</v>
      </c>
      <c r="D30" t="s">
        <v>242</v>
      </c>
      <c r="E30" t="s">
        <v>44</v>
      </c>
      <c r="F30" t="s">
        <v>244</v>
      </c>
      <c r="G30" t="s">
        <v>245</v>
      </c>
      <c r="H30" t="s">
        <v>244</v>
      </c>
      <c r="I30" t="s">
        <v>245</v>
      </c>
      <c r="J30" t="s">
        <v>249</v>
      </c>
      <c r="K30" t="s">
        <v>249</v>
      </c>
      <c r="V30" s="52"/>
      <c r="W30" s="5"/>
      <c r="X30" s="132"/>
      <c r="Y30" s="44" t="s">
        <v>250</v>
      </c>
    </row>
    <row r="31" spans="1:25">
      <c r="A31" t="s">
        <v>227</v>
      </c>
      <c r="B31" s="44">
        <f>AVERAGE(1000, 4000)</f>
        <v>2500</v>
      </c>
      <c r="C31" s="44">
        <f>AVERAGE(100, 250)</f>
        <v>175</v>
      </c>
      <c r="D31" s="44">
        <v>5</v>
      </c>
      <c r="E31" s="45">
        <v>0.85</v>
      </c>
      <c r="F31" s="44">
        <v>200</v>
      </c>
      <c r="G31" s="46">
        <v>5000</v>
      </c>
      <c r="J31" s="44">
        <f>AVERAGE(5000, 4000000)</f>
        <v>2002500</v>
      </c>
      <c r="K31" s="44">
        <f>AVERAGE(5000, 4000000)</f>
        <v>2002500</v>
      </c>
      <c r="V31" s="101">
        <v>1</v>
      </c>
      <c r="W31" s="123">
        <v>0.5</v>
      </c>
      <c r="X31" s="136">
        <v>1000</v>
      </c>
      <c r="Y31" s="46" t="s">
        <v>251</v>
      </c>
    </row>
    <row r="32" spans="1:25">
      <c r="A32" t="s">
        <v>228</v>
      </c>
      <c r="B32" s="44">
        <f>AVERAGE(800, 1000)</f>
        <v>900</v>
      </c>
      <c r="C32" s="44">
        <f>AVERAGE(50, 150)</f>
        <v>100</v>
      </c>
      <c r="D32" s="44">
        <v>5</v>
      </c>
      <c r="E32" s="45">
        <v>0.6</v>
      </c>
      <c r="F32" s="46">
        <v>3</v>
      </c>
      <c r="G32" s="46">
        <v>400</v>
      </c>
      <c r="J32" s="44">
        <f>AVERAGE(50000, 300000)</f>
        <v>175000</v>
      </c>
      <c r="K32" s="44">
        <f>AVERAGE(100000, 500000)</f>
        <v>300000</v>
      </c>
      <c r="V32" s="101">
        <v>1</v>
      </c>
      <c r="W32" s="123">
        <v>0.5</v>
      </c>
      <c r="X32" s="136">
        <v>650</v>
      </c>
      <c r="Y32" s="48" t="s">
        <v>253</v>
      </c>
    </row>
    <row r="33" spans="1:25">
      <c r="A33" t="s">
        <v>231</v>
      </c>
      <c r="B33" s="44">
        <f>AVERAGE(2000, 4000)</f>
        <v>3000</v>
      </c>
      <c r="C33" s="44">
        <f>AVERAGE(1500, 3000)</f>
        <v>2250</v>
      </c>
      <c r="D33" s="44">
        <v>15</v>
      </c>
      <c r="E33" s="45">
        <v>0.95</v>
      </c>
      <c r="F33" s="44">
        <v>0.1</v>
      </c>
      <c r="G33" s="44">
        <v>200</v>
      </c>
      <c r="H33" s="44">
        <v>1</v>
      </c>
      <c r="I33" s="44">
        <v>25</v>
      </c>
      <c r="J33" s="44">
        <f>AVERAGE(100, 300)</f>
        <v>200</v>
      </c>
      <c r="K33" s="44">
        <f>AVERAGE(100, 300)</f>
        <v>200</v>
      </c>
      <c r="V33" s="52"/>
      <c r="W33" s="5"/>
      <c r="X33" s="136"/>
      <c r="Y33" s="100" t="s">
        <v>340</v>
      </c>
    </row>
    <row r="34" spans="1:25">
      <c r="A34" t="s">
        <v>229</v>
      </c>
      <c r="E34" s="12"/>
      <c r="V34" s="101">
        <v>1</v>
      </c>
      <c r="W34" s="123">
        <v>0.5</v>
      </c>
      <c r="X34" s="136">
        <v>1500</v>
      </c>
      <c r="Y34" s="135" t="s">
        <v>366</v>
      </c>
    </row>
    <row r="35" spans="1:25">
      <c r="A35" t="s">
        <v>277</v>
      </c>
      <c r="B35" s="44">
        <f>AVERAGE(300, 800)</f>
        <v>550</v>
      </c>
      <c r="C35" s="44">
        <f>AVERAGE(150, 500)</f>
        <v>325</v>
      </c>
      <c r="D35" s="44">
        <v>30</v>
      </c>
      <c r="E35" s="45">
        <v>0.9</v>
      </c>
      <c r="F35" s="44">
        <v>0</v>
      </c>
      <c r="G35" s="44">
        <v>10</v>
      </c>
      <c r="H35" s="44">
        <v>0.5</v>
      </c>
      <c r="I35" s="44">
        <v>10</v>
      </c>
      <c r="J35" s="44">
        <f>AVERAGE(0.1, 1.5)</f>
        <v>0.8</v>
      </c>
      <c r="K35" s="44">
        <f>AVERAGE(0.5, 2)</f>
        <v>1.25</v>
      </c>
      <c r="W35" s="5"/>
      <c r="X35" s="132"/>
      <c r="Y35" s="44" t="s">
        <v>367</v>
      </c>
    </row>
    <row r="36" spans="1:25">
      <c r="A36" t="s">
        <v>278</v>
      </c>
      <c r="B36" s="46">
        <f>AVERAGE(500, 1500)</f>
        <v>1000</v>
      </c>
      <c r="C36" s="46">
        <f>AVERAGE(800, 1500)</f>
        <v>1150</v>
      </c>
      <c r="E36" s="47">
        <v>0.65</v>
      </c>
      <c r="F36" s="46">
        <v>0</v>
      </c>
      <c r="G36" s="46">
        <v>40</v>
      </c>
    </row>
    <row r="37" spans="1:25">
      <c r="A37" t="s">
        <v>279</v>
      </c>
      <c r="B37" s="44">
        <f>AVERAGE(1000, 2000)</f>
        <v>1500</v>
      </c>
      <c r="C37" s="44">
        <f>AVERAGE(125, 250)</f>
        <v>187.5</v>
      </c>
      <c r="D37" s="44">
        <v>15</v>
      </c>
      <c r="E37" s="45">
        <v>0.9</v>
      </c>
      <c r="F37" s="46">
        <v>0.05</v>
      </c>
      <c r="G37" s="46">
        <v>8</v>
      </c>
      <c r="I37" s="5"/>
      <c r="J37" s="44">
        <v>50</v>
      </c>
      <c r="K37" s="44">
        <v>50</v>
      </c>
    </row>
    <row r="38" spans="1:25">
      <c r="A38" t="s">
        <v>280</v>
      </c>
      <c r="B38" s="44">
        <f>AVERAGE(400, 1000)</f>
        <v>700</v>
      </c>
      <c r="C38" s="44">
        <f>AVERAGE(500, 1500)</f>
        <v>1000</v>
      </c>
      <c r="D38" s="44">
        <v>25</v>
      </c>
      <c r="E38" s="45">
        <v>0.95</v>
      </c>
      <c r="F38" s="44">
        <v>0</v>
      </c>
      <c r="G38" s="44">
        <v>10</v>
      </c>
      <c r="H38" s="44">
        <v>0.5</v>
      </c>
      <c r="I38" s="44">
        <v>10</v>
      </c>
      <c r="J38" s="44">
        <f>AVERAGE(0.2, 2)</f>
        <v>1.1000000000000001</v>
      </c>
      <c r="K38" s="44">
        <f>AVERAGE(0.5, 10)</f>
        <v>5.25</v>
      </c>
    </row>
    <row r="39" spans="1:25">
      <c r="A39" t="s">
        <v>234</v>
      </c>
      <c r="B39" s="48">
        <f>AVERAGE(1000, 4000)</f>
        <v>2500</v>
      </c>
      <c r="C39" s="48">
        <f>AVERAGE(350, 800)</f>
        <v>575</v>
      </c>
      <c r="E39" s="49">
        <v>0.85</v>
      </c>
      <c r="F39">
        <v>0.05</v>
      </c>
      <c r="G39">
        <v>10</v>
      </c>
      <c r="H39">
        <v>20</v>
      </c>
      <c r="I39">
        <v>50</v>
      </c>
    </row>
    <row r="40" spans="1:25">
      <c r="A40" t="s">
        <v>232</v>
      </c>
      <c r="B40" s="46">
        <f>AVERAGE(500, 1500)</f>
        <v>1000</v>
      </c>
      <c r="C40" s="46">
        <f>AVERAGE(10, 20)</f>
        <v>15</v>
      </c>
      <c r="E40" s="47">
        <v>0.5</v>
      </c>
      <c r="F40" s="44">
        <v>0.1</v>
      </c>
      <c r="G40" s="44">
        <v>10</v>
      </c>
      <c r="J40" s="44">
        <f>AVERAGE(0.01, 5)</f>
        <v>2.5049999999999999</v>
      </c>
    </row>
    <row r="41" spans="1:25">
      <c r="A41" t="s">
        <v>236</v>
      </c>
      <c r="B41" s="44">
        <f>AVERAGE(1200, 2000)</f>
        <v>1600</v>
      </c>
      <c r="C41" s="44">
        <f>AVERAGE(350, 800)</f>
        <v>575</v>
      </c>
      <c r="D41" s="44">
        <v>30</v>
      </c>
      <c r="E41" s="45">
        <v>0.85</v>
      </c>
      <c r="F41" s="44">
        <v>2.5000000000000001E-2</v>
      </c>
      <c r="G41" s="44">
        <v>10</v>
      </c>
      <c r="H41" s="44">
        <v>20</v>
      </c>
      <c r="I41" s="44">
        <v>50</v>
      </c>
      <c r="J41" s="44">
        <f>AVERAGE(5, 20)</f>
        <v>12.5</v>
      </c>
      <c r="K41" s="44">
        <f>AVERAGE(5, 25)</f>
        <v>15</v>
      </c>
    </row>
    <row r="42" spans="1:25">
      <c r="A42" t="s">
        <v>237</v>
      </c>
      <c r="B42" s="46">
        <v>400</v>
      </c>
      <c r="C42" s="46">
        <v>1000</v>
      </c>
      <c r="E42" s="47">
        <v>0.65</v>
      </c>
      <c r="F42">
        <v>0</v>
      </c>
      <c r="G42" s="46">
        <v>0.05</v>
      </c>
    </row>
    <row r="43" spans="1:25">
      <c r="A43" t="s">
        <v>238</v>
      </c>
      <c r="B43" s="46">
        <v>300</v>
      </c>
      <c r="C43" s="46">
        <v>2000</v>
      </c>
      <c r="E43" s="47">
        <v>0.95</v>
      </c>
      <c r="F43" s="5">
        <v>0</v>
      </c>
      <c r="G43" s="46">
        <v>0.3</v>
      </c>
    </row>
    <row r="44" spans="1:25">
      <c r="A44" t="s">
        <v>235</v>
      </c>
      <c r="B44" s="46">
        <v>300</v>
      </c>
      <c r="C44" s="46">
        <v>10000</v>
      </c>
      <c r="E44" s="49">
        <v>0.95</v>
      </c>
      <c r="F44" s="46">
        <v>0.1</v>
      </c>
      <c r="G44" s="46">
        <v>10</v>
      </c>
    </row>
    <row r="45" spans="1:25">
      <c r="A45" t="s">
        <v>233</v>
      </c>
      <c r="B45" s="46">
        <f>AVERAGE(200, 300)</f>
        <v>250</v>
      </c>
      <c r="C45" s="46">
        <f>AVERAGE(3, 50)</f>
        <v>26.5</v>
      </c>
      <c r="E45" s="47">
        <v>0.6</v>
      </c>
      <c r="F45" s="46">
        <v>0</v>
      </c>
      <c r="G45" s="46">
        <v>300</v>
      </c>
    </row>
    <row r="46" spans="1:25">
      <c r="B46" s="46"/>
      <c r="C46" s="46"/>
      <c r="E46" s="47"/>
      <c r="F46" s="46"/>
      <c r="G46" s="46"/>
    </row>
    <row r="47" spans="1:25">
      <c r="A47" s="43" t="s">
        <v>81</v>
      </c>
      <c r="B47" s="46"/>
      <c r="C47" s="46"/>
      <c r="E47" s="47"/>
      <c r="F47" s="46"/>
      <c r="G47" s="46"/>
    </row>
    <row r="48" spans="1:25">
      <c r="A48" s="124" t="s">
        <v>283</v>
      </c>
      <c r="B48" s="46"/>
      <c r="C48" s="46"/>
      <c r="E48" s="47">
        <v>0.9</v>
      </c>
      <c r="F48" s="46"/>
      <c r="G48" s="46"/>
      <c r="V48">
        <v>1</v>
      </c>
      <c r="W48" s="125">
        <v>0.5</v>
      </c>
      <c r="X48" s="125"/>
    </row>
    <row r="50" spans="1:25">
      <c r="A50" s="43" t="s">
        <v>144</v>
      </c>
    </row>
    <row r="51" spans="1:25">
      <c r="F51" t="s">
        <v>200</v>
      </c>
      <c r="G51" s="22" t="s">
        <v>184</v>
      </c>
      <c r="H51" s="22" t="s">
        <v>164</v>
      </c>
      <c r="I51" s="23" t="s">
        <v>186</v>
      </c>
      <c r="J51" s="22"/>
      <c r="K51" s="22"/>
      <c r="Y51" t="s">
        <v>179</v>
      </c>
    </row>
    <row r="52" spans="1:25" ht="15.75" thickBot="1">
      <c r="A52" t="s">
        <v>145</v>
      </c>
      <c r="D52" t="s">
        <v>149</v>
      </c>
      <c r="G52" s="22"/>
      <c r="H52" s="22"/>
      <c r="I52" s="22"/>
      <c r="J52" s="22"/>
      <c r="K52" s="22"/>
    </row>
    <row r="53" spans="1:25">
      <c r="A53" t="s">
        <v>146</v>
      </c>
      <c r="D53" t="s">
        <v>150</v>
      </c>
      <c r="F53" s="21" t="s">
        <v>162</v>
      </c>
      <c r="G53" s="23" t="s">
        <v>165</v>
      </c>
      <c r="H53" s="23" t="s">
        <v>166</v>
      </c>
      <c r="I53" s="23" t="s">
        <v>188</v>
      </c>
      <c r="J53" s="24" t="s">
        <v>192</v>
      </c>
      <c r="K53" s="25" t="s">
        <v>197</v>
      </c>
    </row>
    <row r="54" spans="1:25" ht="15.75" thickBot="1">
      <c r="D54" t="s">
        <v>151</v>
      </c>
      <c r="F54" s="21" t="s">
        <v>167</v>
      </c>
      <c r="G54" s="23" t="s">
        <v>168</v>
      </c>
      <c r="H54" s="23" t="s">
        <v>169</v>
      </c>
      <c r="I54" s="23" t="s">
        <v>410</v>
      </c>
      <c r="J54" s="26" t="s">
        <v>193</v>
      </c>
      <c r="K54" s="25" t="s">
        <v>198</v>
      </c>
    </row>
    <row r="55" spans="1:25" ht="15.75" thickBot="1">
      <c r="A55" t="s">
        <v>147</v>
      </c>
      <c r="D55" t="s">
        <v>152</v>
      </c>
      <c r="F55" s="21"/>
      <c r="G55" s="23"/>
      <c r="H55" s="23"/>
      <c r="I55" s="22"/>
      <c r="J55" s="22"/>
      <c r="K55" s="22"/>
    </row>
    <row r="56" spans="1:25">
      <c r="A56" t="s">
        <v>148</v>
      </c>
      <c r="D56" t="s">
        <v>150</v>
      </c>
      <c r="F56" s="21" t="s">
        <v>170</v>
      </c>
      <c r="G56" s="23" t="s">
        <v>171</v>
      </c>
      <c r="H56" s="23" t="s">
        <v>172</v>
      </c>
      <c r="I56" s="23" t="s">
        <v>189</v>
      </c>
      <c r="J56" s="24" t="s">
        <v>194</v>
      </c>
      <c r="K56" s="22"/>
    </row>
    <row r="57" spans="1:25" ht="15.75" thickBot="1">
      <c r="D57" t="s">
        <v>151</v>
      </c>
      <c r="F57" s="21" t="s">
        <v>173</v>
      </c>
      <c r="G57" s="23" t="s">
        <v>174</v>
      </c>
      <c r="H57" s="23" t="s">
        <v>175</v>
      </c>
      <c r="I57" s="23" t="s">
        <v>190</v>
      </c>
      <c r="J57" s="26" t="s">
        <v>195</v>
      </c>
      <c r="K57" s="22"/>
    </row>
    <row r="58" spans="1:25">
      <c r="A58" t="s">
        <v>161</v>
      </c>
      <c r="D58" t="s">
        <v>153</v>
      </c>
      <c r="F58" s="21" t="s">
        <v>176</v>
      </c>
      <c r="G58" s="23" t="s">
        <v>177</v>
      </c>
      <c r="H58" s="23" t="s">
        <v>172</v>
      </c>
      <c r="I58" s="23" t="s">
        <v>191</v>
      </c>
      <c r="J58" s="22"/>
      <c r="K58" s="23" t="s">
        <v>199</v>
      </c>
    </row>
    <row r="59" spans="1:25" ht="15.75" thickBot="1">
      <c r="F59" s="21"/>
      <c r="G59" s="23"/>
      <c r="H59" s="23"/>
      <c r="I59" s="22"/>
      <c r="J59" s="22"/>
      <c r="K59" s="22"/>
    </row>
    <row r="60" spans="1:25">
      <c r="A60" t="s">
        <v>183</v>
      </c>
      <c r="D60" t="s">
        <v>154</v>
      </c>
      <c r="F60" t="s">
        <v>163</v>
      </c>
      <c r="G60" s="23" t="s">
        <v>178</v>
      </c>
      <c r="H60" s="23" t="s">
        <v>186</v>
      </c>
      <c r="I60" s="27" t="s">
        <v>185</v>
      </c>
      <c r="J60" s="22"/>
      <c r="K60" s="22" t="s">
        <v>196</v>
      </c>
    </row>
    <row r="61" spans="1:25" ht="15.75" thickBot="1">
      <c r="A61" t="s">
        <v>180</v>
      </c>
      <c r="D61" t="s">
        <v>155</v>
      </c>
      <c r="F61" s="20">
        <v>100</v>
      </c>
      <c r="G61" s="28">
        <v>10</v>
      </c>
      <c r="H61" s="29">
        <f>F61%*G61%</f>
        <v>0.1</v>
      </c>
      <c r="I61" s="30">
        <f>AVERAGE(H61:H63)</f>
        <v>0.06</v>
      </c>
      <c r="J61" s="22"/>
      <c r="K61" s="22"/>
    </row>
    <row r="62" spans="1:25">
      <c r="A62" t="s">
        <v>181</v>
      </c>
      <c r="D62" t="s">
        <v>156</v>
      </c>
      <c r="F62" s="20">
        <v>3</v>
      </c>
      <c r="G62" s="28">
        <v>100</v>
      </c>
      <c r="H62" s="29">
        <f>F62%*G62%</f>
        <v>0.03</v>
      </c>
      <c r="I62" s="22"/>
      <c r="J62" s="23"/>
      <c r="K62" s="22"/>
    </row>
    <row r="63" spans="1:25">
      <c r="A63" t="s">
        <v>182</v>
      </c>
      <c r="D63" t="s">
        <v>157</v>
      </c>
      <c r="F63" s="20">
        <v>5</v>
      </c>
      <c r="G63" s="28">
        <v>100</v>
      </c>
      <c r="H63" s="29">
        <f>F63%*G63%</f>
        <v>0.05</v>
      </c>
      <c r="I63" s="22"/>
      <c r="J63" s="22"/>
      <c r="K63" s="22"/>
    </row>
    <row r="64" spans="1:25" ht="15.75" thickBot="1">
      <c r="A64" t="s">
        <v>187</v>
      </c>
      <c r="D64" t="s">
        <v>158</v>
      </c>
      <c r="F64" s="21"/>
      <c r="G64" s="23"/>
      <c r="H64" s="29"/>
      <c r="I64" s="22"/>
      <c r="J64" s="22"/>
      <c r="K64" s="22"/>
    </row>
    <row r="65" spans="1:25" ht="15.75" thickBot="1">
      <c r="D65" t="s">
        <v>159</v>
      </c>
      <c r="F65" s="20">
        <v>5</v>
      </c>
      <c r="G65" s="28">
        <v>25</v>
      </c>
      <c r="H65" s="31">
        <f>F65%*G65%</f>
        <v>1.2500000000000001E-2</v>
      </c>
      <c r="I65" s="22"/>
      <c r="J65" s="22"/>
      <c r="K65" s="22"/>
    </row>
    <row r="66" spans="1:25">
      <c r="D66" t="s">
        <v>160</v>
      </c>
      <c r="F66" s="20">
        <v>5</v>
      </c>
      <c r="G66" s="28">
        <v>25</v>
      </c>
      <c r="H66" s="32">
        <f>F66%*G66%</f>
        <v>1.2500000000000001E-2</v>
      </c>
      <c r="I66" s="22"/>
      <c r="J66" s="22"/>
      <c r="K66" s="22"/>
    </row>
    <row r="68" spans="1:25">
      <c r="A68" s="43" t="s">
        <v>24</v>
      </c>
    </row>
    <row r="69" spans="1:25">
      <c r="B69" t="s">
        <v>48</v>
      </c>
    </row>
    <row r="70" spans="1:25">
      <c r="A70" t="s">
        <v>47</v>
      </c>
      <c r="B70" s="14">
        <v>8.9999999999999993E-3</v>
      </c>
      <c r="Y70" s="14" t="s">
        <v>50</v>
      </c>
    </row>
    <row r="72" spans="1:25">
      <c r="C72" t="s">
        <v>57</v>
      </c>
    </row>
    <row r="73" spans="1:25">
      <c r="A73" t="s">
        <v>46</v>
      </c>
      <c r="B73" t="s">
        <v>49</v>
      </c>
      <c r="C73" t="s">
        <v>59</v>
      </c>
    </row>
    <row r="74" spans="1:25">
      <c r="A74" t="s">
        <v>399</v>
      </c>
      <c r="B74" s="141">
        <f>B76</f>
        <v>596331.41536281956</v>
      </c>
      <c r="Y74" s="16" t="s">
        <v>58</v>
      </c>
    </row>
    <row r="75" spans="1:25">
      <c r="A75" t="s">
        <v>397</v>
      </c>
      <c r="B75" s="141">
        <f>B77</f>
        <v>954677.07258876308</v>
      </c>
    </row>
    <row r="76" spans="1:25">
      <c r="A76" t="s">
        <v>51</v>
      </c>
      <c r="B76" s="15">
        <f>959700/1.60934</f>
        <v>596331.41536281956</v>
      </c>
    </row>
    <row r="77" spans="1:25">
      <c r="A77" t="s">
        <v>52</v>
      </c>
      <c r="B77" s="15">
        <f>1536400/1.60934</f>
        <v>954677.07258876308</v>
      </c>
    </row>
    <row r="78" spans="1:25">
      <c r="A78" t="s">
        <v>53</v>
      </c>
      <c r="B78" s="15">
        <f>1919450/1.60934</f>
        <v>1192693.8993624717</v>
      </c>
    </row>
    <row r="79" spans="1:25">
      <c r="A79" t="s">
        <v>54</v>
      </c>
      <c r="B79" s="15">
        <f>3071750/1.60934</f>
        <v>1908701.7038040438</v>
      </c>
    </row>
    <row r="80" spans="1:25">
      <c r="A80" t="s">
        <v>55</v>
      </c>
      <c r="B80" s="15">
        <f>1536400/1.60934</f>
        <v>954677.07258876308</v>
      </c>
    </row>
    <row r="81" spans="1:25">
      <c r="A81" t="s">
        <v>56</v>
      </c>
      <c r="B81" s="15">
        <f>1613200/1.60934</f>
        <v>1002398.4987634682</v>
      </c>
    </row>
    <row r="83" spans="1:25">
      <c r="A83" s="43" t="s">
        <v>18</v>
      </c>
      <c r="B83" t="s">
        <v>219</v>
      </c>
    </row>
    <row r="85" spans="1:25">
      <c r="A85" s="43" t="s">
        <v>19</v>
      </c>
      <c r="B85" t="s">
        <v>220</v>
      </c>
    </row>
    <row r="87" spans="1:25">
      <c r="A87" s="43" t="s">
        <v>81</v>
      </c>
    </row>
    <row r="89" spans="1:25">
      <c r="A89" t="s">
        <v>26</v>
      </c>
      <c r="B89" t="s">
        <v>88</v>
      </c>
      <c r="C89" t="s">
        <v>115</v>
      </c>
      <c r="D89" t="s">
        <v>90</v>
      </c>
      <c r="E89" t="s">
        <v>91</v>
      </c>
      <c r="F89" t="s">
        <v>121</v>
      </c>
      <c r="G89" t="s">
        <v>95</v>
      </c>
      <c r="H89" t="s">
        <v>96</v>
      </c>
      <c r="Y89" t="s">
        <v>124</v>
      </c>
    </row>
    <row r="90" spans="1:25">
      <c r="A90" t="s">
        <v>93</v>
      </c>
      <c r="B90">
        <v>43300</v>
      </c>
      <c r="C90">
        <v>7500</v>
      </c>
      <c r="D90" t="s">
        <v>94</v>
      </c>
      <c r="E90">
        <v>4</v>
      </c>
      <c r="F90" s="12">
        <f>81*1.60934</f>
        <v>130.35654</v>
      </c>
      <c r="G90">
        <v>22</v>
      </c>
      <c r="H90">
        <v>6.6</v>
      </c>
    </row>
    <row r="91" spans="1:25">
      <c r="A91" t="s">
        <v>97</v>
      </c>
      <c r="B91">
        <v>26000</v>
      </c>
      <c r="C91">
        <v>7500</v>
      </c>
      <c r="D91" t="s">
        <v>98</v>
      </c>
      <c r="E91">
        <v>4</v>
      </c>
      <c r="F91" s="12">
        <f>82*1.60934</f>
        <v>131.96588</v>
      </c>
      <c r="G91">
        <v>19</v>
      </c>
      <c r="H91">
        <v>3.3</v>
      </c>
    </row>
    <row r="92" spans="1:25">
      <c r="A92" t="s">
        <v>99</v>
      </c>
      <c r="B92">
        <v>32600</v>
      </c>
      <c r="C92">
        <v>7500</v>
      </c>
      <c r="D92" t="s">
        <v>94</v>
      </c>
      <c r="E92">
        <v>4</v>
      </c>
      <c r="F92" s="12">
        <f>87*1.60934</f>
        <v>140.01257999999999</v>
      </c>
      <c r="G92">
        <v>24</v>
      </c>
      <c r="H92">
        <v>6.6</v>
      </c>
    </row>
    <row r="93" spans="1:25">
      <c r="A93" t="s">
        <v>101</v>
      </c>
      <c r="B93">
        <v>30000</v>
      </c>
      <c r="C93">
        <v>7500</v>
      </c>
      <c r="D93" t="s">
        <v>94</v>
      </c>
      <c r="E93">
        <v>5</v>
      </c>
      <c r="F93" s="12">
        <f>76*1.60934</f>
        <v>122.30983999999999</v>
      </c>
      <c r="G93">
        <v>23</v>
      </c>
      <c r="H93">
        <v>6.6</v>
      </c>
    </row>
    <row r="94" spans="1:25">
      <c r="A94" t="s">
        <v>102</v>
      </c>
      <c r="B94">
        <v>34500</v>
      </c>
      <c r="C94">
        <v>7500</v>
      </c>
      <c r="D94" t="s">
        <v>94</v>
      </c>
      <c r="E94">
        <v>5</v>
      </c>
      <c r="F94" s="12">
        <f>93*1.60934</f>
        <v>149.66862</v>
      </c>
      <c r="G94">
        <v>27</v>
      </c>
      <c r="H94">
        <v>6.6</v>
      </c>
    </row>
    <row r="95" spans="1:25">
      <c r="A95" t="s">
        <v>103</v>
      </c>
      <c r="B95">
        <v>42400</v>
      </c>
      <c r="C95">
        <v>7500</v>
      </c>
      <c r="D95" t="s">
        <v>94</v>
      </c>
      <c r="E95">
        <v>5</v>
      </c>
      <c r="F95" s="12">
        <f>85*1.60934</f>
        <v>136.79390000000001</v>
      </c>
      <c r="G95">
        <v>28</v>
      </c>
      <c r="H95" s="19">
        <v>10</v>
      </c>
    </row>
    <row r="96" spans="1:25">
      <c r="A96" t="s">
        <v>104</v>
      </c>
      <c r="B96">
        <v>23800</v>
      </c>
      <c r="C96">
        <v>7500</v>
      </c>
      <c r="D96" t="s">
        <v>94</v>
      </c>
      <c r="E96">
        <v>4</v>
      </c>
      <c r="F96" s="12">
        <f>62*1.60934</f>
        <v>99.779079999999993</v>
      </c>
      <c r="G96">
        <v>16</v>
      </c>
      <c r="H96">
        <v>3.3</v>
      </c>
    </row>
    <row r="97" spans="1:25">
      <c r="A97" t="s">
        <v>105</v>
      </c>
      <c r="B97">
        <v>29800</v>
      </c>
      <c r="C97">
        <v>7500</v>
      </c>
      <c r="D97" t="s">
        <v>94</v>
      </c>
      <c r="E97">
        <v>5</v>
      </c>
      <c r="F97" s="12">
        <f>84*1.60934</f>
        <v>135.18456</v>
      </c>
      <c r="G97">
        <v>24</v>
      </c>
      <c r="H97">
        <v>6.6</v>
      </c>
    </row>
    <row r="98" spans="1:25">
      <c r="A98" t="s">
        <v>106</v>
      </c>
      <c r="B98">
        <v>25700</v>
      </c>
      <c r="C98">
        <v>7500</v>
      </c>
      <c r="D98" t="s">
        <v>98</v>
      </c>
      <c r="E98">
        <v>2</v>
      </c>
      <c r="F98" s="12">
        <f>68*1.60934</f>
        <v>109.43512</v>
      </c>
      <c r="G98">
        <v>17</v>
      </c>
      <c r="H98">
        <v>3.3</v>
      </c>
    </row>
    <row r="99" spans="1:25">
      <c r="A99" t="s">
        <v>107</v>
      </c>
      <c r="B99">
        <v>71000</v>
      </c>
      <c r="C99">
        <v>7500</v>
      </c>
      <c r="D99" t="s">
        <v>94</v>
      </c>
      <c r="E99">
        <v>5</v>
      </c>
      <c r="F99" s="12">
        <f>265*1.60934</f>
        <v>426.4751</v>
      </c>
      <c r="G99">
        <v>85</v>
      </c>
      <c r="H99" s="19">
        <v>10</v>
      </c>
    </row>
    <row r="100" spans="1:25">
      <c r="A100" t="s">
        <v>108</v>
      </c>
      <c r="B100">
        <v>36300</v>
      </c>
      <c r="C100">
        <v>7500</v>
      </c>
      <c r="D100" t="s">
        <v>94</v>
      </c>
      <c r="E100">
        <v>5</v>
      </c>
      <c r="F100" s="12">
        <f>83*1.60934</f>
        <v>133.57522</v>
      </c>
      <c r="G100">
        <v>24</v>
      </c>
      <c r="H100">
        <v>7.2</v>
      </c>
    </row>
    <row r="101" spans="1:25">
      <c r="A101" t="s">
        <v>109</v>
      </c>
      <c r="B101">
        <v>80000</v>
      </c>
      <c r="C101">
        <v>7500</v>
      </c>
      <c r="D101" t="s">
        <v>110</v>
      </c>
      <c r="E101">
        <v>7</v>
      </c>
      <c r="F101" s="12">
        <f>230*1.60934</f>
        <v>370.14819999999997</v>
      </c>
      <c r="G101">
        <v>85</v>
      </c>
      <c r="H101" s="19">
        <v>10</v>
      </c>
    </row>
    <row r="103" spans="1:25">
      <c r="A103" t="s">
        <v>122</v>
      </c>
      <c r="B103" t="s">
        <v>88</v>
      </c>
      <c r="C103" t="s">
        <v>123</v>
      </c>
      <c r="D103" t="s">
        <v>90</v>
      </c>
      <c r="E103" t="s">
        <v>91</v>
      </c>
      <c r="F103" t="s">
        <v>116</v>
      </c>
      <c r="G103" t="s">
        <v>112</v>
      </c>
    </row>
    <row r="104" spans="1:25">
      <c r="A104" t="s">
        <v>111</v>
      </c>
      <c r="B104">
        <v>14930</v>
      </c>
      <c r="D104" t="s">
        <v>98</v>
      </c>
      <c r="E104">
        <v>2</v>
      </c>
      <c r="F104" t="s">
        <v>113</v>
      </c>
      <c r="G104" t="s">
        <v>114</v>
      </c>
      <c r="Y104" t="s">
        <v>125</v>
      </c>
    </row>
    <row r="105" spans="1:25">
      <c r="A105" t="s">
        <v>127</v>
      </c>
      <c r="B105">
        <v>16745</v>
      </c>
      <c r="D105" t="s">
        <v>94</v>
      </c>
      <c r="E105">
        <v>4</v>
      </c>
      <c r="F105" t="s">
        <v>128</v>
      </c>
      <c r="Y105" t="s">
        <v>129</v>
      </c>
    </row>
    <row r="106" spans="1:25">
      <c r="A106" t="s">
        <v>100</v>
      </c>
      <c r="B106">
        <v>17170</v>
      </c>
      <c r="D106" t="s">
        <v>94</v>
      </c>
      <c r="E106">
        <v>5</v>
      </c>
      <c r="F106" t="s">
        <v>117</v>
      </c>
      <c r="Y106" t="s">
        <v>126</v>
      </c>
    </row>
    <row r="107" spans="1:25">
      <c r="A107" t="s">
        <v>118</v>
      </c>
      <c r="B107">
        <v>30700</v>
      </c>
      <c r="D107" t="s">
        <v>119</v>
      </c>
      <c r="E107">
        <v>7</v>
      </c>
      <c r="F107" t="s">
        <v>120</v>
      </c>
      <c r="Y107" t="s">
        <v>125</v>
      </c>
    </row>
    <row r="109" spans="1:25">
      <c r="H109" t="s">
        <v>71</v>
      </c>
      <c r="I109" t="s">
        <v>84</v>
      </c>
      <c r="Y109" t="s">
        <v>85</v>
      </c>
    </row>
    <row r="110" spans="1:25">
      <c r="A110" t="s">
        <v>130</v>
      </c>
      <c r="B110" t="s">
        <v>70</v>
      </c>
      <c r="H110" t="s">
        <v>72</v>
      </c>
      <c r="I110">
        <v>8.6</v>
      </c>
    </row>
    <row r="111" spans="1:25">
      <c r="H111" t="s">
        <v>73</v>
      </c>
      <c r="I111">
        <v>9.9</v>
      </c>
    </row>
    <row r="112" spans="1:25">
      <c r="H112" t="s">
        <v>74</v>
      </c>
      <c r="I112">
        <v>12.5</v>
      </c>
    </row>
    <row r="113" spans="1:25">
      <c r="H113" t="s">
        <v>75</v>
      </c>
      <c r="I113">
        <v>15.2</v>
      </c>
    </row>
    <row r="114" spans="1:25">
      <c r="B114" t="s">
        <v>65</v>
      </c>
      <c r="D114" t="s">
        <v>77</v>
      </c>
      <c r="Y114" t="s">
        <v>86</v>
      </c>
    </row>
    <row r="115" spans="1:25">
      <c r="D115" t="s">
        <v>76</v>
      </c>
    </row>
    <row r="116" spans="1:25">
      <c r="D116" t="s">
        <v>87</v>
      </c>
    </row>
    <row r="117" spans="1:25">
      <c r="B117" t="s">
        <v>60</v>
      </c>
      <c r="D117" t="s">
        <v>62</v>
      </c>
    </row>
    <row r="118" spans="1:25">
      <c r="B118" t="s">
        <v>61</v>
      </c>
      <c r="D118" t="s">
        <v>68</v>
      </c>
    </row>
    <row r="119" spans="1:25">
      <c r="B119" t="s">
        <v>63</v>
      </c>
      <c r="D119" t="s">
        <v>64</v>
      </c>
    </row>
    <row r="120" spans="1:25">
      <c r="D120" t="s">
        <v>69</v>
      </c>
    </row>
    <row r="122" spans="1:25">
      <c r="B122" t="s">
        <v>88</v>
      </c>
      <c r="C122" t="s">
        <v>89</v>
      </c>
      <c r="D122" t="s">
        <v>90</v>
      </c>
      <c r="E122" t="s">
        <v>91</v>
      </c>
      <c r="F122" t="s">
        <v>132</v>
      </c>
      <c r="G122" t="s">
        <v>133</v>
      </c>
      <c r="H122" t="s">
        <v>92</v>
      </c>
      <c r="Y122" t="s">
        <v>124</v>
      </c>
    </row>
    <row r="123" spans="1:25">
      <c r="A123" t="s">
        <v>131</v>
      </c>
      <c r="B123">
        <v>76000</v>
      </c>
      <c r="C123">
        <v>7500</v>
      </c>
      <c r="D123" t="s">
        <v>98</v>
      </c>
      <c r="E123">
        <v>4</v>
      </c>
      <c r="F123" s="12">
        <f>37*1.60934</f>
        <v>59.545580000000001</v>
      </c>
      <c r="G123">
        <v>17</v>
      </c>
      <c r="H123">
        <v>3.3</v>
      </c>
    </row>
    <row r="124" spans="1:25">
      <c r="A124" t="s">
        <v>134</v>
      </c>
      <c r="B124">
        <v>35200</v>
      </c>
      <c r="C124">
        <v>7500</v>
      </c>
      <c r="D124" t="s">
        <v>94</v>
      </c>
      <c r="E124">
        <v>4</v>
      </c>
      <c r="F124" s="12">
        <f>38*1.60934</f>
        <v>61.154919999999997</v>
      </c>
      <c r="G124">
        <v>17</v>
      </c>
      <c r="H124">
        <v>3.3</v>
      </c>
    </row>
    <row r="125" spans="1:25">
      <c r="A125" t="s">
        <v>135</v>
      </c>
      <c r="B125">
        <v>32600</v>
      </c>
      <c r="C125">
        <v>3700</v>
      </c>
      <c r="D125" t="s">
        <v>136</v>
      </c>
      <c r="E125">
        <v>5</v>
      </c>
      <c r="F125" s="12">
        <f>20*1.60934</f>
        <v>32.186799999999998</v>
      </c>
      <c r="G125">
        <v>8</v>
      </c>
      <c r="H125">
        <v>3.3</v>
      </c>
    </row>
    <row r="126" spans="1:25">
      <c r="A126" t="s">
        <v>137</v>
      </c>
      <c r="B126">
        <v>35600</v>
      </c>
      <c r="C126">
        <v>3700</v>
      </c>
      <c r="D126" t="s">
        <v>94</v>
      </c>
      <c r="E126">
        <v>5</v>
      </c>
      <c r="F126" s="12">
        <f>20*1.60934</f>
        <v>32.186799999999998</v>
      </c>
      <c r="G126">
        <v>7</v>
      </c>
      <c r="H126">
        <v>3.3</v>
      </c>
    </row>
    <row r="127" spans="1:25">
      <c r="A127" t="s">
        <v>138</v>
      </c>
      <c r="B127">
        <v>40700</v>
      </c>
      <c r="C127">
        <v>3700</v>
      </c>
      <c r="D127" t="s">
        <v>94</v>
      </c>
      <c r="E127">
        <v>2</v>
      </c>
      <c r="F127" s="12">
        <f>13*1.60934</f>
        <v>20.921420000000001</v>
      </c>
      <c r="G127">
        <v>7</v>
      </c>
      <c r="H127">
        <v>6.6</v>
      </c>
    </row>
    <row r="128" spans="1:25">
      <c r="A128" t="s">
        <v>140</v>
      </c>
      <c r="B128">
        <v>78000</v>
      </c>
      <c r="C128">
        <v>5300</v>
      </c>
      <c r="D128" t="s">
        <v>110</v>
      </c>
      <c r="E128">
        <v>5</v>
      </c>
      <c r="F128" s="12">
        <f>14*1.60934</f>
        <v>22.530760000000001</v>
      </c>
      <c r="G128">
        <v>11</v>
      </c>
      <c r="H128">
        <v>3.6</v>
      </c>
    </row>
    <row r="129" spans="1:25">
      <c r="A129" t="s">
        <v>139</v>
      </c>
      <c r="B129">
        <v>100000</v>
      </c>
      <c r="C129">
        <v>4700</v>
      </c>
      <c r="D129" t="s">
        <v>110</v>
      </c>
      <c r="E129">
        <v>4</v>
      </c>
      <c r="F129" s="12">
        <f>15*1.60934</f>
        <v>24.1401</v>
      </c>
      <c r="G129">
        <v>9</v>
      </c>
      <c r="H129" s="19">
        <v>3</v>
      </c>
    </row>
    <row r="130" spans="1:25">
      <c r="A130" t="s">
        <v>141</v>
      </c>
      <c r="B130">
        <v>30800</v>
      </c>
      <c r="C130">
        <v>2500</v>
      </c>
      <c r="D130" t="s">
        <v>94</v>
      </c>
      <c r="E130">
        <v>5</v>
      </c>
      <c r="F130" s="12">
        <f>11*1.60934</f>
        <v>17.702739999999999</v>
      </c>
      <c r="G130">
        <v>4</v>
      </c>
      <c r="H130">
        <v>3.3</v>
      </c>
    </row>
    <row r="132" spans="1:25">
      <c r="A132" t="s">
        <v>80</v>
      </c>
      <c r="B132" t="s">
        <v>142</v>
      </c>
      <c r="Y132" t="s">
        <v>82</v>
      </c>
    </row>
    <row r="133" spans="1:25">
      <c r="B133" t="s">
        <v>78</v>
      </c>
    </row>
    <row r="134" spans="1:25">
      <c r="B134" t="s">
        <v>66</v>
      </c>
    </row>
    <row r="135" spans="1:25">
      <c r="B135" t="s">
        <v>67</v>
      </c>
    </row>
    <row r="136" spans="1:25">
      <c r="B136" t="s">
        <v>79</v>
      </c>
    </row>
    <row r="138" spans="1:25">
      <c r="B138" t="s">
        <v>143</v>
      </c>
      <c r="Y138" s="18" t="s">
        <v>83</v>
      </c>
    </row>
  </sheetData>
  <hyperlinks>
    <hyperlink ref="Y138" r:id="rId1" xr:uid="{00000000-0004-0000-0100-000000000000}"/>
  </hyperlinks>
  <pageMargins left="0.25" right="0.25" top="0.75" bottom="0.75" header="0.3" footer="0.3"/>
  <pageSetup scale="52" fitToHeight="2"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5D002-2A4A-4BF9-9B54-C977AA61A258}">
  <dimension ref="A1:O114"/>
  <sheetViews>
    <sheetView zoomScale="80" zoomScaleNormal="80" workbookViewId="0">
      <selection activeCell="M10" sqref="M10"/>
    </sheetView>
  </sheetViews>
  <sheetFormatPr defaultRowHeight="15"/>
  <cols>
    <col min="1" max="1" width="12.5703125" customWidth="1"/>
    <col min="2" max="2" width="26" customWidth="1"/>
    <col min="3" max="3" width="16.28515625" customWidth="1"/>
    <col min="4" max="4" width="12.7109375" bestFit="1" customWidth="1"/>
    <col min="5" max="5" width="17.85546875" customWidth="1"/>
    <col min="6" max="6" width="12.7109375" customWidth="1"/>
    <col min="7" max="7" width="23" customWidth="1"/>
    <col min="8" max="8" width="18.85546875" customWidth="1"/>
    <col min="9" max="9" width="20.85546875" customWidth="1"/>
    <col min="10" max="10" width="16.5703125" customWidth="1"/>
    <col min="11" max="11" width="12.140625" customWidth="1"/>
    <col min="12" max="12" width="9.140625" customWidth="1"/>
  </cols>
  <sheetData>
    <row r="1" spans="1:14" ht="19.5" thickBot="1">
      <c r="A1" s="57" t="s">
        <v>310</v>
      </c>
    </row>
    <row r="2" spans="1:14" ht="31.5" customHeight="1">
      <c r="A2" s="71"/>
      <c r="B2" s="237" t="s">
        <v>311</v>
      </c>
      <c r="C2" s="237"/>
      <c r="D2" s="238" t="s">
        <v>312</v>
      </c>
      <c r="E2" s="238"/>
      <c r="F2" s="239" t="s">
        <v>322</v>
      </c>
      <c r="G2" s="239"/>
      <c r="H2" s="239"/>
      <c r="I2" s="240"/>
      <c r="J2" s="52"/>
      <c r="K2" s="224"/>
      <c r="L2" s="225"/>
    </row>
    <row r="3" spans="1:14" ht="33" customHeight="1">
      <c r="A3" s="76" t="s">
        <v>336</v>
      </c>
      <c r="B3" s="226" t="s">
        <v>298</v>
      </c>
      <c r="C3" s="226" t="s">
        <v>309</v>
      </c>
      <c r="D3" s="227" t="s">
        <v>313</v>
      </c>
      <c r="E3" s="227" t="s">
        <v>314</v>
      </c>
      <c r="F3" s="228" t="s">
        <v>295</v>
      </c>
      <c r="G3" s="228" t="s">
        <v>323</v>
      </c>
      <c r="H3" s="228" t="s">
        <v>296</v>
      </c>
      <c r="I3" s="229" t="s">
        <v>328</v>
      </c>
      <c r="J3" s="52"/>
      <c r="K3" s="52"/>
      <c r="L3" s="52"/>
      <c r="M3" s="52"/>
      <c r="N3" s="52"/>
    </row>
    <row r="4" spans="1:14" ht="33" customHeight="1" thickBot="1">
      <c r="A4" s="76"/>
      <c r="B4" s="230" t="s">
        <v>324</v>
      </c>
      <c r="C4" s="230" t="s">
        <v>324</v>
      </c>
      <c r="D4" s="231" t="s">
        <v>316</v>
      </c>
      <c r="E4" s="231" t="s">
        <v>316</v>
      </c>
      <c r="F4" s="232" t="s">
        <v>331</v>
      </c>
      <c r="G4" s="232" t="s">
        <v>331</v>
      </c>
      <c r="H4" s="232" t="s">
        <v>331</v>
      </c>
      <c r="I4" s="233" t="s">
        <v>331</v>
      </c>
      <c r="J4" s="52"/>
      <c r="K4" s="52"/>
      <c r="L4" s="52"/>
      <c r="M4" s="52"/>
      <c r="N4" s="52"/>
    </row>
    <row r="5" spans="1:14">
      <c r="A5" s="76" t="s">
        <v>20</v>
      </c>
      <c r="B5" s="52">
        <v>54</v>
      </c>
      <c r="D5" s="52">
        <v>24</v>
      </c>
      <c r="E5" s="52">
        <v>12</v>
      </c>
      <c r="F5" s="52">
        <v>1</v>
      </c>
      <c r="G5" s="52">
        <v>-1</v>
      </c>
      <c r="H5" s="148"/>
      <c r="I5" s="149"/>
      <c r="J5" s="52"/>
      <c r="K5" s="52"/>
      <c r="L5" s="52"/>
      <c r="M5" s="52"/>
      <c r="N5" s="52"/>
    </row>
    <row r="6" spans="1:14">
      <c r="A6" s="76" t="s">
        <v>440</v>
      </c>
      <c r="B6" s="52"/>
      <c r="D6" s="52"/>
      <c r="E6" s="52"/>
      <c r="F6" s="52">
        <v>1</v>
      </c>
      <c r="G6" s="52">
        <v>-1</v>
      </c>
      <c r="H6" s="148" t="s">
        <v>478</v>
      </c>
      <c r="I6" s="149"/>
      <c r="J6" s="52"/>
      <c r="K6" s="52"/>
      <c r="L6" s="52"/>
      <c r="M6" s="52"/>
      <c r="N6" s="52"/>
    </row>
    <row r="7" spans="1:14">
      <c r="A7" s="76" t="s">
        <v>441</v>
      </c>
      <c r="B7" s="52">
        <v>66</v>
      </c>
      <c r="D7" s="52">
        <v>8</v>
      </c>
      <c r="E7" s="52">
        <v>4</v>
      </c>
      <c r="F7" s="52">
        <v>1</v>
      </c>
      <c r="G7" s="52">
        <v>-1</v>
      </c>
      <c r="H7" s="148"/>
      <c r="I7" s="149"/>
      <c r="J7" s="52"/>
      <c r="K7" s="52"/>
      <c r="L7" s="52"/>
      <c r="M7" s="52"/>
      <c r="N7" s="52"/>
    </row>
    <row r="8" spans="1:14">
      <c r="A8" s="76" t="s">
        <v>442</v>
      </c>
      <c r="B8" s="52">
        <v>26</v>
      </c>
      <c r="D8" s="52">
        <v>1</v>
      </c>
      <c r="E8" s="52">
        <v>1</v>
      </c>
      <c r="F8" s="52">
        <v>1</v>
      </c>
      <c r="G8" s="52">
        <v>-1</v>
      </c>
      <c r="H8" s="148"/>
      <c r="I8" s="149"/>
      <c r="J8" s="52"/>
      <c r="K8" s="52"/>
      <c r="L8" s="52"/>
      <c r="M8" s="52"/>
      <c r="N8" s="52"/>
    </row>
    <row r="9" spans="1:14">
      <c r="A9" s="76" t="s">
        <v>443</v>
      </c>
      <c r="B9" s="52">
        <v>26</v>
      </c>
      <c r="D9" s="52">
        <v>1</v>
      </c>
      <c r="E9" s="52">
        <v>1</v>
      </c>
      <c r="F9" s="52">
        <v>1</v>
      </c>
      <c r="G9" s="52">
        <v>-1</v>
      </c>
      <c r="H9" s="148"/>
      <c r="I9" s="149"/>
      <c r="J9" s="52"/>
      <c r="K9" s="52"/>
      <c r="L9" s="52"/>
      <c r="M9" s="52"/>
      <c r="N9" s="52"/>
    </row>
    <row r="10" spans="1:14">
      <c r="A10" s="76" t="s">
        <v>209</v>
      </c>
      <c r="B10" s="52"/>
      <c r="D10" s="52">
        <v>1</v>
      </c>
      <c r="E10" s="52">
        <v>1</v>
      </c>
      <c r="F10" s="52">
        <v>1</v>
      </c>
      <c r="G10" s="52">
        <v>-1</v>
      </c>
      <c r="I10" s="149"/>
      <c r="J10" s="52"/>
      <c r="K10" s="52"/>
      <c r="L10" s="52"/>
      <c r="M10" s="52"/>
      <c r="N10" s="52"/>
    </row>
    <row r="11" spans="1:14">
      <c r="A11" s="76" t="s">
        <v>230</v>
      </c>
      <c r="B11" s="52"/>
      <c r="D11" s="52">
        <v>1</v>
      </c>
      <c r="E11" s="52">
        <v>1</v>
      </c>
      <c r="F11" s="52">
        <v>1</v>
      </c>
      <c r="G11" s="52">
        <v>-1</v>
      </c>
      <c r="H11" s="148"/>
      <c r="I11" s="149"/>
      <c r="J11" s="52"/>
      <c r="K11" s="52"/>
      <c r="L11" s="52"/>
      <c r="M11" s="52"/>
      <c r="N11" s="52"/>
    </row>
    <row r="12" spans="1:14">
      <c r="A12" s="76" t="s">
        <v>1</v>
      </c>
      <c r="B12" s="52">
        <v>55</v>
      </c>
      <c r="D12" s="52">
        <v>168</v>
      </c>
      <c r="E12" s="52">
        <v>24</v>
      </c>
      <c r="F12" s="52">
        <v>1</v>
      </c>
      <c r="G12" s="52">
        <v>-1</v>
      </c>
      <c r="H12" s="148"/>
      <c r="I12" s="149"/>
      <c r="J12" s="234"/>
      <c r="L12" s="52"/>
      <c r="M12" s="52"/>
      <c r="N12" s="52"/>
    </row>
    <row r="13" spans="1:14">
      <c r="A13" s="76" t="s">
        <v>2</v>
      </c>
      <c r="B13" s="52"/>
      <c r="C13" s="52"/>
      <c r="D13" s="52"/>
      <c r="E13" s="52"/>
      <c r="F13" s="52">
        <v>1</v>
      </c>
      <c r="G13" s="52">
        <v>-1</v>
      </c>
      <c r="H13" s="52"/>
      <c r="I13" s="52"/>
      <c r="J13" s="52"/>
      <c r="K13" s="52"/>
      <c r="L13" s="52"/>
      <c r="M13" s="52"/>
      <c r="N13" s="52"/>
    </row>
    <row r="14" spans="1:14">
      <c r="A14" s="76" t="s">
        <v>444</v>
      </c>
      <c r="B14" s="52"/>
      <c r="C14" s="52"/>
      <c r="D14" s="52"/>
      <c r="E14" s="52"/>
      <c r="F14" s="52">
        <v>1</v>
      </c>
      <c r="G14" s="52">
        <v>-1</v>
      </c>
      <c r="H14" s="52"/>
      <c r="I14" s="52"/>
      <c r="J14" s="52"/>
      <c r="K14" s="52"/>
      <c r="L14" s="52"/>
      <c r="M14" s="52"/>
      <c r="N14" s="52"/>
    </row>
    <row r="15" spans="1:14">
      <c r="A15" s="76" t="s">
        <v>445</v>
      </c>
      <c r="B15" s="52"/>
      <c r="C15" s="52"/>
      <c r="D15" s="52"/>
      <c r="E15" s="52"/>
      <c r="F15" s="52">
        <v>1</v>
      </c>
      <c r="G15" s="52">
        <v>-1</v>
      </c>
      <c r="H15" s="52"/>
      <c r="I15" s="52"/>
      <c r="J15" s="52"/>
      <c r="K15" s="52"/>
      <c r="L15" s="52"/>
      <c r="M15" s="52"/>
      <c r="N15" s="52"/>
    </row>
    <row r="16" spans="1:14">
      <c r="A16" s="76" t="s">
        <v>446</v>
      </c>
      <c r="B16" s="52"/>
      <c r="C16" s="52"/>
      <c r="D16" s="52"/>
      <c r="E16" s="52"/>
      <c r="F16" s="52">
        <v>1</v>
      </c>
      <c r="G16" s="52">
        <v>-1</v>
      </c>
      <c r="H16" s="52"/>
      <c r="I16" s="52"/>
      <c r="J16" s="52"/>
      <c r="K16" s="52"/>
      <c r="L16" s="52"/>
      <c r="M16" s="52"/>
      <c r="N16" s="52"/>
    </row>
    <row r="17" spans="1:15">
      <c r="A17" s="76" t="s">
        <v>9</v>
      </c>
      <c r="B17" s="52"/>
      <c r="C17" s="52"/>
      <c r="D17" s="52"/>
      <c r="E17" s="52"/>
      <c r="F17" s="52">
        <v>1</v>
      </c>
      <c r="G17" s="52">
        <v>-1</v>
      </c>
      <c r="H17" s="148"/>
      <c r="I17" s="148"/>
      <c r="J17" s="52"/>
      <c r="K17" s="52"/>
      <c r="L17" s="52"/>
      <c r="M17" s="52"/>
      <c r="N17" s="52"/>
    </row>
    <row r="18" spans="1:15">
      <c r="A18" s="76" t="s">
        <v>10</v>
      </c>
      <c r="B18" s="52">
        <v>54</v>
      </c>
      <c r="C18" s="52"/>
      <c r="D18" s="52">
        <v>8</v>
      </c>
      <c r="E18" s="52">
        <v>6</v>
      </c>
      <c r="F18" s="52">
        <v>1</v>
      </c>
      <c r="G18" s="52">
        <v>-1</v>
      </c>
      <c r="H18" s="148"/>
      <c r="I18" s="149"/>
      <c r="J18" s="52"/>
      <c r="K18" s="52"/>
      <c r="L18" s="52"/>
      <c r="M18" s="52"/>
      <c r="N18" s="52"/>
    </row>
    <row r="19" spans="1:15">
      <c r="A19" s="76" t="s">
        <v>447</v>
      </c>
      <c r="B19" s="52">
        <v>54</v>
      </c>
      <c r="C19" s="52"/>
      <c r="D19" s="52">
        <v>8</v>
      </c>
      <c r="E19" s="52">
        <v>6</v>
      </c>
      <c r="F19" s="52">
        <v>1</v>
      </c>
      <c r="G19" s="52">
        <v>-1</v>
      </c>
      <c r="H19" s="148"/>
      <c r="I19" s="149"/>
      <c r="J19" s="52"/>
      <c r="K19" s="52"/>
      <c r="L19" s="52"/>
      <c r="M19" s="52"/>
      <c r="N19" s="52"/>
    </row>
    <row r="20" spans="1:15">
      <c r="A20" s="76" t="s">
        <v>4</v>
      </c>
      <c r="B20" s="52"/>
      <c r="C20" s="52"/>
      <c r="D20" s="52"/>
      <c r="E20" s="52"/>
      <c r="F20" s="52"/>
      <c r="G20" s="52"/>
      <c r="H20" s="148"/>
      <c r="I20" s="149"/>
      <c r="J20" s="52"/>
      <c r="K20" s="52"/>
      <c r="L20" s="52"/>
      <c r="M20" s="52"/>
      <c r="N20" s="52"/>
    </row>
    <row r="21" spans="1:15">
      <c r="A21" s="76" t="s">
        <v>337</v>
      </c>
      <c r="B21" s="52"/>
      <c r="C21" s="52"/>
      <c r="D21" s="52"/>
      <c r="E21" s="52"/>
      <c r="F21" s="52"/>
      <c r="G21" s="52"/>
      <c r="H21" s="148"/>
      <c r="I21" s="149"/>
      <c r="J21" s="52"/>
      <c r="K21" s="52"/>
      <c r="L21" s="52"/>
      <c r="M21" s="52"/>
      <c r="N21" s="52"/>
    </row>
    <row r="22" spans="1:15">
      <c r="A22" s="76" t="s">
        <v>227</v>
      </c>
      <c r="B22" s="235">
        <v>0</v>
      </c>
      <c r="C22" s="235">
        <v>0</v>
      </c>
      <c r="D22" s="52">
        <v>1</v>
      </c>
      <c r="E22" s="52">
        <v>1</v>
      </c>
      <c r="F22" s="52">
        <v>1</v>
      </c>
      <c r="G22" s="52">
        <v>-1</v>
      </c>
      <c r="H22" s="148"/>
      <c r="I22" s="149"/>
      <c r="J22" s="52"/>
      <c r="K22" s="52"/>
      <c r="L22" s="52"/>
      <c r="M22" s="52"/>
      <c r="N22" s="52"/>
    </row>
    <row r="23" spans="1:15">
      <c r="A23" s="76" t="s">
        <v>228</v>
      </c>
      <c r="B23" s="235"/>
      <c r="C23" s="235"/>
      <c r="D23" s="52"/>
      <c r="E23" s="52"/>
      <c r="F23" s="52"/>
      <c r="G23" s="52"/>
      <c r="H23" s="148"/>
      <c r="I23" s="149"/>
      <c r="J23" s="52"/>
      <c r="K23" s="52"/>
      <c r="L23" s="52"/>
      <c r="M23" s="52"/>
      <c r="N23" s="52"/>
    </row>
    <row r="24" spans="1:15">
      <c r="A24" s="76" t="s">
        <v>334</v>
      </c>
      <c r="B24" s="235"/>
      <c r="C24" s="235"/>
      <c r="D24" s="52"/>
      <c r="E24" s="52"/>
      <c r="F24" s="52"/>
      <c r="G24" s="52"/>
      <c r="H24" s="52"/>
      <c r="I24" s="90"/>
      <c r="J24" s="52"/>
      <c r="K24" s="52"/>
      <c r="L24" s="52"/>
      <c r="M24" s="52"/>
      <c r="N24" s="52"/>
    </row>
    <row r="25" spans="1:15" ht="15.75" thickBot="1">
      <c r="A25" s="80" t="s">
        <v>283</v>
      </c>
      <c r="B25" s="235"/>
      <c r="C25" s="235"/>
      <c r="D25" s="52"/>
      <c r="E25" s="52"/>
      <c r="F25" s="52"/>
      <c r="G25" s="52"/>
      <c r="H25" s="52"/>
      <c r="I25" s="90"/>
      <c r="J25" s="52"/>
      <c r="K25" s="52"/>
      <c r="L25" s="52"/>
      <c r="M25" s="52"/>
      <c r="N25" s="52"/>
    </row>
    <row r="26" spans="1:15">
      <c r="A26" s="76" t="s">
        <v>473</v>
      </c>
      <c r="B26" s="235"/>
      <c r="C26" s="235"/>
      <c r="D26" s="52"/>
      <c r="E26" s="52"/>
      <c r="F26" s="52"/>
      <c r="G26" s="52"/>
      <c r="H26" s="52"/>
      <c r="I26" s="90"/>
      <c r="J26" s="52"/>
      <c r="K26" s="52"/>
      <c r="L26" s="52"/>
      <c r="M26" s="52"/>
      <c r="N26" s="52"/>
    </row>
    <row r="27" spans="1:15" ht="15.75" thickBot="1">
      <c r="A27" s="76" t="s">
        <v>412</v>
      </c>
      <c r="B27" s="92"/>
      <c r="C27" s="92"/>
      <c r="D27" s="81"/>
      <c r="E27" s="81"/>
      <c r="F27" s="81"/>
      <c r="G27" s="81"/>
      <c r="H27" s="81"/>
      <c r="I27" s="93"/>
      <c r="J27" s="52"/>
      <c r="K27" s="52"/>
      <c r="L27" s="52"/>
      <c r="M27" s="52"/>
      <c r="N27" s="52"/>
    </row>
    <row r="28" spans="1:15"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</row>
    <row r="29" spans="1:15">
      <c r="A29" t="s">
        <v>294</v>
      </c>
      <c r="B29" s="52">
        <f>COLUMN(B3)-2</f>
        <v>0</v>
      </c>
      <c r="C29" s="52">
        <f t="shared" ref="C29:I29" si="0">COLUMN(C3)-2</f>
        <v>1</v>
      </c>
      <c r="D29" s="52">
        <f t="shared" si="0"/>
        <v>2</v>
      </c>
      <c r="E29" s="52">
        <f t="shared" si="0"/>
        <v>3</v>
      </c>
      <c r="F29" s="52">
        <f t="shared" si="0"/>
        <v>4</v>
      </c>
      <c r="G29" s="52">
        <f t="shared" si="0"/>
        <v>5</v>
      </c>
      <c r="H29" s="52">
        <f t="shared" si="0"/>
        <v>6</v>
      </c>
      <c r="I29" s="52">
        <f t="shared" si="0"/>
        <v>7</v>
      </c>
      <c r="J29" s="52"/>
      <c r="K29" s="52"/>
    </row>
    <row r="31" spans="1:15">
      <c r="A31" t="s">
        <v>307</v>
      </c>
      <c r="B31" t="s">
        <v>299</v>
      </c>
      <c r="C31" t="s">
        <v>306</v>
      </c>
    </row>
    <row r="32" spans="1:15">
      <c r="B32" t="s">
        <v>298</v>
      </c>
      <c r="C32" t="s">
        <v>297</v>
      </c>
    </row>
    <row r="33" spans="2:6">
      <c r="B33" t="s">
        <v>309</v>
      </c>
    </row>
    <row r="34" spans="2:6">
      <c r="B34" t="s">
        <v>313</v>
      </c>
      <c r="C34" t="s">
        <v>315</v>
      </c>
      <c r="E34" s="56"/>
      <c r="F34" s="56"/>
    </row>
    <row r="35" spans="2:6">
      <c r="B35" t="s">
        <v>314</v>
      </c>
      <c r="C35" t="s">
        <v>317</v>
      </c>
      <c r="E35" s="56"/>
      <c r="F35" s="56"/>
    </row>
    <row r="36" spans="2:6">
      <c r="B36" t="s">
        <v>295</v>
      </c>
      <c r="C36" t="s">
        <v>325</v>
      </c>
      <c r="D36" s="56"/>
    </row>
    <row r="37" spans="2:6">
      <c r="B37" t="s">
        <v>323</v>
      </c>
      <c r="C37" t="s">
        <v>326</v>
      </c>
      <c r="D37" s="56"/>
    </row>
    <row r="38" spans="2:6">
      <c r="B38" t="s">
        <v>296</v>
      </c>
      <c r="C38" t="s">
        <v>329</v>
      </c>
    </row>
    <row r="39" spans="2:6">
      <c r="B39" t="s">
        <v>328</v>
      </c>
      <c r="C39" t="s">
        <v>330</v>
      </c>
    </row>
    <row r="114" spans="10:10">
      <c r="J114" t="s">
        <v>408</v>
      </c>
    </row>
  </sheetData>
  <mergeCells count="3">
    <mergeCell ref="B2:C2"/>
    <mergeCell ref="D2:E2"/>
    <mergeCell ref="F2:I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08"/>
  <sheetViews>
    <sheetView topLeftCell="A10" zoomScale="110" zoomScaleNormal="110" workbookViewId="0">
      <selection activeCell="F6" sqref="F6"/>
    </sheetView>
  </sheetViews>
  <sheetFormatPr defaultRowHeight="15"/>
  <cols>
    <col min="1" max="1" width="14" customWidth="1"/>
    <col min="2" max="2" width="28.7109375" customWidth="1"/>
    <col min="3" max="3" width="11.42578125" customWidth="1"/>
    <col min="4" max="4" width="11.28515625" customWidth="1"/>
    <col min="5" max="5" width="9.42578125" customWidth="1"/>
    <col min="6" max="6" width="18.5703125" bestFit="1" customWidth="1"/>
    <col min="7" max="7" width="2.28515625" customWidth="1"/>
    <col min="8" max="8" width="19.28515625" customWidth="1"/>
    <col min="9" max="9" width="23" customWidth="1"/>
    <col min="10" max="10" width="22.85546875" bestFit="1" customWidth="1"/>
    <col min="12" max="12" width="14.28515625" bestFit="1" customWidth="1"/>
    <col min="13" max="13" width="4.42578125" customWidth="1"/>
    <col min="14" max="14" width="25.42578125" bestFit="1" customWidth="1"/>
    <col min="16" max="16" width="13.28515625" customWidth="1"/>
  </cols>
  <sheetData>
    <row r="1" spans="1:18" ht="19.5" thickBot="1">
      <c r="A1" s="57" t="s">
        <v>342</v>
      </c>
      <c r="B1" s="57"/>
      <c r="M1" s="17"/>
      <c r="N1" s="17"/>
      <c r="O1" s="17"/>
      <c r="P1" s="17"/>
      <c r="Q1" s="17"/>
      <c r="R1" s="17"/>
    </row>
    <row r="2" spans="1:18" ht="36.75" customHeight="1">
      <c r="A2" s="71"/>
      <c r="B2" s="119"/>
      <c r="C2" s="98" t="s">
        <v>343</v>
      </c>
      <c r="D2" s="99" t="s">
        <v>344</v>
      </c>
      <c r="E2" s="245" t="s">
        <v>346</v>
      </c>
      <c r="F2" s="246"/>
      <c r="H2" s="248" t="s">
        <v>345</v>
      </c>
      <c r="I2" s="249"/>
      <c r="J2" s="249"/>
      <c r="K2" s="249"/>
      <c r="L2" s="250"/>
      <c r="M2" s="17"/>
      <c r="N2" s="247" t="s">
        <v>359</v>
      </c>
      <c r="O2" s="247"/>
      <c r="P2" s="247"/>
      <c r="Q2" s="17"/>
      <c r="R2" s="17"/>
    </row>
    <row r="3" spans="1:18" ht="72.75">
      <c r="A3" s="94" t="s">
        <v>336</v>
      </c>
      <c r="B3" s="120" t="s">
        <v>356</v>
      </c>
      <c r="C3" s="107" t="str">
        <f>'site independent'!W3</f>
        <v>Max capacity value</v>
      </c>
      <c r="D3" s="108" t="str">
        <f>'site independent'!V3</f>
        <v>Operating reserve coeff.</v>
      </c>
      <c r="E3" s="111" t="str">
        <f>'site independent'!X3</f>
        <v>Total overnight cost in 2014</v>
      </c>
      <c r="F3" s="112" t="s">
        <v>349</v>
      </c>
      <c r="H3" s="126" t="s">
        <v>351</v>
      </c>
      <c r="I3" s="109" t="s">
        <v>352</v>
      </c>
      <c r="J3" s="109" t="s">
        <v>357</v>
      </c>
      <c r="K3" s="109" t="s">
        <v>353</v>
      </c>
      <c r="L3" s="127" t="s">
        <v>370</v>
      </c>
      <c r="M3" s="17"/>
      <c r="N3" s="110" t="s">
        <v>351</v>
      </c>
      <c r="O3" s="110" t="s">
        <v>360</v>
      </c>
      <c r="P3" s="110" t="s">
        <v>361</v>
      </c>
      <c r="Q3" s="110" t="s">
        <v>362</v>
      </c>
      <c r="R3" s="110" t="s">
        <v>363</v>
      </c>
    </row>
    <row r="4" spans="1:18" ht="35.25" thickBot="1">
      <c r="A4" s="76"/>
      <c r="B4" s="121" t="s">
        <v>25</v>
      </c>
      <c r="C4" s="113" t="s">
        <v>348</v>
      </c>
      <c r="D4" s="114" t="s">
        <v>347</v>
      </c>
      <c r="E4" s="117" t="s">
        <v>368</v>
      </c>
      <c r="F4" s="118" t="s">
        <v>350</v>
      </c>
      <c r="H4" s="128"/>
      <c r="I4" s="115" t="s">
        <v>25</v>
      </c>
      <c r="J4" s="115" t="s">
        <v>358</v>
      </c>
      <c r="K4" s="115" t="s">
        <v>25</v>
      </c>
      <c r="L4" s="129"/>
      <c r="M4" s="17"/>
      <c r="N4" s="116"/>
      <c r="O4" s="116" t="s">
        <v>25</v>
      </c>
      <c r="P4" s="116" t="s">
        <v>25</v>
      </c>
      <c r="Q4" s="116" t="s">
        <v>25</v>
      </c>
      <c r="R4" s="116" t="s">
        <v>25</v>
      </c>
    </row>
    <row r="5" spans="1:18">
      <c r="A5" s="76" t="str">
        <f>'site independent'!A5</f>
        <v>coal</v>
      </c>
      <c r="B5" s="152">
        <f>SUMIF('non-vre plants'!C2:C230,'scenario analysis'!A5,'non-vre plants'!F2:F230)</f>
        <v>0</v>
      </c>
      <c r="C5" s="77">
        <f>INDEX('site independent'!$A$3:$W$147, MATCH($A5, 'site independent'!$A$3:$A$147, 0), MATCH('scenario analysis'!C$3, 'site independent'!$A$3:$W$3, 0))</f>
        <v>1</v>
      </c>
      <c r="D5" s="77">
        <f>INDEX('site independent'!$A$3:$W$147, MATCH($A5, 'site independent'!$A$3:$A$147, 0), MATCH('scenario analysis'!D$3, 'site independent'!$A$3:$W$3, 0))</f>
        <v>0.53</v>
      </c>
      <c r="E5" s="77">
        <f>INDEX('site independent'!$A$3:$X$147, MATCH($A5, 'site independent'!$A$3:$A$147, 0), MATCH('scenario analysis'!E$3, 'site independent'!$A$3:$X$3, 0))</f>
        <v>2917</v>
      </c>
      <c r="F5" s="137">
        <f>E5*1000*B5</f>
        <v>0</v>
      </c>
      <c r="H5" s="122" t="str">
        <f t="array" ref="H5">IFERROR(INDEX(#REF!, MATCH(0, COUNTIF($H$4:H4,#REF!), 0)), "")</f>
        <v/>
      </c>
      <c r="I5" s="34"/>
      <c r="J5" s="34">
        <f>SUMIF('demand centres'!$E$1:$E$50,'scenario analysis'!H5,'demand centres'!$B$1:$B$50)</f>
        <v>0</v>
      </c>
      <c r="K5" s="34">
        <f t="array" ref="K5">SUMIF('existing transmission'!$B$2:$B$84,H5, 'existing transmission'!$G$2:$G$84)+SUMIF('existing transmission'!$C$2:$C$84,H5, 'existing transmission'!$G$2:$G$84)</f>
        <v>0</v>
      </c>
      <c r="L5" s="90">
        <f t="array" ref="L5">SUMIF('existing transmission'!$B$2:$B$84,H5, 'existing transmission'!$J$2:$J$84)+SUMIF('existing transmission'!$C$2:$C$84,H5, 'existing transmission'!$J$2:$J$84)</f>
        <v>0</v>
      </c>
      <c r="M5" s="138"/>
      <c r="N5" s="142" t="str">
        <f t="array" ref="N5">IFERROR(INDEX(#REF!, MATCH(0, COUNTIF($N$4:N4,#REF!), 0)), "")</f>
        <v/>
      </c>
      <c r="O5" s="130">
        <f>SUMIFS('vre plants'!$F$2:$F$19, 'vre plants'!$G$2:$G$19, 'scenario analysis'!N5, 'vre plants'!$C$2:$C$19, "wind_onshore") +SUMIFS('vre plants'!$F$2:$F$19, 'vre plants'!$G$2:$G$19, 'scenario analysis'!N5, 'vre plants'!$C$2:$C$19,"wind_offshore")</f>
        <v>0</v>
      </c>
      <c r="P5" s="131">
        <f>SUMIFS('vre plants'!$F$2:$F$19,'vre plants'!$G$2:$G$19,'scenario analysis'!N5,'vre plants'!$C$2:$C$19,"multi c-Si")</f>
        <v>0</v>
      </c>
      <c r="Q5" s="34">
        <f>SUMIFS('vre plants'!$F$2:$F$19, 'vre plants'!$G$2:$G$19, 'scenario analysis'!N5, 'vre plants'!$C$2:$C$19, "mono c-Si")</f>
        <v>0</v>
      </c>
      <c r="R5" s="34">
        <f>SUMIFS('vre plants'!$F$2:$F$19,'vre plants'!$G$2:$G$19,'scenario analysis'!N5,'vre plants'!$C$2:$C$19,"thin film")</f>
        <v>0</v>
      </c>
    </row>
    <row r="6" spans="1:18">
      <c r="A6" s="76" t="str">
        <f>'site independent'!A6</f>
        <v>Natural gas</v>
      </c>
      <c r="B6" s="152">
        <f>SUMIF('non-vre plants'!C3:C231,'scenario analysis'!A6,'non-vre plants'!F3:F231)</f>
        <v>0</v>
      </c>
      <c r="C6" s="77">
        <f>INDEX('site independent'!$A$3:$W$47, MATCH($A6, 'site independent'!$A$3:$A$47, 0), MATCH('scenario analysis'!C$3, 'site independent'!$A$3:$W$3, 0))</f>
        <v>1</v>
      </c>
      <c r="D6" s="77">
        <f>INDEX('site independent'!$A$3:$W$147, MATCH($A6, 'site independent'!$A$3:$A$147, 0), MATCH('scenario analysis'!D$3, 'site independent'!$A$3:$W$3, 0))</f>
        <v>0</v>
      </c>
      <c r="E6" s="77">
        <f>INDEX('site independent'!$A$3:$X$147, MATCH($A6, 'site independent'!$A$3:$A$147, 0), MATCH('scenario analysis'!E$3, 'site independent'!$A$3:$X$3, 0))</f>
        <v>0</v>
      </c>
      <c r="F6" s="137">
        <f t="shared" ref="F6:F25" si="0">E6*1000*B6</f>
        <v>0</v>
      </c>
      <c r="H6" s="122" t="str">
        <f t="array" ref="H6">IFERROR(INDEX(#REF!, MATCH(0, COUNTIF($H$4:H5,#REF!), 0)), "")</f>
        <v/>
      </c>
      <c r="I6" s="34" t="e">
        <f>SUMIFS(#REF!,#REF!,'scenario analysis'!H6)+SUMIFS('vre plants'!$F$2:$F$31,'vre plants'!$G$2:$G$31,'scenario analysis'!H6)+SUMIFS(storage!$E$2:$E$75,storage!$I$2:$I$75,'scenario analysis'!H6)+SUMIFS(EV_aggregator!$F$2:$F$75,EV_aggregator!$K$2:$K$75,'scenario analysis'!H6)</f>
        <v>#REF!</v>
      </c>
      <c r="J6" s="34">
        <f>SUMIF('demand centres'!$E$1:$E$50,'scenario analysis'!H6,'demand centres'!$B$1:$B$50)</f>
        <v>0</v>
      </c>
      <c r="K6" s="34">
        <f t="array" ref="K6">SUMIF('existing transmission'!$B$2:$B$84,H6, 'existing transmission'!$G$2:$G$84)+SUMIF('existing transmission'!$C$2:$C$84,H6, 'existing transmission'!$G$2:$G$84)</f>
        <v>0</v>
      </c>
      <c r="L6" s="90">
        <f t="array" ref="L6">SUMIF('existing transmission'!$B$2:$B$84,H6, 'existing transmission'!$J$2:$J$84)+SUMIF('existing transmission'!$C$2:$C$84,H6, 'existing transmission'!$J$2:$J$84)</f>
        <v>0</v>
      </c>
      <c r="M6" s="138"/>
      <c r="N6" s="142" t="str">
        <f t="array" ref="N6">IFERROR(INDEX(#REF!, MATCH(0, COUNTIF($N$4:N5,#REF!), 0)), "")</f>
        <v/>
      </c>
      <c r="O6" s="130">
        <f>SUMIFS('vre plants'!$F$2:$F$19, 'vre plants'!$G$2:$G$19, 'scenario analysis'!N6, 'vre plants'!$C$2:$C$19, "wind_onshore") +SUMIFS('vre plants'!$F$2:$F$19, 'vre plants'!$G$2:$G$19, 'scenario analysis'!N6, 'vre plants'!$C$2:$C$19,"wind_offshore")</f>
        <v>0</v>
      </c>
      <c r="P6" s="131">
        <f>SUMIFS('vre plants'!$F$2:$F$19,'vre plants'!$G$2:$G$19,'scenario analysis'!N6,'vre plants'!$C$2:$C$19,"multi c-Si")</f>
        <v>0</v>
      </c>
      <c r="Q6" s="34">
        <f>SUMIFS('vre plants'!$F$2:$F$19, 'vre plants'!$G$2:$G$19, 'scenario analysis'!N6, 'vre plants'!$C$2:$C$19, "mono c-Si")</f>
        <v>0</v>
      </c>
      <c r="R6" s="34">
        <f>SUMIFS('vre plants'!$F$2:$F$19,'vre plants'!$G$2:$G$19,'scenario analysis'!N6,'vre plants'!$C$2:$C$19,"thin film")</f>
        <v>0</v>
      </c>
    </row>
    <row r="7" spans="1:18">
      <c r="A7" s="76" t="str">
        <f>'site independent'!A7</f>
        <v>NG_CC</v>
      </c>
      <c r="B7" s="152">
        <f>SUMIF('non-vre plants'!C4:C232,'scenario analysis'!A7,'non-vre plants'!F4:F232)</f>
        <v>0</v>
      </c>
      <c r="C7" s="77">
        <f>INDEX('site independent'!$A$3:$W$47, MATCH($A7, 'site independent'!$A$3:$A$47, 0), MATCH('scenario analysis'!C$3, 'site independent'!$A$3:$W$3, 0))</f>
        <v>1</v>
      </c>
      <c r="D7" s="77">
        <f>INDEX('site independent'!$A$3:$W$147, MATCH($A7, 'site independent'!$A$3:$A$147, 0), MATCH('scenario analysis'!D$3, 'site independent'!$A$3:$W$3, 0))</f>
        <v>0.53</v>
      </c>
      <c r="E7" s="77">
        <f>INDEX('site independent'!$A$3:$X$147, MATCH($A7, 'site independent'!$A$3:$A$147, 0), MATCH('scenario analysis'!E$3, 'site independent'!$A$3:$X$3, 0))</f>
        <v>671</v>
      </c>
      <c r="F7" s="137">
        <f t="shared" si="0"/>
        <v>0</v>
      </c>
      <c r="H7" s="122" t="str">
        <f t="array" ref="H7">IFERROR(INDEX(#REF!, MATCH(0, COUNTIF($H$4:H6,#REF!), 0)), "")</f>
        <v/>
      </c>
      <c r="I7" s="34" t="e">
        <f>SUMIFS(#REF!,#REF!,'scenario analysis'!H7)+SUMIFS('vre plants'!$F$2:$F$31,'vre plants'!$G$2:$G$31,'scenario analysis'!H7)+SUMIFS(storage!$E$2:$E$75,storage!$I$2:$I$75,'scenario analysis'!H7)+SUMIFS(EV_aggregator!$F$2:$F$75,EV_aggregator!$K$2:$K$75,'scenario analysis'!H7)</f>
        <v>#REF!</v>
      </c>
      <c r="J7" s="34">
        <f>SUMIF('demand centres'!$E$1:$E$50,'scenario analysis'!H7,'demand centres'!$B$1:$B$50)</f>
        <v>0</v>
      </c>
      <c r="K7" s="34">
        <f t="array" ref="K7">SUMIF('existing transmission'!$B$2:$B$84,H7, 'existing transmission'!$G$2:$G$84)+SUMIF('existing transmission'!$C$2:$C$84,H7, 'existing transmission'!$G$2:$G$84)</f>
        <v>0</v>
      </c>
      <c r="L7" s="90">
        <f t="array" ref="L7">SUMIF('existing transmission'!$B$2:$B$84,H7, 'existing transmission'!$J$2:$J$84)+SUMIF('existing transmission'!$C$2:$C$84,H7, 'existing transmission'!$J$2:$J$84)</f>
        <v>0</v>
      </c>
      <c r="M7" s="138"/>
      <c r="N7" s="142" t="str">
        <f t="array" ref="N7">IFERROR(INDEX(#REF!, MATCH(0, COUNTIF($N$4:N6,#REF!), 0)), "")</f>
        <v/>
      </c>
      <c r="O7" s="130">
        <f>SUMIFS('vre plants'!$F$2:$F$19, 'vre plants'!$G$2:$G$19, 'scenario analysis'!N7, 'vre plants'!$C$2:$C$19, "wind_onshore") +SUMIFS('vre plants'!$F$2:$F$19, 'vre plants'!$G$2:$G$19, 'scenario analysis'!N7, 'vre plants'!$C$2:$C$19,"wind_offshore")</f>
        <v>0</v>
      </c>
      <c r="P7" s="131">
        <f>SUMIFS('vre plants'!$F$2:$F$19,'vre plants'!$G$2:$G$19,'scenario analysis'!N7,'vre plants'!$C$2:$C$19,"multi c-Si")</f>
        <v>0</v>
      </c>
      <c r="Q7" s="34">
        <f>SUMIFS('vre plants'!$F$2:$F$19, 'vre plants'!$G$2:$G$19, 'scenario analysis'!N7, 'vre plants'!$C$2:$C$19, "mono c-Si")</f>
        <v>0</v>
      </c>
      <c r="R7" s="34">
        <f>SUMIFS('vre plants'!$F$2:$F$19,'vre plants'!$G$2:$G$19,'scenario analysis'!N7,'vre plants'!$C$2:$C$19,"thin film")</f>
        <v>0</v>
      </c>
    </row>
    <row r="8" spans="1:18">
      <c r="A8" s="76" t="str">
        <f>'site independent'!A8</f>
        <v>NG_CT</v>
      </c>
      <c r="B8" s="152">
        <f>SUMIF('non-vre plants'!C4:C233,'scenario analysis'!A8,'non-vre plants'!F4:F233)</f>
        <v>0</v>
      </c>
      <c r="C8" s="77">
        <f>INDEX('site independent'!$A$3:$W$47, MATCH($A8, 'site independent'!$A$3:$A$47, 0), MATCH('scenario analysis'!C$3, 'site independent'!$A$3:$W$3, 0))</f>
        <v>1</v>
      </c>
      <c r="D8" s="77">
        <f>INDEX('site independent'!$A$3:$W$147, MATCH($A8, 'site independent'!$A$3:$A$147, 0), MATCH('scenario analysis'!D$3, 'site independent'!$A$3:$W$3, 0))</f>
        <v>1</v>
      </c>
      <c r="E8" s="77">
        <f>INDEX('site independent'!$A$3:$X$147, MATCH($A8, 'site independent'!$A$3:$A$147, 0), MATCH('scenario analysis'!E$3, 'site independent'!$A$3:$X$3, 0))</f>
        <v>968</v>
      </c>
      <c r="F8" s="137">
        <f t="shared" si="0"/>
        <v>0</v>
      </c>
      <c r="H8" s="122" t="str">
        <f t="array" ref="H8">IFERROR(INDEX(#REF!, MATCH(0, COUNTIF($H$4:H7,#REF!), 0)), "")</f>
        <v/>
      </c>
      <c r="I8" s="34" t="e">
        <f>SUMIFS(#REF!,#REF!,'scenario analysis'!H8)+SUMIFS('vre plants'!$F$2:$F$31,'vre plants'!$G$2:$G$31,'scenario analysis'!H8)+SUMIFS(storage!$E$2:$E$75,storage!$I$2:$I$75,'scenario analysis'!H8)+SUMIFS(EV_aggregator!$F$2:$F$75,EV_aggregator!$K$2:$K$75,'scenario analysis'!H8)</f>
        <v>#REF!</v>
      </c>
      <c r="J8" s="34">
        <f>SUMIF('demand centres'!$E$1:$E$50,'scenario analysis'!H8,'demand centres'!$B$1:$B$50)</f>
        <v>0</v>
      </c>
      <c r="K8" s="34">
        <f t="array" ref="K8">SUMIF('existing transmission'!$B$2:$B$84,H8, 'existing transmission'!$G$2:$G$84)+SUMIF('existing transmission'!$C$2:$C$84,H8, 'existing transmission'!$G$2:$G$84)</f>
        <v>0</v>
      </c>
      <c r="L8" s="90">
        <f t="array" ref="L8">SUMIF('existing transmission'!$B$2:$B$84,H8, 'existing transmission'!$J$2:$J$84)+SUMIF('existing transmission'!$C$2:$C$84,H8, 'existing transmission'!$J$2:$J$84)</f>
        <v>0</v>
      </c>
      <c r="M8" s="34"/>
      <c r="N8" s="142" t="str">
        <f t="array" ref="N8">IFERROR(INDEX(#REF!, MATCH(0, COUNTIF($N$4:N7,#REF!), 0)), "")</f>
        <v/>
      </c>
      <c r="O8" s="130">
        <f>SUMIFS('vre plants'!$F$2:$F$19, 'vre plants'!$G$2:$G$19, 'scenario analysis'!N8, 'vre plants'!$C$2:$C$19, "wind_onshore") +SUMIFS('vre plants'!$F$2:$F$19, 'vre plants'!$G$2:$G$19, 'scenario analysis'!N8, 'vre plants'!$C$2:$C$19,"wind_offshore")</f>
        <v>0</v>
      </c>
      <c r="P8" s="131">
        <f>SUMIFS('vre plants'!$F$2:$F$19,'vre plants'!$G$2:$G$19,'scenario analysis'!N8,'vre plants'!$C$2:$C$19,"multi c-Si")</f>
        <v>0</v>
      </c>
      <c r="Q8" s="34">
        <f>SUMIFS('vre plants'!$F$2:$F$19, 'vre plants'!$G$2:$G$19, 'scenario analysis'!N8, 'vre plants'!$C$2:$C$19, "mono c-Si")</f>
        <v>0</v>
      </c>
      <c r="R8" s="34">
        <f>SUMIFS('vre plants'!$F$2:$F$19,'vre plants'!$G$2:$G$19,'scenario analysis'!N8,'vre plants'!$C$2:$C$19,"thin film")</f>
        <v>0</v>
      </c>
    </row>
    <row r="9" spans="1:18">
      <c r="A9" s="76" t="str">
        <f>'site independent'!A9</f>
        <v>NG_CG</v>
      </c>
      <c r="B9" s="152">
        <f>SUMIF('non-vre plants'!C4:C234,'scenario analysis'!A9,'non-vre plants'!F4:F234)</f>
        <v>0</v>
      </c>
      <c r="C9" s="77">
        <f>INDEX('site independent'!$A$3:$W$47, MATCH($A9, 'site independent'!$A$3:$A$47, 0), MATCH('scenario analysis'!C$3, 'site independent'!$A$3:$W$3, 0))</f>
        <v>1</v>
      </c>
      <c r="D9" s="77">
        <f>INDEX('site independent'!$A$3:$W$147, MATCH($A9, 'site independent'!$A$3:$A$147, 0), MATCH('scenario analysis'!D$3, 'site independent'!$A$3:$W$3, 0))</f>
        <v>1</v>
      </c>
      <c r="E9" s="77">
        <f>INDEX('site independent'!$A$3:$X$147, MATCH($A9, 'site independent'!$A$3:$A$147, 0), MATCH('scenario analysis'!E$3, 'site independent'!$A$3:$X$3, 0))</f>
        <v>968</v>
      </c>
      <c r="F9" s="137">
        <f t="shared" si="0"/>
        <v>0</v>
      </c>
      <c r="H9" s="122" t="str">
        <f t="array" ref="H9">IFERROR(INDEX(#REF!, MATCH(0, COUNTIF($H$4:H8,#REF!), 0)), "")</f>
        <v/>
      </c>
      <c r="I9" s="34" t="e">
        <f>SUMIFS(#REF!,#REF!,'scenario analysis'!H9)+SUMIFS('vre plants'!$F$2:$F$31,'vre plants'!$G$2:$G$31,'scenario analysis'!H9)+SUMIFS(storage!$E$2:$E$75,storage!$I$2:$I$75,'scenario analysis'!H9)+SUMIFS(EV_aggregator!$F$2:$F$75,EV_aggregator!$K$2:$K$75,'scenario analysis'!H9)</f>
        <v>#REF!</v>
      </c>
      <c r="J9" s="34">
        <f>SUMIF('demand centres'!$E$1:$E$50,'scenario analysis'!H9,'demand centres'!$B$1:$B$50)</f>
        <v>0</v>
      </c>
      <c r="K9" s="34">
        <f t="array" ref="K9">SUMIF('existing transmission'!$B$2:$B$84,H9, 'existing transmission'!$G$2:$G$84)+SUMIF('existing transmission'!$C$2:$C$84,H9, 'existing transmission'!$G$2:$G$84)</f>
        <v>0</v>
      </c>
      <c r="L9" s="90">
        <f t="array" ref="L9">SUMIF('existing transmission'!$B$2:$B$84,H9, 'existing transmission'!$J$2:$J$84)+SUMIF('existing transmission'!$C$2:$C$84,H9, 'existing transmission'!$J$2:$J$84)</f>
        <v>0</v>
      </c>
      <c r="M9" s="34"/>
      <c r="N9" s="142" t="str">
        <f t="array" ref="N9">IFERROR(INDEX(#REF!, MATCH(0, COUNTIF($N$4:N8,#REF!), 0)), "")</f>
        <v/>
      </c>
      <c r="O9" s="130">
        <f>SUMIFS('vre plants'!$F$2:$F$19, 'vre plants'!$G$2:$G$19, 'scenario analysis'!N9, 'vre plants'!$C$2:$C$19, "wind_onshore") +SUMIFS('vre plants'!$F$2:$F$19, 'vre plants'!$G$2:$G$19, 'scenario analysis'!N9, 'vre plants'!$C$2:$C$19,"wind_offshore")</f>
        <v>0</v>
      </c>
      <c r="P9" s="131">
        <f>SUMIFS('vre plants'!$F$2:$F$19,'vre plants'!$G$2:$G$19,'scenario analysis'!N9,'vre plants'!$C$2:$C$19,"multi c-Si")</f>
        <v>0</v>
      </c>
      <c r="Q9" s="34">
        <f>SUMIFS('vre plants'!$F$2:$F$19, 'vre plants'!$G$2:$G$19, 'scenario analysis'!N9, 'vre plants'!$C$2:$C$19, "mono c-Si")</f>
        <v>0</v>
      </c>
      <c r="R9" s="34">
        <f>SUMIFS('vre plants'!$F$2:$F$19,'vre plants'!$G$2:$G$19,'scenario analysis'!N9,'vre plants'!$C$2:$C$19,"thin film")</f>
        <v>0</v>
      </c>
    </row>
    <row r="10" spans="1:18">
      <c r="A10" s="76" t="str">
        <f>'site independent'!A10</f>
        <v>diesel</v>
      </c>
      <c r="B10" s="152">
        <f>SUMIF('non-vre plants'!C4:C235,'scenario analysis'!A10,'non-vre plants'!F4:F235)</f>
        <v>0</v>
      </c>
      <c r="C10" s="77">
        <f>INDEX('site independent'!$A$3:$W$47, MATCH($A10, 'site independent'!$A$3:$A$47, 0), MATCH('scenario analysis'!C$3, 'site independent'!$A$3:$W$3, 0))</f>
        <v>1</v>
      </c>
      <c r="D10" s="77">
        <f>INDEX('site independent'!$A$3:$W$147, MATCH($A10, 'site independent'!$A$3:$A$147, 0), MATCH('scenario analysis'!D$3, 'site independent'!$A$3:$W$3, 0))</f>
        <v>0.86</v>
      </c>
      <c r="E10" s="77">
        <f>INDEX('site independent'!$A$3:$X$147, MATCH($A10, 'site independent'!$A$3:$A$147, 0), MATCH('scenario analysis'!E$3, 'site independent'!$A$3:$X$3, 0))</f>
        <v>0</v>
      </c>
      <c r="F10" s="137">
        <f t="shared" si="0"/>
        <v>0</v>
      </c>
      <c r="H10" s="122" t="str">
        <f t="array" ref="H10">IFERROR(INDEX(#REF!, MATCH(0, COUNTIF($H$4:H9,#REF!), 0)), "")</f>
        <v/>
      </c>
      <c r="I10" s="34" t="e">
        <f>SUMIFS(#REF!,#REF!,'scenario analysis'!H10)+SUMIFS('vre plants'!$F$2:$F$31,'vre plants'!$G$2:$G$31,'scenario analysis'!H10)+SUMIFS(storage!$E$2:$E$75,storage!$I$2:$I$75,'scenario analysis'!H10)+SUMIFS(EV_aggregator!$F$2:$F$75,EV_aggregator!$K$2:$K$75,'scenario analysis'!H10)</f>
        <v>#REF!</v>
      </c>
      <c r="J10" s="34">
        <f>SUMIF('demand centres'!$E$1:$E$50,'scenario analysis'!H10,'demand centres'!$B$1:$B$50)</f>
        <v>0</v>
      </c>
      <c r="K10" s="34">
        <f t="array" ref="K10">SUMIF('existing transmission'!$B$2:$B$84,H10, 'existing transmission'!$G$2:$G$84)+SUMIF('existing transmission'!$C$2:$C$84,H10, 'existing transmission'!$G$2:$G$84)</f>
        <v>0</v>
      </c>
      <c r="L10" s="90">
        <f t="array" ref="L10">SUMIF('existing transmission'!$B$2:$B$84,H10, 'existing transmission'!$J$2:$J$84)+SUMIF('existing transmission'!$C$2:$C$84,H10, 'existing transmission'!$J$2:$J$84)</f>
        <v>0</v>
      </c>
      <c r="M10" s="34"/>
      <c r="N10" s="142" t="str">
        <f t="array" ref="N10">IFERROR(INDEX(#REF!, MATCH(0, COUNTIF($N$4:N9,#REF!), 0)), "")</f>
        <v/>
      </c>
      <c r="O10" s="130">
        <f>SUMIFS('vre plants'!$F$2:$F$19, 'vre plants'!$G$2:$G$19, 'scenario analysis'!N10, 'vre plants'!$C$2:$C$19, "wind_onshore") +SUMIFS('vre plants'!$F$2:$F$19, 'vre plants'!$G$2:$G$19, 'scenario analysis'!N10, 'vre plants'!$C$2:$C$19,"wind_offshore")</f>
        <v>0</v>
      </c>
      <c r="P10" s="131">
        <f>SUMIFS('vre plants'!$F$2:$F$19,'vre plants'!$G$2:$G$19,'scenario analysis'!N10,'vre plants'!$C$2:$C$19,"multi c-Si")</f>
        <v>0</v>
      </c>
      <c r="Q10" s="34">
        <f>SUMIFS('vre plants'!$F$2:$F$19, 'vre plants'!$G$2:$G$19, 'scenario analysis'!N10, 'vre plants'!$C$2:$C$19, "mono c-Si")</f>
        <v>0</v>
      </c>
      <c r="R10" s="34">
        <f>SUMIFS('vre plants'!$F$2:$F$19,'vre plants'!$G$2:$G$19,'scenario analysis'!N10,'vre plants'!$C$2:$C$19,"thin film")</f>
        <v>0</v>
      </c>
    </row>
    <row r="11" spans="1:18">
      <c r="A11" s="76" t="str">
        <f>'site independent'!A11</f>
        <v>fuel oil</v>
      </c>
      <c r="B11" s="152">
        <f>SUMIF('non-vre plants'!C4:C236,'scenario analysis'!A11,'non-vre plants'!F4:F236)</f>
        <v>55</v>
      </c>
      <c r="C11" s="77">
        <f>INDEX('site independent'!$A$3:$W$47, MATCH($A11, 'site independent'!$A$3:$A$47, 0), MATCH('scenario analysis'!C$3, 'site independent'!$A$3:$W$3, 0))</f>
        <v>1</v>
      </c>
      <c r="D11" s="77">
        <f>INDEX('site independent'!$A$3:$W$147, MATCH($A11, 'site independent'!$A$3:$A$147, 0), MATCH('scenario analysis'!D$3, 'site independent'!$A$3:$W$3, 0))</f>
        <v>0.86</v>
      </c>
      <c r="E11" s="77">
        <f>INDEX('site independent'!$A$3:$X$147, MATCH($A11, 'site independent'!$A$3:$A$147, 0), MATCH('scenario analysis'!E$3, 'site independent'!$A$3:$X$3, 0))</f>
        <v>0</v>
      </c>
      <c r="F11" s="137">
        <f t="shared" si="0"/>
        <v>0</v>
      </c>
      <c r="H11" s="122" t="str">
        <f t="array" ref="H11">IFERROR(INDEX(#REF!, MATCH(0, COUNTIF($H$4:H10,#REF!), 0)), "")</f>
        <v/>
      </c>
      <c r="I11" s="34" t="e">
        <f>SUMIFS(#REF!,#REF!,'scenario analysis'!H11)+SUMIFS('vre plants'!$F$2:$F$31,'vre plants'!$G$2:$G$31,'scenario analysis'!H11)+SUMIFS(storage!$E$2:$E$75,storage!$I$2:$I$75,'scenario analysis'!H11)+SUMIFS(EV_aggregator!$F$2:$F$75,EV_aggregator!$K$2:$K$75,'scenario analysis'!H11)</f>
        <v>#REF!</v>
      </c>
      <c r="J11" s="34">
        <f>SUMIF('demand centres'!$E$1:$E$50,'scenario analysis'!H11,'demand centres'!$B$1:$B$50)</f>
        <v>0</v>
      </c>
      <c r="K11" s="34">
        <f t="array" ref="K11">SUMIF('existing transmission'!$B$2:$B$84,H11, 'existing transmission'!$G$2:$G$84)+SUMIF('existing transmission'!$C$2:$C$84,H11, 'existing transmission'!$G$2:$G$84)</f>
        <v>0</v>
      </c>
      <c r="L11" s="90">
        <f t="array" ref="L11">SUMIF('existing transmission'!$B$2:$B$84,H11, 'existing transmission'!$J$2:$J$84)+SUMIF('existing transmission'!$C$2:$C$84,H11, 'existing transmission'!$J$2:$J$84)</f>
        <v>0</v>
      </c>
      <c r="M11" s="34"/>
      <c r="N11" s="142" t="str">
        <f t="array" ref="N11">IFERROR(INDEX(#REF!, MATCH(0, COUNTIF($N$4:N10,#REF!), 0)), "")</f>
        <v/>
      </c>
      <c r="O11" s="130">
        <f>SUMIFS('vre plants'!$F$2:$F$19, 'vre plants'!$G$2:$G$19, 'scenario analysis'!N11, 'vre plants'!$C$2:$C$19, "wind_onshore") +SUMIFS('vre plants'!$F$2:$F$19, 'vre plants'!$G$2:$G$19, 'scenario analysis'!N11, 'vre plants'!$C$2:$C$19,"wind_offshore")</f>
        <v>0</v>
      </c>
      <c r="P11" s="131">
        <f>SUMIFS('vre plants'!$F$2:$F$19,'vre plants'!$G$2:$G$19,'scenario analysis'!N11,'vre plants'!$C$2:$C$19,"multi c-Si")</f>
        <v>0</v>
      </c>
      <c r="Q11" s="34">
        <f>SUMIFS('vre plants'!$F$2:$F$19, 'vre plants'!$G$2:$G$19, 'scenario analysis'!N11, 'vre plants'!$C$2:$C$19, "mono c-Si")</f>
        <v>0</v>
      </c>
      <c r="R11" s="34">
        <f>SUMIFS('vre plants'!$F$2:$F$19,'vre plants'!$G$2:$G$19,'scenario analysis'!N11,'vre plants'!$C$2:$C$19,"thin film")</f>
        <v>0</v>
      </c>
    </row>
    <row r="12" spans="1:18">
      <c r="A12" s="76" t="str">
        <f>'site independent'!A12</f>
        <v>nuclear</v>
      </c>
      <c r="B12" s="152">
        <f>SUMIF('non-vre plants'!C4:C237,'scenario analysis'!A12,'non-vre plants'!F4:F237)</f>
        <v>30</v>
      </c>
      <c r="C12" s="77">
        <f>INDEX('site independent'!$A$3:$W$47, MATCH($A12, 'site independent'!$A$3:$A$47, 0), MATCH('scenario analysis'!C$3, 'site independent'!$A$3:$W$3, 0))</f>
        <v>1</v>
      </c>
      <c r="D12" s="77">
        <f>INDEX('site independent'!$A$3:$W$147, MATCH($A12, 'site independent'!$A$3:$A$147, 0), MATCH('scenario analysis'!D$3, 'site independent'!$A$3:$W$3, 0))</f>
        <v>0.2</v>
      </c>
      <c r="E12" s="77">
        <f>INDEX('site independent'!$A$3:$X$147, MATCH($A12, 'site independent'!$A$3:$A$147, 0), MATCH('scenario analysis'!E$3, 'site independent'!$A$3:$X$3, 0))</f>
        <v>5366</v>
      </c>
      <c r="F12" s="137">
        <f t="shared" si="0"/>
        <v>160980000</v>
      </c>
      <c r="H12" s="122" t="str">
        <f t="array" ref="H12">IFERROR(INDEX(#REF!, MATCH(0, COUNTIF($H$4:H11,#REF!), 0)), "")</f>
        <v/>
      </c>
      <c r="I12" s="34" t="e">
        <f>SUMIFS(#REF!,#REF!,'scenario analysis'!H12)+SUMIFS('vre plants'!$F$2:$F$31,'vre plants'!$G$2:$G$31,'scenario analysis'!H12)+SUMIFS(storage!$E$2:$E$75,storage!$I$2:$I$75,'scenario analysis'!H12)+SUMIFS(EV_aggregator!$F$2:$F$75,EV_aggregator!$K$2:$K$75,'scenario analysis'!H12)</f>
        <v>#REF!</v>
      </c>
      <c r="J12" s="34">
        <f>SUMIF('demand centres'!$E$1:$E$50,'scenario analysis'!H12,'demand centres'!$B$1:$B$50)</f>
        <v>0</v>
      </c>
      <c r="K12" s="34">
        <f t="array" ref="K12">SUMIF('existing transmission'!$B$2:$B$84,H12, 'existing transmission'!$G$2:$G$84)+SUMIF('existing transmission'!$C$2:$C$84,H12, 'existing transmission'!$G$2:$G$84)</f>
        <v>0</v>
      </c>
      <c r="L12" s="90">
        <f t="array" ref="L12">SUMIF('existing transmission'!$B$2:$B$84,H12, 'existing transmission'!$J$2:$J$84)+SUMIF('existing transmission'!$C$2:$C$84,H12, 'existing transmission'!$J$2:$J$84)</f>
        <v>0</v>
      </c>
      <c r="M12" s="34"/>
      <c r="N12" s="142" t="str">
        <f t="array" ref="N12">IFERROR(INDEX(#REF!, MATCH(0, COUNTIF($N$4:N11,#REF!), 0)), "")</f>
        <v/>
      </c>
      <c r="O12" s="130">
        <f>SUMIFS('vre plants'!$F$2:$F$19, 'vre plants'!$G$2:$G$19, 'scenario analysis'!N12, 'vre plants'!$C$2:$C$19, "wind_onshore") +SUMIFS('vre plants'!$F$2:$F$19, 'vre plants'!$G$2:$G$19, 'scenario analysis'!N12, 'vre plants'!$C$2:$C$19,"wind_offshore")</f>
        <v>0</v>
      </c>
      <c r="P12" s="131">
        <f>SUMIFS('vre plants'!$F$2:$F$19,'vre plants'!$G$2:$G$19,'scenario analysis'!N12,'vre plants'!$C$2:$C$19,"multi c-Si")</f>
        <v>0</v>
      </c>
      <c r="Q12" s="34">
        <f>SUMIFS('vre plants'!$F$2:$F$19, 'vre plants'!$G$2:$G$19, 'scenario analysis'!N12, 'vre plants'!$C$2:$C$19, "mono c-Si")</f>
        <v>0</v>
      </c>
      <c r="R12" s="34">
        <f>SUMIFS('vre plants'!$F$2:$F$19,'vre plants'!$G$2:$G$19,'scenario analysis'!N12,'vre plants'!$C$2:$C$19,"thin film")</f>
        <v>0</v>
      </c>
    </row>
    <row r="13" spans="1:18">
      <c r="A13" s="76" t="str">
        <f>'site independent'!A13</f>
        <v>hydro</v>
      </c>
      <c r="B13" s="152">
        <f>SUMIF('non-vre plants'!C4:C238,'scenario analysis'!A13,'non-vre plants'!F4:F238)</f>
        <v>0</v>
      </c>
      <c r="C13" s="77">
        <f>INDEX('site independent'!$A$3:$W$47, MATCH($A13, 'site independent'!$A$3:$A$47, 0), MATCH('scenario analysis'!C$3, 'site independent'!$A$3:$W$3, 0))</f>
        <v>1</v>
      </c>
      <c r="D13" s="77">
        <f>INDEX('site independent'!$A$3:$W$147, MATCH($A13, 'site independent'!$A$3:$A$147, 0), MATCH('scenario analysis'!D$3, 'site independent'!$A$3:$W$3, 0))</f>
        <v>0.66</v>
      </c>
      <c r="E13" s="77">
        <f>INDEX('site independent'!$A$3:$X$147, MATCH($A13, 'site independent'!$A$3:$A$147, 0), MATCH('scenario analysis'!E$3, 'site independent'!$A$3:$X$3, 0))</f>
        <v>2651</v>
      </c>
      <c r="F13" s="137">
        <f t="shared" si="0"/>
        <v>0</v>
      </c>
      <c r="H13" s="122" t="str">
        <f t="array" ref="H13">IFERROR(INDEX(#REF!, MATCH(0, COUNTIF($H$4:H12,#REF!), 0)), "")</f>
        <v/>
      </c>
      <c r="I13" s="34" t="e">
        <f>SUMIFS(#REF!,#REF!,'scenario analysis'!H13)+SUMIFS('vre plants'!$F$2:$F$31,'vre plants'!$G$2:$G$31,'scenario analysis'!H13)+SUMIFS(storage!$E$2:$E$75,storage!$I$2:$I$75,'scenario analysis'!H13)+SUMIFS(EV_aggregator!$F$2:$F$75,EV_aggregator!$K$2:$K$75,'scenario analysis'!H13)</f>
        <v>#REF!</v>
      </c>
      <c r="J13" s="34">
        <f>SUMIF('demand centres'!$E$1:$E$50,'scenario analysis'!H13,'demand centres'!$B$1:$B$50)</f>
        <v>0</v>
      </c>
      <c r="K13" s="34">
        <f t="array" ref="K13">SUMIF('existing transmission'!$B$2:$B$84,H13, 'existing transmission'!$G$2:$G$84)+SUMIF('existing transmission'!$C$2:$C$84,H13, 'existing transmission'!$G$2:$G$84)</f>
        <v>0</v>
      </c>
      <c r="L13" s="90">
        <f t="array" ref="L13">SUMIF('existing transmission'!$B$2:$B$84,H13, 'existing transmission'!$J$2:$J$84)+SUMIF('existing transmission'!$C$2:$C$84,H13, 'existing transmission'!$J$2:$J$84)</f>
        <v>0</v>
      </c>
      <c r="M13" s="34"/>
      <c r="N13" s="142" t="str">
        <f t="array" ref="N13">IFERROR(INDEX(#REF!, MATCH(0, COUNTIF($N$4:N12,#REF!), 0)), "")</f>
        <v/>
      </c>
      <c r="O13" s="130">
        <f>SUMIFS('vre plants'!$F$2:$F$19, 'vre plants'!$G$2:$G$19, 'scenario analysis'!N13, 'vre plants'!$C$2:$C$19, "wind_onshore") +SUMIFS('vre plants'!$F$2:$F$19, 'vre plants'!$G$2:$G$19, 'scenario analysis'!N13, 'vre plants'!$C$2:$C$19,"wind_offshore")</f>
        <v>0</v>
      </c>
      <c r="P13" s="131">
        <f>SUMIFS('vre plants'!$F$2:$F$19,'vre plants'!$G$2:$G$19,'scenario analysis'!N13,'vre plants'!$C$2:$C$19,"multi c-Si")</f>
        <v>0</v>
      </c>
      <c r="Q13" s="34">
        <f>SUMIFS('vre plants'!$F$2:$F$19, 'vre plants'!$G$2:$G$19, 'scenario analysis'!N13, 'vre plants'!$C$2:$C$19, "mono c-Si")</f>
        <v>0</v>
      </c>
      <c r="R13" s="34">
        <f>SUMIFS('vre plants'!$F$2:$F$19,'vre plants'!$G$2:$G$19,'scenario analysis'!N13,'vre plants'!$C$2:$C$19,"thin film")</f>
        <v>0</v>
      </c>
    </row>
    <row r="14" spans="1:18">
      <c r="A14" s="76" t="str">
        <f>'site independent'!A14</f>
        <v>hydro_hourly</v>
      </c>
      <c r="B14" s="152">
        <f>SUMIF('non-vre plants'!C4:C239,'scenario analysis'!A14,'non-vre plants'!F4:F239)</f>
        <v>0</v>
      </c>
      <c r="C14" s="77">
        <f>INDEX('site independent'!$A$3:$W$47, MATCH($A14, 'site independent'!$A$3:$A$47, 0), MATCH('scenario analysis'!C$3, 'site independent'!$A$3:$W$3, 0))</f>
        <v>1</v>
      </c>
      <c r="D14" s="77">
        <f>INDEX('site independent'!$A$3:$W$147, MATCH($A14, 'site independent'!$A$3:$A$147, 0), MATCH('scenario analysis'!D$3, 'site independent'!$A$3:$W$3, 0))</f>
        <v>0.66</v>
      </c>
      <c r="E14" s="77">
        <f>INDEX('site independent'!$A$3:$X$147, MATCH($A14, 'site independent'!$A$3:$A$147, 0), MATCH('scenario analysis'!E$3, 'site independent'!$A$3:$X$3, 0))</f>
        <v>2651</v>
      </c>
      <c r="F14" s="137">
        <f t="shared" si="0"/>
        <v>0</v>
      </c>
      <c r="H14" s="122" t="str">
        <f t="array" ref="H14">IFERROR(INDEX(#REF!, MATCH(0, COUNTIF($H$4:H13,#REF!), 0)), "")</f>
        <v/>
      </c>
      <c r="I14" s="34" t="e">
        <f>SUMIFS(#REF!,#REF!,'scenario analysis'!H14)+SUMIFS('vre plants'!$F$2:$F$31,'vre plants'!$G$2:$G$31,'scenario analysis'!H14)+SUMIFS(storage!$E$2:$E$75,storage!$I$2:$I$75,'scenario analysis'!H14)+SUMIFS(EV_aggregator!$F$2:$F$75,EV_aggregator!$K$2:$K$75,'scenario analysis'!H14)</f>
        <v>#REF!</v>
      </c>
      <c r="J14" s="34">
        <f>SUMIF('demand centres'!$E$1:$E$50,'scenario analysis'!H14,'demand centres'!$B$1:$B$50)</f>
        <v>0</v>
      </c>
      <c r="K14" s="34">
        <f t="array" ref="K14">SUMIF('existing transmission'!$B$2:$B$84,H14, 'existing transmission'!$G$2:$G$84)+SUMIF('existing transmission'!$C$2:$C$84,H14, 'existing transmission'!$G$2:$G$84)</f>
        <v>0</v>
      </c>
      <c r="L14" s="90">
        <f t="array" ref="L14">SUMIF('existing transmission'!$B$2:$B$84,H14, 'existing transmission'!$J$2:$J$84)+SUMIF('existing transmission'!$C$2:$C$84,H14, 'existing transmission'!$J$2:$J$84)</f>
        <v>0</v>
      </c>
      <c r="M14" s="34"/>
      <c r="N14" s="142" t="str">
        <f t="array" ref="N14">IFERROR(INDEX(#REF!, MATCH(0, COUNTIF($N$4:N13,#REF!), 0)), "")</f>
        <v/>
      </c>
      <c r="O14" s="130">
        <f>SUMIFS('vre plants'!$F$2:$F$19, 'vre plants'!$G$2:$G$19, 'scenario analysis'!N14, 'vre plants'!$C$2:$C$19, "wind_onshore") +SUMIFS('vre plants'!$F$2:$F$19, 'vre plants'!$G$2:$G$19, 'scenario analysis'!N14, 'vre plants'!$C$2:$C$19,"wind_offshore")</f>
        <v>0</v>
      </c>
      <c r="P14" s="131">
        <f>SUMIFS('vre plants'!$F$2:$F$19,'vre plants'!$G$2:$G$19,'scenario analysis'!N14,'vre plants'!$C$2:$C$19,"multi c-Si")</f>
        <v>0</v>
      </c>
      <c r="Q14" s="34">
        <f>SUMIFS('vre plants'!$F$2:$F$19, 'vre plants'!$G$2:$G$19, 'scenario analysis'!N14, 'vre plants'!$C$2:$C$19, "mono c-Si")</f>
        <v>0</v>
      </c>
      <c r="R14" s="34">
        <f>SUMIFS('vre plants'!$F$2:$F$19,'vre plants'!$G$2:$G$19,'scenario analysis'!N14,'vre plants'!$C$2:$C$19,"thin film")</f>
        <v>0</v>
      </c>
    </row>
    <row r="15" spans="1:18">
      <c r="A15" s="76" t="str">
        <f>'site independent'!A15</f>
        <v>hydro_daily</v>
      </c>
      <c r="B15" s="152">
        <f>SUMIF('non-vre plants'!C4:C240,'scenario analysis'!A15,'non-vre plants'!F4:F240)</f>
        <v>0</v>
      </c>
      <c r="C15" s="77">
        <f>INDEX('site independent'!$A$3:$W$47, MATCH($A15, 'site independent'!$A$3:$A$47, 0), MATCH('scenario analysis'!C$3, 'site independent'!$A$3:$W$3, 0))</f>
        <v>1</v>
      </c>
      <c r="D15" s="77">
        <f>INDEX('site independent'!$A$3:$W$147, MATCH($A15, 'site independent'!$A$3:$A$147, 0), MATCH('scenario analysis'!D$3, 'site independent'!$A$3:$W$3, 0))</f>
        <v>0.66</v>
      </c>
      <c r="E15" s="77">
        <f>INDEX('site independent'!$A$3:$X$147, MATCH($A15, 'site independent'!$A$3:$A$147, 0), MATCH('scenario analysis'!E$3, 'site independent'!$A$3:$X$3, 0))</f>
        <v>2651</v>
      </c>
      <c r="F15" s="137">
        <f t="shared" si="0"/>
        <v>0</v>
      </c>
      <c r="H15" s="122"/>
      <c r="I15" s="34"/>
      <c r="J15" s="34"/>
      <c r="K15" s="34"/>
      <c r="L15" s="90"/>
      <c r="M15" s="34"/>
      <c r="N15" s="142"/>
      <c r="O15" s="130"/>
      <c r="P15" s="131"/>
      <c r="Q15" s="34"/>
      <c r="R15" s="34"/>
    </row>
    <row r="16" spans="1:18">
      <c r="A16" s="76" t="str">
        <f>'site independent'!A16</f>
        <v>hydro_monthly</v>
      </c>
      <c r="B16" s="152">
        <f>SUMIF('non-vre plants'!C4:C241,'scenario analysis'!A16,'non-vre plants'!F4:F241)</f>
        <v>0</v>
      </c>
      <c r="C16" s="77">
        <f>INDEX('site independent'!$A$3:$W$47, MATCH($A16, 'site independent'!$A$3:$A$47, 0), MATCH('scenario analysis'!C$3, 'site independent'!$A$3:$W$3, 0))</f>
        <v>1</v>
      </c>
      <c r="D16" s="77">
        <f>INDEX('site independent'!$A$3:$W$147, MATCH($A16, 'site independent'!$A$3:$A$147, 0), MATCH('scenario analysis'!D$3, 'site independent'!$A$3:$W$3, 0))</f>
        <v>0.66</v>
      </c>
      <c r="E16" s="77">
        <f>INDEX('site independent'!$A$3:$X$147, MATCH($A16, 'site independent'!$A$3:$A$147, 0), MATCH('scenario analysis'!E$3, 'site independent'!$A$3:$X$3, 0))</f>
        <v>2651</v>
      </c>
      <c r="F16" s="137">
        <f t="shared" si="0"/>
        <v>0</v>
      </c>
      <c r="H16" s="122"/>
      <c r="I16" s="34"/>
      <c r="J16" s="34"/>
      <c r="K16" s="34"/>
      <c r="L16" s="90"/>
      <c r="M16" s="34"/>
      <c r="N16" s="142"/>
      <c r="O16" s="130"/>
      <c r="P16" s="131"/>
      <c r="Q16" s="34"/>
      <c r="R16" s="34"/>
    </row>
    <row r="17" spans="1:18">
      <c r="A17" s="76" t="str">
        <f>'site independent'!A17</f>
        <v>geothermal</v>
      </c>
      <c r="B17" s="152">
        <f>SUMIF('non-vre plants'!C4:C242,'scenario analysis'!A17,'non-vre plants'!F4:F242)</f>
        <v>0</v>
      </c>
      <c r="C17" s="77">
        <f>INDEX('site independent'!$A$3:$W$47, MATCH($A17, 'site independent'!$A$3:$A$47, 0), MATCH('scenario analysis'!C$3, 'site independent'!$A$3:$W$3, 0))</f>
        <v>1</v>
      </c>
      <c r="D17" s="77">
        <f>INDEX('site independent'!$A$3:$W$147, MATCH($A17, 'site independent'!$A$3:$A$147, 0), MATCH('scenario analysis'!D$3, 'site independent'!$A$3:$W$3, 0))</f>
        <v>0.32</v>
      </c>
      <c r="E17" s="77">
        <f>INDEX('site independent'!$A$3:$X$147, MATCH($A17, 'site independent'!$A$3:$A$147, 0), MATCH('scenario analysis'!E$3, 'site independent'!$A$3:$X$3, 0))</f>
        <v>2448</v>
      </c>
      <c r="F17" s="137">
        <f t="shared" si="0"/>
        <v>0</v>
      </c>
      <c r="H17" s="122"/>
      <c r="I17" s="34"/>
      <c r="J17" s="34"/>
      <c r="K17" s="34"/>
      <c r="L17" s="90"/>
      <c r="M17" s="34"/>
      <c r="N17" s="142"/>
      <c r="O17" s="130"/>
      <c r="P17" s="131"/>
      <c r="Q17" s="34"/>
      <c r="R17" s="34"/>
    </row>
    <row r="18" spans="1:18">
      <c r="A18" s="76" t="str">
        <f>'site independent'!A18</f>
        <v>biomass</v>
      </c>
      <c r="B18" s="152">
        <f>SUMIF('non-vre plants'!C5:C243,'scenario analysis'!A18,'non-vre plants'!F5:F243)</f>
        <v>0</v>
      </c>
      <c r="C18" s="77">
        <f>INDEX('site independent'!$A$3:$W$47, MATCH($A18, 'site independent'!$A$3:$A$47, 0), MATCH('scenario analysis'!C$3, 'site independent'!$A$3:$W$3, 0))</f>
        <v>1</v>
      </c>
      <c r="D18" s="77">
        <f>INDEX('site independent'!$A$3:$W$147, MATCH($A18, 'site independent'!$A$3:$A$147, 0), MATCH('scenario analysis'!D$3, 'site independent'!$A$3:$W$3, 0))</f>
        <v>0.53</v>
      </c>
      <c r="E18" s="77">
        <f>INDEX('site independent'!$A$3:$X$147, MATCH($A18, 'site independent'!$A$3:$A$147, 0), MATCH('scenario analysis'!E$3, 'site independent'!$A$3:$X$3, 0))</f>
        <v>3659</v>
      </c>
      <c r="F18" s="137">
        <f t="shared" si="0"/>
        <v>0</v>
      </c>
      <c r="H18" s="122"/>
      <c r="I18" s="34"/>
      <c r="J18" s="34"/>
      <c r="K18" s="34"/>
      <c r="L18" s="90"/>
      <c r="M18" s="34"/>
      <c r="N18" s="142"/>
      <c r="O18" s="130"/>
      <c r="P18" s="131"/>
      <c r="Q18" s="34"/>
      <c r="R18" s="34"/>
    </row>
    <row r="19" spans="1:18">
      <c r="A19" s="76" t="str">
        <f>'site independent'!A19</f>
        <v>biogas</v>
      </c>
      <c r="B19" s="152">
        <f>SUMIF('non-vre plants'!C6:C244,'scenario analysis'!A19,'non-vre plants'!F6:F244)</f>
        <v>0</v>
      </c>
      <c r="C19" s="77">
        <f>INDEX('site independent'!$A$3:$W$47, MATCH($A19, 'site independent'!$A$3:$A$47, 0), MATCH('scenario analysis'!C$3, 'site independent'!$A$3:$W$3, 0))</f>
        <v>1</v>
      </c>
      <c r="D19" s="77">
        <f>INDEX('site independent'!$A$3:$W$147, MATCH($A19, 'site independent'!$A$3:$A$147, 0), MATCH('scenario analysis'!D$3, 'site independent'!$A$3:$W$3, 0))</f>
        <v>0.53</v>
      </c>
      <c r="E19" s="77">
        <f>INDEX('site independent'!$A$3:$X$147, MATCH($A19, 'site independent'!$A$3:$A$147, 0), MATCH('scenario analysis'!E$3, 'site independent'!$A$3:$X$3, 0))</f>
        <v>3659</v>
      </c>
      <c r="F19" s="137">
        <f t="shared" si="0"/>
        <v>0</v>
      </c>
      <c r="H19" s="122"/>
      <c r="I19" s="34"/>
      <c r="J19" s="34"/>
      <c r="K19" s="34"/>
      <c r="L19" s="90"/>
      <c r="M19" s="34"/>
      <c r="N19" s="142"/>
      <c r="O19" s="130"/>
      <c r="P19" s="131"/>
      <c r="Q19" s="34"/>
      <c r="R19" s="34"/>
    </row>
    <row r="20" spans="1:18">
      <c r="A20" t="s">
        <v>412</v>
      </c>
      <c r="B20" s="152">
        <f>SUMIF('non-vre plants'!C7:C245,'scenario analysis'!A20,'non-vre plants'!F7:F245)</f>
        <v>0</v>
      </c>
      <c r="C20" s="77" t="e">
        <f>INDEX('site independent'!$A$3:$W$47, MATCH($A20, 'site independent'!$A$3:$A$47, 0), MATCH('scenario analysis'!C$3, 'site independent'!$A$3:$W$3, 0))</f>
        <v>#N/A</v>
      </c>
      <c r="D20" s="77" t="e">
        <f>INDEX('site independent'!$A$3:$W$147, MATCH($A20, 'site independent'!$A$3:$A$147, 0), MATCH('scenario analysis'!D$3, 'site independent'!$A$3:$W$3, 0))</f>
        <v>#N/A</v>
      </c>
      <c r="E20" s="77" t="e">
        <f>INDEX('site independent'!$A$3:$X$147, MATCH($A20, 'site independent'!$A$3:$A$147, 0), MATCH('scenario analysis'!E$3, 'site independent'!$A$3:$X$3, 0))</f>
        <v>#N/A</v>
      </c>
      <c r="F20" s="137" t="e">
        <f t="shared" si="0"/>
        <v>#N/A</v>
      </c>
      <c r="H20" s="122" t="str">
        <f t="array" ref="H20">IFERROR(INDEX(#REF!, MATCH(0, COUNTIF($H$4:H14,#REF!), 0)), "")</f>
        <v/>
      </c>
      <c r="I20" s="34" t="e">
        <f>SUMIFS(#REF!,#REF!,'scenario analysis'!H20)+SUMIFS('vre plants'!$F$2:$F$31,'vre plants'!$G$2:$G$31,'scenario analysis'!H20)+SUMIFS(storage!$E$2:$E$75,storage!$I$2:$I$75,'scenario analysis'!H20)+SUMIFS(EV_aggregator!$F$2:$F$75,EV_aggregator!$K$2:$K$75,'scenario analysis'!H20)</f>
        <v>#REF!</v>
      </c>
      <c r="J20" s="34">
        <f>SUMIF('demand centres'!$E$1:$E$50,'scenario analysis'!H20,'demand centres'!$B$1:$B$50)</f>
        <v>0</v>
      </c>
      <c r="K20" s="34">
        <f t="array" ref="K20">SUMIF('existing transmission'!$B$2:$B$84,H20, 'existing transmission'!$G$2:$G$84)+SUMIF('existing transmission'!$C$2:$C$84,H20, 'existing transmission'!$G$2:$G$84)</f>
        <v>0</v>
      </c>
      <c r="L20" s="90">
        <f t="array" ref="L20">SUMIF('existing transmission'!$B$2:$B$84,H20, 'existing transmission'!$J$2:$J$84)+SUMIF('existing transmission'!$C$2:$C$84,H20, 'existing transmission'!$J$2:$J$84)</f>
        <v>0</v>
      </c>
      <c r="M20" s="34"/>
      <c r="N20" s="142" t="str">
        <f t="array" ref="N20">IFERROR(INDEX(#REF!, MATCH(0, COUNTIF($N$4:N14,#REF!), 0)), "")</f>
        <v/>
      </c>
      <c r="O20" s="130">
        <f>SUMIFS('vre plants'!$F$2:$F$19, 'vre plants'!$G$2:$G$19, 'scenario analysis'!N20, 'vre plants'!$C$2:$C$19, "wind_onshore") +SUMIFS('vre plants'!$F$2:$F$19, 'vre plants'!$G$2:$G$19, 'scenario analysis'!N20, 'vre plants'!$C$2:$C$19,"wind_offshore")</f>
        <v>0</v>
      </c>
      <c r="P20" s="131">
        <f>SUMIFS('vre plants'!$F$2:$F$19,'vre plants'!$G$2:$G$19,'scenario analysis'!N20,'vre plants'!$C$2:$C$19,"multi c-Si")</f>
        <v>0</v>
      </c>
      <c r="Q20" s="34">
        <f>SUMIFS('vre plants'!$F$2:$F$19, 'vre plants'!$G$2:$G$19, 'scenario analysis'!N20, 'vre plants'!$C$2:$C$19, "mono c-Si")</f>
        <v>0</v>
      </c>
      <c r="R20" s="34">
        <f>SUMIFS('vre plants'!$F$2:$F$19,'vre plants'!$G$2:$G$19,'scenario analysis'!N20,'vre plants'!$C$2:$C$19,"thin film")</f>
        <v>0</v>
      </c>
    </row>
    <row r="21" spans="1:18">
      <c r="A21" s="122" t="s">
        <v>4</v>
      </c>
      <c r="B21" s="152">
        <f>SUMIF('non-vre plants'!C8:C246,'scenario analysis'!A21,'non-vre plants'!F8:F246)</f>
        <v>0</v>
      </c>
      <c r="C21" s="77">
        <f>INDEX('site independent'!$A$3:$W$47, MATCH($A21, 'site independent'!$A$3:$A$47, 0), MATCH('scenario analysis'!C$3, 'site independent'!$A$3:$W$3, 0))</f>
        <v>0.2</v>
      </c>
      <c r="D21" s="77">
        <f>INDEX('site independent'!$A$3:$W$147, MATCH($A21, 'site independent'!$A$3:$A$147, 0), MATCH('scenario analysis'!D$3, 'site independent'!$A$3:$W$3, 0))</f>
        <v>0</v>
      </c>
      <c r="E21" s="77">
        <f>INDEX('site independent'!$A$3:$X$147, MATCH($A21, 'site independent'!$A$3:$A$147, 0), MATCH('scenario analysis'!E$3, 'site independent'!$A$3:$X$3, 0))</f>
        <v>19.8</v>
      </c>
      <c r="F21" s="137">
        <f t="shared" si="0"/>
        <v>0</v>
      </c>
      <c r="H21" s="122" t="str">
        <f t="array" ref="H21">IFERROR(INDEX(#REF!, MATCH(0, COUNTIF($H$4:H20,#REF!), 0)), "")</f>
        <v/>
      </c>
      <c r="I21" s="34" t="e">
        <f>SUMIFS(#REF!,#REF!,'scenario analysis'!H21)+SUMIFS('vre plants'!$F$2:$F$31,'vre plants'!$G$2:$G$31,'scenario analysis'!H21)+SUMIFS(storage!$E$2:$E$75,storage!$I$2:$I$75,'scenario analysis'!H21)+SUMIFS(EV_aggregator!$F$2:$F$75,EV_aggregator!$K$2:$K$75,'scenario analysis'!H21)</f>
        <v>#REF!</v>
      </c>
      <c r="J21" s="34">
        <f>SUMIF('demand centres'!$E$1:$E$50,'scenario analysis'!H21,'demand centres'!$B$1:$B$50)</f>
        <v>0</v>
      </c>
      <c r="K21" s="34">
        <f t="array" ref="K21">SUMIF('existing transmission'!$B$2:$B$84,H21, 'existing transmission'!$G$2:$G$84)+SUMIF('existing transmission'!$C$2:$C$84,H21, 'existing transmission'!$G$2:$G$84)</f>
        <v>0</v>
      </c>
      <c r="L21" s="90">
        <f t="array" ref="L21">SUMIF('existing transmission'!$B$2:$B$84,H21, 'existing transmission'!$J$2:$J$84)+SUMIF('existing transmission'!$C$2:$C$84,H21, 'existing transmission'!$J$2:$J$84)</f>
        <v>0</v>
      </c>
      <c r="M21" s="34"/>
      <c r="N21" s="142" t="str">
        <f t="array" ref="N21">IFERROR(INDEX(#REF!, MATCH(0, COUNTIF($N$4:N20,#REF!), 0)), "")</f>
        <v/>
      </c>
      <c r="O21" s="130">
        <f>SUMIFS('vre plants'!$F$2:$F$19, 'vre plants'!$G$2:$G$19, 'scenario analysis'!N21, 'vre plants'!$C$2:$C$19, "wind_onshore") +SUMIFS('vre plants'!$F$2:$F$19, 'vre plants'!$G$2:$G$19, 'scenario analysis'!N21, 'vre plants'!$C$2:$C$19,"wind_offshore")</f>
        <v>0</v>
      </c>
      <c r="P21" s="131">
        <f>SUMIFS('vre plants'!$F$2:$F$19,'vre plants'!$G$2:$G$19,'scenario analysis'!N21,'vre plants'!$C$2:$C$19,"multi c-Si")</f>
        <v>0</v>
      </c>
      <c r="Q21" s="34">
        <f>SUMIFS('vre plants'!$F$2:$F$19, 'vre plants'!$G$2:$G$19, 'scenario analysis'!N21, 'vre plants'!$C$2:$C$19, "mono c-Si")</f>
        <v>0</v>
      </c>
      <c r="R21" s="34">
        <f>SUMIFS('vre plants'!$F$2:$F$19,'vre plants'!$G$2:$G$19,'scenario analysis'!N21,'vre plants'!$C$2:$C$19,"thin film")</f>
        <v>0</v>
      </c>
    </row>
    <row r="22" spans="1:18">
      <c r="A22" s="122" t="s">
        <v>16</v>
      </c>
      <c r="B22" s="152">
        <f>SUMIF('non-vre plants'!C9:C247,'scenario analysis'!A22,'non-vre plants'!F9:F247)</f>
        <v>0</v>
      </c>
      <c r="C22" s="77">
        <f>INDEX('site independent'!$A$3:$W$47, MATCH($A22, 'site independent'!$A$3:$A$47, 0), MATCH('scenario analysis'!C$3, 'site independent'!$A$3:$W$3, 0))</f>
        <v>0.6</v>
      </c>
      <c r="D22" s="77">
        <f>INDEX('site independent'!$A$3:$W$147, MATCH($A22, 'site independent'!$A$3:$A$147, 0), MATCH('scenario analysis'!D$3, 'site independent'!$A$3:$W$3, 0))</f>
        <v>0</v>
      </c>
      <c r="E22" s="77">
        <f>INDEX('site independent'!$A$3:$X$147, MATCH($A22, 'site independent'!$A$3:$A$147, 0), MATCH('scenario analysis'!E$3, 'site independent'!$A$3:$X$3, 0))</f>
        <v>3279</v>
      </c>
      <c r="F22" s="137">
        <f t="shared" si="0"/>
        <v>0</v>
      </c>
      <c r="H22" s="122" t="str">
        <f t="array" ref="H22">IFERROR(INDEX(#REF!, MATCH(0, COUNTIF($H$4:H21,#REF!), 0)), "")</f>
        <v/>
      </c>
      <c r="I22" s="34" t="e">
        <f>SUMIFS(#REF!,#REF!,'scenario analysis'!H22)+SUMIFS('vre plants'!$F$2:$F$31,'vre plants'!$G$2:$G$31,'scenario analysis'!H22)+SUMIFS(storage!$E$2:$E$75,storage!$I$2:$I$75,'scenario analysis'!H22)+SUMIFS(EV_aggregator!$F$2:$F$75,EV_aggregator!$K$2:$K$75,'scenario analysis'!H22)</f>
        <v>#REF!</v>
      </c>
      <c r="J22" s="34">
        <f>SUMIF('demand centres'!$E$1:$E$50,'scenario analysis'!H22,'demand centres'!$B$1:$B$50)</f>
        <v>0</v>
      </c>
      <c r="K22" s="34">
        <f t="array" ref="K22">SUMIF('existing transmission'!$B$2:$B$84,H22, 'existing transmission'!$G$2:$G$84)+SUMIF('existing transmission'!$C$2:$C$84,H22, 'existing transmission'!$G$2:$G$84)</f>
        <v>0</v>
      </c>
      <c r="L22" s="90">
        <f t="array" ref="L22">SUMIF('existing transmission'!$B$2:$B$84,H22, 'existing transmission'!$J$2:$J$84)+SUMIF('existing transmission'!$C$2:$C$84,H22, 'existing transmission'!$J$2:$J$84)</f>
        <v>0</v>
      </c>
      <c r="M22" s="34"/>
      <c r="N22" s="142" t="str">
        <f t="array" ref="N22">IFERROR(INDEX(#REF!, MATCH(0, COUNTIF($N$4:N21,#REF!), 0)), "")</f>
        <v/>
      </c>
      <c r="O22" s="130">
        <f>SUMIFS('vre plants'!$F$2:$F$19, 'vre plants'!$G$2:$G$19, 'scenario analysis'!N22, 'vre plants'!$C$2:$C$19, "wind_onshore") +SUMIFS('vre plants'!$F$2:$F$19, 'vre plants'!$G$2:$G$19, 'scenario analysis'!N22, 'vre plants'!$C$2:$C$19,"wind_offshore")</f>
        <v>0</v>
      </c>
      <c r="P22" s="131">
        <f>SUMIFS('vre plants'!$F$2:$F$19,'vre plants'!$G$2:$G$19,'scenario analysis'!N22,'vre plants'!$C$2:$C$19,"multi c-Si")</f>
        <v>0</v>
      </c>
      <c r="Q22" s="34">
        <f>SUMIFS('vre plants'!$F$2:$F$19, 'vre plants'!$G$2:$G$19, 'scenario analysis'!N22, 'vre plants'!$C$2:$C$19, "mono c-Si")</f>
        <v>0</v>
      </c>
      <c r="R22" s="34">
        <f>SUMIFS('vre plants'!$F$2:$F$19,'vre plants'!$G$2:$G$19,'scenario analysis'!N22,'vre plants'!$C$2:$C$19,"thin film")</f>
        <v>0</v>
      </c>
    </row>
    <row r="23" spans="1:18" ht="14.25" customHeight="1">
      <c r="A23" s="76" t="s">
        <v>227</v>
      </c>
      <c r="B23" s="152">
        <f>SUMIF('non-vre plants'!C9:C248,'scenario analysis'!A23,'non-vre plants'!F9:F248)</f>
        <v>0</v>
      </c>
      <c r="C23" s="77">
        <f>INDEX('site independent'!$A$3:$W$47, MATCH($A23, 'site independent'!$A$3:$A$47, 0), MATCH('scenario analysis'!C$3, 'site independent'!$A$3:$W$3, 0))</f>
        <v>0.5</v>
      </c>
      <c r="D23" s="77">
        <f>INDEX('site independent'!$A$3:$W$147, MATCH($A23, 'site independent'!$A$3:$A$147, 0), MATCH('scenario analysis'!D$3, 'site independent'!$A$3:$W$3, 0))</f>
        <v>1</v>
      </c>
      <c r="E23" s="77">
        <f>INDEX('site independent'!$A$3:$X$147, MATCH($A23, 'site independent'!$A$3:$A$147, 0), MATCH('scenario analysis'!E$3, 'site independent'!$A$3:$X$3, 0))</f>
        <v>1000</v>
      </c>
      <c r="F23" s="137">
        <f t="shared" si="0"/>
        <v>0</v>
      </c>
      <c r="H23" s="122" t="str">
        <f t="array" ref="H23">IFERROR(INDEX(#REF!, MATCH(0, COUNTIF($H$4:H22,#REF!), 0)), "")</f>
        <v/>
      </c>
      <c r="I23" s="34" t="e">
        <f>SUMIFS(#REF!,#REF!,'scenario analysis'!H23)+SUMIFS('vre plants'!$F$2:$F$31,'vre plants'!$G$2:$G$31,'scenario analysis'!H23)+SUMIFS(storage!$E$2:$E$75,storage!$I$2:$I$75,'scenario analysis'!H23)+SUMIFS(EV_aggregator!$F$2:$F$75,EV_aggregator!$K$2:$K$75,'scenario analysis'!H23)</f>
        <v>#REF!</v>
      </c>
      <c r="J23" s="34">
        <f>SUMIF('demand centres'!$E$1:$E$50,'scenario analysis'!H23,'demand centres'!$B$1:$B$50)</f>
        <v>0</v>
      </c>
      <c r="K23" s="34">
        <f t="array" ref="K23">SUMIF('existing transmission'!$B$2:$B$84,H23, 'existing transmission'!$G$2:$G$84)+SUMIF('existing transmission'!$C$2:$C$84,H23, 'existing transmission'!$G$2:$G$84)</f>
        <v>0</v>
      </c>
      <c r="L23" s="90">
        <f t="array" ref="L23">SUMIF('existing transmission'!$B$2:$B$84,H23, 'existing transmission'!$J$2:$J$84)+SUMIF('existing transmission'!$C$2:$C$84,H23, 'existing transmission'!$J$2:$J$84)</f>
        <v>0</v>
      </c>
      <c r="M23" s="34"/>
      <c r="N23" s="142" t="str">
        <f t="array" ref="N23">IFERROR(INDEX(#REF!, MATCH(0, COUNTIF($N$4:N22,#REF!), 0)), "")</f>
        <v/>
      </c>
      <c r="O23" s="130">
        <f>SUMIFS('vre plants'!$F$2:$F$19, 'vre plants'!$G$2:$G$19, 'scenario analysis'!N23, 'vre plants'!$C$2:$C$19, "wind_onshore") +SUMIFS('vre plants'!$F$2:$F$19, 'vre plants'!$G$2:$G$19, 'scenario analysis'!N23, 'vre plants'!$C$2:$C$19,"wind_offshore")</f>
        <v>0</v>
      </c>
      <c r="P23" s="131">
        <f>SUMIFS('vre plants'!$F$2:$F$19,'vre plants'!$G$2:$G$19,'scenario analysis'!N23,'vre plants'!$C$2:$C$19,"multi c-Si")</f>
        <v>0</v>
      </c>
      <c r="Q23" s="34">
        <f>SUMIFS('vre plants'!$F$2:$F$19, 'vre plants'!$G$2:$G$19, 'scenario analysis'!N23, 'vre plants'!$C$2:$C$19, "mono c-Si")</f>
        <v>0</v>
      </c>
      <c r="R23" s="34">
        <f>SUMIFS('vre plants'!$F$2:$F$19,'vre plants'!$G$2:$G$19,'scenario analysis'!N23,'vre plants'!$C$2:$C$19,"thin film")</f>
        <v>0</v>
      </c>
    </row>
    <row r="24" spans="1:18">
      <c r="A24" s="76" t="s">
        <v>229</v>
      </c>
      <c r="B24" s="152">
        <f>SUMIF('non-vre plants'!C10:C249,'scenario analysis'!A24,'non-vre plants'!F10:F249)</f>
        <v>0</v>
      </c>
      <c r="C24" s="77">
        <f>INDEX('site independent'!$A$3:$W$47, MATCH($A24, 'site independent'!$A$3:$A$47, 0), MATCH('scenario analysis'!C$3, 'site independent'!$A$3:$W$3, 0))</f>
        <v>0.5</v>
      </c>
      <c r="D24" s="77">
        <f>INDEX('site independent'!$A$3:$W$147, MATCH($A24, 'site independent'!$A$3:$A$147, 0), MATCH('scenario analysis'!D$3, 'site independent'!$A$3:$W$3, 0))</f>
        <v>1</v>
      </c>
      <c r="E24" s="77">
        <f>INDEX('site independent'!$A$3:$X$147, MATCH($A24, 'site independent'!$A$3:$A$147, 0), MATCH('scenario analysis'!E$3, 'site independent'!$A$3:$X$3, 0))</f>
        <v>1500</v>
      </c>
      <c r="F24" s="137">
        <f t="shared" si="0"/>
        <v>0</v>
      </c>
      <c r="H24" s="122" t="str">
        <f t="array" ref="H24">IFERROR(INDEX(#REF!, MATCH(0, COUNTIF($H$4:H23,#REF!), 0)), "")</f>
        <v/>
      </c>
      <c r="I24" s="34" t="e">
        <f>SUMIFS(#REF!,#REF!,'scenario analysis'!H24)+SUMIFS('vre plants'!$F$2:$F$31,'vre plants'!$G$2:$G$31,'scenario analysis'!H24)+SUMIFS(storage!$E$2:$E$75,storage!$I$2:$I$75,'scenario analysis'!H24)+SUMIFS(EV_aggregator!$F$2:$F$75,EV_aggregator!$K$2:$K$75,'scenario analysis'!H24)</f>
        <v>#REF!</v>
      </c>
      <c r="J24" s="34">
        <f>SUMIF('demand centres'!$E$1:$E$50,'scenario analysis'!H24,'demand centres'!$B$1:$B$50)</f>
        <v>0</v>
      </c>
      <c r="K24" s="34">
        <f t="array" ref="K24">SUMIF('existing transmission'!$B$2:$B$84,H24, 'existing transmission'!$G$2:$G$84)+SUMIF('existing transmission'!$C$2:$C$84,H24, 'existing transmission'!$G$2:$G$84)</f>
        <v>0</v>
      </c>
      <c r="L24" s="90">
        <f t="array" ref="L24">SUMIF('existing transmission'!$B$2:$B$84,H24, 'existing transmission'!$J$2:$J$84)+SUMIF('existing transmission'!$C$2:$C$84,H24, 'existing transmission'!$J$2:$J$84)</f>
        <v>0</v>
      </c>
      <c r="M24" s="34"/>
      <c r="N24" s="142" t="str">
        <f t="array" ref="N24">IFERROR(INDEX(#REF!, MATCH(0, COUNTIF($N$4:N23,#REF!), 0)), "")</f>
        <v/>
      </c>
      <c r="O24" s="130">
        <f>SUMIFS('vre plants'!$F$2:$F$19, 'vre plants'!$G$2:$G$19, 'scenario analysis'!N24, 'vre plants'!$C$2:$C$19, "wind_onshore") +SUMIFS('vre plants'!$F$2:$F$19, 'vre plants'!$G$2:$G$19, 'scenario analysis'!N24, 'vre plants'!$C$2:$C$19,"wind_offshore")</f>
        <v>0</v>
      </c>
      <c r="P24" s="131">
        <f>SUMIFS('vre plants'!$F$2:$F$19,'vre plants'!$G$2:$G$19,'scenario analysis'!N24,'vre plants'!$C$2:$C$19,"multi c-Si")</f>
        <v>0</v>
      </c>
      <c r="Q24" s="34">
        <f>SUMIFS('vre plants'!$F$2:$F$19, 'vre plants'!$G$2:$G$19, 'scenario analysis'!N24, 'vre plants'!$C$2:$C$19, "mono c-Si")</f>
        <v>0</v>
      </c>
      <c r="R24" s="34">
        <f>SUMIFS('vre plants'!$F$2:$F$19,'vre plants'!$G$2:$G$19,'scenario analysis'!N24,'vre plants'!$C$2:$C$19,"thin film")</f>
        <v>0</v>
      </c>
    </row>
    <row r="25" spans="1:18" ht="15.75" thickBot="1">
      <c r="A25" s="80" t="s">
        <v>283</v>
      </c>
      <c r="B25" s="152">
        <f>SUMIF('non-vre plants'!C11:C250,'scenario analysis'!A25,'non-vre plants'!F11:F250)</f>
        <v>0</v>
      </c>
      <c r="C25" s="77" t="e">
        <f>INDEX('site independent'!$A$3:$W$47, MATCH($A25, 'site independent'!$A$3:$A$47, 0), MATCH('scenario analysis'!C$3, 'site independent'!$A$3:$W$3, 0))</f>
        <v>#N/A</v>
      </c>
      <c r="D25" s="77">
        <f>INDEX('site independent'!$A$3:$W$147, MATCH($A25, 'site independent'!$A$3:$A$147, 0), MATCH('scenario analysis'!D$3, 'site independent'!$A$3:$W$3, 0))</f>
        <v>1</v>
      </c>
      <c r="E25" s="77">
        <f>INDEX('site independent'!$A$3:$X$147, MATCH($A25, 'site independent'!$A$3:$A$147, 0), MATCH('scenario analysis'!E$3, 'site independent'!$A$3:$X$3, 0))</f>
        <v>0</v>
      </c>
      <c r="F25" s="137">
        <f t="shared" si="0"/>
        <v>0</v>
      </c>
      <c r="H25" s="122" t="str">
        <f t="array" ref="H25">IFERROR(INDEX(#REF!, MATCH(0, COUNTIF($H$4:H24,#REF!), 0)), "")</f>
        <v/>
      </c>
      <c r="I25" s="34" t="e">
        <f>SUMIFS(#REF!,#REF!,'scenario analysis'!H25)+SUMIFS('vre plants'!$F$2:$F$31,'vre plants'!$G$2:$G$31,'scenario analysis'!H25)+SUMIFS(storage!$E$2:$E$75,storage!$I$2:$I$75,'scenario analysis'!H25)+SUMIFS(EV_aggregator!$F$2:$F$75,EV_aggregator!$K$2:$K$75,'scenario analysis'!H25)</f>
        <v>#REF!</v>
      </c>
      <c r="J25" s="34">
        <f>SUMIF('demand centres'!$E$1:$E$50,'scenario analysis'!H25,'demand centres'!$B$1:$B$50)</f>
        <v>0</v>
      </c>
      <c r="K25" s="34">
        <f t="array" ref="K25">SUMIF('existing transmission'!$B$2:$B$84,H25, 'existing transmission'!$G$2:$G$84)+SUMIF('existing transmission'!$C$2:$C$84,H25, 'existing transmission'!$G$2:$G$84)</f>
        <v>0</v>
      </c>
      <c r="L25" s="90">
        <f t="array" ref="L25">SUMIF('existing transmission'!$B$2:$B$84,H25, 'existing transmission'!$J$2:$J$84)+SUMIF('existing transmission'!$C$2:$C$84,H25, 'existing transmission'!$J$2:$J$84)</f>
        <v>0</v>
      </c>
      <c r="M25" s="34"/>
      <c r="N25" s="142" t="str">
        <f t="array" ref="N25">IFERROR(INDEX(#REF!, MATCH(0, COUNTIF($N$4:N24,#REF!), 0)), "")</f>
        <v/>
      </c>
      <c r="O25" s="130">
        <f>SUMIFS('vre plants'!$F$2:$F$19, 'vre plants'!$G$2:$G$19, 'scenario analysis'!N25, 'vre plants'!$C$2:$C$19, "wind_onshore") +SUMIFS('vre plants'!$F$2:$F$19, 'vre plants'!$G$2:$G$19, 'scenario analysis'!N25, 'vre plants'!$C$2:$C$19,"wind_offshore")</f>
        <v>0</v>
      </c>
      <c r="P25" s="131">
        <f>SUMIFS('vre plants'!$F$2:$F$19,'vre plants'!$G$2:$G$19,'scenario analysis'!N25,'vre plants'!$C$2:$C$19,"multi c-Si")</f>
        <v>0</v>
      </c>
      <c r="Q25" s="34">
        <f>SUMIFS('vre plants'!$F$2:$F$19, 'vre plants'!$G$2:$G$19, 'scenario analysis'!N25, 'vre plants'!$C$2:$C$19, "mono c-Si")</f>
        <v>0</v>
      </c>
      <c r="R25" s="34">
        <f>SUMIFS('vre plants'!$F$2:$F$19,'vre plants'!$G$2:$G$19,'scenario analysis'!N25,'vre plants'!$C$2:$C$19,"thin film")</f>
        <v>0</v>
      </c>
    </row>
    <row r="26" spans="1:18">
      <c r="C26" s="52"/>
      <c r="D26" s="52"/>
      <c r="E26" s="52"/>
      <c r="F26" s="52"/>
      <c r="H26" s="122" t="str">
        <f t="array" ref="H26">IFERROR(INDEX(#REF!, MATCH(0, COUNTIF($H$4:H25,#REF!), 0)), "")</f>
        <v/>
      </c>
      <c r="I26" s="34" t="e">
        <f>SUMIFS(#REF!,#REF!,'scenario analysis'!H26)+SUMIFS('vre plants'!$F$2:$F$31,'vre plants'!$G$2:$G$31,'scenario analysis'!H26)+SUMIFS(storage!$E$2:$E$75,storage!$I$2:$I$75,'scenario analysis'!H26)+SUMIFS(EV_aggregator!$F$2:$F$75,EV_aggregator!$K$2:$K$75,'scenario analysis'!H26)</f>
        <v>#REF!</v>
      </c>
      <c r="J26" s="34">
        <f>SUMIF('demand centres'!$E$1:$E$50,'scenario analysis'!H26,'demand centres'!$B$1:$B$50)</f>
        <v>0</v>
      </c>
      <c r="K26" s="34">
        <f t="array" ref="K26">SUMIF('existing transmission'!$B$2:$B$84,H26, 'existing transmission'!$G$2:$G$84)+SUMIF('existing transmission'!$C$2:$C$84,H26, 'existing transmission'!$G$2:$G$84)</f>
        <v>0</v>
      </c>
      <c r="L26" s="90">
        <f t="array" ref="L26">SUMIF('existing transmission'!$B$2:$B$84,H26, 'existing transmission'!$J$2:$J$84)+SUMIF('existing transmission'!$C$2:$C$84,H26, 'existing transmission'!$J$2:$J$84)</f>
        <v>0</v>
      </c>
      <c r="M26" s="17"/>
      <c r="N26" s="142" t="str">
        <f t="array" ref="N26">IFERROR(INDEX(#REF!, MATCH(0, COUNTIF($N$4:N25,#REF!), 0)), "")</f>
        <v/>
      </c>
      <c r="O26" s="130">
        <f>SUMIFS('vre plants'!$F$2:$F$19, 'vre plants'!$G$2:$G$19, 'scenario analysis'!N26, 'vre plants'!$C$2:$C$19, "wind_onshore") +SUMIFS('vre plants'!$F$2:$F$19, 'vre plants'!$G$2:$G$19, 'scenario analysis'!N26, 'vre plants'!$C$2:$C$19,"wind_offshore")</f>
        <v>0</v>
      </c>
      <c r="P26" s="131">
        <f>SUMIFS('vre plants'!$F$2:$F$19,'vre plants'!$G$2:$G$19,'scenario analysis'!N26,'vre plants'!$C$2:$C$19,"multi c-Si")</f>
        <v>0</v>
      </c>
      <c r="Q26" s="34">
        <f>SUMIFS('vre plants'!$F$2:$F$19, 'vre plants'!$G$2:$G$19, 'scenario analysis'!N26, 'vre plants'!$C$2:$C$19, "mono c-Si")</f>
        <v>0</v>
      </c>
      <c r="R26" s="34">
        <f>SUMIFS('vre plants'!$F$2:$F$19,'vre plants'!$G$2:$G$19,'scenario analysis'!N26,'vre plants'!$C$2:$C$19,"thin film")</f>
        <v>0</v>
      </c>
    </row>
    <row r="27" spans="1:18">
      <c r="A27" t="s">
        <v>294</v>
      </c>
      <c r="C27" s="52">
        <f>COLUMN(C3)-2</f>
        <v>1</v>
      </c>
      <c r="D27" s="52">
        <f>COLUMN(D3)-2</f>
        <v>2</v>
      </c>
      <c r="E27" s="52"/>
      <c r="F27" s="52"/>
      <c r="H27" s="122" t="str">
        <f t="array" ref="H27">IFERROR(INDEX(#REF!, MATCH(0, COUNTIF($H$4:H26,#REF!), 0)), "")</f>
        <v/>
      </c>
      <c r="I27" s="34" t="e">
        <f>SUMIFS(#REF!,#REF!,'scenario analysis'!H27)+SUMIFS('vre plants'!$F$2:$F$31,'vre plants'!$G$2:$G$31,'scenario analysis'!H27)+SUMIFS(storage!$E$2:$E$75,storage!$I$2:$I$75,'scenario analysis'!H27)+SUMIFS(EV_aggregator!$F$2:$F$75,EV_aggregator!$K$2:$K$75,'scenario analysis'!H27)</f>
        <v>#REF!</v>
      </c>
      <c r="J27" s="34">
        <f>SUMIF('demand centres'!$E$1:$E$50,'scenario analysis'!H27,'demand centres'!$B$1:$B$50)</f>
        <v>0</v>
      </c>
      <c r="K27" s="34">
        <f t="array" ref="K27">SUMIF('existing transmission'!$B$2:$B$84,H27, 'existing transmission'!$G$2:$G$84)+SUMIF('existing transmission'!$C$2:$C$84,H27, 'existing transmission'!$G$2:$G$84)</f>
        <v>0</v>
      </c>
      <c r="L27" s="90">
        <f t="array" ref="L27">SUMIF('existing transmission'!$B$2:$B$84,H27, 'existing transmission'!$J$2:$J$84)+SUMIF('existing transmission'!$C$2:$C$84,H27, 'existing transmission'!$J$2:$J$84)</f>
        <v>0</v>
      </c>
      <c r="M27" s="17"/>
      <c r="N27" s="142" t="str">
        <f t="array" ref="N27">IFERROR(INDEX(#REF!, MATCH(0, COUNTIF($N$4:N26,#REF!), 0)), "")</f>
        <v/>
      </c>
      <c r="O27" s="130">
        <f>SUMIFS('vre plants'!$F$2:$F$19, 'vre plants'!$G$2:$G$19, 'scenario analysis'!N27, 'vre plants'!$C$2:$C$19, "wind_onshore") +SUMIFS('vre plants'!$F$2:$F$19, 'vre plants'!$G$2:$G$19, 'scenario analysis'!N27, 'vre plants'!$C$2:$C$19,"wind_offshore")</f>
        <v>0</v>
      </c>
      <c r="P27" s="131">
        <f>SUMIFS('vre plants'!$F$2:$F$19,'vre plants'!$G$2:$G$19,'scenario analysis'!N27,'vre plants'!$C$2:$C$19,"multi c-Si")</f>
        <v>0</v>
      </c>
      <c r="Q27" s="34">
        <f>SUMIFS('vre plants'!$F$2:$F$19, 'vre plants'!$G$2:$G$19, 'scenario analysis'!N27, 'vre plants'!$C$2:$C$19, "mono c-Si")</f>
        <v>0</v>
      </c>
      <c r="R27" s="34">
        <f>SUMIFS('vre plants'!$F$2:$F$19,'vre plants'!$G$2:$G$19,'scenario analysis'!N27,'vre plants'!$C$2:$C$19,"thin film")</f>
        <v>0</v>
      </c>
    </row>
    <row r="28" spans="1:18">
      <c r="H28" s="122" t="str">
        <f t="array" ref="H28">IFERROR(INDEX(#REF!, MATCH(0, COUNTIF($H$4:H27,#REF!), 0)), "")</f>
        <v/>
      </c>
      <c r="I28" s="34" t="e">
        <f>SUMIFS(#REF!,#REF!,'scenario analysis'!H28)+SUMIFS('vre plants'!$F$2:$F$31,'vre plants'!$G$2:$G$31,'scenario analysis'!H28)+SUMIFS(storage!$E$2:$E$75,storage!$I$2:$I$75,'scenario analysis'!H28)+SUMIFS(EV_aggregator!$F$2:$F$75,EV_aggregator!$K$2:$K$75,'scenario analysis'!H28)</f>
        <v>#REF!</v>
      </c>
      <c r="J28" s="34">
        <f>SUMIF('demand centres'!$E$1:$E$50,'scenario analysis'!H28,'demand centres'!$B$1:$B$50)</f>
        <v>0</v>
      </c>
      <c r="K28" s="34">
        <f t="array" ref="K28">SUMIF('existing transmission'!$B$2:$B$84,H28, 'existing transmission'!$G$2:$G$84)+SUMIF('existing transmission'!$C$2:$C$84,H28, 'existing transmission'!$G$2:$G$84)</f>
        <v>0</v>
      </c>
      <c r="L28" s="90">
        <f t="array" ref="L28">SUMIF('existing transmission'!$B$2:$B$84,H28, 'existing transmission'!$J$2:$J$84)+SUMIF('existing transmission'!$C$2:$C$84,H28, 'existing transmission'!$J$2:$J$84)</f>
        <v>0</v>
      </c>
      <c r="M28" s="17"/>
      <c r="N28" s="142" t="str">
        <f t="array" ref="N28">IFERROR(INDEX(#REF!, MATCH(0, COUNTIF($N$4:N27,#REF!), 0)), "")</f>
        <v/>
      </c>
      <c r="O28" s="130">
        <f>SUMIFS('vre plants'!$F$2:$F$19, 'vre plants'!$G$2:$G$19, 'scenario analysis'!N28, 'vre plants'!$C$2:$C$19, "wind_onshore") +SUMIFS('vre plants'!$F$2:$F$19, 'vre plants'!$G$2:$G$19, 'scenario analysis'!N28, 'vre plants'!$C$2:$C$19,"wind_offshore")</f>
        <v>0</v>
      </c>
      <c r="P28" s="131">
        <f>SUMIFS('vre plants'!$F$2:$F$19,'vre plants'!$G$2:$G$19,'scenario analysis'!N28,'vre plants'!$C$2:$C$19,"multi c-Si")</f>
        <v>0</v>
      </c>
      <c r="Q28" s="34">
        <f>SUMIFS('vre plants'!$F$2:$F$19, 'vre plants'!$G$2:$G$19, 'scenario analysis'!N28, 'vre plants'!$C$2:$C$19, "mono c-Si")</f>
        <v>0</v>
      </c>
      <c r="R28" s="34">
        <f>SUMIFS('vre plants'!$F$2:$F$19,'vre plants'!$G$2:$G$19,'scenario analysis'!N28,'vre plants'!$C$2:$C$19,"thin film")</f>
        <v>0</v>
      </c>
    </row>
    <row r="29" spans="1:18">
      <c r="A29" t="s">
        <v>307</v>
      </c>
      <c r="C29" s="42"/>
      <c r="D29" s="42"/>
      <c r="E29" s="42"/>
      <c r="F29" s="42"/>
      <c r="H29" s="122" t="str">
        <f t="array" ref="H29">IFERROR(INDEX(#REF!, MATCH(0, COUNTIF($H$4:H28,#REF!), 0)), "")</f>
        <v/>
      </c>
      <c r="I29" s="34" t="e">
        <f>SUMIFS(#REF!,#REF!,'scenario analysis'!H29)+SUMIFS('vre plants'!$F$2:$F$31,'vre plants'!$G$2:$G$31,'scenario analysis'!H29)+SUMIFS(storage!$E$2:$E$75,storage!$I$2:$I$75,'scenario analysis'!H29)+SUMIFS(EV_aggregator!$F$2:$F$75,EV_aggregator!$K$2:$K$75,'scenario analysis'!H29)</f>
        <v>#REF!</v>
      </c>
      <c r="J29" s="34">
        <f>SUMIF('demand centres'!$E$1:$E$50,'scenario analysis'!H29,'demand centres'!$B$1:$B$50)</f>
        <v>0</v>
      </c>
      <c r="K29" s="34">
        <f t="array" ref="K29">SUMIF('existing transmission'!$B$2:$B$84,H29, 'existing transmission'!$G$2:$G$84)+SUMIF('existing transmission'!$C$2:$C$84,H29, 'existing transmission'!$G$2:$G$84)</f>
        <v>0</v>
      </c>
      <c r="L29" s="90">
        <f t="array" ref="L29">SUMIF('existing transmission'!$B$2:$B$84,H29, 'existing transmission'!$J$2:$J$84)+SUMIF('existing transmission'!$C$2:$C$84,H29, 'existing transmission'!$J$2:$J$84)</f>
        <v>0</v>
      </c>
      <c r="M29" s="17"/>
      <c r="N29" s="142" t="str">
        <f t="array" ref="N29">IFERROR(INDEX(#REF!, MATCH(0, COUNTIF($N$4:N28,#REF!), 0)), "")</f>
        <v/>
      </c>
      <c r="O29" s="130">
        <f>SUMIFS('vre plants'!$F$2:$F$19, 'vre plants'!$G$2:$G$19, 'scenario analysis'!N29, 'vre plants'!$C$2:$C$19, "wind_onshore") +SUMIFS('vre plants'!$F$2:$F$19, 'vre plants'!$G$2:$G$19, 'scenario analysis'!N29, 'vre plants'!$C$2:$C$19,"wind_offshore")</f>
        <v>0</v>
      </c>
      <c r="P29" s="131">
        <f>SUMIFS('vre plants'!$F$2:$F$19,'vre plants'!$G$2:$G$19,'scenario analysis'!N29,'vre plants'!$C$2:$C$19,"multi c-Si")</f>
        <v>0</v>
      </c>
      <c r="Q29" s="34">
        <f>SUMIFS('vre plants'!$F$2:$F$19, 'vre plants'!$G$2:$G$19, 'scenario analysis'!N29, 'vre plants'!$C$2:$C$19, "mono c-Si")</f>
        <v>0</v>
      </c>
      <c r="R29" s="34">
        <f>SUMIFS('vre plants'!$F$2:$F$19,'vre plants'!$G$2:$G$19,'scenario analysis'!N29,'vre plants'!$C$2:$C$19,"thin film")</f>
        <v>0</v>
      </c>
    </row>
    <row r="30" spans="1:18">
      <c r="C30" s="138" t="e">
        <f t="array" ref="C30">SUM(B5:B25*C5:C25)</f>
        <v>#N/A</v>
      </c>
      <c r="D30" t="e">
        <f t="array" ref="D30">SUM(B5:B25*D5:D25)</f>
        <v>#N/A</v>
      </c>
      <c r="H30" s="122" t="str">
        <f t="array" ref="H30">IFERROR(INDEX(#REF!, MATCH(0, COUNTIF($H$4:H29,#REF!), 0)), "")</f>
        <v/>
      </c>
      <c r="I30" s="34" t="e">
        <f>SUMIFS(#REF!,#REF!,'scenario analysis'!H30)+SUMIFS('vre plants'!$F$2:$F$31,'vre plants'!$G$2:$G$31,'scenario analysis'!H30)+SUMIFS(storage!$E$2:$E$75,storage!$I$2:$I$75,'scenario analysis'!H30)+SUMIFS(EV_aggregator!$F$2:$F$75,EV_aggregator!$K$2:$K$75,'scenario analysis'!H30)</f>
        <v>#REF!</v>
      </c>
      <c r="J30" s="34">
        <f>SUMIF('demand centres'!$E$1:$E$50,'scenario analysis'!H30,'demand centres'!$B$1:$B$50)</f>
        <v>0</v>
      </c>
      <c r="K30" s="34">
        <f t="array" ref="K30">SUMIF('existing transmission'!$B$2:$B$84,H30, 'existing transmission'!$G$2:$G$84)+SUMIF('existing transmission'!$C$2:$C$84,H30, 'existing transmission'!$G$2:$G$84)</f>
        <v>0</v>
      </c>
      <c r="L30" s="90">
        <f t="array" ref="L30">SUMIF('existing transmission'!$B$2:$B$84,H30, 'existing transmission'!$J$2:$J$84)+SUMIF('existing transmission'!$C$2:$C$84,H30, 'existing transmission'!$J$2:$J$84)</f>
        <v>0</v>
      </c>
      <c r="M30" s="17"/>
      <c r="N30" s="142" t="str">
        <f t="array" ref="N30">IFERROR(INDEX(#REF!, MATCH(0, COUNTIF($N$4:N29,#REF!), 0)), "")</f>
        <v/>
      </c>
      <c r="O30" s="130">
        <f>SUMIFS('vre plants'!$F$2:$F$19, 'vre plants'!$G$2:$G$19, 'scenario analysis'!N30, 'vre plants'!$C$2:$C$19, "wind_onshore") +SUMIFS('vre plants'!$F$2:$F$19, 'vre plants'!$G$2:$G$19, 'scenario analysis'!N30, 'vre plants'!$C$2:$C$19,"wind_offshore")</f>
        <v>0</v>
      </c>
      <c r="P30" s="131">
        <f>SUMIFS('vre plants'!$F$2:$F$19,'vre plants'!$G$2:$G$19,'scenario analysis'!N30,'vre plants'!$C$2:$C$19,"multi c-Si")</f>
        <v>0</v>
      </c>
      <c r="Q30" s="34">
        <f>SUMIFS('vre plants'!$F$2:$F$19, 'vre plants'!$G$2:$G$19, 'scenario analysis'!N30, 'vre plants'!$C$2:$C$19, "mono c-Si")</f>
        <v>0</v>
      </c>
      <c r="R30" s="34">
        <f>SUMIFS('vre plants'!$F$2:$F$19,'vre plants'!$G$2:$G$19,'scenario analysis'!N30,'vre plants'!$C$2:$C$19,"thin film")</f>
        <v>0</v>
      </c>
    </row>
    <row r="31" spans="1:18">
      <c r="C31">
        <v>24470</v>
      </c>
      <c r="D31">
        <v>16022.542122040073</v>
      </c>
      <c r="H31" s="122" t="str">
        <f t="array" ref="H31">IFERROR(INDEX(#REF!, MATCH(0, COUNTIF($H$4:H30,#REF!), 0)), "")</f>
        <v/>
      </c>
      <c r="I31" s="34" t="e">
        <f>SUMIFS(#REF!,#REF!,'scenario analysis'!H31)+SUMIFS('vre plants'!$F$2:$F$31,'vre plants'!$G$2:$G$31,'scenario analysis'!H31)+SUMIFS(storage!$E$2:$E$75,storage!$I$2:$I$75,'scenario analysis'!H31)+SUMIFS(EV_aggregator!$F$2:$F$75,EV_aggregator!$K$2:$K$75,'scenario analysis'!H31)</f>
        <v>#REF!</v>
      </c>
      <c r="J31" s="34">
        <f>SUMIF('demand centres'!$E$1:$E$50,'scenario analysis'!H31,'demand centres'!$B$1:$B$50)</f>
        <v>0</v>
      </c>
      <c r="K31" s="34">
        <f t="array" ref="K31">SUMIF('existing transmission'!$B$2:$B$84,H31, 'existing transmission'!$G$2:$G$84)+SUMIF('existing transmission'!$C$2:$C$84,H31, 'existing transmission'!$G$2:$G$84)</f>
        <v>0</v>
      </c>
      <c r="L31" s="90">
        <f t="array" ref="L31">SUMIF('existing transmission'!$B$2:$B$84,H31, 'existing transmission'!$J$2:$J$84)+SUMIF('existing transmission'!$C$2:$C$84,H31, 'existing transmission'!$J$2:$J$84)</f>
        <v>0</v>
      </c>
      <c r="M31" s="17"/>
      <c r="N31" s="142" t="str">
        <f t="array" ref="N31">IFERROR(INDEX(#REF!, MATCH(0, COUNTIF($N$4:N30,#REF!), 0)), "")</f>
        <v/>
      </c>
      <c r="O31" s="130">
        <f>SUMIFS('vre plants'!$F$2:$F$19, 'vre plants'!$G$2:$G$19, 'scenario analysis'!N31, 'vre plants'!$C$2:$C$19, "wind_onshore") +SUMIFS('vre plants'!$F$2:$F$19, 'vre plants'!$G$2:$G$19, 'scenario analysis'!N31, 'vre plants'!$C$2:$C$19,"wind_offshore")</f>
        <v>0</v>
      </c>
      <c r="P31" s="131">
        <f>SUMIFS('vre plants'!$F$2:$F$19,'vre plants'!$G$2:$G$19,'scenario analysis'!N31,'vre plants'!$C$2:$C$19,"multi c-Si")</f>
        <v>0</v>
      </c>
      <c r="Q31" s="34">
        <f>SUMIFS('vre plants'!$F$2:$F$19, 'vre plants'!$G$2:$G$19, 'scenario analysis'!N31, 'vre plants'!$C$2:$C$19, "mono c-Si")</f>
        <v>0</v>
      </c>
      <c r="R31" s="34">
        <f>SUMIFS('vre plants'!$F$2:$F$19,'vre plants'!$G$2:$G$19,'scenario analysis'!N31,'vre plants'!$C$2:$C$19,"thin film")</f>
        <v>0</v>
      </c>
    </row>
    <row r="32" spans="1:18">
      <c r="C32" s="153" t="e">
        <f>C30/C31</f>
        <v>#N/A</v>
      </c>
      <c r="D32" s="56" t="e">
        <f>D30/D31</f>
        <v>#N/A</v>
      </c>
      <c r="E32" s="56"/>
      <c r="F32" s="56"/>
      <c r="H32" s="122" t="str">
        <f t="array" ref="H32">IFERROR(INDEX(#REF!, MATCH(0, COUNTIF($H$4:H31,#REF!), 0)), "")</f>
        <v/>
      </c>
      <c r="I32" s="34" t="e">
        <f>SUMIFS(#REF!,#REF!,'scenario analysis'!H32)+SUMIFS('vre plants'!$F$2:$F$31,'vre plants'!$G$2:$G$31,'scenario analysis'!H32)+SUMIFS(storage!$E$2:$E$75,storage!$I$2:$I$75,'scenario analysis'!H32)+SUMIFS(EV_aggregator!$F$2:$F$75,EV_aggregator!$K$2:$K$75,'scenario analysis'!H32)</f>
        <v>#REF!</v>
      </c>
      <c r="J32" s="34">
        <f>SUMIF('demand centres'!$E$1:$E$50,'scenario analysis'!H32,'demand centres'!$B$1:$B$50)</f>
        <v>0</v>
      </c>
      <c r="K32" s="34">
        <f t="array" ref="K32">SUMIF('existing transmission'!$B$2:$B$84,H32, 'existing transmission'!$G$2:$G$84)+SUMIF('existing transmission'!$C$2:$C$84,H32, 'existing transmission'!$G$2:$G$84)</f>
        <v>0</v>
      </c>
      <c r="L32" s="90">
        <f t="array" ref="L32">SUMIF('existing transmission'!$B$2:$B$84,H32, 'existing transmission'!$J$2:$J$84)+SUMIF('existing transmission'!$C$2:$C$84,H32, 'existing transmission'!$J$2:$J$84)</f>
        <v>0</v>
      </c>
      <c r="M32" s="17"/>
      <c r="N32" s="142" t="str">
        <f t="array" ref="N32">IFERROR(INDEX(#REF!, MATCH(0, COUNTIF($N$4:N31,#REF!), 0)), "")</f>
        <v/>
      </c>
      <c r="O32" s="130">
        <f>SUMIFS('vre plants'!$F$2:$F$19, 'vre plants'!$G$2:$G$19, 'scenario analysis'!N32, 'vre plants'!$C$2:$C$19, "wind_onshore") +SUMIFS('vre plants'!$F$2:$F$19, 'vre plants'!$G$2:$G$19, 'scenario analysis'!N32, 'vre plants'!$C$2:$C$19,"wind_offshore")</f>
        <v>0</v>
      </c>
      <c r="P32" s="131">
        <f>SUMIFS('vre plants'!$F$2:$F$19,'vre plants'!$G$2:$G$19,'scenario analysis'!N32,'vre plants'!$C$2:$C$19,"multi c-Si")</f>
        <v>0</v>
      </c>
      <c r="Q32" s="34">
        <f>SUMIFS('vre plants'!$F$2:$F$19, 'vre plants'!$G$2:$G$19, 'scenario analysis'!N32, 'vre plants'!$C$2:$C$19, "mono c-Si")</f>
        <v>0</v>
      </c>
      <c r="R32" s="34">
        <f>SUMIFS('vre plants'!$F$2:$F$19,'vre plants'!$G$2:$G$19,'scenario analysis'!N32,'vre plants'!$C$2:$C$19,"thin film")</f>
        <v>0</v>
      </c>
    </row>
    <row r="33" spans="3:18">
      <c r="C33" s="42"/>
      <c r="D33" s="56"/>
      <c r="E33" s="56"/>
      <c r="F33" s="56"/>
      <c r="H33" s="122" t="str">
        <f t="array" ref="H33">IFERROR(INDEX(#REF!, MATCH(0, COUNTIF($H$4:H32,#REF!), 0)), "")</f>
        <v/>
      </c>
      <c r="I33" s="34" t="e">
        <f>SUMIFS(#REF!,#REF!,'scenario analysis'!H33)+SUMIFS('vre plants'!$F$2:$F$31,'vre plants'!$G$2:$G$31,'scenario analysis'!H33)+SUMIFS(storage!$E$2:$E$75,storage!$I$2:$I$75,'scenario analysis'!H33)+SUMIFS(EV_aggregator!$F$2:$F$75,EV_aggregator!$K$2:$K$75,'scenario analysis'!H33)</f>
        <v>#REF!</v>
      </c>
      <c r="J33" s="34">
        <f>SUMIF('demand centres'!$E$1:$E$50,'scenario analysis'!H33,'demand centres'!$B$1:$B$50)</f>
        <v>0</v>
      </c>
      <c r="K33" s="34">
        <f t="array" ref="K33">SUMIF('existing transmission'!$B$2:$B$84,H33, 'existing transmission'!$G$2:$G$84)+SUMIF('existing transmission'!$C$2:$C$84,H33, 'existing transmission'!$G$2:$G$84)</f>
        <v>0</v>
      </c>
      <c r="L33" s="90">
        <f t="array" ref="L33">SUMIF('existing transmission'!$B$2:$B$84,H33, 'existing transmission'!$J$2:$J$84)+SUMIF('existing transmission'!$C$2:$C$84,H33, 'existing transmission'!$J$2:$J$84)</f>
        <v>0</v>
      </c>
      <c r="N33" s="142" t="str">
        <f t="array" ref="N33">IFERROR(INDEX(#REF!, MATCH(0, COUNTIF($N$4:N32,#REF!), 0)), "")</f>
        <v/>
      </c>
      <c r="O33" s="130">
        <f>SUMIFS('vre plants'!$F$2:$F$19, 'vre plants'!$G$2:$G$19, 'scenario analysis'!N33, 'vre plants'!$C$2:$C$19, "wind_onshore") +SUMIFS('vre plants'!$F$2:$F$19, 'vre plants'!$G$2:$G$19, 'scenario analysis'!N33, 'vre plants'!$C$2:$C$19,"wind_offshore")</f>
        <v>0</v>
      </c>
      <c r="P33" s="131">
        <f>SUMIFS('vre plants'!$F$2:$F$19,'vre plants'!$G$2:$G$19,'scenario analysis'!N33,'vre plants'!$C$2:$C$19,"multi c-Si")</f>
        <v>0</v>
      </c>
      <c r="Q33" s="34">
        <f>SUMIFS('vre plants'!$F$2:$F$19, 'vre plants'!$G$2:$G$19, 'scenario analysis'!N33, 'vre plants'!$C$2:$C$19, "mono c-Si")</f>
        <v>0</v>
      </c>
      <c r="R33" s="34">
        <f>SUMIFS('vre plants'!$F$2:$F$19,'vre plants'!$G$2:$G$19,'scenario analysis'!N33,'vre plants'!$C$2:$C$19,"thin film")</f>
        <v>0</v>
      </c>
    </row>
    <row r="34" spans="3:18">
      <c r="C34" s="42"/>
      <c r="H34" s="122" t="str">
        <f t="array" ref="H34">IFERROR(INDEX(#REF!, MATCH(0, COUNTIF($H$4:H33,#REF!), 0)), "")</f>
        <v/>
      </c>
      <c r="I34" s="34" t="e">
        <f>SUMIFS(#REF!,#REF!,'scenario analysis'!H34)+SUMIFS('vre plants'!$F$2:$F$31,'vre plants'!$G$2:$G$31,'scenario analysis'!H34)+SUMIFS(storage!$E$2:$E$75,storage!$I$2:$I$75,'scenario analysis'!H34)+SUMIFS(EV_aggregator!$F$2:$F$75,EV_aggregator!$K$2:$K$75,'scenario analysis'!H34)</f>
        <v>#REF!</v>
      </c>
      <c r="J34" s="34">
        <f>SUMIF('demand centres'!$E$1:$E$50,'scenario analysis'!H34,'demand centres'!$B$1:$B$50)</f>
        <v>0</v>
      </c>
      <c r="K34" s="34">
        <f t="array" ref="K34">SUMIF('existing transmission'!$B$2:$B$84,H34, 'existing transmission'!$G$2:$G$84)+SUMIF('existing transmission'!$C$2:$C$84,H34, 'existing transmission'!$G$2:$G$84)</f>
        <v>0</v>
      </c>
      <c r="L34" s="90">
        <f t="array" ref="L34">SUMIF('existing transmission'!$B$2:$B$84,H34, 'existing transmission'!$J$2:$J$84)+SUMIF('existing transmission'!$C$2:$C$84,H34, 'existing transmission'!$J$2:$J$84)</f>
        <v>0</v>
      </c>
      <c r="N34" s="142" t="str">
        <f t="array" ref="N34">IFERROR(INDEX(#REF!, MATCH(0, COUNTIF($N$4:N33,#REF!), 0)), "")</f>
        <v/>
      </c>
      <c r="O34" s="130">
        <f>SUMIFS('vre plants'!$F$2:$F$19, 'vre plants'!$G$2:$G$19, 'scenario analysis'!N34, 'vre plants'!$C$2:$C$19, "wind_onshore") +SUMIFS('vre plants'!$F$2:$F$19, 'vre plants'!$G$2:$G$19, 'scenario analysis'!N34, 'vre plants'!$C$2:$C$19,"wind_offshore")</f>
        <v>0</v>
      </c>
      <c r="P34" s="131">
        <f>SUMIFS('vre plants'!$F$2:$F$19,'vre plants'!$G$2:$G$19,'scenario analysis'!N34,'vre plants'!$C$2:$C$19,"multi c-Si")</f>
        <v>0</v>
      </c>
      <c r="Q34" s="34">
        <f>SUMIFS('vre plants'!$F$2:$F$19, 'vre plants'!$G$2:$G$19, 'scenario analysis'!N34, 'vre plants'!$C$2:$C$19, "mono c-Si")</f>
        <v>0</v>
      </c>
      <c r="R34" s="34">
        <f>SUMIFS('vre plants'!$F$2:$F$19,'vre plants'!$G$2:$G$19,'scenario analysis'!N34,'vre plants'!$C$2:$C$19,"thin film")</f>
        <v>0</v>
      </c>
    </row>
    <row r="35" spans="3:18">
      <c r="C35" s="42"/>
      <c r="H35" s="122" t="str">
        <f t="array" ref="H35">IFERROR(INDEX(#REF!, MATCH(0, COUNTIF($H$4:H34,#REF!), 0)), "")</f>
        <v/>
      </c>
      <c r="I35" s="34" t="e">
        <f>SUMIFS(#REF!,#REF!,'scenario analysis'!H35)+SUMIFS('vre plants'!$F$2:$F$31,'vre plants'!$G$2:$G$31,'scenario analysis'!H35)+SUMIFS(storage!$E$2:$E$75,storage!$I$2:$I$75,'scenario analysis'!H35)+SUMIFS(EV_aggregator!$F$2:$F$75,EV_aggregator!$K$2:$K$75,'scenario analysis'!H35)</f>
        <v>#REF!</v>
      </c>
      <c r="J35" s="34">
        <f>SUMIF('demand centres'!$E$1:$E$50,'scenario analysis'!H35,'demand centres'!$B$1:$B$50)</f>
        <v>0</v>
      </c>
      <c r="K35" s="34">
        <f t="array" ref="K35">SUMIF('existing transmission'!$B$2:$B$84,H35, 'existing transmission'!$G$2:$G$84)+SUMIF('existing transmission'!$C$2:$C$84,H35, 'existing transmission'!$G$2:$G$84)</f>
        <v>0</v>
      </c>
      <c r="L35" s="90">
        <f t="array" ref="L35">SUMIF('existing transmission'!$B$2:$B$84,H35, 'existing transmission'!$J$2:$J$84)+SUMIF('existing transmission'!$C$2:$C$84,H35, 'existing transmission'!$J$2:$J$84)</f>
        <v>0</v>
      </c>
      <c r="N35" s="142" t="str">
        <f t="array" ref="N35">IFERROR(INDEX(#REF!, MATCH(0, COUNTIF($N$4:N34,#REF!), 0)), "")</f>
        <v/>
      </c>
      <c r="O35" s="130">
        <f>SUMIFS('vre plants'!$F$2:$F$19, 'vre plants'!$G$2:$G$19, 'scenario analysis'!N35, 'vre plants'!$C$2:$C$19, "wind_onshore") +SUMIFS('vre plants'!$F$2:$F$19, 'vre plants'!$G$2:$G$19, 'scenario analysis'!N35, 'vre plants'!$C$2:$C$19,"wind_offshore")</f>
        <v>0</v>
      </c>
      <c r="P35" s="131">
        <f>SUMIFS('vre plants'!$F$2:$F$19,'vre plants'!$G$2:$G$19,'scenario analysis'!N35,'vre plants'!$C$2:$C$19,"multi c-Si")</f>
        <v>0</v>
      </c>
      <c r="Q35" s="34">
        <f>SUMIFS('vre plants'!$F$2:$F$19, 'vre plants'!$G$2:$G$19, 'scenario analysis'!N35, 'vre plants'!$C$2:$C$19, "mono c-Si")</f>
        <v>0</v>
      </c>
      <c r="R35" s="34">
        <f>SUMIFS('vre plants'!$F$2:$F$19,'vre plants'!$G$2:$G$19,'scenario analysis'!N35,'vre plants'!$C$2:$C$19,"thin film")</f>
        <v>0</v>
      </c>
    </row>
    <row r="36" spans="3:18">
      <c r="C36" s="42"/>
      <c r="H36" s="122" t="str">
        <f t="array" ref="H36">IFERROR(INDEX(#REF!, MATCH(0, COUNTIF($H$4:H35,#REF!), 0)), "")</f>
        <v/>
      </c>
      <c r="I36" s="34" t="e">
        <f>SUMIFS(#REF!,#REF!,'scenario analysis'!H36)+SUMIFS('vre plants'!$F$2:$F$31,'vre plants'!$G$2:$G$31,'scenario analysis'!H36)+SUMIFS(storage!$E$2:$E$75,storage!$I$2:$I$75,'scenario analysis'!H36)+SUMIFS(EV_aggregator!$F$2:$F$75,EV_aggregator!$K$2:$K$75,'scenario analysis'!H36)</f>
        <v>#REF!</v>
      </c>
      <c r="J36" s="34">
        <f>SUMIF('demand centres'!$E$1:$E$50,'scenario analysis'!H36,'demand centres'!$B$1:$B$50)</f>
        <v>0</v>
      </c>
      <c r="K36" s="34">
        <f t="array" ref="K36">SUMIF('existing transmission'!$B$2:$B$84,H36, 'existing transmission'!$G$2:$G$84)+SUMIF('existing transmission'!$C$2:$C$84,H36, 'existing transmission'!$G$2:$G$84)</f>
        <v>0</v>
      </c>
      <c r="L36" s="90">
        <f t="array" ref="L36">SUMIF('existing transmission'!$B$2:$B$84,H36, 'existing transmission'!$J$2:$J$84)+SUMIF('existing transmission'!$C$2:$C$84,H36, 'existing transmission'!$J$2:$J$84)</f>
        <v>0</v>
      </c>
      <c r="N36" s="142" t="str">
        <f t="array" ref="N36">IFERROR(INDEX(#REF!, MATCH(0, COUNTIF($N$4:N35,#REF!), 0)), "")</f>
        <v/>
      </c>
      <c r="O36" s="130">
        <f>SUMIFS('vre plants'!$F$2:$F$19, 'vre plants'!$G$2:$G$19, 'scenario analysis'!N36, 'vre plants'!$C$2:$C$19, "wind_onshore") +SUMIFS('vre plants'!$F$2:$F$19, 'vre plants'!$G$2:$G$19, 'scenario analysis'!N36, 'vre plants'!$C$2:$C$19,"wind_offshore")</f>
        <v>0</v>
      </c>
      <c r="P36" s="131">
        <f>SUMIFS('vre plants'!$F$2:$F$19,'vre plants'!$G$2:$G$19,'scenario analysis'!N36,'vre plants'!$C$2:$C$19,"multi c-Si")</f>
        <v>0</v>
      </c>
      <c r="Q36" s="34">
        <f>SUMIFS('vre plants'!$F$2:$F$19, 'vre plants'!$G$2:$G$19, 'scenario analysis'!N36, 'vre plants'!$C$2:$C$19, "mono c-Si")</f>
        <v>0</v>
      </c>
      <c r="R36" s="34">
        <f>SUMIFS('vre plants'!$F$2:$F$19,'vre plants'!$G$2:$G$19,'scenario analysis'!N36,'vre plants'!$C$2:$C$19,"thin film")</f>
        <v>0</v>
      </c>
    </row>
    <row r="37" spans="3:18">
      <c r="C37" s="42"/>
      <c r="H37" s="122" t="str">
        <f t="array" ref="H37">IFERROR(INDEX(#REF!, MATCH(0, COUNTIF($H$4:H36,#REF!), 0)), "")</f>
        <v/>
      </c>
      <c r="I37" s="34" t="e">
        <f>SUMIFS(#REF!,#REF!,'scenario analysis'!H37)+SUMIFS('vre plants'!$F$2:$F$31,'vre plants'!$G$2:$G$31,'scenario analysis'!H37)+SUMIFS(storage!$E$2:$E$75,storage!$I$2:$I$75,'scenario analysis'!H37)+SUMIFS(EV_aggregator!$F$2:$F$75,EV_aggregator!$K$2:$K$75,'scenario analysis'!H37)</f>
        <v>#REF!</v>
      </c>
      <c r="J37" s="34">
        <f>SUMIF('demand centres'!$E$1:$E$50,'scenario analysis'!H37,'demand centres'!$B$1:$B$50)</f>
        <v>0</v>
      </c>
      <c r="K37" s="34">
        <f t="array" ref="K37">SUMIF('existing transmission'!$B$2:$B$84,H37, 'existing transmission'!$G$2:$G$84)+SUMIF('existing transmission'!$C$2:$C$84,H37, 'existing transmission'!$G$2:$G$84)</f>
        <v>0</v>
      </c>
      <c r="L37" s="90">
        <f t="array" ref="L37">SUMIF('existing transmission'!$B$2:$B$84,H37, 'existing transmission'!$J$2:$J$84)+SUMIF('existing transmission'!$C$2:$C$84,H37, 'existing transmission'!$J$2:$J$84)</f>
        <v>0</v>
      </c>
      <c r="N37" s="142" t="str">
        <f t="array" ref="N37">IFERROR(INDEX(#REF!, MATCH(0, COUNTIF($N$4:N36,#REF!), 0)), "")</f>
        <v/>
      </c>
      <c r="O37" s="130">
        <f>SUMIFS('vre plants'!$F$2:$F$19, 'vre plants'!$G$2:$G$19, 'scenario analysis'!N37, 'vre plants'!$C$2:$C$19, "wind_onshore") +SUMIFS('vre plants'!$F$2:$F$19, 'vre plants'!$G$2:$G$19, 'scenario analysis'!N37, 'vre plants'!$C$2:$C$19,"wind_offshore")</f>
        <v>0</v>
      </c>
      <c r="P37" s="131">
        <f>SUMIFS('vre plants'!$F$2:$F$19,'vre plants'!$G$2:$G$19,'scenario analysis'!N37,'vre plants'!$C$2:$C$19,"multi c-Si")</f>
        <v>0</v>
      </c>
      <c r="Q37" s="34">
        <f>SUMIFS('vre plants'!$F$2:$F$19, 'vre plants'!$G$2:$G$19, 'scenario analysis'!N37, 'vre plants'!$C$2:$C$19, "mono c-Si")</f>
        <v>0</v>
      </c>
      <c r="R37" s="34">
        <f>SUMIFS('vre plants'!$F$2:$F$19,'vre plants'!$G$2:$G$19,'scenario analysis'!N37,'vre plants'!$C$2:$C$19,"thin film")</f>
        <v>0</v>
      </c>
    </row>
    <row r="38" spans="3:18">
      <c r="H38" s="122" t="str">
        <f t="array" ref="H38">IFERROR(INDEX(#REF!, MATCH(0, COUNTIF($H$4:H37,#REF!), 0)), "")</f>
        <v/>
      </c>
      <c r="I38" s="34" t="e">
        <f>SUMIFS(#REF!,#REF!,'scenario analysis'!H38)+SUMIFS('vre plants'!$F$2:$F$31,'vre plants'!$G$2:$G$31,'scenario analysis'!H38)+SUMIFS(storage!$E$2:$E$75,storage!$I$2:$I$75,'scenario analysis'!H38)+SUMIFS(EV_aggregator!$F$2:$F$75,EV_aggregator!$K$2:$K$75,'scenario analysis'!H38)</f>
        <v>#REF!</v>
      </c>
      <c r="J38" s="34">
        <f>SUMIF('demand centres'!$E$1:$E$50,'scenario analysis'!H38,'demand centres'!$B$1:$B$50)</f>
        <v>0</v>
      </c>
      <c r="K38" s="34">
        <f t="array" ref="K38">SUMIF('existing transmission'!$B$2:$B$84,H38, 'existing transmission'!$G$2:$G$84)+SUMIF('existing transmission'!$C$2:$C$84,H38, 'existing transmission'!$G$2:$G$84)</f>
        <v>0</v>
      </c>
      <c r="L38" s="90">
        <f t="array" ref="L38">SUMIF('existing transmission'!$B$2:$B$84,H38, 'existing transmission'!$J$2:$J$84)+SUMIF('existing transmission'!$C$2:$C$84,H38, 'existing transmission'!$J$2:$J$84)</f>
        <v>0</v>
      </c>
      <c r="N38" s="142" t="str">
        <f t="array" ref="N38">IFERROR(INDEX(#REF!, MATCH(0, COUNTIF($N$4:N37,#REF!), 0)), "")</f>
        <v/>
      </c>
      <c r="O38" s="130">
        <f>SUMIFS('vre plants'!$F$2:$F$19, 'vre plants'!$G$2:$G$19, 'scenario analysis'!N38, 'vre plants'!$C$2:$C$19, "wind_onshore") +SUMIFS('vre plants'!$F$2:$F$19, 'vre plants'!$G$2:$G$19, 'scenario analysis'!N38, 'vre plants'!$C$2:$C$19,"wind_offshore")</f>
        <v>0</v>
      </c>
      <c r="P38" s="131">
        <f>SUMIFS('vre plants'!$F$2:$F$19,'vre plants'!$G$2:$G$19,'scenario analysis'!N38,'vre plants'!$C$2:$C$19,"multi c-Si")</f>
        <v>0</v>
      </c>
      <c r="Q38" s="34">
        <f>SUMIFS('vre plants'!$F$2:$F$19, 'vre plants'!$G$2:$G$19, 'scenario analysis'!N38, 'vre plants'!$C$2:$C$19, "mono c-Si")</f>
        <v>0</v>
      </c>
      <c r="R38" s="34">
        <f>SUMIFS('vre plants'!$F$2:$F$19,'vre plants'!$G$2:$G$19,'scenario analysis'!N38,'vre plants'!$C$2:$C$19,"thin film")</f>
        <v>0</v>
      </c>
    </row>
    <row r="39" spans="3:18">
      <c r="H39" s="122" t="str">
        <f t="array" ref="H39">IFERROR(INDEX(#REF!, MATCH(0, COUNTIF($H$4:H38,#REF!), 0)), "")</f>
        <v/>
      </c>
      <c r="I39" s="34" t="e">
        <f>SUMIFS(#REF!,#REF!,'scenario analysis'!H39)+SUMIFS('vre plants'!$F$2:$F$31,'vre plants'!$G$2:$G$31,'scenario analysis'!H39)+SUMIFS(storage!$E$2:$E$75,storage!$I$2:$I$75,'scenario analysis'!H39)+SUMIFS(EV_aggregator!$F$2:$F$75,EV_aggregator!$K$2:$K$75,'scenario analysis'!H39)</f>
        <v>#REF!</v>
      </c>
      <c r="J39" s="34">
        <f>SUMIF('demand centres'!$E$1:$E$50,'scenario analysis'!H39,'demand centres'!$B$1:$B$50)</f>
        <v>0</v>
      </c>
      <c r="K39" s="34">
        <f t="array" ref="K39">SUMIF('existing transmission'!$B$2:$B$84,H39, 'existing transmission'!$G$2:$G$84)+SUMIF('existing transmission'!$C$2:$C$84,H39, 'existing transmission'!$G$2:$G$84)</f>
        <v>0</v>
      </c>
      <c r="L39" s="90">
        <f t="array" ref="L39">SUMIF('existing transmission'!$B$2:$B$84,H39, 'existing transmission'!$J$2:$J$84)+SUMIF('existing transmission'!$C$2:$C$84,H39, 'existing transmission'!$J$2:$J$84)</f>
        <v>0</v>
      </c>
      <c r="N39" s="142" t="str">
        <f t="array" ref="N39">IFERROR(INDEX(#REF!, MATCH(0, COUNTIF($N$4:N38,#REF!), 0)), "")</f>
        <v/>
      </c>
      <c r="O39" s="130">
        <f>SUMIFS('vre plants'!$F$2:$F$19, 'vre plants'!$G$2:$G$19, 'scenario analysis'!N39, 'vre plants'!$C$2:$C$19, "wind_onshore") +SUMIFS('vre plants'!$F$2:$F$19, 'vre plants'!$G$2:$G$19, 'scenario analysis'!N39, 'vre plants'!$C$2:$C$19,"wind_offshore")</f>
        <v>0</v>
      </c>
      <c r="P39" s="131">
        <f>SUMIFS('vre plants'!$F$2:$F$19,'vre plants'!$G$2:$G$19,'scenario analysis'!N39,'vre plants'!$C$2:$C$19,"multi c-Si")</f>
        <v>0</v>
      </c>
      <c r="Q39" s="34">
        <f>SUMIFS('vre plants'!$F$2:$F$19, 'vre plants'!$G$2:$G$19, 'scenario analysis'!N39, 'vre plants'!$C$2:$C$19, "mono c-Si")</f>
        <v>0</v>
      </c>
      <c r="R39" s="34">
        <f>SUMIFS('vre plants'!$F$2:$F$19,'vre plants'!$G$2:$G$19,'scenario analysis'!N39,'vre plants'!$C$2:$C$19,"thin film")</f>
        <v>0</v>
      </c>
    </row>
    <row r="40" spans="3:18">
      <c r="H40" s="122" t="str">
        <f t="array" ref="H40">IFERROR(INDEX(#REF!, MATCH(0, COUNTIF($H$4:H39,#REF!), 0)), "")</f>
        <v/>
      </c>
      <c r="I40" s="34" t="e">
        <f>SUMIFS(#REF!,#REF!,'scenario analysis'!H40)+SUMIFS('vre plants'!$F$2:$F$31,'vre plants'!$G$2:$G$31,'scenario analysis'!H40)+SUMIFS(storage!$E$2:$E$75,storage!$I$2:$I$75,'scenario analysis'!H40)+SUMIFS(EV_aggregator!$F$2:$F$75,EV_aggregator!$K$2:$K$75,'scenario analysis'!H40)</f>
        <v>#REF!</v>
      </c>
      <c r="J40" s="34">
        <f>SUMIF('demand centres'!$E$1:$E$50,'scenario analysis'!H40,'demand centres'!$B$1:$B$50)</f>
        <v>0</v>
      </c>
      <c r="K40" s="34">
        <f t="array" ref="K40">SUMIF('existing transmission'!$B$2:$B$84,H40, 'existing transmission'!$G$2:$G$84)+SUMIF('existing transmission'!$C$2:$C$84,H40, 'existing transmission'!$G$2:$G$84)</f>
        <v>0</v>
      </c>
      <c r="L40" s="90">
        <f t="array" ref="L40">SUMIF('existing transmission'!$B$2:$B$84,H40, 'existing transmission'!$J$2:$J$84)+SUMIF('existing transmission'!$C$2:$C$84,H40, 'existing transmission'!$J$2:$J$84)</f>
        <v>0</v>
      </c>
      <c r="N40" s="142" t="str">
        <f t="array" ref="N40">IFERROR(INDEX(#REF!, MATCH(0, COUNTIF($N$4:N39,#REF!), 0)), "")</f>
        <v/>
      </c>
      <c r="O40" s="130">
        <f>SUMIFS('vre plants'!$F$2:$F$19, 'vre plants'!$G$2:$G$19, 'scenario analysis'!N40, 'vre plants'!$C$2:$C$19, "wind_onshore") +SUMIFS('vre plants'!$F$2:$F$19, 'vre plants'!$G$2:$G$19, 'scenario analysis'!N40, 'vre plants'!$C$2:$C$19,"wind_offshore")</f>
        <v>0</v>
      </c>
      <c r="P40" s="131">
        <f>SUMIFS('vre plants'!$F$2:$F$19,'vre plants'!$G$2:$G$19,'scenario analysis'!N40,'vre plants'!$C$2:$C$19,"multi c-Si")</f>
        <v>0</v>
      </c>
      <c r="Q40" s="34">
        <f>SUMIFS('vre plants'!$F$2:$F$19, 'vre plants'!$G$2:$G$19, 'scenario analysis'!N40, 'vre plants'!$C$2:$C$19, "mono c-Si")</f>
        <v>0</v>
      </c>
      <c r="R40" s="34">
        <f>SUMIFS('vre plants'!$F$2:$F$19,'vre plants'!$G$2:$G$19,'scenario analysis'!N40,'vre plants'!$C$2:$C$19,"thin film")</f>
        <v>0</v>
      </c>
    </row>
    <row r="41" spans="3:18">
      <c r="H41" s="122" t="str">
        <f t="array" ref="H41">IFERROR(INDEX(#REF!, MATCH(0, COUNTIF($H$4:H40,#REF!), 0)), "")</f>
        <v/>
      </c>
      <c r="I41" s="34" t="e">
        <f>SUMIFS(#REF!,#REF!,'scenario analysis'!H41)+SUMIFS('vre plants'!$F$2:$F$31,'vre plants'!$G$2:$G$31,'scenario analysis'!H41)+SUMIFS(storage!$E$2:$E$75,storage!$I$2:$I$75,'scenario analysis'!H41)+SUMIFS(EV_aggregator!$F$2:$F$75,EV_aggregator!$K$2:$K$75,'scenario analysis'!H41)</f>
        <v>#REF!</v>
      </c>
      <c r="J41" s="34">
        <f>SUMIF('demand centres'!$E$1:$E$50,'scenario analysis'!H41,'demand centres'!$B$1:$B$50)</f>
        <v>0</v>
      </c>
      <c r="K41" s="34">
        <f t="array" ref="K41">SUMIF('existing transmission'!$B$2:$B$84,H41, 'existing transmission'!$G$2:$G$84)+SUMIF('existing transmission'!$C$2:$C$84,H41, 'existing transmission'!$G$2:$G$84)</f>
        <v>0</v>
      </c>
      <c r="L41" s="90">
        <f t="array" ref="L41">SUMIF('existing transmission'!$B$2:$B$84,H41, 'existing transmission'!$J$2:$J$84)+SUMIF('existing transmission'!$C$2:$C$84,H41, 'existing transmission'!$J$2:$J$84)</f>
        <v>0</v>
      </c>
      <c r="N41" s="142" t="str">
        <f t="array" ref="N41">IFERROR(INDEX(#REF!, MATCH(0, COUNTIF($N$4:N40,#REF!), 0)), "")</f>
        <v/>
      </c>
      <c r="O41" s="130">
        <f>SUMIFS('vre plants'!$F$2:$F$19, 'vre plants'!$G$2:$G$19, 'scenario analysis'!N41, 'vre plants'!$C$2:$C$19, "wind_onshore") +SUMIFS('vre plants'!$F$2:$F$19, 'vre plants'!$G$2:$G$19, 'scenario analysis'!N41, 'vre plants'!$C$2:$C$19,"wind_offshore")</f>
        <v>0</v>
      </c>
      <c r="P41" s="131">
        <f>SUMIFS('vre plants'!$F$2:$F$19,'vre plants'!$G$2:$G$19,'scenario analysis'!N41,'vre plants'!$C$2:$C$19,"multi c-Si")</f>
        <v>0</v>
      </c>
      <c r="Q41" s="34">
        <f>SUMIFS('vre plants'!$F$2:$F$19, 'vre plants'!$G$2:$G$19, 'scenario analysis'!N41, 'vre plants'!$C$2:$C$19, "mono c-Si")</f>
        <v>0</v>
      </c>
      <c r="R41" s="34">
        <f>SUMIFS('vre plants'!$F$2:$F$19,'vre plants'!$G$2:$G$19,'scenario analysis'!N41,'vre plants'!$C$2:$C$19,"thin film")</f>
        <v>0</v>
      </c>
    </row>
    <row r="42" spans="3:18">
      <c r="H42" s="122" t="str">
        <f t="array" ref="H42">IFERROR(INDEX(#REF!, MATCH(0, COUNTIF($H$4:H41,#REF!), 0)), "")</f>
        <v/>
      </c>
      <c r="I42" s="34" t="e">
        <f>SUMIFS(#REF!,#REF!,'scenario analysis'!H42)+SUMIFS('vre plants'!$F$2:$F$31,'vre plants'!$G$2:$G$31,'scenario analysis'!H42)+SUMIFS(storage!$E$2:$E$75,storage!$I$2:$I$75,'scenario analysis'!H42)+SUMIFS(EV_aggregator!$F$2:$F$75,EV_aggregator!$K$2:$K$75,'scenario analysis'!H42)</f>
        <v>#REF!</v>
      </c>
      <c r="J42" s="34">
        <f>SUMIF('demand centres'!$E$1:$E$50,'scenario analysis'!H42,'demand centres'!$B$1:$B$50)</f>
        <v>0</v>
      </c>
      <c r="K42" s="34">
        <f t="array" ref="K42">SUMIF('existing transmission'!$B$2:$B$84,H42, 'existing transmission'!$G$2:$G$84)+SUMIF('existing transmission'!$C$2:$C$84,H42, 'existing transmission'!$G$2:$G$84)</f>
        <v>0</v>
      </c>
      <c r="L42" s="90">
        <f t="array" ref="L42">SUMIF('existing transmission'!$B$2:$B$84,H42, 'existing transmission'!$J$2:$J$84)+SUMIF('existing transmission'!$C$2:$C$84,H42, 'existing transmission'!$J$2:$J$84)</f>
        <v>0</v>
      </c>
      <c r="N42" s="142" t="str">
        <f t="array" ref="N42">IFERROR(INDEX(#REF!, MATCH(0, COUNTIF($N$4:N41,#REF!), 0)), "")</f>
        <v/>
      </c>
      <c r="O42" s="130">
        <f>SUMIFS('vre plants'!$F$2:$F$19, 'vre plants'!$G$2:$G$19, 'scenario analysis'!N42, 'vre plants'!$C$2:$C$19, "wind_onshore") +SUMIFS('vre plants'!$F$2:$F$19, 'vre plants'!$G$2:$G$19, 'scenario analysis'!N42, 'vre plants'!$C$2:$C$19,"wind_offshore")</f>
        <v>0</v>
      </c>
      <c r="P42" s="131">
        <f>SUMIFS('vre plants'!$F$2:$F$19,'vre plants'!$G$2:$G$19,'scenario analysis'!N42,'vre plants'!$C$2:$C$19,"multi c-Si")</f>
        <v>0</v>
      </c>
      <c r="Q42" s="34">
        <f>SUMIFS('vre plants'!$F$2:$F$19, 'vre plants'!$G$2:$G$19, 'scenario analysis'!N42, 'vre plants'!$C$2:$C$19, "mono c-Si")</f>
        <v>0</v>
      </c>
      <c r="R42" s="34">
        <f>SUMIFS('vre plants'!$F$2:$F$19,'vre plants'!$G$2:$G$19,'scenario analysis'!N42,'vre plants'!$C$2:$C$19,"thin film")</f>
        <v>0</v>
      </c>
    </row>
    <row r="43" spans="3:18">
      <c r="H43" s="122" t="str">
        <f t="array" ref="H43">IFERROR(INDEX(#REF!, MATCH(0, COUNTIF($H$4:H42,#REF!), 0)), "")</f>
        <v/>
      </c>
      <c r="I43" s="34" t="e">
        <f>SUMIFS(#REF!,#REF!,'scenario analysis'!H43)+SUMIFS('vre plants'!$F$2:$F$31,'vre plants'!$G$2:$G$31,'scenario analysis'!H43)+SUMIFS(storage!$E$2:$E$75,storage!$I$2:$I$75,'scenario analysis'!H43)+SUMIFS(EV_aggregator!$F$2:$F$75,EV_aggregator!$K$2:$K$75,'scenario analysis'!H43)</f>
        <v>#REF!</v>
      </c>
      <c r="J43" s="34">
        <f>SUMIF('demand centres'!$E$1:$E$50,'scenario analysis'!H43,'demand centres'!$B$1:$B$50)</f>
        <v>0</v>
      </c>
      <c r="K43" s="34">
        <f t="array" ref="K43">SUMIF('existing transmission'!$B$2:$B$84,H43, 'existing transmission'!$G$2:$G$84)+SUMIF('existing transmission'!$C$2:$C$84,H43, 'existing transmission'!$G$2:$G$84)</f>
        <v>0</v>
      </c>
      <c r="L43" s="90">
        <f t="array" ref="L43">SUMIF('existing transmission'!$B$2:$B$84,H43, 'existing transmission'!$J$2:$J$84)+SUMIF('existing transmission'!$C$2:$C$84,H43, 'existing transmission'!$J$2:$J$84)</f>
        <v>0</v>
      </c>
      <c r="N43" s="142" t="str">
        <f t="array" ref="N43">IFERROR(INDEX(#REF!, MATCH(0, COUNTIF($N$4:N42,#REF!), 0)), "")</f>
        <v/>
      </c>
      <c r="O43" s="130">
        <f>SUMIFS('vre plants'!$F$2:$F$19, 'vre plants'!$G$2:$G$19, 'scenario analysis'!N43, 'vre plants'!$C$2:$C$19, "wind_onshore") +SUMIFS('vre plants'!$F$2:$F$19, 'vre plants'!$G$2:$G$19, 'scenario analysis'!N43, 'vre plants'!$C$2:$C$19,"wind_offshore")</f>
        <v>0</v>
      </c>
      <c r="P43" s="131">
        <f>SUMIFS('vre plants'!$F$2:$F$19,'vre plants'!$G$2:$G$19,'scenario analysis'!N43,'vre plants'!$C$2:$C$19,"multi c-Si")</f>
        <v>0</v>
      </c>
      <c r="Q43" s="34">
        <f>SUMIFS('vre plants'!$F$2:$F$19, 'vre plants'!$G$2:$G$19, 'scenario analysis'!N43, 'vre plants'!$C$2:$C$19, "mono c-Si")</f>
        <v>0</v>
      </c>
      <c r="R43" s="34">
        <f>SUMIFS('vre plants'!$F$2:$F$19,'vre plants'!$G$2:$G$19,'scenario analysis'!N43,'vre plants'!$C$2:$C$19,"thin film")</f>
        <v>0</v>
      </c>
    </row>
    <row r="44" spans="3:18">
      <c r="H44" s="122" t="str">
        <f t="array" ref="H44">IFERROR(INDEX(#REF!, MATCH(0, COUNTIF($H$4:H43,#REF!), 0)), "")</f>
        <v/>
      </c>
      <c r="I44" s="34" t="e">
        <f>SUMIFS(#REF!,#REF!,'scenario analysis'!H44)+SUMIFS('vre plants'!$F$2:$F$31,'vre plants'!$G$2:$G$31,'scenario analysis'!H44)+SUMIFS(storage!$E$2:$E$75,storage!$I$2:$I$75,'scenario analysis'!H44)+SUMIFS(EV_aggregator!$F$2:$F$75,EV_aggregator!$K$2:$K$75,'scenario analysis'!H44)</f>
        <v>#REF!</v>
      </c>
      <c r="J44" s="34">
        <f>SUMIF('demand centres'!$E$1:$E$50,'scenario analysis'!H44,'demand centres'!$B$1:$B$50)</f>
        <v>0</v>
      </c>
      <c r="K44" s="34">
        <f t="array" ref="K44">SUMIF('existing transmission'!$B$2:$B$84,H44, 'existing transmission'!$G$2:$G$84)+SUMIF('existing transmission'!$C$2:$C$84,H44, 'existing transmission'!$G$2:$G$84)</f>
        <v>0</v>
      </c>
      <c r="L44" s="90">
        <f t="array" ref="L44">SUMIF('existing transmission'!$B$2:$B$84,H44, 'existing transmission'!$J$2:$J$84)+SUMIF('existing transmission'!$C$2:$C$84,H44, 'existing transmission'!$J$2:$J$84)</f>
        <v>0</v>
      </c>
      <c r="N44" s="142" t="str">
        <f t="array" ref="N44">IFERROR(INDEX(#REF!, MATCH(0, COUNTIF($N$4:N43,#REF!), 0)), "")</f>
        <v/>
      </c>
      <c r="O44" s="130">
        <f>SUMIFS('vre plants'!$F$2:$F$19, 'vre plants'!$G$2:$G$19, 'scenario analysis'!N44, 'vre plants'!$C$2:$C$19, "wind_onshore") +SUMIFS('vre plants'!$F$2:$F$19, 'vre plants'!$G$2:$G$19, 'scenario analysis'!N44, 'vre plants'!$C$2:$C$19,"wind_offshore")</f>
        <v>0</v>
      </c>
      <c r="P44" s="131">
        <f>SUMIFS('vre plants'!$F$2:$F$19,'vre plants'!$G$2:$G$19,'scenario analysis'!N44,'vre plants'!$C$2:$C$19,"multi c-Si")</f>
        <v>0</v>
      </c>
      <c r="Q44" s="34">
        <f>SUMIFS('vre plants'!$F$2:$F$19, 'vre plants'!$G$2:$G$19, 'scenario analysis'!N44, 'vre plants'!$C$2:$C$19, "mono c-Si")</f>
        <v>0</v>
      </c>
      <c r="R44" s="34">
        <f>SUMIFS('vre plants'!$F$2:$F$19,'vre plants'!$G$2:$G$19,'scenario analysis'!N44,'vre plants'!$C$2:$C$19,"thin film")</f>
        <v>0</v>
      </c>
    </row>
    <row r="45" spans="3:18">
      <c r="H45" s="122" t="str">
        <f t="array" ref="H45">IFERROR(INDEX(#REF!, MATCH(0, COUNTIF($H$4:H44,#REF!), 0)), "")</f>
        <v/>
      </c>
      <c r="I45" s="34" t="e">
        <f>SUMIFS(#REF!,#REF!,'scenario analysis'!H45)+SUMIFS('vre plants'!$F$2:$F$31,'vre plants'!$G$2:$G$31,'scenario analysis'!H45)+SUMIFS(storage!$E$2:$E$75,storage!$I$2:$I$75,'scenario analysis'!H45)+SUMIFS(EV_aggregator!$F$2:$F$75,EV_aggregator!$K$2:$K$75,'scenario analysis'!H45)</f>
        <v>#REF!</v>
      </c>
      <c r="J45" s="34">
        <f>SUMIF('demand centres'!$E$1:$E$50,'scenario analysis'!H45,'demand centres'!$B$1:$B$50)</f>
        <v>0</v>
      </c>
      <c r="K45" s="34">
        <f t="array" ref="K45">SUMIF('existing transmission'!$B$2:$B$84,H45, 'existing transmission'!$G$2:$G$84)+SUMIF('existing transmission'!$C$2:$C$84,H45, 'existing transmission'!$G$2:$G$84)</f>
        <v>0</v>
      </c>
      <c r="L45" s="90">
        <f t="array" ref="L45">SUMIF('existing transmission'!$B$2:$B$84,H45, 'existing transmission'!$J$2:$J$84)+SUMIF('existing transmission'!$C$2:$C$84,H45, 'existing transmission'!$J$2:$J$84)</f>
        <v>0</v>
      </c>
      <c r="N45" s="142" t="str">
        <f t="array" ref="N45">IFERROR(INDEX(#REF!, MATCH(0, COUNTIF($N$4:N44,#REF!), 0)), "")</f>
        <v/>
      </c>
      <c r="O45" s="130">
        <f>SUMIFS('vre plants'!$F$2:$F$19, 'vre plants'!$G$2:$G$19, 'scenario analysis'!N45, 'vre plants'!$C$2:$C$19, "wind_onshore") +SUMIFS('vre plants'!$F$2:$F$19, 'vre plants'!$G$2:$G$19, 'scenario analysis'!N45, 'vre plants'!$C$2:$C$19,"wind_offshore")</f>
        <v>0</v>
      </c>
      <c r="P45" s="131">
        <f>SUMIFS('vre plants'!$F$2:$F$19,'vre plants'!$G$2:$G$19,'scenario analysis'!N45,'vre plants'!$C$2:$C$19,"multi c-Si")</f>
        <v>0</v>
      </c>
      <c r="Q45" s="34">
        <f>SUMIFS('vre plants'!$F$2:$F$19, 'vre plants'!$G$2:$G$19, 'scenario analysis'!N45, 'vre plants'!$C$2:$C$19, "mono c-Si")</f>
        <v>0</v>
      </c>
      <c r="R45" s="34">
        <f>SUMIFS('vre plants'!$F$2:$F$19,'vre plants'!$G$2:$G$19,'scenario analysis'!N45,'vre plants'!$C$2:$C$19,"thin film")</f>
        <v>0</v>
      </c>
    </row>
    <row r="46" spans="3:18">
      <c r="H46" s="122" t="str">
        <f t="array" ref="H46">IFERROR(INDEX(#REF!, MATCH(0, COUNTIF($H$4:H45,#REF!), 0)), "")</f>
        <v/>
      </c>
      <c r="I46" s="34" t="e">
        <f>SUMIFS(#REF!,#REF!,'scenario analysis'!H46)+SUMIFS('vre plants'!$F$2:$F$31,'vre plants'!$G$2:$G$31,'scenario analysis'!H46)+SUMIFS(storage!$E$2:$E$75,storage!$I$2:$I$75,'scenario analysis'!H46)+SUMIFS(EV_aggregator!$F$2:$F$75,EV_aggregator!$K$2:$K$75,'scenario analysis'!H46)</f>
        <v>#REF!</v>
      </c>
      <c r="J46" s="34">
        <f>SUMIF('demand centres'!$E$1:$E$50,'scenario analysis'!H46,'demand centres'!$B$1:$B$50)</f>
        <v>0</v>
      </c>
      <c r="K46" s="34">
        <f t="array" ref="K46">SUMIF('existing transmission'!$B$2:$B$84,H46, 'existing transmission'!$G$2:$G$84)+SUMIF('existing transmission'!$C$2:$C$84,H46, 'existing transmission'!$G$2:$G$84)</f>
        <v>0</v>
      </c>
      <c r="L46" s="90">
        <f t="array" ref="L46">SUMIF('existing transmission'!$B$2:$B$84,H46, 'existing transmission'!$J$2:$J$84)+SUMIF('existing transmission'!$C$2:$C$84,H46, 'existing transmission'!$J$2:$J$84)</f>
        <v>0</v>
      </c>
      <c r="N46" s="142" t="str">
        <f t="array" ref="N46">IFERROR(INDEX(#REF!, MATCH(0, COUNTIF($N$4:N45,#REF!), 0)), "")</f>
        <v/>
      </c>
      <c r="O46" s="130">
        <f>SUMIFS('vre plants'!$F$2:$F$19, 'vre plants'!$G$2:$G$19, 'scenario analysis'!N46, 'vre plants'!$C$2:$C$19, "wind_onshore") +SUMIFS('vre plants'!$F$2:$F$19, 'vre plants'!$G$2:$G$19, 'scenario analysis'!N46, 'vre plants'!$C$2:$C$19,"wind_offshore")</f>
        <v>0</v>
      </c>
      <c r="P46" s="131">
        <f>SUMIFS('vre plants'!$F$2:$F$19,'vre plants'!$G$2:$G$19,'scenario analysis'!N46,'vre plants'!$C$2:$C$19,"multi c-Si")</f>
        <v>0</v>
      </c>
      <c r="Q46" s="34">
        <f>SUMIFS('vre plants'!$F$2:$F$19, 'vre plants'!$G$2:$G$19, 'scenario analysis'!N46, 'vre plants'!$C$2:$C$19, "mono c-Si")</f>
        <v>0</v>
      </c>
      <c r="R46" s="34">
        <f>SUMIFS('vre plants'!$F$2:$F$19,'vre plants'!$G$2:$G$19,'scenario analysis'!N46,'vre plants'!$C$2:$C$19,"thin film")</f>
        <v>0</v>
      </c>
    </row>
    <row r="47" spans="3:18">
      <c r="D47" s="5"/>
      <c r="H47" s="122" t="str">
        <f t="array" ref="H47">IFERROR(INDEX(#REF!, MATCH(0, COUNTIF($H$4:H46,#REF!), 0)), "")</f>
        <v/>
      </c>
      <c r="I47" s="34" t="e">
        <f>SUMIFS(#REF!,#REF!,'scenario analysis'!H47)+SUMIFS('vre plants'!$F$2:$F$31,'vre plants'!$G$2:$G$31,'scenario analysis'!H47)+SUMIFS(storage!$E$2:$E$75,storage!$I$2:$I$75,'scenario analysis'!H47)+SUMIFS(EV_aggregator!$F$2:$F$75,EV_aggregator!$K$2:$K$75,'scenario analysis'!H47)</f>
        <v>#REF!</v>
      </c>
      <c r="J47" s="34">
        <f>SUMIF('demand centres'!$E$1:$E$50,'scenario analysis'!H47,'demand centres'!$B$1:$B$50)</f>
        <v>0</v>
      </c>
      <c r="K47" s="34">
        <f t="array" ref="K47">SUMIF('existing transmission'!$B$2:$B$84,H47, 'existing transmission'!$G$2:$G$84)+SUMIF('existing transmission'!$C$2:$C$84,H47, 'existing transmission'!$G$2:$G$84)</f>
        <v>0</v>
      </c>
      <c r="L47" s="90">
        <f t="array" ref="L47">SUMIF('existing transmission'!$B$2:$B$84,H47, 'existing transmission'!$J$2:$J$84)+SUMIF('existing transmission'!$C$2:$C$84,H47, 'existing transmission'!$J$2:$J$84)</f>
        <v>0</v>
      </c>
      <c r="N47" s="142" t="str">
        <f t="array" ref="N47">IFERROR(INDEX(#REF!, MATCH(0, COUNTIF($N$4:N46,#REF!), 0)), "")</f>
        <v/>
      </c>
      <c r="O47" s="130">
        <f>SUMIFS('vre plants'!$F$2:$F$19, 'vre plants'!$G$2:$G$19, 'scenario analysis'!N47, 'vre plants'!$C$2:$C$19, "wind_onshore") +SUMIFS('vre plants'!$F$2:$F$19, 'vre plants'!$G$2:$G$19, 'scenario analysis'!N47, 'vre plants'!$C$2:$C$19,"wind_offshore")</f>
        <v>0</v>
      </c>
      <c r="P47" s="131">
        <f>SUMIFS('vre plants'!$F$2:$F$19,'vre plants'!$G$2:$G$19,'scenario analysis'!N47,'vre plants'!$C$2:$C$19,"multi c-Si")</f>
        <v>0</v>
      </c>
      <c r="Q47" s="34">
        <f>SUMIFS('vre plants'!$F$2:$F$19, 'vre plants'!$G$2:$G$19, 'scenario analysis'!N47, 'vre plants'!$C$2:$C$19, "mono c-Si")</f>
        <v>0</v>
      </c>
      <c r="R47" s="34">
        <f>SUMIFS('vre plants'!$F$2:$F$19,'vre plants'!$G$2:$G$19,'scenario analysis'!N47,'vre plants'!$C$2:$C$19,"thin film")</f>
        <v>0</v>
      </c>
    </row>
    <row r="48" spans="3:18">
      <c r="D48" s="97"/>
      <c r="H48" s="122" t="str">
        <f t="array" ref="H48">IFERROR(INDEX(#REF!, MATCH(0, COUNTIF($H$4:H47,#REF!), 0)), "")</f>
        <v/>
      </c>
      <c r="I48" s="34" t="e">
        <f>SUMIFS(#REF!,#REF!,'scenario analysis'!H48)+SUMIFS('vre plants'!$F$2:$F$31,'vre plants'!$G$2:$G$31,'scenario analysis'!H48)+SUMIFS(storage!$E$2:$E$75,storage!$I$2:$I$75,'scenario analysis'!H48)+SUMIFS(EV_aggregator!$F$2:$F$75,EV_aggregator!$K$2:$K$75,'scenario analysis'!H48)</f>
        <v>#REF!</v>
      </c>
      <c r="J48" s="34">
        <f>SUMIF('demand centres'!$E$1:$E$50,'scenario analysis'!H48,'demand centres'!$B$1:$B$50)</f>
        <v>0</v>
      </c>
      <c r="K48" s="34">
        <f t="array" ref="K48">SUMIF('existing transmission'!$B$2:$B$84,H48, 'existing transmission'!$G$2:$G$84)+SUMIF('existing transmission'!$C$2:$C$84,H48, 'existing transmission'!$G$2:$G$84)</f>
        <v>0</v>
      </c>
      <c r="L48" s="90">
        <f t="array" ref="L48">SUMIF('existing transmission'!$B$2:$B$84,H48, 'existing transmission'!$J$2:$J$84)+SUMIF('existing transmission'!$C$2:$C$84,H48, 'existing transmission'!$J$2:$J$84)</f>
        <v>0</v>
      </c>
      <c r="N48" s="142" t="str">
        <f t="array" ref="N48">IFERROR(INDEX(#REF!, MATCH(0, COUNTIF($N$4:N47,#REF!), 0)), "")</f>
        <v/>
      </c>
      <c r="O48" s="130">
        <f>SUMIFS('vre plants'!$F$2:$F$19, 'vre plants'!$G$2:$G$19, 'scenario analysis'!N48, 'vre plants'!$C$2:$C$19, "wind_onshore") +SUMIFS('vre plants'!$F$2:$F$19, 'vre plants'!$G$2:$G$19, 'scenario analysis'!N48, 'vre plants'!$C$2:$C$19,"wind_offshore")</f>
        <v>0</v>
      </c>
      <c r="P48" s="131">
        <f>SUMIFS('vre plants'!$F$2:$F$19,'vre plants'!$G$2:$G$19,'scenario analysis'!N48,'vre plants'!$C$2:$C$19,"multi c-Si")</f>
        <v>0</v>
      </c>
      <c r="Q48" s="34">
        <f>SUMIFS('vre plants'!$F$2:$F$19, 'vre plants'!$G$2:$G$19, 'scenario analysis'!N48, 'vre plants'!$C$2:$C$19, "mono c-Si")</f>
        <v>0</v>
      </c>
      <c r="R48" s="34">
        <f>SUMIFS('vre plants'!$F$2:$F$19,'vre plants'!$G$2:$G$19,'scenario analysis'!N48,'vre plants'!$C$2:$C$19,"thin film")</f>
        <v>0</v>
      </c>
    </row>
    <row r="49" spans="4:18">
      <c r="D49" s="97"/>
      <c r="H49" s="122" t="str">
        <f t="array" ref="H49">IFERROR(INDEX(#REF!, MATCH(0, COUNTIF($H$4:H48,#REF!), 0)), "")</f>
        <v/>
      </c>
      <c r="I49" s="34" t="e">
        <f>SUMIFS(#REF!,#REF!,'scenario analysis'!H49)+SUMIFS('vre plants'!$F$2:$F$31,'vre plants'!$G$2:$G$31,'scenario analysis'!H49)+SUMIFS(storage!$E$2:$E$75,storage!$I$2:$I$75,'scenario analysis'!H49)+SUMIFS(EV_aggregator!$F$2:$F$75,EV_aggregator!$K$2:$K$75,'scenario analysis'!H49)</f>
        <v>#REF!</v>
      </c>
      <c r="J49" s="34">
        <f>SUMIF('demand centres'!$E$1:$E$50,'scenario analysis'!H49,'demand centres'!$B$1:$B$50)</f>
        <v>0</v>
      </c>
      <c r="K49" s="34">
        <f t="array" ref="K49">SUMIF('existing transmission'!$B$2:$B$84,H49, 'existing transmission'!$G$2:$G$84)+SUMIF('existing transmission'!$C$2:$C$84,H49, 'existing transmission'!$G$2:$G$84)</f>
        <v>0</v>
      </c>
      <c r="L49" s="90">
        <f t="array" ref="L49">SUMIF('existing transmission'!$B$2:$B$84,H49, 'existing transmission'!$J$2:$J$84)+SUMIF('existing transmission'!$C$2:$C$84,H49, 'existing transmission'!$J$2:$J$84)</f>
        <v>0</v>
      </c>
      <c r="N49" s="142" t="str">
        <f t="array" ref="N49">IFERROR(INDEX(#REF!, MATCH(0, COUNTIF($N$4:N48,#REF!), 0)), "")</f>
        <v/>
      </c>
      <c r="O49" s="130">
        <f>SUMIFS('vre plants'!$F$2:$F$19, 'vre plants'!$G$2:$G$19, 'scenario analysis'!N49, 'vre plants'!$C$2:$C$19, "wind_onshore") +SUMIFS('vre plants'!$F$2:$F$19, 'vre plants'!$G$2:$G$19, 'scenario analysis'!N49, 'vre plants'!$C$2:$C$19,"wind_offshore")</f>
        <v>0</v>
      </c>
      <c r="P49" s="131">
        <f>SUMIFS('vre plants'!$F$2:$F$19,'vre plants'!$G$2:$G$19,'scenario analysis'!N49,'vre plants'!$C$2:$C$19,"multi c-Si")</f>
        <v>0</v>
      </c>
      <c r="Q49" s="34">
        <f>SUMIFS('vre plants'!$F$2:$F$19, 'vre plants'!$G$2:$G$19, 'scenario analysis'!N49, 'vre plants'!$C$2:$C$19, "mono c-Si")</f>
        <v>0</v>
      </c>
      <c r="R49" s="34">
        <f>SUMIFS('vre plants'!$F$2:$F$19,'vre plants'!$G$2:$G$19,'scenario analysis'!N49,'vre plants'!$C$2:$C$19,"thin film")</f>
        <v>0</v>
      </c>
    </row>
    <row r="50" spans="4:18">
      <c r="D50" s="97"/>
      <c r="H50" s="122" t="str">
        <f t="array" ref="H50">IFERROR(INDEX(#REF!, MATCH(0, COUNTIF($H$4:H49,#REF!), 0)), "")</f>
        <v/>
      </c>
      <c r="I50" s="34" t="e">
        <f>SUMIFS(#REF!,#REF!,'scenario analysis'!H50)+SUMIFS('vre plants'!$F$2:$F$31,'vre plants'!$G$2:$G$31,'scenario analysis'!H50)+SUMIFS(storage!$E$2:$E$75,storage!$I$2:$I$75,'scenario analysis'!H50)+SUMIFS(EV_aggregator!$F$2:$F$75,EV_aggregator!$K$2:$K$75,'scenario analysis'!H50)</f>
        <v>#REF!</v>
      </c>
      <c r="J50" s="34">
        <f>SUMIF('demand centres'!$E$1:$E$50,'scenario analysis'!H50,'demand centres'!$B$1:$B$50)</f>
        <v>0</v>
      </c>
      <c r="K50" s="34">
        <f t="array" ref="K50">SUMIF('existing transmission'!$B$2:$B$84,H50, 'existing transmission'!$G$2:$G$84)+SUMIF('existing transmission'!$C$2:$C$84,H50, 'existing transmission'!$G$2:$G$84)</f>
        <v>0</v>
      </c>
      <c r="L50" s="90">
        <f t="array" ref="L50">SUMIF('existing transmission'!$B$2:$B$84,H50, 'existing transmission'!$J$2:$J$84)+SUMIF('existing transmission'!$C$2:$C$84,H50, 'existing transmission'!$J$2:$J$84)</f>
        <v>0</v>
      </c>
      <c r="N50" s="142" t="str">
        <f t="array" ref="N50">IFERROR(INDEX(#REF!, MATCH(0, COUNTIF($N$4:N49,#REF!), 0)), "")</f>
        <v/>
      </c>
      <c r="O50" s="130">
        <f>SUMIFS('vre plants'!$F$2:$F$19, 'vre plants'!$G$2:$G$19, 'scenario analysis'!N50, 'vre plants'!$C$2:$C$19, "wind_onshore") +SUMIFS('vre plants'!$F$2:$F$19, 'vre plants'!$G$2:$G$19, 'scenario analysis'!N50, 'vre plants'!$C$2:$C$19,"wind_offshore")</f>
        <v>0</v>
      </c>
      <c r="P50" s="131">
        <f>SUMIFS('vre plants'!$F$2:$F$19,'vre plants'!$G$2:$G$19,'scenario analysis'!N50,'vre plants'!$C$2:$C$19,"multi c-Si")</f>
        <v>0</v>
      </c>
      <c r="Q50" s="34">
        <f>SUMIFS('vre plants'!$F$2:$F$19, 'vre plants'!$G$2:$G$19, 'scenario analysis'!N50, 'vre plants'!$C$2:$C$19, "mono c-Si")</f>
        <v>0</v>
      </c>
      <c r="R50" s="34">
        <f>SUMIFS('vre plants'!$F$2:$F$19,'vre plants'!$G$2:$G$19,'scenario analysis'!N50,'vre plants'!$C$2:$C$19,"thin film")</f>
        <v>0</v>
      </c>
    </row>
    <row r="51" spans="4:18">
      <c r="D51" s="97"/>
      <c r="H51" s="122" t="str">
        <f t="array" ref="H51">IFERROR(INDEX(#REF!, MATCH(0, COUNTIF($H$4:H50,#REF!), 0)), "")</f>
        <v/>
      </c>
      <c r="I51" s="34" t="e">
        <f>SUMIFS(#REF!,#REF!,'scenario analysis'!H51)+SUMIFS('vre plants'!$F$2:$F$31,'vre plants'!$G$2:$G$31,'scenario analysis'!H51)+SUMIFS(storage!$E$2:$E$75,storage!$I$2:$I$75,'scenario analysis'!H51)+SUMIFS(EV_aggregator!$F$2:$F$75,EV_aggregator!$K$2:$K$75,'scenario analysis'!H51)</f>
        <v>#REF!</v>
      </c>
      <c r="J51" s="34">
        <f>SUMIF('demand centres'!$E$1:$E$50,'scenario analysis'!H51,'demand centres'!$B$1:$B$50)</f>
        <v>0</v>
      </c>
      <c r="K51" s="34">
        <f t="array" ref="K51">SUMIF('existing transmission'!$B$2:$B$84,H51, 'existing transmission'!$G$2:$G$84)+SUMIF('existing transmission'!$C$2:$C$84,H51, 'existing transmission'!$G$2:$G$84)</f>
        <v>0</v>
      </c>
      <c r="L51" s="90">
        <f t="array" ref="L51">SUMIF('existing transmission'!$B$2:$B$84,H51, 'existing transmission'!$J$2:$J$84)+SUMIF('existing transmission'!$C$2:$C$84,H51, 'existing transmission'!$J$2:$J$84)</f>
        <v>0</v>
      </c>
      <c r="N51" s="142" t="str">
        <f t="array" ref="N51">IFERROR(INDEX(#REF!, MATCH(0, COUNTIF($N$4:N50,#REF!), 0)), "")</f>
        <v/>
      </c>
      <c r="O51" s="130">
        <f>SUMIFS('vre plants'!$F$2:$F$19, 'vre plants'!$G$2:$G$19, 'scenario analysis'!N51, 'vre plants'!$C$2:$C$19, "wind_onshore") +SUMIFS('vre plants'!$F$2:$F$19, 'vre plants'!$G$2:$G$19, 'scenario analysis'!N51, 'vre plants'!$C$2:$C$19,"wind_offshore")</f>
        <v>0</v>
      </c>
      <c r="P51" s="131">
        <f>SUMIFS('vre plants'!$F$2:$F$19,'vre plants'!$G$2:$G$19,'scenario analysis'!N51,'vre plants'!$C$2:$C$19,"multi c-Si")</f>
        <v>0</v>
      </c>
      <c r="Q51" s="34">
        <f>SUMIFS('vre plants'!$F$2:$F$19, 'vre plants'!$G$2:$G$19, 'scenario analysis'!N51, 'vre plants'!$C$2:$C$19, "mono c-Si")</f>
        <v>0</v>
      </c>
      <c r="R51" s="34">
        <f>SUMIFS('vre plants'!$F$2:$F$19,'vre plants'!$G$2:$G$19,'scenario analysis'!N51,'vre plants'!$C$2:$C$19,"thin film")</f>
        <v>0</v>
      </c>
    </row>
    <row r="52" spans="4:18">
      <c r="D52" s="97"/>
      <c r="H52" s="122" t="str">
        <f t="array" ref="H52">IFERROR(INDEX(#REF!, MATCH(0, COUNTIF($H$4:H51,#REF!), 0)), "")</f>
        <v/>
      </c>
      <c r="I52" s="34" t="e">
        <f>SUMIFS(#REF!,#REF!,'scenario analysis'!H52)+SUMIFS('vre plants'!$F$2:$F$31,'vre plants'!$G$2:$G$31,'scenario analysis'!H52)+SUMIFS(storage!$E$2:$E$75,storage!$I$2:$I$75,'scenario analysis'!H52)+SUMIFS(EV_aggregator!$F$2:$F$75,EV_aggregator!$K$2:$K$75,'scenario analysis'!H52)</f>
        <v>#REF!</v>
      </c>
      <c r="J52" s="34">
        <f>SUMIF('demand centres'!$E$1:$E$50,'scenario analysis'!H52,'demand centres'!$B$1:$B$50)</f>
        <v>0</v>
      </c>
      <c r="K52" s="34">
        <f t="array" ref="K52">SUMIF('existing transmission'!$B$2:$B$84,H52, 'existing transmission'!$G$2:$G$84)+SUMIF('existing transmission'!$C$2:$C$84,H52, 'existing transmission'!$G$2:$G$84)</f>
        <v>0</v>
      </c>
      <c r="L52" s="90">
        <f t="array" ref="L52">SUMIF('existing transmission'!$B$2:$B$84,H52, 'existing transmission'!$J$2:$J$84)+SUMIF('existing transmission'!$C$2:$C$84,H52, 'existing transmission'!$J$2:$J$84)</f>
        <v>0</v>
      </c>
      <c r="N52" s="142" t="str">
        <f t="array" ref="N52">IFERROR(INDEX(#REF!, MATCH(0, COUNTIF($N$4:N51,#REF!), 0)), "")</f>
        <v/>
      </c>
      <c r="O52" s="130">
        <f>SUMIFS('vre plants'!$F$2:$F$19, 'vre plants'!$G$2:$G$19, 'scenario analysis'!N52, 'vre plants'!$C$2:$C$19, "wind_onshore") +SUMIFS('vre plants'!$F$2:$F$19, 'vre plants'!$G$2:$G$19, 'scenario analysis'!N52, 'vre plants'!$C$2:$C$19,"wind_offshore")</f>
        <v>0</v>
      </c>
      <c r="P52" s="131">
        <f>SUMIFS('vre plants'!$F$2:$F$19,'vre plants'!$G$2:$G$19,'scenario analysis'!N52,'vre plants'!$C$2:$C$19,"multi c-Si")</f>
        <v>0</v>
      </c>
      <c r="Q52" s="34">
        <f>SUMIFS('vre plants'!$F$2:$F$19, 'vre plants'!$G$2:$G$19, 'scenario analysis'!N52, 'vre plants'!$C$2:$C$19, "mono c-Si")</f>
        <v>0</v>
      </c>
      <c r="R52" s="34">
        <f>SUMIFS('vre plants'!$F$2:$F$19,'vre plants'!$G$2:$G$19,'scenario analysis'!N52,'vre plants'!$C$2:$C$19,"thin film")</f>
        <v>0</v>
      </c>
    </row>
    <row r="53" spans="4:18">
      <c r="D53" s="97"/>
      <c r="H53" s="122" t="str">
        <f t="array" ref="H53">IFERROR(INDEX(#REF!, MATCH(0, COUNTIF($H$4:H52,#REF!), 0)), "")</f>
        <v/>
      </c>
      <c r="I53" s="34" t="e">
        <f>SUMIFS(#REF!,#REF!,'scenario analysis'!H53)+SUMIFS('vre plants'!$F$2:$F$31,'vre plants'!$G$2:$G$31,'scenario analysis'!H53)+SUMIFS(storage!$E$2:$E$75,storage!$I$2:$I$75,'scenario analysis'!H53)+SUMIFS(EV_aggregator!$F$2:$F$75,EV_aggregator!$K$2:$K$75,'scenario analysis'!H53)</f>
        <v>#REF!</v>
      </c>
      <c r="J53" s="34">
        <f>SUMIF('demand centres'!$E$1:$E$50,'scenario analysis'!H53,'demand centres'!$B$1:$B$50)</f>
        <v>0</v>
      </c>
      <c r="K53" s="34">
        <f t="array" ref="K53">SUMIF('existing transmission'!$B$2:$B$84,H53, 'existing transmission'!$G$2:$G$84)+SUMIF('existing transmission'!$C$2:$C$84,H53, 'existing transmission'!$G$2:$G$84)</f>
        <v>0</v>
      </c>
      <c r="L53" s="90">
        <f t="array" ref="L53">SUMIF('existing transmission'!$B$2:$B$84,H53, 'existing transmission'!$J$2:$J$84)+SUMIF('existing transmission'!$C$2:$C$84,H53, 'existing transmission'!$J$2:$J$84)</f>
        <v>0</v>
      </c>
      <c r="N53" s="142" t="str">
        <f t="array" ref="N53">IFERROR(INDEX(#REF!, MATCH(0, COUNTIF($N$4:N52,#REF!), 0)), "")</f>
        <v/>
      </c>
      <c r="O53" s="130">
        <f>SUMIFS('vre plants'!$F$2:$F$19, 'vre plants'!$G$2:$G$19, 'scenario analysis'!N53, 'vre plants'!$C$2:$C$19, "wind_onshore") +SUMIFS('vre plants'!$F$2:$F$19, 'vre plants'!$G$2:$G$19, 'scenario analysis'!N53, 'vre plants'!$C$2:$C$19,"wind_offshore")</f>
        <v>0</v>
      </c>
      <c r="P53" s="131">
        <f>SUMIFS('vre plants'!$F$2:$F$19,'vre plants'!$G$2:$G$19,'scenario analysis'!N53,'vre plants'!$C$2:$C$19,"multi c-Si")</f>
        <v>0</v>
      </c>
      <c r="Q53" s="34">
        <f>SUMIFS('vre plants'!$F$2:$F$19, 'vre plants'!$G$2:$G$19, 'scenario analysis'!N53, 'vre plants'!$C$2:$C$19, "mono c-Si")</f>
        <v>0</v>
      </c>
      <c r="R53" s="34">
        <f>SUMIFS('vre plants'!$F$2:$F$19,'vre plants'!$G$2:$G$19,'scenario analysis'!N53,'vre plants'!$C$2:$C$19,"thin film")</f>
        <v>0</v>
      </c>
    </row>
    <row r="54" spans="4:18">
      <c r="D54" s="97"/>
      <c r="H54" s="122" t="str">
        <f t="array" ref="H54">IFERROR(INDEX(#REF!, MATCH(0, COUNTIF($H$4:H53,#REF!), 0)), "")</f>
        <v/>
      </c>
      <c r="I54" s="34" t="e">
        <f>SUMIFS(#REF!,#REF!,'scenario analysis'!H54)+SUMIFS('vre plants'!$F$2:$F$31,'vre plants'!$G$2:$G$31,'scenario analysis'!H54)+SUMIFS(storage!$E$2:$E$75,storage!$I$2:$I$75,'scenario analysis'!H54)+SUMIFS(EV_aggregator!$F$2:$F$75,EV_aggregator!$K$2:$K$75,'scenario analysis'!H54)</f>
        <v>#REF!</v>
      </c>
      <c r="J54" s="34">
        <f>SUMIF('demand centres'!$E$1:$E$50,'scenario analysis'!H54,'demand centres'!$B$1:$B$50)</f>
        <v>0</v>
      </c>
      <c r="K54" s="34">
        <f t="array" ref="K54">SUMIF('existing transmission'!$B$2:$B$84,H54, 'existing transmission'!$G$2:$G$84)+SUMIF('existing transmission'!$C$2:$C$84,H54, 'existing transmission'!$G$2:$G$84)</f>
        <v>0</v>
      </c>
      <c r="L54" s="90">
        <f t="array" ref="L54">SUMIF('existing transmission'!$B$2:$B$84,H54, 'existing transmission'!$J$2:$J$84)+SUMIF('existing transmission'!$C$2:$C$84,H54, 'existing transmission'!$J$2:$J$84)</f>
        <v>0</v>
      </c>
      <c r="N54" s="142" t="str">
        <f t="array" ref="N54">IFERROR(INDEX(#REF!, MATCH(0, COUNTIF($N$4:N53,#REF!), 0)), "")</f>
        <v/>
      </c>
      <c r="O54" s="130">
        <f>SUMIFS('vre plants'!$F$2:$F$19, 'vre plants'!$G$2:$G$19, 'scenario analysis'!N54, 'vre plants'!$C$2:$C$19, "wind_onshore") +SUMIFS('vre plants'!$F$2:$F$19, 'vre plants'!$G$2:$G$19, 'scenario analysis'!N54, 'vre plants'!$C$2:$C$19,"wind_offshore")</f>
        <v>0</v>
      </c>
      <c r="P54" s="131">
        <f>SUMIFS('vre plants'!$F$2:$F$19,'vre plants'!$G$2:$G$19,'scenario analysis'!N54,'vre plants'!$C$2:$C$19,"multi c-Si")</f>
        <v>0</v>
      </c>
      <c r="Q54" s="34">
        <f>SUMIFS('vre plants'!$F$2:$F$19, 'vre plants'!$G$2:$G$19, 'scenario analysis'!N54, 'vre plants'!$C$2:$C$19, "mono c-Si")</f>
        <v>0</v>
      </c>
      <c r="R54" s="34">
        <f>SUMIFS('vre plants'!$F$2:$F$19,'vre plants'!$G$2:$G$19,'scenario analysis'!N54,'vre plants'!$C$2:$C$19,"thin film")</f>
        <v>0</v>
      </c>
    </row>
    <row r="55" spans="4:18">
      <c r="D55" s="97"/>
      <c r="H55" s="122" t="str">
        <f t="array" ref="H55">IFERROR(INDEX(#REF!, MATCH(0, COUNTIF($H$4:H54,#REF!), 0)), "")</f>
        <v/>
      </c>
      <c r="I55" s="34" t="e">
        <f>SUMIFS(#REF!,#REF!,'scenario analysis'!H55)+SUMIFS('vre plants'!$F$2:$F$31,'vre plants'!$G$2:$G$31,'scenario analysis'!H55)+SUMIFS(storage!$E$2:$E$75,storage!$I$2:$I$75,'scenario analysis'!H55)+SUMIFS(EV_aggregator!$F$2:$F$75,EV_aggregator!$K$2:$K$75,'scenario analysis'!H55)</f>
        <v>#REF!</v>
      </c>
      <c r="J55" s="34">
        <f>SUMIF('demand centres'!$E$1:$E$50,'scenario analysis'!H55,'demand centres'!$B$1:$B$50)</f>
        <v>0</v>
      </c>
      <c r="K55" s="34">
        <f t="array" ref="K55">SUMIF('existing transmission'!$B$2:$B$84,H55, 'existing transmission'!$G$2:$G$84)+SUMIF('existing transmission'!$C$2:$C$84,H55, 'existing transmission'!$G$2:$G$84)</f>
        <v>0</v>
      </c>
      <c r="L55" s="90">
        <f t="array" ref="L55">SUMIF('existing transmission'!$B$2:$B$84,H55, 'existing transmission'!$J$2:$J$84)+SUMIF('existing transmission'!$C$2:$C$84,H55, 'existing transmission'!$J$2:$J$84)</f>
        <v>0</v>
      </c>
      <c r="N55" s="142" t="str">
        <f t="array" ref="N55">IFERROR(INDEX(#REF!, MATCH(0, COUNTIF($N$4:N54,#REF!), 0)), "")</f>
        <v/>
      </c>
      <c r="O55" s="130">
        <f>SUMIFS('vre plants'!$F$2:$F$19, 'vre plants'!$G$2:$G$19, 'scenario analysis'!N55, 'vre plants'!$C$2:$C$19, "wind_onshore") +SUMIFS('vre plants'!$F$2:$F$19, 'vre plants'!$G$2:$G$19, 'scenario analysis'!N55, 'vre plants'!$C$2:$C$19,"wind_offshore")</f>
        <v>0</v>
      </c>
      <c r="P55" s="131">
        <f>SUMIFS('vre plants'!$F$2:$F$19,'vre plants'!$G$2:$G$19,'scenario analysis'!N55,'vre plants'!$C$2:$C$19,"multi c-Si")</f>
        <v>0</v>
      </c>
      <c r="Q55" s="34">
        <f>SUMIFS('vre plants'!$F$2:$F$19, 'vre plants'!$G$2:$G$19, 'scenario analysis'!N55, 'vre plants'!$C$2:$C$19, "mono c-Si")</f>
        <v>0</v>
      </c>
      <c r="R55" s="34">
        <f>SUMIFS('vre plants'!$F$2:$F$19,'vre plants'!$G$2:$G$19,'scenario analysis'!N55,'vre plants'!$C$2:$C$19,"thin film")</f>
        <v>0</v>
      </c>
    </row>
    <row r="56" spans="4:18">
      <c r="D56" s="97"/>
      <c r="H56" s="122" t="str">
        <f t="array" ref="H56">IFERROR(INDEX(#REF!, MATCH(0, COUNTIF($H$4:H55,#REF!), 0)), "")</f>
        <v/>
      </c>
      <c r="I56" s="34" t="e">
        <f>SUMIFS(#REF!,#REF!,'scenario analysis'!H56)+SUMIFS('vre plants'!$F$2:$F$31,'vre plants'!$G$2:$G$31,'scenario analysis'!H56)+SUMIFS(storage!$E$2:$E$75,storage!$I$2:$I$75,'scenario analysis'!H56)+SUMIFS(EV_aggregator!$F$2:$F$75,EV_aggregator!$K$2:$K$75,'scenario analysis'!H56)</f>
        <v>#REF!</v>
      </c>
      <c r="J56" s="34">
        <f>SUMIF('demand centres'!$E$1:$E$50,'scenario analysis'!H56,'demand centres'!$B$1:$B$50)</f>
        <v>0</v>
      </c>
      <c r="K56" s="34">
        <f t="array" ref="K56">SUMIF('existing transmission'!$B$2:$B$84,H56, 'existing transmission'!$G$2:$G$84)+SUMIF('existing transmission'!$C$2:$C$84,H56, 'existing transmission'!$G$2:$G$84)</f>
        <v>0</v>
      </c>
      <c r="L56" s="90">
        <f t="array" ref="L56">SUMIF('existing transmission'!$B$2:$B$84,H56, 'existing transmission'!$J$2:$J$84)+SUMIF('existing transmission'!$C$2:$C$84,H56, 'existing transmission'!$J$2:$J$84)</f>
        <v>0</v>
      </c>
      <c r="N56" s="142" t="str">
        <f t="array" ref="N56">IFERROR(INDEX(#REF!, MATCH(0, COUNTIF($N$4:N55,#REF!), 0)), "")</f>
        <v/>
      </c>
      <c r="O56" s="130">
        <f>SUMIFS('vre plants'!$F$2:$F$19, 'vre plants'!$G$2:$G$19, 'scenario analysis'!N56, 'vre plants'!$C$2:$C$19, "wind_onshore") +SUMIFS('vre plants'!$F$2:$F$19, 'vre plants'!$G$2:$G$19, 'scenario analysis'!N56, 'vre plants'!$C$2:$C$19,"wind_offshore")</f>
        <v>0</v>
      </c>
      <c r="P56" s="131">
        <f>SUMIFS('vre plants'!$F$2:$F$19,'vre plants'!$G$2:$G$19,'scenario analysis'!N56,'vre plants'!$C$2:$C$19,"multi c-Si")</f>
        <v>0</v>
      </c>
      <c r="Q56" s="34">
        <f>SUMIFS('vre plants'!$F$2:$F$19, 'vre plants'!$G$2:$G$19, 'scenario analysis'!N56, 'vre plants'!$C$2:$C$19, "mono c-Si")</f>
        <v>0</v>
      </c>
      <c r="R56" s="34">
        <f>SUMIFS('vre plants'!$F$2:$F$19,'vre plants'!$G$2:$G$19,'scenario analysis'!N56,'vre plants'!$C$2:$C$19,"thin film")</f>
        <v>0</v>
      </c>
    </row>
    <row r="57" spans="4:18">
      <c r="D57" s="97"/>
      <c r="H57" s="122" t="str">
        <f t="array" ref="H57">IFERROR(INDEX(#REF!, MATCH(0, COUNTIF($H$4:H56,#REF!), 0)), "")</f>
        <v/>
      </c>
      <c r="I57" s="34" t="e">
        <f>SUMIFS(#REF!,#REF!,'scenario analysis'!H57)+SUMIFS('vre plants'!$F$2:$F$31,'vre plants'!$G$2:$G$31,'scenario analysis'!H57)+SUMIFS(storage!$E$2:$E$75,storage!$I$2:$I$75,'scenario analysis'!H57)+SUMIFS(EV_aggregator!$F$2:$F$75,EV_aggregator!$K$2:$K$75,'scenario analysis'!H57)</f>
        <v>#REF!</v>
      </c>
      <c r="J57" s="34">
        <f>SUMIF('demand centres'!$E$1:$E$50,'scenario analysis'!H57,'demand centres'!$B$1:$B$50)</f>
        <v>0</v>
      </c>
      <c r="K57" s="34">
        <f t="array" ref="K57">SUMIF('existing transmission'!$B$2:$B$84,H57, 'existing transmission'!$G$2:$G$84)+SUMIF('existing transmission'!$C$2:$C$84,H57, 'existing transmission'!$G$2:$G$84)</f>
        <v>0</v>
      </c>
      <c r="L57" s="90">
        <f t="array" ref="L57">SUMIF('existing transmission'!$B$2:$B$84,H57, 'existing transmission'!$J$2:$J$84)+SUMIF('existing transmission'!$C$2:$C$84,H57, 'existing transmission'!$J$2:$J$84)</f>
        <v>0</v>
      </c>
      <c r="N57" s="142" t="str">
        <f t="array" ref="N57">IFERROR(INDEX(#REF!, MATCH(0, COUNTIF($N$4:N56,#REF!), 0)), "")</f>
        <v/>
      </c>
      <c r="O57" s="130">
        <f>SUMIFS('vre plants'!$F$2:$F$19, 'vre plants'!$G$2:$G$19, 'scenario analysis'!N57, 'vre plants'!$C$2:$C$19, "wind_onshore") +SUMIFS('vre plants'!$F$2:$F$19, 'vre plants'!$G$2:$G$19, 'scenario analysis'!N57, 'vre plants'!$C$2:$C$19,"wind_offshore")</f>
        <v>0</v>
      </c>
      <c r="P57" s="131">
        <f>SUMIFS('vre plants'!$F$2:$F$19,'vre plants'!$G$2:$G$19,'scenario analysis'!N57,'vre plants'!$C$2:$C$19,"multi c-Si")</f>
        <v>0</v>
      </c>
      <c r="Q57" s="34">
        <f>SUMIFS('vre plants'!$F$2:$F$19, 'vre plants'!$G$2:$G$19, 'scenario analysis'!N57, 'vre plants'!$C$2:$C$19, "mono c-Si")</f>
        <v>0</v>
      </c>
      <c r="R57" s="34">
        <f>SUMIFS('vre plants'!$F$2:$F$19,'vre plants'!$G$2:$G$19,'scenario analysis'!N57,'vre plants'!$C$2:$C$19,"thin film")</f>
        <v>0</v>
      </c>
    </row>
    <row r="58" spans="4:18">
      <c r="D58" s="97"/>
      <c r="H58" s="122" t="str">
        <f t="array" ref="H58">IFERROR(INDEX(#REF!, MATCH(0, COUNTIF($H$4:H57,#REF!), 0)), "")</f>
        <v/>
      </c>
      <c r="I58" s="34" t="e">
        <f>SUMIFS(#REF!,#REF!,'scenario analysis'!H58)+SUMIFS('vre plants'!$F$2:$F$31,'vre plants'!$G$2:$G$31,'scenario analysis'!H58)+SUMIFS(storage!$E$2:$E$75,storage!$I$2:$I$75,'scenario analysis'!H58)+SUMIFS(EV_aggregator!$F$2:$F$75,EV_aggregator!$K$2:$K$75,'scenario analysis'!H58)</f>
        <v>#REF!</v>
      </c>
      <c r="J58" s="34">
        <f>SUMIF('demand centres'!$E$1:$E$50,'scenario analysis'!H58,'demand centres'!$B$1:$B$50)</f>
        <v>0</v>
      </c>
      <c r="K58" s="34">
        <f t="array" ref="K58">SUMIF('existing transmission'!$B$2:$B$84,H58, 'existing transmission'!$G$2:$G$84)+SUMIF('existing transmission'!$C$2:$C$84,H58, 'existing transmission'!$G$2:$G$84)</f>
        <v>0</v>
      </c>
      <c r="L58" s="90">
        <f t="array" ref="L58">SUMIF('existing transmission'!$B$2:$B$84,H58, 'existing transmission'!$J$2:$J$84)+SUMIF('existing transmission'!$C$2:$C$84,H58, 'existing transmission'!$J$2:$J$84)</f>
        <v>0</v>
      </c>
      <c r="N58" s="142" t="str">
        <f t="array" ref="N58">IFERROR(INDEX(#REF!, MATCH(0, COUNTIF($N$4:N57,#REF!), 0)), "")</f>
        <v/>
      </c>
      <c r="O58" s="130">
        <f>SUMIFS('vre plants'!$F$2:$F$19, 'vre plants'!$G$2:$G$19, 'scenario analysis'!N58, 'vre plants'!$C$2:$C$19, "wind_onshore") +SUMIFS('vre plants'!$F$2:$F$19, 'vre plants'!$G$2:$G$19, 'scenario analysis'!N58, 'vre plants'!$C$2:$C$19,"wind_offshore")</f>
        <v>0</v>
      </c>
      <c r="P58" s="131">
        <f>SUMIFS('vre plants'!$F$2:$F$19,'vre plants'!$G$2:$G$19,'scenario analysis'!N58,'vre plants'!$C$2:$C$19,"multi c-Si")</f>
        <v>0</v>
      </c>
      <c r="Q58" s="34">
        <f>SUMIFS('vre plants'!$F$2:$F$19, 'vre plants'!$G$2:$G$19, 'scenario analysis'!N58, 'vre plants'!$C$2:$C$19, "mono c-Si")</f>
        <v>0</v>
      </c>
      <c r="R58" s="34">
        <f>SUMIFS('vre plants'!$F$2:$F$19,'vre plants'!$G$2:$G$19,'scenario analysis'!N58,'vre plants'!$C$2:$C$19,"thin film")</f>
        <v>0</v>
      </c>
    </row>
    <row r="59" spans="4:18">
      <c r="D59" s="97"/>
      <c r="H59" s="122" t="str">
        <f t="array" ref="H59">IFERROR(INDEX(#REF!, MATCH(0, COUNTIF($H$4:H58,#REF!), 0)), "")</f>
        <v/>
      </c>
      <c r="I59" s="34" t="e">
        <f>SUMIFS(#REF!,#REF!,'scenario analysis'!H59)+SUMIFS('vre plants'!$F$2:$F$31,'vre plants'!$G$2:$G$31,'scenario analysis'!H59)+SUMIFS(storage!$E$2:$E$75,storage!$I$2:$I$75,'scenario analysis'!H59)+SUMIFS(EV_aggregator!$F$2:$F$75,EV_aggregator!$K$2:$K$75,'scenario analysis'!H59)</f>
        <v>#REF!</v>
      </c>
      <c r="J59" s="34">
        <f>SUMIF('demand centres'!$E$1:$E$50,'scenario analysis'!H59,'demand centres'!$B$1:$B$50)</f>
        <v>0</v>
      </c>
      <c r="K59" s="34">
        <f t="array" ref="K59">SUMIF('existing transmission'!$B$2:$B$84,H59, 'existing transmission'!$G$2:$G$84)+SUMIF('existing transmission'!$C$2:$C$84,H59, 'existing transmission'!$G$2:$G$84)</f>
        <v>0</v>
      </c>
      <c r="L59" s="90">
        <f t="array" ref="L59">SUMIF('existing transmission'!$B$2:$B$84,H59, 'existing transmission'!$J$2:$J$84)+SUMIF('existing transmission'!$C$2:$C$84,H59, 'existing transmission'!$J$2:$J$84)</f>
        <v>0</v>
      </c>
      <c r="N59" s="142" t="str">
        <f t="array" ref="N59">IFERROR(INDEX(#REF!, MATCH(0, COUNTIF($N$4:N58,#REF!), 0)), "")</f>
        <v/>
      </c>
      <c r="O59" s="130">
        <f>SUMIFS('vre plants'!$F$2:$F$19, 'vre plants'!$G$2:$G$19, 'scenario analysis'!N59, 'vre plants'!$C$2:$C$19, "wind_onshore") +SUMIFS('vre plants'!$F$2:$F$19, 'vre plants'!$G$2:$G$19, 'scenario analysis'!N59, 'vre plants'!$C$2:$C$19,"wind_offshore")</f>
        <v>0</v>
      </c>
      <c r="P59" s="131">
        <f>SUMIFS('vre plants'!$F$2:$F$19,'vre plants'!$G$2:$G$19,'scenario analysis'!N59,'vre plants'!$C$2:$C$19,"multi c-Si")</f>
        <v>0</v>
      </c>
      <c r="Q59" s="34">
        <f>SUMIFS('vre plants'!$F$2:$F$19, 'vre plants'!$G$2:$G$19, 'scenario analysis'!N59, 'vre plants'!$C$2:$C$19, "mono c-Si")</f>
        <v>0</v>
      </c>
      <c r="R59" s="34">
        <f>SUMIFS('vre plants'!$F$2:$F$19,'vre plants'!$G$2:$G$19,'scenario analysis'!N59,'vre plants'!$C$2:$C$19,"thin film")</f>
        <v>0</v>
      </c>
    </row>
    <row r="60" spans="4:18">
      <c r="D60" s="97"/>
      <c r="H60" s="122" t="str">
        <f t="array" ref="H60">IFERROR(INDEX(#REF!, MATCH(0, COUNTIF($H$4:H59,#REF!), 0)), "")</f>
        <v/>
      </c>
      <c r="I60" s="34" t="e">
        <f>SUMIFS(#REF!,#REF!,'scenario analysis'!H60)+SUMIFS('vre plants'!$F$2:$F$31,'vre plants'!$G$2:$G$31,'scenario analysis'!H60)+SUMIFS(storage!$E$2:$E$75,storage!$I$2:$I$75,'scenario analysis'!H60)+SUMIFS(EV_aggregator!$F$2:$F$75,EV_aggregator!$K$2:$K$75,'scenario analysis'!H60)</f>
        <v>#REF!</v>
      </c>
      <c r="J60" s="34">
        <f>SUMIF('demand centres'!$E$1:$E$50,'scenario analysis'!H60,'demand centres'!$B$1:$B$50)</f>
        <v>0</v>
      </c>
      <c r="K60" s="34">
        <f t="array" ref="K60">SUMIF('existing transmission'!$B$2:$B$84,H60, 'existing transmission'!$G$2:$G$84)+SUMIF('existing transmission'!$C$2:$C$84,H60, 'existing transmission'!$G$2:$G$84)</f>
        <v>0</v>
      </c>
      <c r="L60" s="90">
        <f t="array" ref="L60">SUMIF('existing transmission'!$B$2:$B$84,H60, 'existing transmission'!$J$2:$J$84)+SUMIF('existing transmission'!$C$2:$C$84,H60, 'existing transmission'!$J$2:$J$84)</f>
        <v>0</v>
      </c>
      <c r="N60" s="142" t="str">
        <f t="array" ref="N60">IFERROR(INDEX(#REF!, MATCH(0, COUNTIF($N$4:N59,#REF!), 0)), "")</f>
        <v/>
      </c>
      <c r="O60" s="130">
        <f>SUMIFS('vre plants'!$F$2:$F$19, 'vre plants'!$G$2:$G$19, 'scenario analysis'!N60, 'vre plants'!$C$2:$C$19, "wind_onshore") +SUMIFS('vre plants'!$F$2:$F$19, 'vre plants'!$G$2:$G$19, 'scenario analysis'!N60, 'vre plants'!$C$2:$C$19,"wind_offshore")</f>
        <v>0</v>
      </c>
      <c r="P60" s="131">
        <f>SUMIFS('vre plants'!$F$2:$F$19,'vre plants'!$G$2:$G$19,'scenario analysis'!N60,'vre plants'!$C$2:$C$19,"multi c-Si")</f>
        <v>0</v>
      </c>
      <c r="Q60" s="34">
        <f>SUMIFS('vre plants'!$F$2:$F$19, 'vre plants'!$G$2:$G$19, 'scenario analysis'!N60, 'vre plants'!$C$2:$C$19, "mono c-Si")</f>
        <v>0</v>
      </c>
      <c r="R60" s="34">
        <f>SUMIFS('vre plants'!$F$2:$F$19,'vre plants'!$G$2:$G$19,'scenario analysis'!N60,'vre plants'!$C$2:$C$19,"thin film")</f>
        <v>0</v>
      </c>
    </row>
    <row r="61" spans="4:18">
      <c r="D61" s="53"/>
      <c r="H61" s="122" t="str">
        <f t="array" ref="H61">IFERROR(INDEX(#REF!, MATCH(0, COUNTIF($H$4:H60,#REF!), 0)), "")</f>
        <v/>
      </c>
      <c r="I61" s="34" t="e">
        <f>SUMIFS(#REF!,#REF!,'scenario analysis'!H61)+SUMIFS('vre plants'!$F$2:$F$31,'vre plants'!$G$2:$G$31,'scenario analysis'!H61)+SUMIFS(storage!$E$2:$E$75,storage!$I$2:$I$75,'scenario analysis'!H61)+SUMIFS(EV_aggregator!$F$2:$F$75,EV_aggregator!$K$2:$K$75,'scenario analysis'!H61)</f>
        <v>#REF!</v>
      </c>
      <c r="J61" s="34">
        <f>SUMIF('demand centres'!$E$1:$E$50,'scenario analysis'!H61,'demand centres'!$B$1:$B$50)</f>
        <v>0</v>
      </c>
      <c r="K61" s="34">
        <f t="array" ref="K61">SUMIF('existing transmission'!$B$2:$B$84,H61, 'existing transmission'!$G$2:$G$84)+SUMIF('existing transmission'!$C$2:$C$84,H61, 'existing transmission'!$G$2:$G$84)</f>
        <v>0</v>
      </c>
      <c r="L61" s="90">
        <f t="array" ref="L61">SUMIF('existing transmission'!$B$2:$B$84,H61, 'existing transmission'!$J$2:$J$84)+SUMIF('existing transmission'!$C$2:$C$84,H61, 'existing transmission'!$J$2:$J$84)</f>
        <v>0</v>
      </c>
      <c r="N61" s="142" t="str">
        <f t="array" ref="N61">IFERROR(INDEX(#REF!, MATCH(0, COUNTIF($N$4:N60,#REF!), 0)), "")</f>
        <v/>
      </c>
      <c r="O61" s="130">
        <f>SUMIFS('vre plants'!$F$2:$F$19, 'vre plants'!$G$2:$G$19, 'scenario analysis'!N61, 'vre plants'!$C$2:$C$19, "wind_onshore") +SUMIFS('vre plants'!$F$2:$F$19, 'vre plants'!$G$2:$G$19, 'scenario analysis'!N61, 'vre plants'!$C$2:$C$19,"wind_offshore")</f>
        <v>0</v>
      </c>
      <c r="P61" s="131">
        <f>SUMIFS('vre plants'!$F$2:$F$19,'vre plants'!$G$2:$G$19,'scenario analysis'!N61,'vre plants'!$C$2:$C$19,"multi c-Si")</f>
        <v>0</v>
      </c>
      <c r="Q61" s="34">
        <f>SUMIFS('vre plants'!$F$2:$F$19, 'vre plants'!$G$2:$G$19, 'scenario analysis'!N61, 'vre plants'!$C$2:$C$19, "mono c-Si")</f>
        <v>0</v>
      </c>
      <c r="R61" s="34">
        <f>SUMIFS('vre plants'!$F$2:$F$19,'vre plants'!$G$2:$G$19,'scenario analysis'!N61,'vre plants'!$C$2:$C$19,"thin film")</f>
        <v>0</v>
      </c>
    </row>
    <row r="62" spans="4:18">
      <c r="D62" s="5"/>
      <c r="H62" s="122" t="str">
        <f t="array" ref="H62">IFERROR(INDEX(#REF!, MATCH(0, COUNTIF($H$4:H61,#REF!), 0)), "")</f>
        <v/>
      </c>
      <c r="I62" s="34" t="e">
        <f>SUMIFS(#REF!,#REF!,'scenario analysis'!H62)+SUMIFS('vre plants'!$F$2:$F$31,'vre plants'!$G$2:$G$31,'scenario analysis'!H62)+SUMIFS(storage!$E$2:$E$75,storage!$I$2:$I$75,'scenario analysis'!H62)+SUMIFS(EV_aggregator!$F$2:$F$75,EV_aggregator!$K$2:$K$75,'scenario analysis'!H62)</f>
        <v>#REF!</v>
      </c>
      <c r="J62" s="34">
        <f>SUMIF('demand centres'!$E$1:$E$50,'scenario analysis'!H62,'demand centres'!$B$1:$B$50)</f>
        <v>0</v>
      </c>
      <c r="K62" s="34">
        <f t="array" ref="K62">SUMIF('existing transmission'!$B$2:$B$84,H62, 'existing transmission'!$G$2:$G$84)+SUMIF('existing transmission'!$C$2:$C$84,H62, 'existing transmission'!$G$2:$G$84)</f>
        <v>0</v>
      </c>
      <c r="L62" s="90">
        <f t="array" ref="L62">SUMIF('existing transmission'!$B$2:$B$84,H62, 'existing transmission'!$J$2:$J$84)+SUMIF('existing transmission'!$C$2:$C$84,H62, 'existing transmission'!$J$2:$J$84)</f>
        <v>0</v>
      </c>
      <c r="N62" s="142" t="str">
        <f t="array" ref="N62">IFERROR(INDEX(#REF!, MATCH(0, COUNTIF($N$4:N61,#REF!), 0)), "")</f>
        <v/>
      </c>
      <c r="O62" s="130">
        <f>SUMIFS('vre plants'!$F$2:$F$19, 'vre plants'!$G$2:$G$19, 'scenario analysis'!N62, 'vre plants'!$C$2:$C$19, "wind_onshore") +SUMIFS('vre plants'!$F$2:$F$19, 'vre plants'!$G$2:$G$19, 'scenario analysis'!N62, 'vre plants'!$C$2:$C$19,"wind_offshore")</f>
        <v>0</v>
      </c>
      <c r="P62" s="131">
        <f>SUMIFS('vre plants'!$F$2:$F$19,'vre plants'!$G$2:$G$19,'scenario analysis'!N62,'vre plants'!$C$2:$C$19,"multi c-Si")</f>
        <v>0</v>
      </c>
      <c r="Q62" s="34">
        <f>SUMIFS('vre plants'!$F$2:$F$19, 'vre plants'!$G$2:$G$19, 'scenario analysis'!N62, 'vre plants'!$C$2:$C$19, "mono c-Si")</f>
        <v>0</v>
      </c>
      <c r="R62" s="34">
        <f>SUMIFS('vre plants'!$F$2:$F$19,'vre plants'!$G$2:$G$19,'scenario analysis'!N62,'vre plants'!$C$2:$C$19,"thin film")</f>
        <v>0</v>
      </c>
    </row>
    <row r="63" spans="4:18">
      <c r="H63" s="122" t="str">
        <f t="array" ref="H63">IFERROR(INDEX(#REF!, MATCH(0, COUNTIF($H$4:H62,#REF!), 0)), "")</f>
        <v/>
      </c>
      <c r="I63" s="34" t="e">
        <f>SUMIFS(#REF!,#REF!,'scenario analysis'!H63)+SUMIFS('vre plants'!$F$2:$F$31,'vre plants'!$G$2:$G$31,'scenario analysis'!H63)+SUMIFS(storage!$E$2:$E$75,storage!$I$2:$I$75,'scenario analysis'!H63)+SUMIFS(EV_aggregator!$F$2:$F$75,EV_aggregator!$K$2:$K$75,'scenario analysis'!H63)</f>
        <v>#REF!</v>
      </c>
      <c r="J63" s="34">
        <f>SUMIF('demand centres'!$E$1:$E$50,'scenario analysis'!H63,'demand centres'!$B$1:$B$50)</f>
        <v>0</v>
      </c>
      <c r="K63" s="34">
        <f t="array" ref="K63">SUMIF('existing transmission'!$B$2:$B$84,H63, 'existing transmission'!$G$2:$G$84)+SUMIF('existing transmission'!$C$2:$C$84,H63, 'existing transmission'!$G$2:$G$84)</f>
        <v>0</v>
      </c>
      <c r="L63" s="90">
        <f t="array" ref="L63">SUMIF('existing transmission'!$B$2:$B$84,H63, 'existing transmission'!$J$2:$J$84)+SUMIF('existing transmission'!$C$2:$C$84,H63, 'existing transmission'!$J$2:$J$84)</f>
        <v>0</v>
      </c>
      <c r="N63" s="142" t="str">
        <f t="array" ref="N63">IFERROR(INDEX(#REF!, MATCH(0, COUNTIF($N$4:N62,#REF!), 0)), "")</f>
        <v/>
      </c>
      <c r="O63" s="130">
        <f>SUMIFS('vre plants'!$F$2:$F$19, 'vre plants'!$G$2:$G$19, 'scenario analysis'!N63, 'vre plants'!$C$2:$C$19, "wind_onshore") +SUMIFS('vre plants'!$F$2:$F$19, 'vre plants'!$G$2:$G$19, 'scenario analysis'!N63, 'vre plants'!$C$2:$C$19,"wind_offshore")</f>
        <v>0</v>
      </c>
      <c r="P63" s="131">
        <f>SUMIFS('vre plants'!$F$2:$F$19,'vre plants'!$G$2:$G$19,'scenario analysis'!N63,'vre plants'!$C$2:$C$19,"multi c-Si")</f>
        <v>0</v>
      </c>
      <c r="Q63" s="34">
        <f>SUMIFS('vre plants'!$F$2:$F$19, 'vre plants'!$G$2:$G$19, 'scenario analysis'!N63, 'vre plants'!$C$2:$C$19, "mono c-Si")</f>
        <v>0</v>
      </c>
      <c r="R63" s="34">
        <f>SUMIFS('vre plants'!$F$2:$F$19,'vre plants'!$G$2:$G$19,'scenario analysis'!N63,'vre plants'!$C$2:$C$19,"thin film")</f>
        <v>0</v>
      </c>
    </row>
    <row r="64" spans="4:18">
      <c r="H64" s="122" t="str">
        <f t="array" ref="H64">IFERROR(INDEX(#REF!, MATCH(0, COUNTIF($H$4:H63,#REF!), 0)), "")</f>
        <v/>
      </c>
      <c r="I64" s="34" t="e">
        <f>SUMIFS(#REF!,#REF!,'scenario analysis'!H64)+SUMIFS('vre plants'!$F$2:$F$31,'vre plants'!$G$2:$G$31,'scenario analysis'!H64)+SUMIFS(storage!$E$2:$E$75,storage!$I$2:$I$75,'scenario analysis'!H64)+SUMIFS(EV_aggregator!$F$2:$F$75,EV_aggregator!$K$2:$K$75,'scenario analysis'!H64)</f>
        <v>#REF!</v>
      </c>
      <c r="J64" s="34">
        <f>SUMIF('demand centres'!$E$1:$E$50,'scenario analysis'!H64,'demand centres'!$B$1:$B$50)</f>
        <v>0</v>
      </c>
      <c r="K64" s="34">
        <f t="array" ref="K64">SUMIF('existing transmission'!$B$2:$B$84,H64, 'existing transmission'!$G$2:$G$84)+SUMIF('existing transmission'!$C$2:$C$84,H64, 'existing transmission'!$G$2:$G$84)</f>
        <v>0</v>
      </c>
      <c r="L64" s="90">
        <f t="array" ref="L64">SUMIF('existing transmission'!$B$2:$B$84,H64, 'existing transmission'!$J$2:$J$84)+SUMIF('existing transmission'!$C$2:$C$84,H64, 'existing transmission'!$J$2:$J$84)</f>
        <v>0</v>
      </c>
      <c r="N64" s="142" t="str">
        <f t="array" ref="N64">IFERROR(INDEX(#REF!, MATCH(0, COUNTIF($N$4:N63,#REF!), 0)), "")</f>
        <v/>
      </c>
      <c r="O64" s="130">
        <f>SUMIFS('vre plants'!$F$2:$F$19, 'vre plants'!$G$2:$G$19, 'scenario analysis'!N64, 'vre plants'!$C$2:$C$19, "wind_onshore") +SUMIFS('vre plants'!$F$2:$F$19, 'vre plants'!$G$2:$G$19, 'scenario analysis'!N64, 'vre plants'!$C$2:$C$19,"wind_offshore")</f>
        <v>0</v>
      </c>
      <c r="P64" s="131">
        <f>SUMIFS('vre plants'!$F$2:$F$19,'vre plants'!$G$2:$G$19,'scenario analysis'!N64,'vre plants'!$C$2:$C$19,"multi c-Si")</f>
        <v>0</v>
      </c>
      <c r="Q64" s="34">
        <f>SUMIFS('vre plants'!$F$2:$F$19, 'vre plants'!$G$2:$G$19, 'scenario analysis'!N64, 'vre plants'!$C$2:$C$19, "mono c-Si")</f>
        <v>0</v>
      </c>
      <c r="R64" s="34">
        <f>SUMIFS('vre plants'!$F$2:$F$19,'vre plants'!$G$2:$G$19,'scenario analysis'!N64,'vre plants'!$C$2:$C$19,"thin film")</f>
        <v>0</v>
      </c>
    </row>
    <row r="65" spans="8:18">
      <c r="H65" s="122" t="str">
        <f t="array" ref="H65">IFERROR(INDEX(#REF!, MATCH(0, COUNTIF($H$4:H64,#REF!), 0)), "")</f>
        <v/>
      </c>
      <c r="I65" s="34" t="e">
        <f>SUMIFS(#REF!,#REF!,'scenario analysis'!H65)+SUMIFS('vre plants'!$F$2:$F$31,'vre plants'!$G$2:$G$31,'scenario analysis'!H65)+SUMIFS(storage!$E$2:$E$75,storage!$I$2:$I$75,'scenario analysis'!H65)+SUMIFS(EV_aggregator!$F$2:$F$75,EV_aggregator!$K$2:$K$75,'scenario analysis'!H65)</f>
        <v>#REF!</v>
      </c>
      <c r="J65" s="34">
        <f>SUMIF('demand centres'!$E$1:$E$50,'scenario analysis'!H65,'demand centres'!$B$1:$B$50)</f>
        <v>0</v>
      </c>
      <c r="K65" s="34">
        <f t="array" ref="K65">SUMIF('existing transmission'!$B$2:$B$84,H65, 'existing transmission'!$G$2:$G$84)+SUMIF('existing transmission'!$C$2:$C$84,H65, 'existing transmission'!$G$2:$G$84)</f>
        <v>0</v>
      </c>
      <c r="L65" s="90">
        <f t="array" ref="L65">SUMIF('existing transmission'!$B$2:$B$84,H65, 'existing transmission'!$J$2:$J$84)+SUMIF('existing transmission'!$C$2:$C$84,H65, 'existing transmission'!$J$2:$J$84)</f>
        <v>0</v>
      </c>
      <c r="N65" s="142" t="str">
        <f t="array" ref="N65">IFERROR(INDEX(#REF!, MATCH(0, COUNTIF($N$4:N64,#REF!), 0)), "")</f>
        <v/>
      </c>
      <c r="O65" s="130">
        <f>SUMIFS('vre plants'!$F$2:$F$19, 'vre plants'!$G$2:$G$19, 'scenario analysis'!N65, 'vre plants'!$C$2:$C$19, "wind_onshore") +SUMIFS('vre plants'!$F$2:$F$19, 'vre plants'!$G$2:$G$19, 'scenario analysis'!N65, 'vre plants'!$C$2:$C$19,"wind_offshore")</f>
        <v>0</v>
      </c>
      <c r="P65" s="131">
        <f>SUMIFS('vre plants'!$F$2:$F$19,'vre plants'!$G$2:$G$19,'scenario analysis'!N65,'vre plants'!$C$2:$C$19,"multi c-Si")</f>
        <v>0</v>
      </c>
      <c r="Q65" s="34">
        <f>SUMIFS('vre plants'!$F$2:$F$19, 'vre plants'!$G$2:$G$19, 'scenario analysis'!N65, 'vre plants'!$C$2:$C$19, "mono c-Si")</f>
        <v>0</v>
      </c>
      <c r="R65" s="34">
        <f>SUMIFS('vre plants'!$F$2:$F$19,'vre plants'!$G$2:$G$19,'scenario analysis'!N65,'vre plants'!$C$2:$C$19,"thin film")</f>
        <v>0</v>
      </c>
    </row>
    <row r="66" spans="8:18">
      <c r="H66" s="122" t="str">
        <f t="array" ref="H66">IFERROR(INDEX(#REF!, MATCH(0, COUNTIF($H$4:H65,#REF!), 0)), "")</f>
        <v/>
      </c>
      <c r="I66" s="34" t="e">
        <f>SUMIFS(#REF!,#REF!,'scenario analysis'!H66)+SUMIFS('vre plants'!$F$2:$F$31,'vre plants'!$G$2:$G$31,'scenario analysis'!H66)+SUMIFS(storage!$E$2:$E$75,storage!$I$2:$I$75,'scenario analysis'!H66)+SUMIFS(EV_aggregator!$F$2:$F$75,EV_aggregator!$K$2:$K$75,'scenario analysis'!H66)</f>
        <v>#REF!</v>
      </c>
      <c r="J66" s="34">
        <f>SUMIF('demand centres'!$E$1:$E$50,'scenario analysis'!H66,'demand centres'!$B$1:$B$50)</f>
        <v>0</v>
      </c>
      <c r="K66" s="34">
        <f t="array" ref="K66">SUMIF('existing transmission'!$B$2:$B$84,H66, 'existing transmission'!$G$2:$G$84)+SUMIF('existing transmission'!$C$2:$C$84,H66, 'existing transmission'!$G$2:$G$84)</f>
        <v>0</v>
      </c>
      <c r="L66" s="90">
        <f t="array" ref="L66">SUMIF('existing transmission'!$B$2:$B$84,H66, 'existing transmission'!$J$2:$J$84)+SUMIF('existing transmission'!$C$2:$C$84,H66, 'existing transmission'!$J$2:$J$84)</f>
        <v>0</v>
      </c>
      <c r="N66" s="142" t="str">
        <f t="array" ref="N66">IFERROR(INDEX(#REF!, MATCH(0, COUNTIF($N$4:N65,#REF!), 0)), "")</f>
        <v/>
      </c>
      <c r="O66" s="130">
        <f>SUMIFS('vre plants'!$F$2:$F$19, 'vre plants'!$G$2:$G$19, 'scenario analysis'!N66, 'vre plants'!$C$2:$C$19, "wind_onshore") +SUMIFS('vre plants'!$F$2:$F$19, 'vre plants'!$G$2:$G$19, 'scenario analysis'!N66, 'vre plants'!$C$2:$C$19,"wind_offshore")</f>
        <v>0</v>
      </c>
      <c r="P66" s="131">
        <f>SUMIFS('vre plants'!$F$2:$F$19,'vre plants'!$G$2:$G$19,'scenario analysis'!N66,'vre plants'!$C$2:$C$19,"multi c-Si")</f>
        <v>0</v>
      </c>
      <c r="Q66" s="34">
        <f>SUMIFS('vre plants'!$F$2:$F$19, 'vre plants'!$G$2:$G$19, 'scenario analysis'!N66, 'vre plants'!$C$2:$C$19, "mono c-Si")</f>
        <v>0</v>
      </c>
      <c r="R66" s="34">
        <f>SUMIFS('vre plants'!$F$2:$F$19,'vre plants'!$G$2:$G$19,'scenario analysis'!N66,'vre plants'!$C$2:$C$19,"thin film")</f>
        <v>0</v>
      </c>
    </row>
    <row r="67" spans="8:18">
      <c r="H67" s="122" t="str">
        <f t="array" ref="H67">IFERROR(INDEX(#REF!, MATCH(0, COUNTIF($H$4:H66,#REF!), 0)), "")</f>
        <v/>
      </c>
      <c r="I67" s="34" t="e">
        <f>SUMIFS(#REF!,#REF!,'scenario analysis'!H67)+SUMIFS('vre plants'!$F$2:$F$31,'vre plants'!$G$2:$G$31,'scenario analysis'!H67)+SUMIFS(storage!$E$2:$E$75,storage!$I$2:$I$75,'scenario analysis'!H67)+SUMIFS(EV_aggregator!$F$2:$F$75,EV_aggregator!$K$2:$K$75,'scenario analysis'!H67)</f>
        <v>#REF!</v>
      </c>
      <c r="J67" s="34">
        <f>SUMIF('demand centres'!$E$1:$E$50,'scenario analysis'!H67,'demand centres'!$B$1:$B$50)</f>
        <v>0</v>
      </c>
      <c r="K67" s="34">
        <f t="array" ref="K67">SUMIF('existing transmission'!$B$2:$B$84,H67, 'existing transmission'!$G$2:$G$84)+SUMIF('existing transmission'!$C$2:$C$84,H67, 'existing transmission'!$G$2:$G$84)</f>
        <v>0</v>
      </c>
      <c r="L67" s="90">
        <f t="array" ref="L67">SUMIF('existing transmission'!$B$2:$B$84,H67, 'existing transmission'!$J$2:$J$84)+SUMIF('existing transmission'!$C$2:$C$84,H67, 'existing transmission'!$J$2:$J$84)</f>
        <v>0</v>
      </c>
      <c r="N67" s="142" t="str">
        <f t="array" ref="N67">IFERROR(INDEX(#REF!, MATCH(0, COUNTIF($N$4:N66,#REF!), 0)), "")</f>
        <v/>
      </c>
      <c r="O67" s="130">
        <f>SUMIFS('vre plants'!$F$2:$F$19, 'vre plants'!$G$2:$G$19, 'scenario analysis'!N67, 'vre plants'!$C$2:$C$19, "wind_onshore") +SUMIFS('vre plants'!$F$2:$F$19, 'vre plants'!$G$2:$G$19, 'scenario analysis'!N67, 'vre plants'!$C$2:$C$19,"wind_offshore")</f>
        <v>0</v>
      </c>
      <c r="P67" s="131">
        <f>SUMIFS('vre plants'!$F$2:$F$19,'vre plants'!$G$2:$G$19,'scenario analysis'!N67,'vre plants'!$C$2:$C$19,"multi c-Si")</f>
        <v>0</v>
      </c>
      <c r="Q67" s="34">
        <f>SUMIFS('vre plants'!$F$2:$F$19, 'vre plants'!$G$2:$G$19, 'scenario analysis'!N67, 'vre plants'!$C$2:$C$19, "mono c-Si")</f>
        <v>0</v>
      </c>
      <c r="R67" s="34">
        <f>SUMIFS('vre plants'!$F$2:$F$19,'vre plants'!$G$2:$G$19,'scenario analysis'!N67,'vre plants'!$C$2:$C$19,"thin film")</f>
        <v>0</v>
      </c>
    </row>
    <row r="68" spans="8:18">
      <c r="H68" s="122" t="str">
        <f t="array" ref="H68">IFERROR(INDEX(#REF!, MATCH(0, COUNTIF($H$4:H67,#REF!), 0)), "")</f>
        <v/>
      </c>
      <c r="I68" s="34" t="e">
        <f>SUMIFS(#REF!,#REF!,'scenario analysis'!H68)+SUMIFS('vre plants'!$F$2:$F$31,'vre plants'!$G$2:$G$31,'scenario analysis'!H68)+SUMIFS(storage!$E$2:$E$75,storage!$I$2:$I$75,'scenario analysis'!H68)+SUMIFS(EV_aggregator!$F$2:$F$75,EV_aggregator!$K$2:$K$75,'scenario analysis'!H68)</f>
        <v>#REF!</v>
      </c>
      <c r="J68" s="34">
        <f>SUMIF('demand centres'!$E$1:$E$50,'scenario analysis'!H68,'demand centres'!$B$1:$B$50)</f>
        <v>0</v>
      </c>
      <c r="K68" s="34">
        <f t="array" ref="K68">SUMIF('existing transmission'!$B$2:$B$84,H68, 'existing transmission'!$G$2:$G$84)+SUMIF('existing transmission'!$C$2:$C$84,H68, 'existing transmission'!$G$2:$G$84)</f>
        <v>0</v>
      </c>
      <c r="L68" s="90">
        <f t="array" ref="L68">SUMIF('existing transmission'!$B$2:$B$84,H68, 'existing transmission'!$J$2:$J$84)+SUMIF('existing transmission'!$C$2:$C$84,H68, 'existing transmission'!$J$2:$J$84)</f>
        <v>0</v>
      </c>
      <c r="N68" s="142" t="str">
        <f t="array" ref="N68">IFERROR(INDEX(#REF!, MATCH(0, COUNTIF($N$4:N67,#REF!), 0)), "")</f>
        <v/>
      </c>
      <c r="O68" s="130">
        <f>SUMIFS('vre plants'!$F$2:$F$19, 'vre plants'!$G$2:$G$19, 'scenario analysis'!N68, 'vre plants'!$C$2:$C$19, "wind_onshore") +SUMIFS('vre plants'!$F$2:$F$19, 'vre plants'!$G$2:$G$19, 'scenario analysis'!N68, 'vre plants'!$C$2:$C$19,"wind_offshore")</f>
        <v>0</v>
      </c>
      <c r="P68" s="131">
        <f>SUMIFS('vre plants'!$F$2:$F$19,'vre plants'!$G$2:$G$19,'scenario analysis'!N68,'vre plants'!$C$2:$C$19,"multi c-Si")</f>
        <v>0</v>
      </c>
      <c r="Q68" s="34">
        <f>SUMIFS('vre plants'!$F$2:$F$19, 'vre plants'!$G$2:$G$19, 'scenario analysis'!N68, 'vre plants'!$C$2:$C$19, "mono c-Si")</f>
        <v>0</v>
      </c>
      <c r="R68" s="34">
        <f>SUMIFS('vre plants'!$F$2:$F$19,'vre plants'!$G$2:$G$19,'scenario analysis'!N68,'vre plants'!$C$2:$C$19,"thin film")</f>
        <v>0</v>
      </c>
    </row>
    <row r="69" spans="8:18">
      <c r="H69" s="122" t="str">
        <f t="array" ref="H69">IFERROR(INDEX(#REF!, MATCH(0, COUNTIF($H$4:H68,#REF!), 0)), "")</f>
        <v/>
      </c>
      <c r="I69" s="34" t="e">
        <f>SUMIFS(#REF!,#REF!,'scenario analysis'!H69)+SUMIFS('vre plants'!$F$2:$F$31,'vre plants'!$G$2:$G$31,'scenario analysis'!H69)+SUMIFS(storage!$E$2:$E$75,storage!$I$2:$I$75,'scenario analysis'!H69)+SUMIFS(EV_aggregator!$F$2:$F$75,EV_aggregator!$K$2:$K$75,'scenario analysis'!H69)</f>
        <v>#REF!</v>
      </c>
      <c r="J69" s="34">
        <f>SUMIF('demand centres'!$E$1:$E$50,'scenario analysis'!H69,'demand centres'!$B$1:$B$50)</f>
        <v>0</v>
      </c>
      <c r="K69" s="34">
        <f t="array" ref="K69">SUMIF('existing transmission'!$B$2:$B$84,H69, 'existing transmission'!$G$2:$G$84)+SUMIF('existing transmission'!$C$2:$C$84,H69, 'existing transmission'!$G$2:$G$84)</f>
        <v>0</v>
      </c>
      <c r="L69" s="90">
        <f t="array" ref="L69">SUMIF('existing transmission'!$B$2:$B$84,H69, 'existing transmission'!$J$2:$J$84)+SUMIF('existing transmission'!$C$2:$C$84,H69, 'existing transmission'!$J$2:$J$84)</f>
        <v>0</v>
      </c>
      <c r="N69" s="142" t="str">
        <f t="array" ref="N69">IFERROR(INDEX(#REF!, MATCH(0, COUNTIF($N$4:N68,#REF!), 0)), "")</f>
        <v/>
      </c>
      <c r="O69" s="130">
        <f>SUMIFS('vre plants'!$F$2:$F$19, 'vre plants'!$G$2:$G$19, 'scenario analysis'!N69, 'vre plants'!$C$2:$C$19, "wind_onshore") +SUMIFS('vre plants'!$F$2:$F$19, 'vre plants'!$G$2:$G$19, 'scenario analysis'!N69, 'vre plants'!$C$2:$C$19,"wind_offshore")</f>
        <v>0</v>
      </c>
      <c r="P69" s="131">
        <f>SUMIFS('vre plants'!$F$2:$F$19,'vre plants'!$G$2:$G$19,'scenario analysis'!N69,'vre plants'!$C$2:$C$19,"multi c-Si")</f>
        <v>0</v>
      </c>
      <c r="Q69" s="34">
        <f>SUMIFS('vre plants'!$F$2:$F$19, 'vre plants'!$G$2:$G$19, 'scenario analysis'!N69, 'vre plants'!$C$2:$C$19, "mono c-Si")</f>
        <v>0</v>
      </c>
      <c r="R69" s="34">
        <f>SUMIFS('vre plants'!$F$2:$F$19,'vre plants'!$G$2:$G$19,'scenario analysis'!N69,'vre plants'!$C$2:$C$19,"thin film")</f>
        <v>0</v>
      </c>
    </row>
    <row r="70" spans="8:18">
      <c r="H70" s="122" t="str">
        <f t="array" ref="H70">IFERROR(INDEX(#REF!, MATCH(0, COUNTIF($H$4:H69,#REF!), 0)), "")</f>
        <v/>
      </c>
      <c r="I70" s="34" t="e">
        <f>SUMIFS(#REF!,#REF!,'scenario analysis'!H70)+SUMIFS('vre plants'!$F$2:$F$31,'vre plants'!$G$2:$G$31,'scenario analysis'!H70)+SUMIFS(storage!$E$2:$E$75,storage!$I$2:$I$75,'scenario analysis'!H70)+SUMIFS(EV_aggregator!$F$2:$F$75,EV_aggregator!$K$2:$K$75,'scenario analysis'!H70)</f>
        <v>#REF!</v>
      </c>
      <c r="J70" s="34">
        <f>SUMIF('demand centres'!$E$1:$E$50,'scenario analysis'!H70,'demand centres'!$B$1:$B$50)</f>
        <v>0</v>
      </c>
      <c r="K70" s="34">
        <f t="array" ref="K70">SUMIF('existing transmission'!$B$2:$B$84,H70, 'existing transmission'!$G$2:$G$84)+SUMIF('existing transmission'!$C$2:$C$84,H70, 'existing transmission'!$G$2:$G$84)</f>
        <v>0</v>
      </c>
      <c r="L70" s="90">
        <f t="array" ref="L70">SUMIF('existing transmission'!$B$2:$B$84,H70, 'existing transmission'!$J$2:$J$84)+SUMIF('existing transmission'!$C$2:$C$84,H70, 'existing transmission'!$J$2:$J$84)</f>
        <v>0</v>
      </c>
      <c r="N70" s="142" t="str">
        <f t="array" ref="N70">IFERROR(INDEX(#REF!, MATCH(0, COUNTIF($N$4:N69,#REF!), 0)), "")</f>
        <v/>
      </c>
      <c r="O70" s="130">
        <f>SUMIFS('vre plants'!$F$2:$F$19, 'vre plants'!$G$2:$G$19, 'scenario analysis'!N70, 'vre plants'!$C$2:$C$19, "wind_onshore") +SUMIFS('vre plants'!$F$2:$F$19, 'vre plants'!$G$2:$G$19, 'scenario analysis'!N70, 'vre plants'!$C$2:$C$19,"wind_offshore")</f>
        <v>0</v>
      </c>
      <c r="P70" s="131">
        <f>SUMIFS('vre plants'!$F$2:$F$19,'vre plants'!$G$2:$G$19,'scenario analysis'!N70,'vre plants'!$C$2:$C$19,"multi c-Si")</f>
        <v>0</v>
      </c>
      <c r="Q70" s="34">
        <f>SUMIFS('vre plants'!$F$2:$F$19, 'vre plants'!$G$2:$G$19, 'scenario analysis'!N70, 'vre plants'!$C$2:$C$19, "mono c-Si")</f>
        <v>0</v>
      </c>
      <c r="R70" s="34">
        <f>SUMIFS('vre plants'!$F$2:$F$19,'vre plants'!$G$2:$G$19,'scenario analysis'!N70,'vre plants'!$C$2:$C$19,"thin film")</f>
        <v>0</v>
      </c>
    </row>
    <row r="71" spans="8:18">
      <c r="H71" s="122" t="str">
        <f t="array" ref="H71">IFERROR(INDEX(#REF!, MATCH(0, COUNTIF($H$4:H70,#REF!), 0)), "")</f>
        <v/>
      </c>
      <c r="I71" s="34" t="e">
        <f>SUMIFS(#REF!,#REF!,'scenario analysis'!H71)+SUMIFS('vre plants'!$F$2:$F$31,'vre plants'!$G$2:$G$31,'scenario analysis'!H71)+SUMIFS(storage!$E$2:$E$75,storage!$I$2:$I$75,'scenario analysis'!H71)+SUMIFS(EV_aggregator!$F$2:$F$75,EV_aggregator!$K$2:$K$75,'scenario analysis'!H71)</f>
        <v>#REF!</v>
      </c>
      <c r="J71" s="34">
        <f>SUMIF('demand centres'!$E$1:$E$50,'scenario analysis'!H71,'demand centres'!$B$1:$B$50)</f>
        <v>0</v>
      </c>
      <c r="K71" s="34">
        <f t="array" ref="K71">SUMIF('existing transmission'!$B$2:$B$84,H71, 'existing transmission'!$G$2:$G$84)+SUMIF('existing transmission'!$C$2:$C$84,H71, 'existing transmission'!$G$2:$G$84)</f>
        <v>0</v>
      </c>
      <c r="L71" s="90">
        <f t="array" ref="L71">SUMIF('existing transmission'!$B$2:$B$84,H71, 'existing transmission'!$J$2:$J$84)+SUMIF('existing transmission'!$C$2:$C$84,H71, 'existing transmission'!$J$2:$J$84)</f>
        <v>0</v>
      </c>
      <c r="N71" s="142" t="str">
        <f t="array" ref="N71">IFERROR(INDEX(#REF!, MATCH(0, COUNTIF($N$4:N70,#REF!), 0)), "")</f>
        <v/>
      </c>
      <c r="O71" s="130">
        <f>SUMIFS('vre plants'!$F$2:$F$19, 'vre plants'!$G$2:$G$19, 'scenario analysis'!N71, 'vre plants'!$C$2:$C$19, "wind_onshore") +SUMIFS('vre plants'!$F$2:$F$19, 'vre plants'!$G$2:$G$19, 'scenario analysis'!N71, 'vre plants'!$C$2:$C$19,"wind_offshore")</f>
        <v>0</v>
      </c>
      <c r="P71" s="131">
        <f>SUMIFS('vre plants'!$F$2:$F$19,'vre plants'!$G$2:$G$19,'scenario analysis'!N71,'vre plants'!$C$2:$C$19,"multi c-Si")</f>
        <v>0</v>
      </c>
      <c r="Q71" s="34">
        <f>SUMIFS('vre plants'!$F$2:$F$19, 'vre plants'!$G$2:$G$19, 'scenario analysis'!N71, 'vre plants'!$C$2:$C$19, "mono c-Si")</f>
        <v>0</v>
      </c>
      <c r="R71" s="34">
        <f>SUMIFS('vre plants'!$F$2:$F$19,'vre plants'!$G$2:$G$19,'scenario analysis'!N71,'vre plants'!$C$2:$C$19,"thin film")</f>
        <v>0</v>
      </c>
    </row>
    <row r="72" spans="8:18">
      <c r="H72" s="122" t="str">
        <f t="array" ref="H72">IFERROR(INDEX(#REF!, MATCH(0, COUNTIF($H$4:H71,#REF!), 0)), "")</f>
        <v/>
      </c>
      <c r="I72" s="34" t="e">
        <f>SUMIFS(#REF!,#REF!,'scenario analysis'!H72)+SUMIFS('vre plants'!$F$2:$F$31,'vre plants'!$G$2:$G$31,'scenario analysis'!H72)+SUMIFS(storage!$E$2:$E$75,storage!$I$2:$I$75,'scenario analysis'!H72)+SUMIFS(EV_aggregator!$F$2:$F$75,EV_aggregator!$K$2:$K$75,'scenario analysis'!H72)</f>
        <v>#REF!</v>
      </c>
      <c r="J72" s="34">
        <f>SUMIF('demand centres'!$E$1:$E$50,'scenario analysis'!H72,'demand centres'!$B$1:$B$50)</f>
        <v>0</v>
      </c>
      <c r="K72" s="34">
        <f t="array" ref="K72">SUMIF('existing transmission'!$B$2:$B$84,H72, 'existing transmission'!$G$2:$G$84)+SUMIF('existing transmission'!$C$2:$C$84,H72, 'existing transmission'!$G$2:$G$84)</f>
        <v>0</v>
      </c>
      <c r="L72" s="90">
        <f t="array" ref="L72">SUMIF('existing transmission'!$B$2:$B$84,H72, 'existing transmission'!$J$2:$J$84)+SUMIF('existing transmission'!$C$2:$C$84,H72, 'existing transmission'!$J$2:$J$84)</f>
        <v>0</v>
      </c>
      <c r="N72" s="142" t="str">
        <f t="array" ref="N72">IFERROR(INDEX(#REF!, MATCH(0, COUNTIF($N$4:N71,#REF!), 0)), "")</f>
        <v/>
      </c>
      <c r="O72" s="130">
        <f>SUMIFS('vre plants'!$F$2:$F$19, 'vre plants'!$G$2:$G$19, 'scenario analysis'!N72, 'vre plants'!$C$2:$C$19, "wind_onshore") +SUMIFS('vre plants'!$F$2:$F$19, 'vre plants'!$G$2:$G$19, 'scenario analysis'!N72, 'vre plants'!$C$2:$C$19,"wind_offshore")</f>
        <v>0</v>
      </c>
      <c r="P72" s="131">
        <f>SUMIFS('vre plants'!$F$2:$F$19,'vre plants'!$G$2:$G$19,'scenario analysis'!N72,'vre plants'!$C$2:$C$19,"multi c-Si")</f>
        <v>0</v>
      </c>
      <c r="Q72" s="34">
        <f>SUMIFS('vre plants'!$F$2:$F$19, 'vre plants'!$G$2:$G$19, 'scenario analysis'!N72, 'vre plants'!$C$2:$C$19, "mono c-Si")</f>
        <v>0</v>
      </c>
      <c r="R72" s="34">
        <f>SUMIFS('vre plants'!$F$2:$F$19,'vre plants'!$G$2:$G$19,'scenario analysis'!N72,'vre plants'!$C$2:$C$19,"thin film")</f>
        <v>0</v>
      </c>
    </row>
    <row r="73" spans="8:18">
      <c r="H73" s="122" t="str">
        <f t="array" ref="H73">IFERROR(INDEX(#REF!, MATCH(0, COUNTIF($H$4:H72,#REF!), 0)), "")</f>
        <v/>
      </c>
      <c r="I73" s="34" t="e">
        <f>SUMIFS(#REF!,#REF!,'scenario analysis'!H73)+SUMIFS('vre plants'!$F$2:$F$31,'vre plants'!$G$2:$G$31,'scenario analysis'!H73)+SUMIFS(storage!$E$2:$E$75,storage!$I$2:$I$75,'scenario analysis'!H73)+SUMIFS(EV_aggregator!$F$2:$F$75,EV_aggregator!$K$2:$K$75,'scenario analysis'!H73)</f>
        <v>#REF!</v>
      </c>
      <c r="J73" s="34">
        <f>SUMIF('demand centres'!$E$1:$E$50,'scenario analysis'!H73,'demand centres'!$B$1:$B$50)</f>
        <v>0</v>
      </c>
      <c r="K73" s="34">
        <f t="array" ref="K73">SUMIF('existing transmission'!$B$2:$B$84,H73, 'existing transmission'!$G$2:$G$84)+SUMIF('existing transmission'!$C$2:$C$84,H73, 'existing transmission'!$G$2:$G$84)</f>
        <v>0</v>
      </c>
      <c r="L73" s="90">
        <f t="array" ref="L73">SUMIF('existing transmission'!$B$2:$B$84,H73, 'existing transmission'!$J$2:$J$84)+SUMIF('existing transmission'!$C$2:$C$84,H73, 'existing transmission'!$J$2:$J$84)</f>
        <v>0</v>
      </c>
      <c r="N73" s="142" t="str">
        <f t="array" ref="N73">IFERROR(INDEX(#REF!, MATCH(0, COUNTIF($N$4:N72,#REF!), 0)), "")</f>
        <v/>
      </c>
      <c r="O73" s="130">
        <f>SUMIFS('vre plants'!$F$2:$F$19, 'vre plants'!$G$2:$G$19, 'scenario analysis'!N73, 'vre plants'!$C$2:$C$19, "wind_onshore") +SUMIFS('vre plants'!$F$2:$F$19, 'vre plants'!$G$2:$G$19, 'scenario analysis'!N73, 'vre plants'!$C$2:$C$19,"wind_offshore")</f>
        <v>0</v>
      </c>
      <c r="P73" s="131">
        <f>SUMIFS('vre plants'!$F$2:$F$19,'vre plants'!$G$2:$G$19,'scenario analysis'!N73,'vre plants'!$C$2:$C$19,"multi c-Si")</f>
        <v>0</v>
      </c>
      <c r="Q73" s="34">
        <f>SUMIFS('vre plants'!$F$2:$F$19, 'vre plants'!$G$2:$G$19, 'scenario analysis'!N73, 'vre plants'!$C$2:$C$19, "mono c-Si")</f>
        <v>0</v>
      </c>
      <c r="R73" s="34">
        <f>SUMIFS('vre plants'!$F$2:$F$19,'vre plants'!$G$2:$G$19,'scenario analysis'!N73,'vre plants'!$C$2:$C$19,"thin film")</f>
        <v>0</v>
      </c>
    </row>
    <row r="74" spans="8:18">
      <c r="H74" s="122" t="str">
        <f t="array" ref="H74">IFERROR(INDEX(#REF!, MATCH(0, COUNTIF($H$4:H73,#REF!), 0)), "")</f>
        <v/>
      </c>
      <c r="I74" s="34" t="e">
        <f>SUMIFS(#REF!,#REF!,'scenario analysis'!H74)+SUMIFS('vre plants'!$F$2:$F$31,'vre plants'!$G$2:$G$31,'scenario analysis'!H74)+SUMIFS(storage!$E$2:$E$75,storage!$I$2:$I$75,'scenario analysis'!H74)+SUMIFS(EV_aggregator!$F$2:$F$75,EV_aggregator!$K$2:$K$75,'scenario analysis'!H74)</f>
        <v>#REF!</v>
      </c>
      <c r="J74" s="34">
        <f>SUMIF('demand centres'!$E$1:$E$50,'scenario analysis'!H74,'demand centres'!$B$1:$B$50)</f>
        <v>0</v>
      </c>
      <c r="K74" s="34">
        <f t="array" ref="K74">SUMIF('existing transmission'!$B$2:$B$84,H74, 'existing transmission'!$G$2:$G$84)+SUMIF('existing transmission'!$C$2:$C$84,H74, 'existing transmission'!$G$2:$G$84)</f>
        <v>0</v>
      </c>
      <c r="L74" s="90">
        <f t="array" ref="L74">SUMIF('existing transmission'!$B$2:$B$84,H74, 'existing transmission'!$J$2:$J$84)+SUMIF('existing transmission'!$C$2:$C$84,H74, 'existing transmission'!$J$2:$J$84)</f>
        <v>0</v>
      </c>
      <c r="N74" s="142" t="str">
        <f t="array" ref="N74">IFERROR(INDEX(#REF!, MATCH(0, COUNTIF($N$4:N73,#REF!), 0)), "")</f>
        <v/>
      </c>
      <c r="O74" s="130">
        <f>SUMIFS('vre plants'!$F$2:$F$19, 'vre plants'!$G$2:$G$19, 'scenario analysis'!N74, 'vre plants'!$C$2:$C$19, "wind_onshore") +SUMIFS('vre plants'!$F$2:$F$19, 'vre plants'!$G$2:$G$19, 'scenario analysis'!N74, 'vre plants'!$C$2:$C$19,"wind_offshore")</f>
        <v>0</v>
      </c>
      <c r="P74" s="131">
        <f>SUMIFS('vre plants'!$F$2:$F$19,'vre plants'!$G$2:$G$19,'scenario analysis'!N74,'vre plants'!$C$2:$C$19,"multi c-Si")</f>
        <v>0</v>
      </c>
      <c r="Q74" s="34">
        <f>SUMIFS('vre plants'!$F$2:$F$19, 'vre plants'!$G$2:$G$19, 'scenario analysis'!N74, 'vre plants'!$C$2:$C$19, "mono c-Si")</f>
        <v>0</v>
      </c>
      <c r="R74" s="34">
        <f>SUMIFS('vre plants'!$F$2:$F$19,'vre plants'!$G$2:$G$19,'scenario analysis'!N74,'vre plants'!$C$2:$C$19,"thin film")</f>
        <v>0</v>
      </c>
    </row>
    <row r="75" spans="8:18">
      <c r="H75" s="122" t="str">
        <f t="array" ref="H75">IFERROR(INDEX(#REF!, MATCH(0, COUNTIF($H$4:H74,#REF!), 0)), "")</f>
        <v/>
      </c>
      <c r="I75" s="34" t="e">
        <f>SUMIFS(#REF!,#REF!,'scenario analysis'!H75)+SUMIFS('vre plants'!$F$2:$F$31,'vre plants'!$G$2:$G$31,'scenario analysis'!H75)+SUMIFS(storage!$E$2:$E$75,storage!$I$2:$I$75,'scenario analysis'!H75)+SUMIFS(EV_aggregator!$F$2:$F$75,EV_aggregator!$K$2:$K$75,'scenario analysis'!H75)</f>
        <v>#REF!</v>
      </c>
      <c r="J75" s="34">
        <f>SUMIF('demand centres'!$E$1:$E$50,'scenario analysis'!H75,'demand centres'!$B$1:$B$50)</f>
        <v>0</v>
      </c>
      <c r="K75" s="34">
        <f t="array" ref="K75">SUMIF('existing transmission'!$B$2:$B$84,H75, 'existing transmission'!$G$2:$G$84)+SUMIF('existing transmission'!$C$2:$C$84,H75, 'existing transmission'!$G$2:$G$84)</f>
        <v>0</v>
      </c>
      <c r="L75" s="90">
        <f t="array" ref="L75">SUMIF('existing transmission'!$B$2:$B$84,H75, 'existing transmission'!$J$2:$J$84)+SUMIF('existing transmission'!$C$2:$C$84,H75, 'existing transmission'!$J$2:$J$84)</f>
        <v>0</v>
      </c>
      <c r="N75" s="142" t="str">
        <f t="array" ref="N75">IFERROR(INDEX(#REF!, MATCH(0, COUNTIF($N$4:N74,#REF!), 0)), "")</f>
        <v/>
      </c>
      <c r="O75" s="130">
        <f>SUMIFS('vre plants'!$F$2:$F$19, 'vre plants'!$G$2:$G$19, 'scenario analysis'!N75, 'vre plants'!$C$2:$C$19, "wind_onshore") +SUMIFS('vre plants'!$F$2:$F$19, 'vre plants'!$G$2:$G$19, 'scenario analysis'!N75, 'vre plants'!$C$2:$C$19,"wind_offshore")</f>
        <v>0</v>
      </c>
      <c r="P75" s="131">
        <f>SUMIFS('vre plants'!$F$2:$F$19,'vre plants'!$G$2:$G$19,'scenario analysis'!N75,'vre plants'!$C$2:$C$19,"multi c-Si")</f>
        <v>0</v>
      </c>
      <c r="Q75" s="34">
        <f>SUMIFS('vre plants'!$F$2:$F$19, 'vre plants'!$G$2:$G$19, 'scenario analysis'!N75, 'vre plants'!$C$2:$C$19, "mono c-Si")</f>
        <v>0</v>
      </c>
      <c r="R75" s="34">
        <f>SUMIFS('vre plants'!$F$2:$F$19,'vre plants'!$G$2:$G$19,'scenario analysis'!N75,'vre plants'!$C$2:$C$19,"thin film")</f>
        <v>0</v>
      </c>
    </row>
    <row r="76" spans="8:18">
      <c r="H76" s="122" t="str">
        <f t="array" ref="H76">IFERROR(INDEX(#REF!, MATCH(0, COUNTIF($H$4:H75,#REF!), 0)), "")</f>
        <v/>
      </c>
      <c r="I76" s="34" t="e">
        <f>SUMIFS(#REF!,#REF!,'scenario analysis'!H76)+SUMIFS('vre plants'!$F$2:$F$31,'vre plants'!$G$2:$G$31,'scenario analysis'!H76)+SUMIFS(storage!$E$2:$E$75,storage!$I$2:$I$75,'scenario analysis'!H76)+SUMIFS(EV_aggregator!$F$2:$F$75,EV_aggregator!$K$2:$K$75,'scenario analysis'!H76)</f>
        <v>#REF!</v>
      </c>
      <c r="J76" s="34">
        <f>SUMIF('demand centres'!$E$1:$E$50,'scenario analysis'!H76,'demand centres'!$B$1:$B$50)</f>
        <v>0</v>
      </c>
      <c r="K76" s="34">
        <f t="array" ref="K76">SUMIF('existing transmission'!$B$2:$B$84,H76, 'existing transmission'!$G$2:$G$84)+SUMIF('existing transmission'!$C$2:$C$84,H76, 'existing transmission'!$G$2:$G$84)</f>
        <v>0</v>
      </c>
      <c r="L76" s="90">
        <f t="array" ref="L76">SUMIF('existing transmission'!$B$2:$B$84,H76, 'existing transmission'!$J$2:$J$84)+SUMIF('existing transmission'!$C$2:$C$84,H76, 'existing transmission'!$J$2:$J$84)</f>
        <v>0</v>
      </c>
      <c r="N76" s="142" t="str">
        <f t="array" ref="N76">IFERROR(INDEX(#REF!, MATCH(0, COUNTIF($N$4:N75,#REF!), 0)), "")</f>
        <v/>
      </c>
      <c r="O76" s="130">
        <f>SUMIFS('vre plants'!$F$2:$F$19, 'vre plants'!$G$2:$G$19, 'scenario analysis'!N76, 'vre plants'!$C$2:$C$19, "wind_onshore") +SUMIFS('vre plants'!$F$2:$F$19, 'vre plants'!$G$2:$G$19, 'scenario analysis'!N76, 'vre plants'!$C$2:$C$19,"wind_offshore")</f>
        <v>0</v>
      </c>
      <c r="P76" s="131">
        <f>SUMIFS('vre plants'!$F$2:$F$19,'vre plants'!$G$2:$G$19,'scenario analysis'!N76,'vre plants'!$C$2:$C$19,"multi c-Si")</f>
        <v>0</v>
      </c>
      <c r="Q76" s="34">
        <f>SUMIFS('vre plants'!$F$2:$F$19, 'vre plants'!$G$2:$G$19, 'scenario analysis'!N76, 'vre plants'!$C$2:$C$19, "mono c-Si")</f>
        <v>0</v>
      </c>
      <c r="R76" s="34">
        <f>SUMIFS('vre plants'!$F$2:$F$19,'vre plants'!$G$2:$G$19,'scenario analysis'!N76,'vre plants'!$C$2:$C$19,"thin film")</f>
        <v>0</v>
      </c>
    </row>
    <row r="77" spans="8:18">
      <c r="H77" s="122" t="str">
        <f t="array" ref="H77">IFERROR(INDEX(#REF!, MATCH(0, COUNTIF($H$4:H76,#REF!), 0)), "")</f>
        <v/>
      </c>
      <c r="I77" s="34" t="e">
        <f>SUMIFS(#REF!,#REF!,'scenario analysis'!H77)+SUMIFS('vre plants'!$F$2:$F$31,'vre plants'!$G$2:$G$31,'scenario analysis'!H77)+SUMIFS(storage!$E$2:$E$75,storage!$I$2:$I$75,'scenario analysis'!H77)+SUMIFS(EV_aggregator!$F$2:$F$75,EV_aggregator!$K$2:$K$75,'scenario analysis'!H77)</f>
        <v>#REF!</v>
      </c>
      <c r="J77" s="34">
        <f>SUMIF('demand centres'!$E$1:$E$50,'scenario analysis'!H77,'demand centres'!$B$1:$B$50)</f>
        <v>0</v>
      </c>
      <c r="K77" s="34">
        <f t="array" ref="K77">SUMIF('existing transmission'!$B$2:$B$84,H77, 'existing transmission'!$G$2:$G$84)+SUMIF('existing transmission'!$C$2:$C$84,H77, 'existing transmission'!$G$2:$G$84)</f>
        <v>0</v>
      </c>
      <c r="L77" s="90">
        <f t="array" ref="L77">SUMIF('existing transmission'!$B$2:$B$84,H77, 'existing transmission'!$J$2:$J$84)+SUMIF('existing transmission'!$C$2:$C$84,H77, 'existing transmission'!$J$2:$J$84)</f>
        <v>0</v>
      </c>
      <c r="N77" s="142" t="str">
        <f t="array" ref="N77">IFERROR(INDEX(#REF!, MATCH(0, COUNTIF($N$4:N76,#REF!), 0)), "")</f>
        <v/>
      </c>
      <c r="O77" s="130">
        <f>SUMIFS('vre plants'!$F$2:$F$19, 'vre plants'!$G$2:$G$19, 'scenario analysis'!N77, 'vre plants'!$C$2:$C$19, "wind_onshore") +SUMIFS('vre plants'!$F$2:$F$19, 'vre plants'!$G$2:$G$19, 'scenario analysis'!N77, 'vre plants'!$C$2:$C$19,"wind_offshore")</f>
        <v>0</v>
      </c>
      <c r="P77" s="131">
        <f>SUMIFS('vre plants'!$F$2:$F$19,'vre plants'!$G$2:$G$19,'scenario analysis'!N77,'vre plants'!$C$2:$C$19,"multi c-Si")</f>
        <v>0</v>
      </c>
      <c r="Q77" s="34">
        <f>SUMIFS('vre plants'!$F$2:$F$19, 'vre plants'!$G$2:$G$19, 'scenario analysis'!N77, 'vre plants'!$C$2:$C$19, "mono c-Si")</f>
        <v>0</v>
      </c>
      <c r="R77" s="34">
        <f>SUMIFS('vre plants'!$F$2:$F$19,'vre plants'!$G$2:$G$19,'scenario analysis'!N77,'vre plants'!$C$2:$C$19,"thin film")</f>
        <v>0</v>
      </c>
    </row>
    <row r="78" spans="8:18">
      <c r="H78" s="122" t="str">
        <f t="array" ref="H78">IFERROR(INDEX(#REF!, MATCH(0, COUNTIF($H$4:H77,#REF!), 0)), "")</f>
        <v/>
      </c>
      <c r="I78" s="34" t="e">
        <f>SUMIFS(#REF!,#REF!,'scenario analysis'!H78)+SUMIFS('vre plants'!$F$2:$F$31,'vre plants'!$G$2:$G$31,'scenario analysis'!H78)+SUMIFS(storage!$E$2:$E$75,storage!$I$2:$I$75,'scenario analysis'!H78)+SUMIFS(EV_aggregator!$F$2:$F$75,EV_aggregator!$K$2:$K$75,'scenario analysis'!H78)</f>
        <v>#REF!</v>
      </c>
      <c r="J78" s="34">
        <f>SUMIF('demand centres'!$E$1:$E$50,'scenario analysis'!H78,'demand centres'!$B$1:$B$50)</f>
        <v>0</v>
      </c>
      <c r="K78" s="34">
        <f t="array" ref="K78">SUMIF('existing transmission'!$B$2:$B$84,H78, 'existing transmission'!$G$2:$G$84)+SUMIF('existing transmission'!$C$2:$C$84,H78, 'existing transmission'!$G$2:$G$84)</f>
        <v>0</v>
      </c>
      <c r="L78" s="90">
        <f t="array" ref="L78">SUMIF('existing transmission'!$B$2:$B$84,H78, 'existing transmission'!$J$2:$J$84)+SUMIF('existing transmission'!$C$2:$C$84,H78, 'existing transmission'!$J$2:$J$84)</f>
        <v>0</v>
      </c>
      <c r="N78" s="142" t="str">
        <f t="array" ref="N78">IFERROR(INDEX(#REF!, MATCH(0, COUNTIF($N$4:N77,#REF!), 0)), "")</f>
        <v/>
      </c>
      <c r="O78" s="130">
        <f>SUMIFS('vre plants'!$F$2:$F$19, 'vre plants'!$G$2:$G$19, 'scenario analysis'!N78, 'vre plants'!$C$2:$C$19, "wind_onshore") +SUMIFS('vre plants'!$F$2:$F$19, 'vre plants'!$G$2:$G$19, 'scenario analysis'!N78, 'vre plants'!$C$2:$C$19,"wind_offshore")</f>
        <v>0</v>
      </c>
      <c r="P78" s="131">
        <f>SUMIFS('vre plants'!$F$2:$F$19,'vre plants'!$G$2:$G$19,'scenario analysis'!N78,'vre plants'!$C$2:$C$19,"multi c-Si")</f>
        <v>0</v>
      </c>
      <c r="Q78" s="34">
        <f>SUMIFS('vre plants'!$F$2:$F$19, 'vre plants'!$G$2:$G$19, 'scenario analysis'!N78, 'vre plants'!$C$2:$C$19, "mono c-Si")</f>
        <v>0</v>
      </c>
      <c r="R78" s="34">
        <f>SUMIFS('vre plants'!$F$2:$F$19,'vre plants'!$G$2:$G$19,'scenario analysis'!N78,'vre plants'!$C$2:$C$19,"thin film")</f>
        <v>0</v>
      </c>
    </row>
    <row r="79" spans="8:18">
      <c r="H79" s="122" t="str">
        <f t="array" ref="H79">IFERROR(INDEX(#REF!, MATCH(0, COUNTIF($H$4:H78,#REF!), 0)), "")</f>
        <v/>
      </c>
      <c r="I79" s="34" t="e">
        <f>SUMIFS(#REF!,#REF!,'scenario analysis'!H79)+SUMIFS('vre plants'!$F$2:$F$31,'vre plants'!$G$2:$G$31,'scenario analysis'!H79)+SUMIFS(storage!$E$2:$E$75,storage!$I$2:$I$75,'scenario analysis'!H79)+SUMIFS(EV_aggregator!$F$2:$F$75,EV_aggregator!$K$2:$K$75,'scenario analysis'!H79)</f>
        <v>#REF!</v>
      </c>
      <c r="J79" s="34">
        <f>SUMIF('demand centres'!$E$1:$E$50,'scenario analysis'!H79,'demand centres'!$B$1:$B$50)</f>
        <v>0</v>
      </c>
      <c r="K79" s="34">
        <f t="array" ref="K79">SUMIF('existing transmission'!$B$2:$B$84,H79, 'existing transmission'!$G$2:$G$84)+SUMIF('existing transmission'!$C$2:$C$84,H79, 'existing transmission'!$G$2:$G$84)</f>
        <v>0</v>
      </c>
      <c r="L79" s="90">
        <f t="array" ref="L79">SUMIF('existing transmission'!$B$2:$B$84,H79, 'existing transmission'!$J$2:$J$84)+SUMIF('existing transmission'!$C$2:$C$84,H79, 'existing transmission'!$J$2:$J$84)</f>
        <v>0</v>
      </c>
      <c r="N79" s="142" t="str">
        <f t="array" ref="N79">IFERROR(INDEX(#REF!, MATCH(0, COUNTIF($N$4:N78,#REF!), 0)), "")</f>
        <v/>
      </c>
      <c r="O79" s="130">
        <f>SUMIFS('vre plants'!$F$2:$F$19, 'vre plants'!$G$2:$G$19, 'scenario analysis'!N79, 'vre plants'!$C$2:$C$19, "wind_onshore") +SUMIFS('vre plants'!$F$2:$F$19, 'vre plants'!$G$2:$G$19, 'scenario analysis'!N79, 'vre plants'!$C$2:$C$19,"wind_offshore")</f>
        <v>0</v>
      </c>
      <c r="P79" s="131">
        <f>SUMIFS('vre plants'!$F$2:$F$19,'vre plants'!$G$2:$G$19,'scenario analysis'!N79,'vre plants'!$C$2:$C$19,"multi c-Si")</f>
        <v>0</v>
      </c>
      <c r="Q79" s="34">
        <f>SUMIFS('vre plants'!$F$2:$F$19, 'vre plants'!$G$2:$G$19, 'scenario analysis'!N79, 'vre plants'!$C$2:$C$19, "mono c-Si")</f>
        <v>0</v>
      </c>
      <c r="R79" s="34">
        <f>SUMIFS('vre plants'!$F$2:$F$19,'vre plants'!$G$2:$G$19,'scenario analysis'!N79,'vre plants'!$C$2:$C$19,"thin film")</f>
        <v>0</v>
      </c>
    </row>
    <row r="80" spans="8:18">
      <c r="H80" s="122"/>
      <c r="N80" s="142"/>
    </row>
    <row r="81" spans="8:14">
      <c r="H81" s="122"/>
      <c r="N81" s="142"/>
    </row>
    <row r="82" spans="8:14">
      <c r="H82" s="122"/>
      <c r="N82" s="142"/>
    </row>
    <row r="83" spans="8:14">
      <c r="H83" s="122"/>
      <c r="N83" s="142"/>
    </row>
    <row r="84" spans="8:14">
      <c r="H84" s="122"/>
      <c r="N84" s="142"/>
    </row>
    <row r="85" spans="8:14">
      <c r="H85" s="122"/>
      <c r="N85" s="142"/>
    </row>
    <row r="86" spans="8:14">
      <c r="H86" s="122"/>
      <c r="N86" s="142"/>
    </row>
    <row r="87" spans="8:14">
      <c r="H87" s="122"/>
      <c r="N87" s="142"/>
    </row>
    <row r="88" spans="8:14">
      <c r="H88" s="122"/>
      <c r="N88" s="142"/>
    </row>
    <row r="89" spans="8:14">
      <c r="H89" s="122"/>
      <c r="N89" s="142"/>
    </row>
    <row r="90" spans="8:14">
      <c r="H90" s="122"/>
      <c r="N90" s="142"/>
    </row>
    <row r="91" spans="8:14">
      <c r="H91" s="122"/>
      <c r="N91" s="142"/>
    </row>
    <row r="92" spans="8:14">
      <c r="H92" s="122"/>
      <c r="N92" s="142"/>
    </row>
    <row r="93" spans="8:14">
      <c r="H93" s="122"/>
      <c r="N93" s="142"/>
    </row>
    <row r="94" spans="8:14">
      <c r="H94" s="122"/>
      <c r="N94" s="142"/>
    </row>
    <row r="95" spans="8:14">
      <c r="H95" s="122"/>
      <c r="N95" s="142"/>
    </row>
    <row r="96" spans="8:14">
      <c r="H96" s="122"/>
      <c r="N96" s="142"/>
    </row>
    <row r="97" spans="8:14">
      <c r="H97" s="122"/>
      <c r="N97" s="142"/>
    </row>
    <row r="98" spans="8:14">
      <c r="H98" s="122"/>
      <c r="N98" s="142"/>
    </row>
    <row r="99" spans="8:14">
      <c r="H99" s="122"/>
      <c r="N99" s="142"/>
    </row>
    <row r="100" spans="8:14">
      <c r="H100" s="122"/>
      <c r="N100" s="142"/>
    </row>
    <row r="101" spans="8:14">
      <c r="H101" s="122"/>
      <c r="N101" s="142"/>
    </row>
    <row r="102" spans="8:14">
      <c r="H102" s="122"/>
    </row>
    <row r="103" spans="8:14">
      <c r="H103" s="122"/>
    </row>
    <row r="104" spans="8:14">
      <c r="H104" s="122"/>
    </row>
    <row r="105" spans="8:14">
      <c r="H105" s="122"/>
    </row>
    <row r="106" spans="8:14">
      <c r="H106" s="122"/>
    </row>
    <row r="107" spans="8:14">
      <c r="H107" s="122"/>
    </row>
    <row r="108" spans="8:14">
      <c r="H108" s="122"/>
    </row>
  </sheetData>
  <mergeCells count="3">
    <mergeCell ref="E2:F2"/>
    <mergeCell ref="N2:P2"/>
    <mergeCell ref="H2:L2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A1:Q359"/>
  <sheetViews>
    <sheetView zoomScaleNormal="100" workbookViewId="0">
      <selection activeCell="G14" sqref="G14"/>
    </sheetView>
  </sheetViews>
  <sheetFormatPr defaultRowHeight="15"/>
  <cols>
    <col min="1" max="1" width="10.42578125" style="204" customWidth="1"/>
    <col min="2" max="2" width="9.42578125" style="202" bestFit="1" customWidth="1"/>
    <col min="3" max="3" width="20.140625" style="202" customWidth="1"/>
    <col min="4" max="5" width="15.85546875" style="197" customWidth="1"/>
    <col min="6" max="6" width="13.28515625" style="198" customWidth="1"/>
    <col min="7" max="7" width="22.7109375" style="198" bestFit="1" customWidth="1"/>
    <col min="8" max="8" width="18.85546875" style="204" customWidth="1"/>
    <col min="9" max="9" width="18.85546875" style="197" customWidth="1"/>
    <col min="10" max="10" width="17.7109375" style="204" customWidth="1"/>
    <col min="11" max="11" width="19.7109375" style="204" customWidth="1"/>
  </cols>
  <sheetData>
    <row r="1" spans="1:17">
      <c r="A1" s="199" t="s">
        <v>225</v>
      </c>
      <c r="B1" s="199" t="s">
        <v>265</v>
      </c>
      <c r="C1" s="199" t="s">
        <v>276</v>
      </c>
      <c r="D1" s="197" t="s">
        <v>211</v>
      </c>
      <c r="E1" s="197" t="s">
        <v>210</v>
      </c>
      <c r="F1" s="198" t="s">
        <v>25</v>
      </c>
      <c r="G1" s="198" t="s">
        <v>263</v>
      </c>
      <c r="H1" s="197" t="s">
        <v>338</v>
      </c>
      <c r="I1" s="197" t="s">
        <v>339</v>
      </c>
      <c r="J1" s="197" t="s">
        <v>270</v>
      </c>
      <c r="K1" s="197" t="s">
        <v>271</v>
      </c>
      <c r="L1" s="53"/>
      <c r="M1" s="53"/>
      <c r="N1" s="53"/>
      <c r="O1" s="53"/>
      <c r="P1" s="53"/>
    </row>
    <row r="2" spans="1:17">
      <c r="A2" s="202" t="s">
        <v>371</v>
      </c>
      <c r="B2" s="203" t="s">
        <v>415</v>
      </c>
      <c r="C2" s="198" t="s">
        <v>268</v>
      </c>
      <c r="D2" s="197">
        <v>47.036796799999998</v>
      </c>
      <c r="E2" s="197">
        <v>-64.005074300000004</v>
      </c>
      <c r="F2" s="198">
        <v>3</v>
      </c>
      <c r="G2" s="220" t="s">
        <v>428</v>
      </c>
      <c r="H2" s="198" t="s">
        <v>272</v>
      </c>
      <c r="I2" s="197">
        <v>3075</v>
      </c>
      <c r="J2" s="205">
        <f>ROUND((D2+90)*2, 0)</f>
        <v>274</v>
      </c>
      <c r="K2" s="206">
        <f>ROUND((E2+180)*(3/2), 0)</f>
        <v>174</v>
      </c>
      <c r="L2" s="54"/>
      <c r="M2" s="160"/>
      <c r="N2" s="96"/>
      <c r="O2" s="96"/>
      <c r="P2" s="97"/>
      <c r="Q2" s="53"/>
    </row>
    <row r="3" spans="1:17">
      <c r="A3" s="202" t="s">
        <v>371</v>
      </c>
      <c r="B3" s="203" t="s">
        <v>416</v>
      </c>
      <c r="C3" s="198" t="s">
        <v>268</v>
      </c>
      <c r="D3" s="197">
        <v>46.452548499999999</v>
      </c>
      <c r="E3" s="197">
        <v>-62.0681917</v>
      </c>
      <c r="F3" s="198">
        <v>30</v>
      </c>
      <c r="G3" s="220" t="s">
        <v>425</v>
      </c>
      <c r="H3" s="198" t="s">
        <v>272</v>
      </c>
      <c r="I3" s="197">
        <f>I2</f>
        <v>3075</v>
      </c>
      <c r="J3" s="205">
        <f>ROUND((D3+90)*2, 0)</f>
        <v>273</v>
      </c>
      <c r="K3" s="206">
        <f>ROUND((E3+180)*(3/2), 0)</f>
        <v>177</v>
      </c>
      <c r="L3" s="54"/>
      <c r="M3" s="96"/>
      <c r="N3" s="96"/>
      <c r="O3" s="96"/>
      <c r="P3" s="97"/>
      <c r="Q3" s="53"/>
    </row>
    <row r="4" spans="1:17">
      <c r="A4" s="202" t="s">
        <v>371</v>
      </c>
      <c r="B4" s="203" t="s">
        <v>417</v>
      </c>
      <c r="C4" s="198" t="s">
        <v>268</v>
      </c>
      <c r="D4" s="197">
        <v>46.454263400000002</v>
      </c>
      <c r="E4" s="197">
        <v>-62.314630000000001</v>
      </c>
      <c r="F4" s="198">
        <v>30</v>
      </c>
      <c r="G4" s="220" t="s">
        <v>425</v>
      </c>
      <c r="H4" s="198" t="s">
        <v>272</v>
      </c>
      <c r="I4" s="197">
        <f t="shared" ref="I4:I10" si="0">I3</f>
        <v>3075</v>
      </c>
      <c r="J4" s="205">
        <f t="shared" ref="J4:J10" si="1">ROUND((D4+90)*2, 0)</f>
        <v>273</v>
      </c>
      <c r="K4" s="206">
        <f t="shared" ref="K4:K10" si="2">ROUND((E4+180)*(3/2), 0)</f>
        <v>177</v>
      </c>
      <c r="L4" s="54"/>
      <c r="M4" s="96"/>
      <c r="N4" s="96"/>
      <c r="O4" s="96"/>
      <c r="P4" s="97"/>
      <c r="Q4" s="5"/>
    </row>
    <row r="5" spans="1:17">
      <c r="A5" s="202" t="s">
        <v>371</v>
      </c>
      <c r="B5" s="203" t="s">
        <v>418</v>
      </c>
      <c r="C5" s="198" t="s">
        <v>268</v>
      </c>
      <c r="D5" s="197">
        <v>46.448290999999998</v>
      </c>
      <c r="E5" s="197">
        <v>-62.065976999999997</v>
      </c>
      <c r="F5" s="198">
        <v>30</v>
      </c>
      <c r="G5" s="220" t="s">
        <v>425</v>
      </c>
      <c r="H5" s="198" t="s">
        <v>272</v>
      </c>
      <c r="I5" s="197">
        <f t="shared" si="0"/>
        <v>3075</v>
      </c>
      <c r="J5" s="205">
        <f t="shared" ref="J5" si="3">ROUND((D5+90)*2, 0)</f>
        <v>273</v>
      </c>
      <c r="K5" s="206">
        <f t="shared" ref="K5" si="4">ROUND((E5+180)*(3/2), 0)</f>
        <v>177</v>
      </c>
      <c r="L5" s="54"/>
      <c r="M5" s="96"/>
      <c r="N5" s="96"/>
      <c r="O5" s="96"/>
      <c r="P5" s="97"/>
      <c r="Q5" s="5"/>
    </row>
    <row r="6" spans="1:17">
      <c r="A6" s="202" t="s">
        <v>371</v>
      </c>
      <c r="B6" s="203" t="s">
        <v>419</v>
      </c>
      <c r="C6" s="198" t="s">
        <v>268</v>
      </c>
      <c r="D6" s="197">
        <v>47.048513900000003</v>
      </c>
      <c r="E6" s="197">
        <v>-63.9949868</v>
      </c>
      <c r="F6" s="198">
        <v>10.6</v>
      </c>
      <c r="G6" s="220" t="s">
        <v>428</v>
      </c>
      <c r="H6" s="198" t="s">
        <v>272</v>
      </c>
      <c r="I6" s="197">
        <f t="shared" si="0"/>
        <v>3075</v>
      </c>
      <c r="J6" s="205">
        <f t="shared" si="1"/>
        <v>274</v>
      </c>
      <c r="K6" s="206">
        <f t="shared" si="2"/>
        <v>174</v>
      </c>
      <c r="L6" s="54"/>
      <c r="M6" s="96"/>
      <c r="N6" s="96"/>
      <c r="O6" s="96"/>
      <c r="P6" s="97"/>
      <c r="Q6" s="5"/>
    </row>
    <row r="7" spans="1:17">
      <c r="A7" s="202" t="s">
        <v>371</v>
      </c>
      <c r="B7" s="203" t="s">
        <v>420</v>
      </c>
      <c r="C7" s="198" t="s">
        <v>268</v>
      </c>
      <c r="D7" s="197">
        <v>47.007778000000002</v>
      </c>
      <c r="E7" s="197">
        <v>-64.020555999999999</v>
      </c>
      <c r="F7" s="198">
        <v>9</v>
      </c>
      <c r="G7" s="220" t="s">
        <v>428</v>
      </c>
      <c r="H7" s="198" t="s">
        <v>272</v>
      </c>
      <c r="I7" s="197">
        <f t="shared" si="0"/>
        <v>3075</v>
      </c>
      <c r="J7" s="205">
        <f t="shared" si="1"/>
        <v>274</v>
      </c>
      <c r="K7" s="206">
        <f t="shared" si="2"/>
        <v>174</v>
      </c>
      <c r="L7" s="54"/>
      <c r="M7" s="96"/>
      <c r="N7" s="96"/>
      <c r="O7" s="96"/>
      <c r="P7" s="97"/>
      <c r="Q7" s="5"/>
    </row>
    <row r="8" spans="1:17">
      <c r="A8" s="202" t="s">
        <v>371</v>
      </c>
      <c r="B8" s="203" t="s">
        <v>421</v>
      </c>
      <c r="C8" s="198" t="s">
        <v>268</v>
      </c>
      <c r="D8" s="197">
        <v>46.4343717</v>
      </c>
      <c r="E8" s="197">
        <v>-63.803455300000003</v>
      </c>
      <c r="F8" s="198">
        <v>12</v>
      </c>
      <c r="G8" s="220" t="s">
        <v>426</v>
      </c>
      <c r="H8" s="198" t="s">
        <v>272</v>
      </c>
      <c r="I8" s="197">
        <f t="shared" si="0"/>
        <v>3075</v>
      </c>
      <c r="J8" s="205">
        <f>ROUND((D8+90)*2, 0)</f>
        <v>273</v>
      </c>
      <c r="K8" s="206">
        <f t="shared" si="2"/>
        <v>174</v>
      </c>
      <c r="L8" s="54"/>
      <c r="M8" s="96"/>
      <c r="N8" s="96"/>
      <c r="O8" s="96"/>
      <c r="P8" s="97"/>
      <c r="Q8" s="5"/>
    </row>
    <row r="9" spans="1:17">
      <c r="A9" s="202" t="s">
        <v>371</v>
      </c>
      <c r="B9" s="203" t="s">
        <v>422</v>
      </c>
      <c r="C9" s="198" t="s">
        <v>268</v>
      </c>
      <c r="D9" s="197">
        <v>47.032863599999999</v>
      </c>
      <c r="E9" s="197">
        <v>-64.016750999999999</v>
      </c>
      <c r="F9" s="198">
        <v>10</v>
      </c>
      <c r="G9" s="220" t="s">
        <v>428</v>
      </c>
      <c r="H9" s="198" t="s">
        <v>272</v>
      </c>
      <c r="I9" s="197">
        <f t="shared" si="0"/>
        <v>3075</v>
      </c>
      <c r="J9" s="205">
        <f t="shared" si="1"/>
        <v>274</v>
      </c>
      <c r="K9" s="206">
        <f t="shared" si="2"/>
        <v>174</v>
      </c>
      <c r="L9" s="54"/>
      <c r="M9" s="5"/>
      <c r="N9" s="5"/>
      <c r="O9" s="5"/>
      <c r="P9" s="5"/>
      <c r="Q9" s="5"/>
    </row>
    <row r="10" spans="1:17">
      <c r="A10" s="202" t="s">
        <v>371</v>
      </c>
      <c r="B10" s="203" t="s">
        <v>423</v>
      </c>
      <c r="C10" s="198" t="s">
        <v>268</v>
      </c>
      <c r="D10" s="198">
        <v>46.7196827</v>
      </c>
      <c r="E10" s="198">
        <v>-64.369435100000004</v>
      </c>
      <c r="F10" s="198">
        <v>99</v>
      </c>
      <c r="G10" s="220" t="s">
        <v>426</v>
      </c>
      <c r="H10" s="198" t="s">
        <v>272</v>
      </c>
      <c r="I10" s="197">
        <f t="shared" si="0"/>
        <v>3075</v>
      </c>
      <c r="J10" s="205">
        <f t="shared" si="1"/>
        <v>273</v>
      </c>
      <c r="K10" s="206">
        <f t="shared" si="2"/>
        <v>173</v>
      </c>
      <c r="L10" s="54"/>
      <c r="M10" s="5"/>
      <c r="N10" s="5"/>
      <c r="O10" s="5"/>
      <c r="P10" s="5"/>
      <c r="Q10" s="5"/>
    </row>
    <row r="11" spans="1:17" s="17" customFormat="1">
      <c r="A11" s="201"/>
      <c r="B11" s="203"/>
      <c r="C11" s="198"/>
      <c r="D11" s="198"/>
      <c r="E11" s="198"/>
      <c r="F11" s="198"/>
      <c r="G11" s="198"/>
      <c r="H11" s="198"/>
      <c r="I11" s="197"/>
      <c r="J11" s="205"/>
      <c r="K11" s="206"/>
      <c r="L11" s="54"/>
      <c r="M11" s="95"/>
      <c r="N11" s="161"/>
      <c r="O11" s="161"/>
      <c r="P11" s="161"/>
      <c r="Q11" s="53"/>
    </row>
    <row r="12" spans="1:17" s="17" customFormat="1">
      <c r="A12" s="198"/>
      <c r="B12" s="203"/>
      <c r="C12" s="198"/>
      <c r="D12" s="198"/>
      <c r="E12" s="198"/>
      <c r="F12" s="198"/>
      <c r="G12" s="198"/>
      <c r="H12" s="198"/>
      <c r="I12" s="197"/>
      <c r="J12" s="205"/>
      <c r="K12" s="206"/>
      <c r="L12" s="54"/>
    </row>
    <row r="13" spans="1:17" s="17" customFormat="1">
      <c r="A13" s="198"/>
      <c r="B13" s="203"/>
      <c r="C13" s="198"/>
      <c r="D13" s="198"/>
      <c r="E13" s="198"/>
      <c r="F13" s="198"/>
      <c r="G13" s="190"/>
      <c r="H13" s="198"/>
      <c r="I13" s="197"/>
      <c r="J13" s="205"/>
      <c r="K13" s="206"/>
      <c r="L13" s="54"/>
    </row>
    <row r="14" spans="1:17" s="17" customFormat="1">
      <c r="A14" s="198"/>
      <c r="B14" s="203"/>
      <c r="C14" s="198"/>
      <c r="D14" s="198"/>
      <c r="E14" s="198"/>
      <c r="F14" s="198"/>
      <c r="G14" s="190"/>
      <c r="H14" s="198"/>
      <c r="I14" s="197"/>
      <c r="J14" s="205"/>
      <c r="K14" s="206"/>
      <c r="L14" s="54"/>
    </row>
    <row r="15" spans="1:17" s="17" customFormat="1">
      <c r="A15" s="198"/>
      <c r="B15" s="203"/>
      <c r="C15" s="198"/>
      <c r="D15" s="198"/>
      <c r="E15" s="198"/>
      <c r="F15" s="198"/>
      <c r="G15" s="190"/>
      <c r="H15" s="198"/>
      <c r="I15" s="197"/>
      <c r="J15" s="205"/>
      <c r="K15" s="206"/>
      <c r="L15" s="54"/>
    </row>
    <row r="16" spans="1:17" s="17" customFormat="1">
      <c r="A16" s="198"/>
      <c r="B16" s="203"/>
      <c r="C16" s="198"/>
      <c r="D16" s="198"/>
      <c r="E16" s="198"/>
      <c r="F16" s="198"/>
      <c r="G16" s="190"/>
      <c r="H16" s="198"/>
      <c r="I16" s="197"/>
      <c r="J16" s="205"/>
      <c r="K16" s="206"/>
      <c r="L16" s="146"/>
    </row>
    <row r="17" spans="1:15" s="17" customFormat="1">
      <c r="A17" s="198"/>
      <c r="B17" s="203"/>
      <c r="C17" s="198"/>
      <c r="D17" s="198"/>
      <c r="E17" s="198"/>
      <c r="F17" s="198"/>
      <c r="G17" s="190"/>
      <c r="H17" s="198"/>
      <c r="I17" s="197"/>
      <c r="J17" s="205"/>
      <c r="K17" s="206"/>
      <c r="L17" s="146"/>
    </row>
    <row r="18" spans="1:15" s="17" customFormat="1">
      <c r="A18" s="198"/>
      <c r="B18" s="203"/>
      <c r="C18" s="198"/>
      <c r="D18" s="198"/>
      <c r="E18" s="198"/>
      <c r="F18" s="198"/>
      <c r="G18" s="190"/>
      <c r="H18" s="198"/>
      <c r="I18" s="197"/>
      <c r="J18" s="205"/>
      <c r="K18" s="206"/>
      <c r="L18" s="146"/>
      <c r="N18" s="161"/>
      <c r="O18" s="161"/>
    </row>
    <row r="19" spans="1:15" s="17" customFormat="1">
      <c r="A19" s="198"/>
      <c r="B19" s="203"/>
      <c r="C19" s="198"/>
      <c r="D19" s="198"/>
      <c r="E19" s="198"/>
      <c r="F19" s="198"/>
      <c r="G19" s="190"/>
      <c r="H19" s="198"/>
      <c r="I19" s="197"/>
      <c r="J19" s="205"/>
      <c r="K19" s="206"/>
      <c r="L19" s="146"/>
      <c r="N19" s="161"/>
      <c r="O19" s="161"/>
    </row>
    <row r="20" spans="1:15" s="17" customFormat="1">
      <c r="A20" s="198"/>
      <c r="B20" s="203"/>
      <c r="C20" s="198"/>
      <c r="D20" s="198"/>
      <c r="E20" s="198"/>
      <c r="F20" s="198"/>
      <c r="G20" s="198"/>
      <c r="H20" s="198"/>
      <c r="I20" s="197"/>
      <c r="J20" s="205"/>
      <c r="K20" s="206"/>
      <c r="L20" s="33"/>
    </row>
    <row r="21" spans="1:15" s="17" customFormat="1">
      <c r="A21" s="198"/>
      <c r="B21" s="203"/>
      <c r="C21" s="198"/>
      <c r="D21" s="198"/>
      <c r="E21" s="198"/>
      <c r="F21" s="198"/>
      <c r="G21" s="198"/>
      <c r="H21" s="198"/>
      <c r="I21" s="197"/>
      <c r="J21" s="205"/>
      <c r="K21" s="206"/>
      <c r="L21" s="33"/>
    </row>
    <row r="22" spans="1:15" s="17" customFormat="1">
      <c r="A22" s="200"/>
      <c r="B22" s="200"/>
      <c r="C22" s="200"/>
      <c r="D22" s="198"/>
      <c r="E22" s="198"/>
      <c r="F22" s="198"/>
      <c r="G22" s="198"/>
      <c r="H22" s="200"/>
      <c r="I22" s="197"/>
      <c r="J22" s="200"/>
      <c r="K22" s="200"/>
    </row>
    <row r="23" spans="1:15" s="17" customFormat="1">
      <c r="A23" s="200"/>
      <c r="B23" s="200"/>
      <c r="C23" s="200"/>
      <c r="D23" s="198"/>
      <c r="E23" s="198"/>
      <c r="F23" s="198"/>
      <c r="G23" s="198"/>
      <c r="H23" s="200"/>
      <c r="I23" s="197"/>
      <c r="J23" s="200"/>
      <c r="K23" s="200"/>
    </row>
    <row r="24" spans="1:15" s="17" customFormat="1">
      <c r="A24" s="200"/>
      <c r="B24" s="200"/>
      <c r="C24" s="200"/>
      <c r="D24" s="198"/>
      <c r="E24" s="198"/>
      <c r="F24" s="198"/>
      <c r="G24" s="198"/>
      <c r="H24" s="200"/>
      <c r="I24" s="197"/>
      <c r="J24" s="200"/>
      <c r="K24" s="200"/>
    </row>
    <row r="25" spans="1:15" s="17" customFormat="1">
      <c r="A25" s="200"/>
      <c r="B25" s="200"/>
      <c r="C25" s="200"/>
      <c r="D25" s="198"/>
      <c r="E25" s="198"/>
      <c r="F25" s="198"/>
      <c r="G25" s="198"/>
      <c r="H25" s="200"/>
      <c r="I25" s="197"/>
      <c r="J25" s="200"/>
      <c r="K25" s="200"/>
    </row>
    <row r="26" spans="1:15" s="17" customFormat="1">
      <c r="A26" s="200"/>
      <c r="B26" s="200"/>
      <c r="C26" s="200"/>
      <c r="D26" s="198"/>
      <c r="E26" s="198"/>
      <c r="F26" s="198"/>
      <c r="G26" s="198"/>
      <c r="H26" s="200"/>
      <c r="I26" s="197"/>
      <c r="J26" s="200"/>
      <c r="K26" s="200"/>
    </row>
    <row r="27" spans="1:15" s="17" customFormat="1">
      <c r="A27" s="200"/>
      <c r="B27" s="200"/>
      <c r="C27" s="200"/>
      <c r="D27" s="198"/>
      <c r="E27" s="198"/>
      <c r="F27" s="198"/>
      <c r="G27" s="198"/>
      <c r="H27" s="200"/>
      <c r="I27" s="197"/>
      <c r="J27" s="200"/>
      <c r="K27" s="200"/>
    </row>
    <row r="28" spans="1:15" s="17" customFormat="1">
      <c r="A28" s="200"/>
      <c r="B28" s="200"/>
      <c r="C28" s="200"/>
      <c r="D28" s="198"/>
      <c r="E28" s="198"/>
      <c r="F28" s="198"/>
      <c r="G28" s="198"/>
      <c r="H28" s="200"/>
      <c r="I28" s="197"/>
      <c r="J28" s="200"/>
      <c r="K28" s="200"/>
    </row>
    <row r="29" spans="1:15" s="17" customFormat="1">
      <c r="A29" s="200"/>
      <c r="B29" s="200"/>
      <c r="C29" s="200"/>
      <c r="D29" s="198"/>
      <c r="E29" s="198"/>
      <c r="F29" s="198"/>
      <c r="G29" s="198"/>
      <c r="H29" s="200"/>
      <c r="I29" s="197"/>
      <c r="J29" s="200"/>
      <c r="K29" s="200"/>
    </row>
    <row r="30" spans="1:15" s="17" customFormat="1">
      <c r="A30" s="200"/>
      <c r="B30" s="200"/>
      <c r="C30" s="200"/>
      <c r="D30" s="198"/>
      <c r="E30" s="198"/>
      <c r="F30" s="198"/>
      <c r="G30" s="198"/>
      <c r="H30" s="200"/>
      <c r="I30" s="197"/>
      <c r="J30" s="200"/>
      <c r="K30" s="200"/>
    </row>
    <row r="31" spans="1:15" s="17" customFormat="1">
      <c r="A31" s="200"/>
      <c r="B31" s="200"/>
      <c r="C31" s="200"/>
      <c r="D31" s="198"/>
      <c r="E31" s="198"/>
      <c r="F31" s="198"/>
      <c r="G31" s="198"/>
      <c r="H31" s="200"/>
      <c r="I31" s="197"/>
      <c r="J31" s="200"/>
      <c r="K31" s="200"/>
    </row>
    <row r="32" spans="1:15" s="17" customFormat="1">
      <c r="A32" s="200"/>
      <c r="B32" s="200"/>
      <c r="C32" s="200"/>
      <c r="D32" s="198"/>
      <c r="E32" s="198"/>
      <c r="F32" s="198"/>
      <c r="G32" s="198"/>
      <c r="H32" s="200"/>
      <c r="I32" s="197"/>
      <c r="J32" s="200"/>
      <c r="K32" s="200"/>
    </row>
    <row r="33" spans="1:11" s="17" customFormat="1">
      <c r="A33" s="200"/>
      <c r="B33" s="200"/>
      <c r="C33" s="200"/>
      <c r="D33" s="198"/>
      <c r="E33" s="198"/>
      <c r="F33" s="198"/>
      <c r="G33" s="198"/>
      <c r="H33" s="200"/>
      <c r="I33" s="197"/>
      <c r="J33" s="200"/>
      <c r="K33" s="200"/>
    </row>
    <row r="34" spans="1:11" s="17" customFormat="1">
      <c r="A34" s="200"/>
      <c r="B34" s="200"/>
      <c r="C34" s="200"/>
      <c r="D34" s="198"/>
      <c r="E34" s="198"/>
      <c r="F34" s="198"/>
      <c r="G34" s="198"/>
      <c r="H34" s="200"/>
      <c r="I34" s="197"/>
      <c r="J34" s="200"/>
      <c r="K34" s="200"/>
    </row>
    <row r="35" spans="1:11" s="17" customFormat="1">
      <c r="A35" s="200"/>
      <c r="B35" s="200"/>
      <c r="C35" s="200"/>
      <c r="D35" s="198"/>
      <c r="E35" s="198"/>
      <c r="F35" s="198"/>
      <c r="G35" s="198"/>
      <c r="H35" s="200"/>
      <c r="I35" s="197"/>
      <c r="J35" s="200"/>
      <c r="K35" s="200"/>
    </row>
    <row r="36" spans="1:11" s="17" customFormat="1">
      <c r="A36" s="200"/>
      <c r="B36" s="200"/>
      <c r="C36" s="200"/>
      <c r="D36" s="198"/>
      <c r="E36" s="198"/>
      <c r="F36" s="198"/>
      <c r="G36" s="198"/>
      <c r="H36" s="200"/>
      <c r="I36" s="197"/>
      <c r="J36" s="200"/>
      <c r="K36" s="200"/>
    </row>
    <row r="37" spans="1:11" s="17" customFormat="1">
      <c r="A37" s="200"/>
      <c r="B37" s="200"/>
      <c r="C37" s="200"/>
      <c r="D37" s="198"/>
      <c r="E37" s="198"/>
      <c r="F37" s="198"/>
      <c r="G37" s="198"/>
      <c r="H37" s="200"/>
      <c r="I37" s="197"/>
      <c r="J37" s="200"/>
      <c r="K37" s="200"/>
    </row>
    <row r="38" spans="1:11" s="17" customFormat="1">
      <c r="A38" s="200"/>
      <c r="B38" s="200"/>
      <c r="C38" s="200"/>
      <c r="D38" s="198"/>
      <c r="E38" s="198"/>
      <c r="F38" s="198"/>
      <c r="G38" s="198"/>
      <c r="H38" s="200"/>
      <c r="I38" s="197"/>
      <c r="J38" s="200"/>
      <c r="K38" s="200"/>
    </row>
    <row r="39" spans="1:11" s="17" customFormat="1">
      <c r="A39" s="200"/>
      <c r="B39" s="200"/>
      <c r="C39" s="200"/>
      <c r="D39" s="198"/>
      <c r="E39" s="198"/>
      <c r="F39" s="198"/>
      <c r="G39" s="198"/>
      <c r="H39" s="200"/>
      <c r="I39" s="197"/>
      <c r="J39" s="200"/>
      <c r="K39" s="200"/>
    </row>
    <row r="40" spans="1:11" s="17" customFormat="1">
      <c r="A40" s="200"/>
      <c r="B40" s="200"/>
      <c r="C40" s="200"/>
      <c r="D40" s="198"/>
      <c r="E40" s="198"/>
      <c r="F40" s="198"/>
      <c r="G40" s="198"/>
      <c r="H40" s="200"/>
      <c r="I40" s="197"/>
      <c r="J40" s="200"/>
      <c r="K40" s="200"/>
    </row>
    <row r="41" spans="1:11" s="17" customFormat="1">
      <c r="A41" s="200"/>
      <c r="B41" s="200"/>
      <c r="C41" s="200"/>
      <c r="D41" s="198"/>
      <c r="E41" s="198"/>
      <c r="F41" s="198"/>
      <c r="G41" s="198"/>
      <c r="H41" s="200"/>
      <c r="I41" s="197"/>
      <c r="J41" s="200"/>
      <c r="K41" s="200"/>
    </row>
    <row r="42" spans="1:11" s="17" customFormat="1">
      <c r="A42" s="200"/>
      <c r="B42" s="200"/>
      <c r="C42" s="200"/>
      <c r="D42" s="198"/>
      <c r="E42" s="198"/>
      <c r="F42" s="198"/>
      <c r="G42" s="198"/>
      <c r="H42" s="200"/>
      <c r="I42" s="197"/>
      <c r="J42" s="200"/>
      <c r="K42" s="200"/>
    </row>
    <row r="43" spans="1:11" s="17" customFormat="1">
      <c r="A43" s="200"/>
      <c r="B43" s="200"/>
      <c r="C43" s="200"/>
      <c r="D43" s="198"/>
      <c r="E43" s="198"/>
      <c r="F43" s="198"/>
      <c r="G43" s="198"/>
      <c r="H43" s="200"/>
      <c r="I43" s="197"/>
      <c r="J43" s="200"/>
      <c r="K43" s="200"/>
    </row>
    <row r="44" spans="1:11" s="17" customFormat="1">
      <c r="A44" s="200"/>
      <c r="B44" s="200"/>
      <c r="C44" s="200"/>
      <c r="D44" s="198"/>
      <c r="E44" s="198"/>
      <c r="F44" s="198"/>
      <c r="G44" s="198"/>
      <c r="H44" s="200"/>
      <c r="I44" s="197"/>
      <c r="J44" s="200"/>
      <c r="K44" s="200"/>
    </row>
    <row r="45" spans="1:11" s="17" customFormat="1">
      <c r="A45" s="200"/>
      <c r="B45" s="200"/>
      <c r="C45" s="200"/>
      <c r="D45" s="198"/>
      <c r="E45" s="198"/>
      <c r="F45" s="198"/>
      <c r="G45" s="198"/>
      <c r="H45" s="200"/>
      <c r="I45" s="197"/>
      <c r="J45" s="200"/>
      <c r="K45" s="200"/>
    </row>
    <row r="46" spans="1:11" s="17" customFormat="1">
      <c r="A46" s="200"/>
      <c r="B46" s="200"/>
      <c r="C46" s="200"/>
      <c r="D46" s="198"/>
      <c r="E46" s="198"/>
      <c r="F46" s="198"/>
      <c r="G46" s="198"/>
      <c r="H46" s="200"/>
      <c r="I46" s="197"/>
      <c r="J46" s="200"/>
      <c r="K46" s="200"/>
    </row>
    <row r="47" spans="1:11" s="17" customFormat="1">
      <c r="A47" s="200"/>
      <c r="B47" s="200"/>
      <c r="C47" s="200"/>
      <c r="D47" s="198"/>
      <c r="E47" s="198"/>
      <c r="F47" s="198"/>
      <c r="G47" s="198"/>
      <c r="H47" s="200"/>
      <c r="I47" s="197"/>
      <c r="J47" s="200"/>
      <c r="K47" s="200"/>
    </row>
    <row r="48" spans="1:11" s="17" customFormat="1">
      <c r="A48" s="200"/>
      <c r="B48" s="200"/>
      <c r="C48" s="200"/>
      <c r="D48" s="198"/>
      <c r="E48" s="198"/>
      <c r="F48" s="198"/>
      <c r="G48" s="198"/>
      <c r="H48" s="200"/>
      <c r="I48" s="197"/>
      <c r="J48" s="200"/>
      <c r="K48" s="200"/>
    </row>
    <row r="49" spans="1:11" s="17" customFormat="1">
      <c r="A49" s="200"/>
      <c r="B49" s="201"/>
      <c r="C49" s="201"/>
      <c r="D49" s="198"/>
      <c r="E49" s="198"/>
      <c r="F49" s="198"/>
      <c r="G49" s="198"/>
      <c r="H49" s="200"/>
      <c r="I49" s="197"/>
      <c r="J49" s="200"/>
      <c r="K49" s="200"/>
    </row>
    <row r="50" spans="1:11" s="17" customFormat="1">
      <c r="A50" s="200"/>
      <c r="B50" s="201"/>
      <c r="C50" s="201"/>
      <c r="D50" s="198"/>
      <c r="E50" s="198"/>
      <c r="F50" s="198"/>
      <c r="G50" s="198"/>
      <c r="H50" s="200"/>
      <c r="I50" s="197"/>
      <c r="J50" s="200"/>
      <c r="K50" s="200"/>
    </row>
    <row r="51" spans="1:11" s="17" customFormat="1">
      <c r="A51" s="200"/>
      <c r="B51" s="201"/>
      <c r="C51" s="201"/>
      <c r="D51" s="198"/>
      <c r="E51" s="198"/>
      <c r="F51" s="198"/>
      <c r="G51" s="198"/>
      <c r="H51" s="200"/>
      <c r="I51" s="197"/>
      <c r="J51" s="200"/>
      <c r="K51" s="200"/>
    </row>
    <row r="52" spans="1:11" s="17" customFormat="1">
      <c r="A52" s="200"/>
      <c r="B52" s="201"/>
      <c r="C52" s="201"/>
      <c r="D52" s="198"/>
      <c r="E52" s="198"/>
      <c r="F52" s="198"/>
      <c r="G52" s="198"/>
      <c r="H52" s="200"/>
      <c r="I52" s="197"/>
      <c r="J52" s="200"/>
      <c r="K52" s="200"/>
    </row>
    <row r="53" spans="1:11" s="17" customFormat="1">
      <c r="A53" s="200"/>
      <c r="B53" s="201"/>
      <c r="C53" s="201"/>
      <c r="D53" s="198"/>
      <c r="E53" s="198"/>
      <c r="F53" s="198"/>
      <c r="G53" s="198"/>
      <c r="H53" s="200"/>
      <c r="I53" s="197"/>
      <c r="J53" s="200"/>
      <c r="K53" s="200"/>
    </row>
    <row r="54" spans="1:11" s="17" customFormat="1">
      <c r="A54" s="200"/>
      <c r="B54" s="201"/>
      <c r="C54" s="201"/>
      <c r="D54" s="198"/>
      <c r="E54" s="198"/>
      <c r="F54" s="198"/>
      <c r="G54" s="198"/>
      <c r="H54" s="200"/>
      <c r="I54" s="197"/>
      <c r="J54" s="200"/>
      <c r="K54" s="200"/>
    </row>
    <row r="55" spans="1:11" s="17" customFormat="1">
      <c r="A55" s="200"/>
      <c r="B55" s="201"/>
      <c r="C55" s="201"/>
      <c r="D55" s="198"/>
      <c r="E55" s="198"/>
      <c r="F55" s="198"/>
      <c r="G55" s="198"/>
      <c r="H55" s="200"/>
      <c r="I55" s="197"/>
      <c r="J55" s="200"/>
      <c r="K55" s="200"/>
    </row>
    <row r="56" spans="1:11" s="17" customFormat="1">
      <c r="A56" s="200"/>
      <c r="B56" s="201"/>
      <c r="C56" s="201"/>
      <c r="D56" s="198"/>
      <c r="E56" s="198"/>
      <c r="F56" s="198"/>
      <c r="G56" s="198"/>
      <c r="H56" s="200"/>
      <c r="I56" s="197"/>
      <c r="J56" s="200"/>
      <c r="K56" s="200"/>
    </row>
    <row r="57" spans="1:11" s="17" customFormat="1">
      <c r="A57" s="200"/>
      <c r="B57" s="201"/>
      <c r="C57" s="201"/>
      <c r="D57" s="198"/>
      <c r="E57" s="198"/>
      <c r="F57" s="198"/>
      <c r="G57" s="198"/>
      <c r="H57" s="200"/>
      <c r="I57" s="197"/>
      <c r="J57" s="200"/>
      <c r="K57" s="200"/>
    </row>
    <row r="58" spans="1:11" s="17" customFormat="1">
      <c r="A58" s="200"/>
      <c r="B58" s="201"/>
      <c r="C58" s="201"/>
      <c r="D58" s="198"/>
      <c r="E58" s="198"/>
      <c r="F58" s="198"/>
      <c r="G58" s="198"/>
      <c r="H58" s="200"/>
      <c r="I58" s="197"/>
      <c r="J58" s="200"/>
      <c r="K58" s="200"/>
    </row>
    <row r="59" spans="1:11" s="17" customFormat="1">
      <c r="A59" s="200"/>
      <c r="B59" s="201"/>
      <c r="C59" s="201"/>
      <c r="D59" s="198"/>
      <c r="E59" s="198"/>
      <c r="F59" s="198"/>
      <c r="G59" s="198"/>
      <c r="H59" s="200"/>
      <c r="I59" s="197"/>
      <c r="J59" s="200"/>
      <c r="K59" s="200"/>
    </row>
    <row r="60" spans="1:11" s="17" customFormat="1">
      <c r="A60" s="200"/>
      <c r="B60" s="201"/>
      <c r="C60" s="201"/>
      <c r="D60" s="198"/>
      <c r="E60" s="198"/>
      <c r="F60" s="198"/>
      <c r="G60" s="198"/>
      <c r="H60" s="200"/>
      <c r="I60" s="197"/>
      <c r="J60" s="200"/>
      <c r="K60" s="200"/>
    </row>
    <row r="61" spans="1:11" s="17" customFormat="1">
      <c r="A61" s="200"/>
      <c r="B61" s="201"/>
      <c r="C61" s="201"/>
      <c r="D61" s="198"/>
      <c r="E61" s="198"/>
      <c r="F61" s="198"/>
      <c r="G61" s="198"/>
      <c r="H61" s="200"/>
      <c r="I61" s="197"/>
      <c r="J61" s="200"/>
      <c r="K61" s="200"/>
    </row>
    <row r="62" spans="1:11" s="17" customFormat="1">
      <c r="A62" s="200"/>
      <c r="B62" s="201"/>
      <c r="C62" s="201"/>
      <c r="D62" s="198"/>
      <c r="E62" s="198"/>
      <c r="F62" s="198"/>
      <c r="G62" s="198"/>
      <c r="H62" s="200"/>
      <c r="I62" s="197"/>
      <c r="J62" s="200"/>
      <c r="K62" s="200"/>
    </row>
    <row r="63" spans="1:11" s="17" customFormat="1">
      <c r="A63" s="200"/>
      <c r="B63" s="201"/>
      <c r="C63" s="201"/>
      <c r="D63" s="198"/>
      <c r="E63" s="198"/>
      <c r="F63" s="198"/>
      <c r="G63" s="198"/>
      <c r="H63" s="200"/>
      <c r="I63" s="197"/>
      <c r="J63" s="200"/>
      <c r="K63" s="200"/>
    </row>
    <row r="64" spans="1:11" s="17" customFormat="1">
      <c r="A64" s="200"/>
      <c r="B64" s="201"/>
      <c r="C64" s="201"/>
      <c r="D64" s="198"/>
      <c r="E64" s="198"/>
      <c r="F64" s="198"/>
      <c r="G64" s="198"/>
      <c r="H64" s="200"/>
      <c r="I64" s="197"/>
      <c r="J64" s="200"/>
      <c r="K64" s="200"/>
    </row>
    <row r="65" spans="1:11" s="17" customFormat="1">
      <c r="A65" s="200"/>
      <c r="B65" s="201"/>
      <c r="C65" s="201"/>
      <c r="D65" s="198"/>
      <c r="E65" s="198"/>
      <c r="F65" s="198"/>
      <c r="G65" s="198"/>
      <c r="H65" s="200"/>
      <c r="I65" s="197"/>
      <c r="J65" s="200"/>
      <c r="K65" s="200"/>
    </row>
    <row r="66" spans="1:11" s="17" customFormat="1">
      <c r="A66" s="200"/>
      <c r="B66" s="201"/>
      <c r="C66" s="201"/>
      <c r="D66" s="198"/>
      <c r="E66" s="198"/>
      <c r="F66" s="198"/>
      <c r="G66" s="198"/>
      <c r="H66" s="200"/>
      <c r="I66" s="197"/>
      <c r="J66" s="200"/>
      <c r="K66" s="200"/>
    </row>
    <row r="67" spans="1:11" s="17" customFormat="1">
      <c r="A67" s="200"/>
      <c r="B67" s="201"/>
      <c r="C67" s="201"/>
      <c r="D67" s="198"/>
      <c r="E67" s="198"/>
      <c r="F67" s="198"/>
      <c r="G67" s="198"/>
      <c r="H67" s="200"/>
      <c r="I67" s="197"/>
      <c r="J67" s="200"/>
      <c r="K67" s="200"/>
    </row>
    <row r="68" spans="1:11" s="17" customFormat="1">
      <c r="A68" s="200"/>
      <c r="B68" s="201"/>
      <c r="C68" s="201"/>
      <c r="D68" s="198"/>
      <c r="E68" s="198"/>
      <c r="F68" s="198"/>
      <c r="G68" s="198"/>
      <c r="H68" s="200"/>
      <c r="I68" s="197"/>
      <c r="J68" s="200"/>
      <c r="K68" s="200"/>
    </row>
    <row r="69" spans="1:11" s="17" customFormat="1">
      <c r="A69" s="200"/>
      <c r="B69" s="201"/>
      <c r="C69" s="201"/>
      <c r="D69" s="198"/>
      <c r="E69" s="198"/>
      <c r="F69" s="198"/>
      <c r="G69" s="198"/>
      <c r="H69" s="200"/>
      <c r="I69" s="197"/>
      <c r="J69" s="200"/>
      <c r="K69" s="200"/>
    </row>
    <row r="70" spans="1:11" s="17" customFormat="1">
      <c r="A70" s="200"/>
      <c r="B70" s="201"/>
      <c r="C70" s="201"/>
      <c r="D70" s="198"/>
      <c r="E70" s="198"/>
      <c r="F70" s="198"/>
      <c r="G70" s="198"/>
      <c r="H70" s="200"/>
      <c r="I70" s="197"/>
      <c r="J70" s="200"/>
      <c r="K70" s="200"/>
    </row>
    <row r="71" spans="1:11" s="17" customFormat="1">
      <c r="A71" s="200"/>
      <c r="B71" s="201"/>
      <c r="C71" s="201"/>
      <c r="D71" s="198"/>
      <c r="E71" s="198"/>
      <c r="F71" s="198"/>
      <c r="G71" s="198"/>
      <c r="H71" s="200"/>
      <c r="I71" s="197"/>
      <c r="J71" s="200"/>
      <c r="K71" s="200"/>
    </row>
    <row r="72" spans="1:11" s="17" customFormat="1">
      <c r="A72" s="200"/>
      <c r="B72" s="201"/>
      <c r="C72" s="201"/>
      <c r="D72" s="198"/>
      <c r="E72" s="198"/>
      <c r="F72" s="198"/>
      <c r="G72" s="198"/>
      <c r="H72" s="200"/>
      <c r="I72" s="197"/>
      <c r="J72" s="200"/>
      <c r="K72" s="200"/>
    </row>
    <row r="73" spans="1:11" s="17" customFormat="1">
      <c r="A73" s="200"/>
      <c r="B73" s="201"/>
      <c r="C73" s="201"/>
      <c r="D73" s="198"/>
      <c r="E73" s="198"/>
      <c r="F73" s="198"/>
      <c r="G73" s="198"/>
      <c r="H73" s="200"/>
      <c r="I73" s="197"/>
      <c r="J73" s="200"/>
      <c r="K73" s="200"/>
    </row>
    <row r="74" spans="1:11" s="17" customFormat="1">
      <c r="A74" s="200"/>
      <c r="B74" s="201"/>
      <c r="C74" s="201"/>
      <c r="D74" s="198"/>
      <c r="E74" s="198"/>
      <c r="F74" s="198"/>
      <c r="G74" s="198"/>
      <c r="H74" s="200"/>
      <c r="I74" s="197"/>
      <c r="J74" s="200"/>
      <c r="K74" s="200"/>
    </row>
    <row r="75" spans="1:11" s="17" customFormat="1">
      <c r="A75" s="200"/>
      <c r="B75" s="201"/>
      <c r="C75" s="201"/>
      <c r="D75" s="198"/>
      <c r="E75" s="198"/>
      <c r="F75" s="198"/>
      <c r="G75" s="198"/>
      <c r="H75" s="200"/>
      <c r="I75" s="197"/>
      <c r="J75" s="200"/>
      <c r="K75" s="200"/>
    </row>
    <row r="76" spans="1:11" s="17" customFormat="1">
      <c r="A76" s="200"/>
      <c r="B76" s="201"/>
      <c r="C76" s="201"/>
      <c r="D76" s="198"/>
      <c r="E76" s="198"/>
      <c r="F76" s="198"/>
      <c r="G76" s="198"/>
      <c r="H76" s="200"/>
      <c r="I76" s="197"/>
      <c r="J76" s="200"/>
      <c r="K76" s="200"/>
    </row>
    <row r="77" spans="1:11" s="17" customFormat="1">
      <c r="A77" s="200"/>
      <c r="B77" s="201"/>
      <c r="C77" s="201"/>
      <c r="D77" s="198"/>
      <c r="E77" s="198"/>
      <c r="F77" s="198"/>
      <c r="G77" s="198"/>
      <c r="H77" s="200"/>
      <c r="I77" s="197"/>
      <c r="J77" s="200"/>
      <c r="K77" s="200"/>
    </row>
    <row r="78" spans="1:11" s="17" customFormat="1">
      <c r="A78" s="200"/>
      <c r="B78" s="201"/>
      <c r="C78" s="201"/>
      <c r="D78" s="198"/>
      <c r="E78" s="198"/>
      <c r="F78" s="198"/>
      <c r="G78" s="198"/>
      <c r="H78" s="200"/>
      <c r="I78" s="197"/>
      <c r="J78" s="200"/>
      <c r="K78" s="200"/>
    </row>
    <row r="79" spans="1:11" s="17" customFormat="1">
      <c r="A79" s="200"/>
      <c r="B79" s="201"/>
      <c r="C79" s="201"/>
      <c r="D79" s="198"/>
      <c r="E79" s="198"/>
      <c r="F79" s="198"/>
      <c r="G79" s="198"/>
      <c r="H79" s="200"/>
      <c r="I79" s="197"/>
      <c r="J79" s="200"/>
      <c r="K79" s="200"/>
    </row>
    <row r="80" spans="1:11" s="17" customFormat="1">
      <c r="A80" s="200"/>
      <c r="B80" s="201"/>
      <c r="C80" s="201"/>
      <c r="D80" s="198"/>
      <c r="E80" s="198"/>
      <c r="F80" s="198"/>
      <c r="G80" s="198"/>
      <c r="H80" s="200"/>
      <c r="I80" s="197"/>
      <c r="J80" s="200"/>
      <c r="K80" s="200"/>
    </row>
    <row r="81" spans="1:11" s="17" customFormat="1">
      <c r="A81" s="200"/>
      <c r="B81" s="201"/>
      <c r="C81" s="201"/>
      <c r="D81" s="198"/>
      <c r="E81" s="198"/>
      <c r="F81" s="198"/>
      <c r="G81" s="198"/>
      <c r="H81" s="200"/>
      <c r="I81" s="197"/>
      <c r="J81" s="200"/>
      <c r="K81" s="200"/>
    </row>
    <row r="82" spans="1:11" s="17" customFormat="1">
      <c r="A82" s="200"/>
      <c r="B82" s="201"/>
      <c r="C82" s="201"/>
      <c r="D82" s="198"/>
      <c r="E82" s="198"/>
      <c r="F82" s="198"/>
      <c r="G82" s="198"/>
      <c r="H82" s="200"/>
      <c r="I82" s="197"/>
      <c r="J82" s="200"/>
      <c r="K82" s="200"/>
    </row>
    <row r="83" spans="1:11" s="17" customFormat="1">
      <c r="A83" s="200"/>
      <c r="B83" s="201"/>
      <c r="C83" s="201"/>
      <c r="D83" s="198"/>
      <c r="E83" s="198"/>
      <c r="F83" s="198"/>
      <c r="G83" s="198"/>
      <c r="H83" s="200"/>
      <c r="I83" s="197"/>
      <c r="J83" s="200"/>
      <c r="K83" s="200"/>
    </row>
    <row r="84" spans="1:11" s="17" customFormat="1">
      <c r="A84" s="200"/>
      <c r="B84" s="201"/>
      <c r="C84" s="201"/>
      <c r="D84" s="198"/>
      <c r="E84" s="198"/>
      <c r="F84" s="198"/>
      <c r="G84" s="198"/>
      <c r="H84" s="200"/>
      <c r="I84" s="197"/>
      <c r="J84" s="200"/>
      <c r="K84" s="200"/>
    </row>
    <row r="85" spans="1:11" s="17" customFormat="1">
      <c r="A85" s="200"/>
      <c r="B85" s="201"/>
      <c r="C85" s="201"/>
      <c r="D85" s="198"/>
      <c r="E85" s="198"/>
      <c r="F85" s="198"/>
      <c r="G85" s="198"/>
      <c r="H85" s="200"/>
      <c r="I85" s="197"/>
      <c r="J85" s="200"/>
      <c r="K85" s="200"/>
    </row>
    <row r="86" spans="1:11" s="17" customFormat="1">
      <c r="A86" s="200"/>
      <c r="B86" s="201"/>
      <c r="C86" s="201"/>
      <c r="D86" s="198"/>
      <c r="E86" s="198"/>
      <c r="F86" s="198"/>
      <c r="G86" s="198"/>
      <c r="H86" s="200"/>
      <c r="I86" s="197"/>
      <c r="J86" s="200"/>
      <c r="K86" s="200"/>
    </row>
    <row r="87" spans="1:11" s="17" customFormat="1">
      <c r="A87" s="200"/>
      <c r="B87" s="201"/>
      <c r="C87" s="201"/>
      <c r="D87" s="198"/>
      <c r="E87" s="198"/>
      <c r="F87" s="198"/>
      <c r="G87" s="198"/>
      <c r="H87" s="200"/>
      <c r="I87" s="197"/>
      <c r="J87" s="200"/>
      <c r="K87" s="200"/>
    </row>
    <row r="88" spans="1:11" s="17" customFormat="1">
      <c r="A88" s="200"/>
      <c r="B88" s="201"/>
      <c r="C88" s="201"/>
      <c r="D88" s="198"/>
      <c r="E88" s="198"/>
      <c r="F88" s="198"/>
      <c r="G88" s="198"/>
      <c r="H88" s="200"/>
      <c r="I88" s="197"/>
      <c r="J88" s="200"/>
      <c r="K88" s="200"/>
    </row>
    <row r="89" spans="1:11" s="17" customFormat="1">
      <c r="A89" s="200"/>
      <c r="B89" s="201"/>
      <c r="C89" s="201"/>
      <c r="D89" s="198"/>
      <c r="E89" s="198"/>
      <c r="F89" s="198"/>
      <c r="G89" s="198"/>
      <c r="H89" s="200"/>
      <c r="I89" s="197"/>
      <c r="J89" s="200"/>
      <c r="K89" s="200"/>
    </row>
    <row r="90" spans="1:11" s="17" customFormat="1">
      <c r="A90" s="200"/>
      <c r="B90" s="201"/>
      <c r="C90" s="201"/>
      <c r="D90" s="198"/>
      <c r="E90" s="198"/>
      <c r="F90" s="198"/>
      <c r="G90" s="198"/>
      <c r="H90" s="200"/>
      <c r="I90" s="197"/>
      <c r="J90" s="200"/>
      <c r="K90" s="200"/>
    </row>
    <row r="91" spans="1:11" s="17" customFormat="1">
      <c r="A91" s="200"/>
      <c r="B91" s="201"/>
      <c r="C91" s="201"/>
      <c r="D91" s="198"/>
      <c r="E91" s="198"/>
      <c r="F91" s="198"/>
      <c r="G91" s="198"/>
      <c r="H91" s="200"/>
      <c r="I91" s="197"/>
      <c r="J91" s="200"/>
      <c r="K91" s="200"/>
    </row>
    <row r="92" spans="1:11" s="17" customFormat="1">
      <c r="A92" s="200"/>
      <c r="B92" s="201"/>
      <c r="C92" s="201"/>
      <c r="D92" s="198"/>
      <c r="E92" s="198"/>
      <c r="F92" s="198"/>
      <c r="G92" s="198"/>
      <c r="H92" s="200"/>
      <c r="I92" s="197"/>
      <c r="J92" s="200"/>
      <c r="K92" s="200"/>
    </row>
    <row r="93" spans="1:11" s="17" customFormat="1">
      <c r="A93" s="200"/>
      <c r="B93" s="201"/>
      <c r="C93" s="201"/>
      <c r="D93" s="198"/>
      <c r="E93" s="198"/>
      <c r="F93" s="198"/>
      <c r="G93" s="198"/>
      <c r="H93" s="200"/>
      <c r="I93" s="197"/>
      <c r="J93" s="200"/>
      <c r="K93" s="200"/>
    </row>
    <row r="94" spans="1:11" s="17" customFormat="1">
      <c r="A94" s="200"/>
      <c r="B94" s="201"/>
      <c r="C94" s="201"/>
      <c r="D94" s="198"/>
      <c r="E94" s="198"/>
      <c r="F94" s="198"/>
      <c r="G94" s="198"/>
      <c r="H94" s="200"/>
      <c r="I94" s="197"/>
      <c r="J94" s="200"/>
      <c r="K94" s="200"/>
    </row>
    <row r="95" spans="1:11" s="17" customFormat="1">
      <c r="A95" s="200"/>
      <c r="B95" s="201"/>
      <c r="C95" s="201"/>
      <c r="D95" s="198"/>
      <c r="E95" s="198"/>
      <c r="F95" s="198"/>
      <c r="G95" s="198"/>
      <c r="H95" s="200"/>
      <c r="I95" s="197"/>
      <c r="J95" s="200"/>
      <c r="K95" s="200"/>
    </row>
    <row r="96" spans="1:11" s="17" customFormat="1">
      <c r="A96" s="200"/>
      <c r="B96" s="201"/>
      <c r="C96" s="201"/>
      <c r="D96" s="198"/>
      <c r="E96" s="198"/>
      <c r="F96" s="198"/>
      <c r="G96" s="198"/>
      <c r="H96" s="200"/>
      <c r="I96" s="197"/>
      <c r="J96" s="200"/>
      <c r="K96" s="200"/>
    </row>
    <row r="97" spans="1:11" s="17" customFormat="1">
      <c r="A97" s="200"/>
      <c r="B97" s="201"/>
      <c r="C97" s="201"/>
      <c r="D97" s="198"/>
      <c r="E97" s="198"/>
      <c r="F97" s="198"/>
      <c r="G97" s="198"/>
      <c r="H97" s="200"/>
      <c r="I97" s="197"/>
      <c r="J97" s="200"/>
      <c r="K97" s="200"/>
    </row>
    <row r="98" spans="1:11" s="17" customFormat="1">
      <c r="A98" s="200"/>
      <c r="B98" s="201"/>
      <c r="C98" s="201"/>
      <c r="D98" s="198"/>
      <c r="E98" s="198"/>
      <c r="F98" s="198"/>
      <c r="G98" s="198"/>
      <c r="H98" s="200"/>
      <c r="I98" s="197"/>
      <c r="J98" s="200"/>
      <c r="K98" s="200"/>
    </row>
    <row r="99" spans="1:11" s="17" customFormat="1">
      <c r="A99" s="200"/>
      <c r="B99" s="201"/>
      <c r="C99" s="201"/>
      <c r="D99" s="198"/>
      <c r="E99" s="198"/>
      <c r="F99" s="198"/>
      <c r="G99" s="198"/>
      <c r="H99" s="200"/>
      <c r="I99" s="197"/>
      <c r="J99" s="200"/>
      <c r="K99" s="200"/>
    </row>
    <row r="100" spans="1:11" s="17" customFormat="1">
      <c r="A100" s="200"/>
      <c r="B100" s="201"/>
      <c r="C100" s="201"/>
      <c r="D100" s="198"/>
      <c r="E100" s="198"/>
      <c r="F100" s="198"/>
      <c r="G100" s="198"/>
      <c r="H100" s="200"/>
      <c r="I100" s="197"/>
      <c r="J100" s="200"/>
      <c r="K100" s="200"/>
    </row>
    <row r="101" spans="1:11" s="17" customFormat="1">
      <c r="A101" s="200"/>
      <c r="B101" s="201"/>
      <c r="C101" s="201"/>
      <c r="D101" s="198"/>
      <c r="E101" s="198"/>
      <c r="F101" s="198"/>
      <c r="G101" s="198"/>
      <c r="H101" s="200"/>
      <c r="I101" s="197"/>
      <c r="J101" s="200"/>
      <c r="K101" s="200"/>
    </row>
    <row r="102" spans="1:11" s="17" customFormat="1">
      <c r="A102" s="200"/>
      <c r="B102" s="201"/>
      <c r="C102" s="201"/>
      <c r="D102" s="198"/>
      <c r="E102" s="198"/>
      <c r="F102" s="198"/>
      <c r="G102" s="198"/>
      <c r="H102" s="200"/>
      <c r="I102" s="197"/>
      <c r="J102" s="200"/>
      <c r="K102" s="200"/>
    </row>
    <row r="103" spans="1:11" s="17" customFormat="1">
      <c r="A103" s="200"/>
      <c r="B103" s="201"/>
      <c r="C103" s="201"/>
      <c r="D103" s="198"/>
      <c r="E103" s="198"/>
      <c r="F103" s="198"/>
      <c r="G103" s="198"/>
      <c r="H103" s="200"/>
      <c r="I103" s="197"/>
      <c r="J103" s="200"/>
      <c r="K103" s="200"/>
    </row>
    <row r="104" spans="1:11" s="17" customFormat="1">
      <c r="A104" s="200"/>
      <c r="B104" s="201"/>
      <c r="C104" s="201"/>
      <c r="D104" s="198"/>
      <c r="E104" s="198"/>
      <c r="F104" s="198"/>
      <c r="G104" s="198"/>
      <c r="H104" s="200"/>
      <c r="I104" s="197"/>
      <c r="J104" s="200"/>
      <c r="K104" s="200"/>
    </row>
    <row r="105" spans="1:11" s="17" customFormat="1">
      <c r="A105" s="200"/>
      <c r="B105" s="201"/>
      <c r="C105" s="201"/>
      <c r="D105" s="198"/>
      <c r="E105" s="198"/>
      <c r="F105" s="198"/>
      <c r="G105" s="198"/>
      <c r="H105" s="200"/>
      <c r="I105" s="197"/>
      <c r="J105" s="200"/>
      <c r="K105" s="200"/>
    </row>
    <row r="106" spans="1:11" s="17" customFormat="1">
      <c r="A106" s="200"/>
      <c r="B106" s="201"/>
      <c r="C106" s="201"/>
      <c r="D106" s="198"/>
      <c r="E106" s="198"/>
      <c r="F106" s="198"/>
      <c r="G106" s="198"/>
      <c r="H106" s="200"/>
      <c r="I106" s="197"/>
      <c r="J106" s="200"/>
      <c r="K106" s="200"/>
    </row>
    <row r="107" spans="1:11" s="17" customFormat="1">
      <c r="A107" s="200"/>
      <c r="B107" s="201"/>
      <c r="C107" s="201"/>
      <c r="D107" s="198"/>
      <c r="E107" s="198"/>
      <c r="F107" s="198"/>
      <c r="G107" s="198"/>
      <c r="H107" s="200"/>
      <c r="I107" s="197"/>
      <c r="J107" s="200"/>
      <c r="K107" s="200"/>
    </row>
    <row r="108" spans="1:11" s="17" customFormat="1">
      <c r="A108" s="200"/>
      <c r="B108" s="201"/>
      <c r="C108" s="201"/>
      <c r="D108" s="198"/>
      <c r="E108" s="198"/>
      <c r="F108" s="198"/>
      <c r="G108" s="198"/>
      <c r="H108" s="200"/>
      <c r="I108" s="197"/>
      <c r="J108" s="200"/>
      <c r="K108" s="200"/>
    </row>
    <row r="109" spans="1:11" s="17" customFormat="1">
      <c r="A109" s="200"/>
      <c r="B109" s="201"/>
      <c r="C109" s="201"/>
      <c r="D109" s="198"/>
      <c r="E109" s="198"/>
      <c r="F109" s="198"/>
      <c r="G109" s="198"/>
      <c r="H109" s="200"/>
      <c r="I109" s="197"/>
      <c r="J109" s="200"/>
      <c r="K109" s="200"/>
    </row>
    <row r="110" spans="1:11" s="17" customFormat="1">
      <c r="A110" s="200"/>
      <c r="B110" s="201"/>
      <c r="C110" s="201"/>
      <c r="D110" s="198"/>
      <c r="E110" s="198"/>
      <c r="F110" s="198"/>
      <c r="G110" s="198"/>
      <c r="H110" s="200"/>
      <c r="I110" s="197"/>
      <c r="J110" s="200"/>
      <c r="K110" s="200"/>
    </row>
    <row r="111" spans="1:11" s="17" customFormat="1">
      <c r="A111" s="200"/>
      <c r="B111" s="201"/>
      <c r="C111" s="201"/>
      <c r="D111" s="198"/>
      <c r="E111" s="198"/>
      <c r="F111" s="198"/>
      <c r="G111" s="198"/>
      <c r="H111" s="200"/>
      <c r="I111" s="197"/>
      <c r="J111" s="200"/>
      <c r="K111" s="200"/>
    </row>
    <row r="112" spans="1:11" s="17" customFormat="1">
      <c r="A112" s="200"/>
      <c r="B112" s="201"/>
      <c r="C112" s="201"/>
      <c r="D112" s="198"/>
      <c r="E112" s="198"/>
      <c r="F112" s="198"/>
      <c r="G112" s="198"/>
      <c r="H112" s="200"/>
      <c r="I112" s="197"/>
      <c r="J112" s="200"/>
      <c r="K112" s="200"/>
    </row>
    <row r="113" spans="1:11" s="17" customFormat="1">
      <c r="A113" s="200"/>
      <c r="B113" s="201"/>
      <c r="C113" s="201"/>
      <c r="D113" s="198"/>
      <c r="E113" s="198"/>
      <c r="F113" s="198"/>
      <c r="G113" s="198"/>
      <c r="H113" s="200"/>
      <c r="I113" s="197"/>
      <c r="J113" s="200"/>
      <c r="K113" s="200"/>
    </row>
    <row r="114" spans="1:11" s="17" customFormat="1">
      <c r="A114" s="200"/>
      <c r="B114" s="201"/>
      <c r="C114" s="201"/>
      <c r="D114" s="198"/>
      <c r="E114" s="198"/>
      <c r="F114" s="198"/>
      <c r="G114" s="198"/>
      <c r="H114" s="200"/>
      <c r="I114" s="197"/>
      <c r="J114" s="200"/>
      <c r="K114" s="200"/>
    </row>
    <row r="115" spans="1:11" s="17" customFormat="1">
      <c r="A115" s="200"/>
      <c r="B115" s="201"/>
      <c r="C115" s="201"/>
      <c r="D115" s="198"/>
      <c r="E115" s="198"/>
      <c r="F115" s="198"/>
      <c r="G115" s="198"/>
      <c r="H115" s="200"/>
      <c r="I115" s="197"/>
      <c r="J115" s="200"/>
      <c r="K115" s="200"/>
    </row>
    <row r="116" spans="1:11" s="17" customFormat="1">
      <c r="A116" s="200"/>
      <c r="B116" s="201"/>
      <c r="C116" s="201"/>
      <c r="D116" s="198"/>
      <c r="E116" s="198"/>
      <c r="F116" s="198"/>
      <c r="G116" s="198"/>
      <c r="H116" s="200"/>
      <c r="I116" s="197"/>
      <c r="J116" s="200"/>
      <c r="K116" s="200"/>
    </row>
    <row r="117" spans="1:11" s="17" customFormat="1">
      <c r="A117" s="200"/>
      <c r="B117" s="201"/>
      <c r="C117" s="201"/>
      <c r="D117" s="198"/>
      <c r="E117" s="198"/>
      <c r="F117" s="198"/>
      <c r="G117" s="198"/>
      <c r="H117" s="200"/>
      <c r="I117" s="197"/>
      <c r="J117" s="200"/>
      <c r="K117" s="200"/>
    </row>
    <row r="118" spans="1:11" s="17" customFormat="1">
      <c r="A118" s="200"/>
      <c r="B118" s="201"/>
      <c r="C118" s="201"/>
      <c r="D118" s="198"/>
      <c r="E118" s="198"/>
      <c r="F118" s="198"/>
      <c r="G118" s="198"/>
      <c r="H118" s="200"/>
      <c r="I118" s="197"/>
      <c r="J118" s="200"/>
      <c r="K118" s="200"/>
    </row>
    <row r="119" spans="1:11" s="17" customFormat="1">
      <c r="A119" s="200"/>
      <c r="B119" s="201"/>
      <c r="C119" s="201"/>
      <c r="D119" s="198"/>
      <c r="E119" s="198"/>
      <c r="F119" s="198"/>
      <c r="G119" s="198"/>
      <c r="H119" s="200"/>
      <c r="I119" s="197"/>
      <c r="J119" s="200"/>
      <c r="K119" s="200"/>
    </row>
    <row r="120" spans="1:11" s="17" customFormat="1">
      <c r="A120" s="200"/>
      <c r="B120" s="201"/>
      <c r="C120" s="201"/>
      <c r="D120" s="198"/>
      <c r="E120" s="198"/>
      <c r="F120" s="198"/>
      <c r="G120" s="198"/>
      <c r="H120" s="200"/>
      <c r="I120" s="197"/>
      <c r="J120" s="200"/>
      <c r="K120" s="200"/>
    </row>
    <row r="121" spans="1:11" s="17" customFormat="1">
      <c r="A121" s="200"/>
      <c r="B121" s="201"/>
      <c r="C121" s="201"/>
      <c r="D121" s="198"/>
      <c r="E121" s="198"/>
      <c r="F121" s="198"/>
      <c r="G121" s="198"/>
      <c r="H121" s="200"/>
      <c r="I121" s="197"/>
      <c r="J121" s="200"/>
      <c r="K121" s="200"/>
    </row>
    <row r="122" spans="1:11" s="17" customFormat="1">
      <c r="A122" s="200"/>
      <c r="B122" s="201"/>
      <c r="C122" s="201"/>
      <c r="D122" s="198"/>
      <c r="E122" s="198"/>
      <c r="F122" s="198"/>
      <c r="G122" s="198"/>
      <c r="H122" s="200"/>
      <c r="I122" s="197"/>
      <c r="J122" s="200"/>
      <c r="K122" s="200"/>
    </row>
    <row r="123" spans="1:11" s="17" customFormat="1">
      <c r="A123" s="200"/>
      <c r="B123" s="201"/>
      <c r="C123" s="201"/>
      <c r="D123" s="198"/>
      <c r="E123" s="198"/>
      <c r="F123" s="198"/>
      <c r="G123" s="198"/>
      <c r="H123" s="200"/>
      <c r="I123" s="197"/>
      <c r="J123" s="200"/>
      <c r="K123" s="200"/>
    </row>
    <row r="124" spans="1:11" s="17" customFormat="1">
      <c r="A124" s="200"/>
      <c r="B124" s="201"/>
      <c r="C124" s="201"/>
      <c r="D124" s="198"/>
      <c r="E124" s="198"/>
      <c r="F124" s="198"/>
      <c r="G124" s="198"/>
      <c r="H124" s="200"/>
      <c r="I124" s="197"/>
      <c r="J124" s="200"/>
      <c r="K124" s="200"/>
    </row>
    <row r="125" spans="1:11" s="17" customFormat="1">
      <c r="A125" s="200"/>
      <c r="B125" s="201"/>
      <c r="C125" s="201"/>
      <c r="D125" s="198"/>
      <c r="E125" s="198"/>
      <c r="F125" s="198"/>
      <c r="G125" s="198"/>
      <c r="H125" s="200"/>
      <c r="I125" s="197"/>
      <c r="J125" s="200"/>
      <c r="K125" s="200"/>
    </row>
    <row r="126" spans="1:11" s="17" customFormat="1">
      <c r="A126" s="200"/>
      <c r="B126" s="201"/>
      <c r="C126" s="201"/>
      <c r="D126" s="198"/>
      <c r="E126" s="198"/>
      <c r="F126" s="198"/>
      <c r="G126" s="198"/>
      <c r="H126" s="200"/>
      <c r="I126" s="197"/>
      <c r="J126" s="200"/>
      <c r="K126" s="200"/>
    </row>
    <row r="127" spans="1:11" s="17" customFormat="1">
      <c r="A127" s="200"/>
      <c r="B127" s="201"/>
      <c r="C127" s="201"/>
      <c r="D127" s="198"/>
      <c r="E127" s="198"/>
      <c r="F127" s="198"/>
      <c r="G127" s="198"/>
      <c r="H127" s="200"/>
      <c r="I127" s="197"/>
      <c r="J127" s="200"/>
      <c r="K127" s="200"/>
    </row>
    <row r="128" spans="1:11" s="17" customFormat="1">
      <c r="A128" s="200"/>
      <c r="B128" s="201"/>
      <c r="C128" s="201"/>
      <c r="D128" s="198"/>
      <c r="E128" s="198"/>
      <c r="F128" s="198"/>
      <c r="G128" s="198"/>
      <c r="H128" s="200"/>
      <c r="I128" s="197"/>
      <c r="J128" s="200"/>
      <c r="K128" s="200"/>
    </row>
    <row r="129" spans="1:11" s="17" customFormat="1">
      <c r="A129" s="200"/>
      <c r="B129" s="201"/>
      <c r="C129" s="201"/>
      <c r="D129" s="198"/>
      <c r="E129" s="198"/>
      <c r="F129" s="198"/>
      <c r="G129" s="198"/>
      <c r="H129" s="200"/>
      <c r="I129" s="197"/>
      <c r="J129" s="200"/>
      <c r="K129" s="200"/>
    </row>
    <row r="130" spans="1:11" s="17" customFormat="1">
      <c r="A130" s="200"/>
      <c r="B130" s="201"/>
      <c r="C130" s="201"/>
      <c r="D130" s="198"/>
      <c r="E130" s="198"/>
      <c r="F130" s="198"/>
      <c r="G130" s="198"/>
      <c r="H130" s="200"/>
      <c r="I130" s="197"/>
      <c r="J130" s="200"/>
      <c r="K130" s="200"/>
    </row>
    <row r="131" spans="1:11" s="17" customFormat="1">
      <c r="A131" s="200"/>
      <c r="B131" s="201"/>
      <c r="C131" s="201"/>
      <c r="D131" s="198"/>
      <c r="E131" s="198"/>
      <c r="F131" s="198"/>
      <c r="G131" s="198"/>
      <c r="H131" s="200"/>
      <c r="I131" s="197"/>
      <c r="J131" s="200"/>
      <c r="K131" s="200"/>
    </row>
    <row r="132" spans="1:11" s="17" customFormat="1">
      <c r="A132" s="200"/>
      <c r="B132" s="201"/>
      <c r="C132" s="201"/>
      <c r="D132" s="198"/>
      <c r="E132" s="198"/>
      <c r="F132" s="198"/>
      <c r="G132" s="198"/>
      <c r="H132" s="200"/>
      <c r="I132" s="197"/>
      <c r="J132" s="200"/>
      <c r="K132" s="200"/>
    </row>
    <row r="133" spans="1:11" s="17" customFormat="1">
      <c r="A133" s="200"/>
      <c r="B133" s="201"/>
      <c r="C133" s="201"/>
      <c r="D133" s="198"/>
      <c r="E133" s="198"/>
      <c r="F133" s="198"/>
      <c r="G133" s="198"/>
      <c r="H133" s="200"/>
      <c r="I133" s="197"/>
      <c r="J133" s="200"/>
      <c r="K133" s="200"/>
    </row>
    <row r="134" spans="1:11" s="17" customFormat="1">
      <c r="A134" s="200"/>
      <c r="B134" s="201"/>
      <c r="C134" s="201"/>
      <c r="D134" s="198"/>
      <c r="E134" s="198"/>
      <c r="F134" s="198"/>
      <c r="G134" s="198"/>
      <c r="H134" s="200"/>
      <c r="I134" s="197"/>
      <c r="J134" s="200"/>
      <c r="K134" s="200"/>
    </row>
    <row r="135" spans="1:11" s="17" customFormat="1">
      <c r="A135" s="200"/>
      <c r="B135" s="201"/>
      <c r="C135" s="201"/>
      <c r="D135" s="198"/>
      <c r="E135" s="198"/>
      <c r="F135" s="198"/>
      <c r="G135" s="198"/>
      <c r="H135" s="200"/>
      <c r="I135" s="197"/>
      <c r="J135" s="200"/>
      <c r="K135" s="200"/>
    </row>
    <row r="136" spans="1:11" s="17" customFormat="1">
      <c r="A136" s="200"/>
      <c r="B136" s="201"/>
      <c r="C136" s="201"/>
      <c r="D136" s="198"/>
      <c r="E136" s="198"/>
      <c r="F136" s="198"/>
      <c r="G136" s="198"/>
      <c r="H136" s="200"/>
      <c r="I136" s="197"/>
      <c r="J136" s="200"/>
      <c r="K136" s="200"/>
    </row>
    <row r="137" spans="1:11" s="17" customFormat="1">
      <c r="A137" s="200"/>
      <c r="B137" s="201"/>
      <c r="C137" s="201"/>
      <c r="D137" s="198"/>
      <c r="E137" s="198"/>
      <c r="F137" s="198"/>
      <c r="G137" s="198"/>
      <c r="H137" s="200"/>
      <c r="I137" s="197"/>
      <c r="J137" s="200"/>
      <c r="K137" s="200"/>
    </row>
    <row r="138" spans="1:11" s="17" customFormat="1">
      <c r="A138" s="200"/>
      <c r="B138" s="201"/>
      <c r="C138" s="201"/>
      <c r="D138" s="198"/>
      <c r="E138" s="198"/>
      <c r="F138" s="198"/>
      <c r="G138" s="198"/>
      <c r="H138" s="200"/>
      <c r="I138" s="197"/>
      <c r="J138" s="200"/>
      <c r="K138" s="200"/>
    </row>
    <row r="139" spans="1:11" s="17" customFormat="1">
      <c r="A139" s="200"/>
      <c r="B139" s="201"/>
      <c r="C139" s="201"/>
      <c r="D139" s="198"/>
      <c r="E139" s="198"/>
      <c r="F139" s="198"/>
      <c r="G139" s="198"/>
      <c r="H139" s="200"/>
      <c r="I139" s="197"/>
      <c r="J139" s="200"/>
      <c r="K139" s="200"/>
    </row>
    <row r="140" spans="1:11" s="17" customFormat="1">
      <c r="A140" s="200"/>
      <c r="B140" s="201"/>
      <c r="C140" s="201"/>
      <c r="D140" s="198"/>
      <c r="E140" s="198"/>
      <c r="F140" s="198"/>
      <c r="G140" s="198"/>
      <c r="H140" s="200"/>
      <c r="I140" s="197"/>
      <c r="J140" s="200"/>
      <c r="K140" s="200"/>
    </row>
    <row r="141" spans="1:11" s="17" customFormat="1">
      <c r="A141" s="200"/>
      <c r="B141" s="201"/>
      <c r="C141" s="201"/>
      <c r="D141" s="198"/>
      <c r="E141" s="198"/>
      <c r="F141" s="198"/>
      <c r="G141" s="198"/>
      <c r="H141" s="200"/>
      <c r="I141" s="197"/>
      <c r="J141" s="200"/>
      <c r="K141" s="200"/>
    </row>
    <row r="142" spans="1:11" s="17" customFormat="1">
      <c r="A142" s="200"/>
      <c r="B142" s="201"/>
      <c r="C142" s="201"/>
      <c r="D142" s="198"/>
      <c r="E142" s="198"/>
      <c r="F142" s="198"/>
      <c r="G142" s="198"/>
      <c r="H142" s="200"/>
      <c r="I142" s="197"/>
      <c r="J142" s="200"/>
      <c r="K142" s="200"/>
    </row>
    <row r="143" spans="1:11" s="17" customFormat="1">
      <c r="A143" s="200"/>
      <c r="B143" s="201"/>
      <c r="C143" s="201"/>
      <c r="D143" s="198"/>
      <c r="E143" s="198"/>
      <c r="F143" s="198"/>
      <c r="G143" s="198"/>
      <c r="H143" s="200"/>
      <c r="I143" s="197"/>
      <c r="J143" s="200"/>
      <c r="K143" s="200"/>
    </row>
    <row r="144" spans="1:11" s="17" customFormat="1">
      <c r="A144" s="200"/>
      <c r="B144" s="201"/>
      <c r="C144" s="201"/>
      <c r="D144" s="198"/>
      <c r="E144" s="198"/>
      <c r="F144" s="198"/>
      <c r="G144" s="198"/>
      <c r="H144" s="200"/>
      <c r="I144" s="197"/>
      <c r="J144" s="200"/>
      <c r="K144" s="200"/>
    </row>
    <row r="145" spans="1:11" s="17" customFormat="1">
      <c r="A145" s="200"/>
      <c r="B145" s="201"/>
      <c r="C145" s="201"/>
      <c r="D145" s="198"/>
      <c r="E145" s="198"/>
      <c r="F145" s="198"/>
      <c r="G145" s="198"/>
      <c r="H145" s="200"/>
      <c r="I145" s="197"/>
      <c r="J145" s="200"/>
      <c r="K145" s="200"/>
    </row>
    <row r="146" spans="1:11" s="17" customFormat="1">
      <c r="A146" s="200"/>
      <c r="B146" s="201"/>
      <c r="C146" s="201"/>
      <c r="D146" s="198"/>
      <c r="E146" s="198"/>
      <c r="F146" s="198"/>
      <c r="G146" s="198"/>
      <c r="H146" s="200"/>
      <c r="I146" s="197"/>
      <c r="J146" s="200"/>
      <c r="K146" s="200"/>
    </row>
    <row r="147" spans="1:11" s="17" customFormat="1">
      <c r="A147" s="200"/>
      <c r="B147" s="201"/>
      <c r="C147" s="201"/>
      <c r="D147" s="198"/>
      <c r="E147" s="198"/>
      <c r="F147" s="198"/>
      <c r="G147" s="198"/>
      <c r="H147" s="200"/>
      <c r="I147" s="197"/>
      <c r="J147" s="200"/>
      <c r="K147" s="200"/>
    </row>
    <row r="148" spans="1:11" s="17" customFormat="1">
      <c r="A148" s="200"/>
      <c r="B148" s="201"/>
      <c r="C148" s="201"/>
      <c r="D148" s="198"/>
      <c r="E148" s="198"/>
      <c r="F148" s="198"/>
      <c r="G148" s="198"/>
      <c r="H148" s="200"/>
      <c r="I148" s="197"/>
      <c r="J148" s="200"/>
      <c r="K148" s="200"/>
    </row>
    <row r="149" spans="1:11" s="17" customFormat="1">
      <c r="A149" s="200"/>
      <c r="B149" s="201"/>
      <c r="C149" s="201"/>
      <c r="D149" s="198"/>
      <c r="E149" s="198"/>
      <c r="F149" s="198"/>
      <c r="G149" s="198"/>
      <c r="H149" s="200"/>
      <c r="I149" s="197"/>
      <c r="J149" s="200"/>
      <c r="K149" s="200"/>
    </row>
    <row r="150" spans="1:11" s="17" customFormat="1">
      <c r="A150" s="200"/>
      <c r="B150" s="201"/>
      <c r="C150" s="201"/>
      <c r="D150" s="198"/>
      <c r="E150" s="198"/>
      <c r="F150" s="198"/>
      <c r="G150" s="198"/>
      <c r="H150" s="200"/>
      <c r="I150" s="197"/>
      <c r="J150" s="200"/>
      <c r="K150" s="200"/>
    </row>
    <row r="151" spans="1:11" s="17" customFormat="1">
      <c r="A151" s="200"/>
      <c r="B151" s="201"/>
      <c r="C151" s="201"/>
      <c r="D151" s="198"/>
      <c r="E151" s="198"/>
      <c r="F151" s="198"/>
      <c r="G151" s="198"/>
      <c r="H151" s="200"/>
      <c r="I151" s="197"/>
      <c r="J151" s="200"/>
      <c r="K151" s="200"/>
    </row>
    <row r="152" spans="1:11" s="17" customFormat="1">
      <c r="A152" s="200"/>
      <c r="B152" s="201"/>
      <c r="C152" s="201"/>
      <c r="D152" s="198"/>
      <c r="E152" s="198"/>
      <c r="F152" s="198"/>
      <c r="G152" s="198"/>
      <c r="H152" s="200"/>
      <c r="I152" s="197"/>
      <c r="J152" s="200"/>
      <c r="K152" s="200"/>
    </row>
    <row r="153" spans="1:11" s="17" customFormat="1">
      <c r="A153" s="200"/>
      <c r="B153" s="201"/>
      <c r="C153" s="201"/>
      <c r="D153" s="198"/>
      <c r="E153" s="198"/>
      <c r="F153" s="198"/>
      <c r="G153" s="198"/>
      <c r="H153" s="200"/>
      <c r="I153" s="197"/>
      <c r="J153" s="200"/>
      <c r="K153" s="200"/>
    </row>
    <row r="154" spans="1:11" s="17" customFormat="1">
      <c r="A154" s="200"/>
      <c r="B154" s="201"/>
      <c r="C154" s="201"/>
      <c r="D154" s="198"/>
      <c r="E154" s="198"/>
      <c r="F154" s="198"/>
      <c r="G154" s="198"/>
      <c r="H154" s="200"/>
      <c r="I154" s="197"/>
      <c r="J154" s="200"/>
      <c r="K154" s="200"/>
    </row>
    <row r="155" spans="1:11" s="17" customFormat="1">
      <c r="A155" s="200"/>
      <c r="B155" s="201"/>
      <c r="C155" s="201"/>
      <c r="D155" s="198"/>
      <c r="E155" s="198"/>
      <c r="F155" s="198"/>
      <c r="G155" s="198"/>
      <c r="H155" s="200"/>
      <c r="I155" s="197"/>
      <c r="J155" s="200"/>
      <c r="K155" s="200"/>
    </row>
    <row r="156" spans="1:11" s="17" customFormat="1">
      <c r="A156" s="200"/>
      <c r="B156" s="201"/>
      <c r="C156" s="201"/>
      <c r="D156" s="198"/>
      <c r="E156" s="198"/>
      <c r="F156" s="198"/>
      <c r="G156" s="198"/>
      <c r="H156" s="200"/>
      <c r="I156" s="197"/>
      <c r="J156" s="200"/>
      <c r="K156" s="200"/>
    </row>
    <row r="157" spans="1:11" s="17" customFormat="1">
      <c r="A157" s="200"/>
      <c r="B157" s="201"/>
      <c r="C157" s="201"/>
      <c r="D157" s="198"/>
      <c r="E157" s="198"/>
      <c r="F157" s="198"/>
      <c r="G157" s="198"/>
      <c r="H157" s="200"/>
      <c r="I157" s="197"/>
      <c r="J157" s="200"/>
      <c r="K157" s="200"/>
    </row>
    <row r="158" spans="1:11" s="17" customFormat="1">
      <c r="A158" s="200"/>
      <c r="B158" s="201"/>
      <c r="C158" s="201"/>
      <c r="D158" s="198"/>
      <c r="E158" s="198"/>
      <c r="F158" s="198"/>
      <c r="G158" s="198"/>
      <c r="H158" s="200"/>
      <c r="I158" s="197"/>
      <c r="J158" s="200"/>
      <c r="K158" s="200"/>
    </row>
    <row r="159" spans="1:11" s="17" customFormat="1">
      <c r="A159" s="200"/>
      <c r="B159" s="201"/>
      <c r="C159" s="201"/>
      <c r="D159" s="198"/>
      <c r="E159" s="198"/>
      <c r="F159" s="198"/>
      <c r="G159" s="198"/>
      <c r="H159" s="200"/>
      <c r="I159" s="197"/>
      <c r="J159" s="200"/>
      <c r="K159" s="200"/>
    </row>
    <row r="160" spans="1:11" s="17" customFormat="1">
      <c r="A160" s="200"/>
      <c r="B160" s="201"/>
      <c r="C160" s="201"/>
      <c r="D160" s="198"/>
      <c r="E160" s="198"/>
      <c r="F160" s="198"/>
      <c r="G160" s="198"/>
      <c r="H160" s="200"/>
      <c r="I160" s="197"/>
      <c r="J160" s="200"/>
      <c r="K160" s="200"/>
    </row>
    <row r="161" spans="1:11" s="17" customFormat="1">
      <c r="A161" s="200"/>
      <c r="B161" s="201"/>
      <c r="C161" s="201"/>
      <c r="D161" s="198"/>
      <c r="E161" s="198"/>
      <c r="F161" s="198"/>
      <c r="G161" s="198"/>
      <c r="H161" s="200"/>
      <c r="I161" s="197"/>
      <c r="J161" s="200"/>
      <c r="K161" s="200"/>
    </row>
    <row r="162" spans="1:11" s="17" customFormat="1">
      <c r="A162" s="200"/>
      <c r="B162" s="201"/>
      <c r="C162" s="201"/>
      <c r="D162" s="198"/>
      <c r="E162" s="198"/>
      <c r="F162" s="198"/>
      <c r="G162" s="198"/>
      <c r="H162" s="200"/>
      <c r="I162" s="197"/>
      <c r="J162" s="200"/>
      <c r="K162" s="200"/>
    </row>
    <row r="163" spans="1:11" s="17" customFormat="1">
      <c r="A163" s="200"/>
      <c r="B163" s="201"/>
      <c r="C163" s="201"/>
      <c r="D163" s="198"/>
      <c r="E163" s="198"/>
      <c r="F163" s="198"/>
      <c r="G163" s="198"/>
      <c r="H163" s="200"/>
      <c r="I163" s="197"/>
      <c r="J163" s="200"/>
      <c r="K163" s="200"/>
    </row>
    <row r="164" spans="1:11" s="17" customFormat="1">
      <c r="A164" s="200"/>
      <c r="B164" s="201"/>
      <c r="C164" s="201"/>
      <c r="D164" s="198"/>
      <c r="E164" s="198"/>
      <c r="F164" s="198"/>
      <c r="G164" s="198"/>
      <c r="H164" s="200"/>
      <c r="I164" s="197"/>
      <c r="J164" s="200"/>
      <c r="K164" s="200"/>
    </row>
    <row r="165" spans="1:11" s="17" customFormat="1">
      <c r="A165" s="200"/>
      <c r="B165" s="201"/>
      <c r="C165" s="201"/>
      <c r="D165" s="198"/>
      <c r="E165" s="198"/>
      <c r="F165" s="198"/>
      <c r="G165" s="198"/>
      <c r="H165" s="200"/>
      <c r="I165" s="197"/>
      <c r="J165" s="200"/>
      <c r="K165" s="200"/>
    </row>
    <row r="166" spans="1:11" s="17" customFormat="1">
      <c r="A166" s="200"/>
      <c r="B166" s="201"/>
      <c r="C166" s="201"/>
      <c r="D166" s="198"/>
      <c r="E166" s="198"/>
      <c r="F166" s="198"/>
      <c r="G166" s="198"/>
      <c r="H166" s="200"/>
      <c r="I166" s="197"/>
      <c r="J166" s="200"/>
      <c r="K166" s="200"/>
    </row>
    <row r="167" spans="1:11" s="17" customFormat="1">
      <c r="A167" s="200"/>
      <c r="B167" s="201"/>
      <c r="C167" s="201"/>
      <c r="D167" s="198"/>
      <c r="E167" s="198"/>
      <c r="F167" s="198"/>
      <c r="G167" s="198"/>
      <c r="H167" s="200"/>
      <c r="I167" s="197"/>
      <c r="J167" s="200"/>
      <c r="K167" s="200"/>
    </row>
    <row r="168" spans="1:11" s="17" customFormat="1">
      <c r="A168" s="200"/>
      <c r="B168" s="201"/>
      <c r="C168" s="201"/>
      <c r="D168" s="198"/>
      <c r="E168" s="198"/>
      <c r="F168" s="198"/>
      <c r="G168" s="198"/>
      <c r="H168" s="200"/>
      <c r="I168" s="197"/>
      <c r="J168" s="200"/>
      <c r="K168" s="200"/>
    </row>
    <row r="169" spans="1:11" s="17" customFormat="1">
      <c r="A169" s="200"/>
      <c r="B169" s="201"/>
      <c r="C169" s="201"/>
      <c r="D169" s="198"/>
      <c r="E169" s="198"/>
      <c r="F169" s="198"/>
      <c r="G169" s="198"/>
      <c r="H169" s="200"/>
      <c r="I169" s="197"/>
      <c r="J169" s="200"/>
      <c r="K169" s="200"/>
    </row>
    <row r="170" spans="1:11" s="17" customFormat="1">
      <c r="A170" s="200"/>
      <c r="B170" s="201"/>
      <c r="C170" s="201"/>
      <c r="D170" s="198"/>
      <c r="E170" s="198"/>
      <c r="F170" s="198"/>
      <c r="G170" s="198"/>
      <c r="H170" s="200"/>
      <c r="I170" s="197"/>
      <c r="J170" s="200"/>
      <c r="K170" s="200"/>
    </row>
    <row r="171" spans="1:11" s="17" customFormat="1">
      <c r="A171" s="200"/>
      <c r="B171" s="201"/>
      <c r="C171" s="201"/>
      <c r="D171" s="198"/>
      <c r="E171" s="198"/>
      <c r="F171" s="198"/>
      <c r="G171" s="198"/>
      <c r="H171" s="200"/>
      <c r="I171" s="197"/>
      <c r="J171" s="200"/>
      <c r="K171" s="200"/>
    </row>
    <row r="172" spans="1:11" s="17" customFormat="1">
      <c r="A172" s="200"/>
      <c r="B172" s="201"/>
      <c r="C172" s="201"/>
      <c r="D172" s="198"/>
      <c r="E172" s="198"/>
      <c r="F172" s="198"/>
      <c r="G172" s="198"/>
      <c r="H172" s="200"/>
      <c r="I172" s="197"/>
      <c r="J172" s="200"/>
      <c r="K172" s="200"/>
    </row>
    <row r="173" spans="1:11" s="17" customFormat="1">
      <c r="A173" s="200"/>
      <c r="B173" s="201"/>
      <c r="C173" s="201"/>
      <c r="D173" s="198"/>
      <c r="E173" s="198"/>
      <c r="F173" s="198"/>
      <c r="G173" s="198"/>
      <c r="H173" s="200"/>
      <c r="I173" s="197"/>
      <c r="J173" s="200"/>
      <c r="K173" s="200"/>
    </row>
    <row r="174" spans="1:11" s="17" customFormat="1">
      <c r="A174" s="200"/>
      <c r="B174" s="201"/>
      <c r="C174" s="201"/>
      <c r="D174" s="198"/>
      <c r="E174" s="198"/>
      <c r="F174" s="198"/>
      <c r="G174" s="198"/>
      <c r="H174" s="200"/>
      <c r="I174" s="197"/>
      <c r="J174" s="200"/>
      <c r="K174" s="200"/>
    </row>
    <row r="175" spans="1:11" s="17" customFormat="1">
      <c r="A175" s="200"/>
      <c r="B175" s="201"/>
      <c r="C175" s="201"/>
      <c r="D175" s="198"/>
      <c r="E175" s="198"/>
      <c r="F175" s="198"/>
      <c r="G175" s="198"/>
      <c r="H175" s="200"/>
      <c r="I175" s="197"/>
      <c r="J175" s="200"/>
      <c r="K175" s="200"/>
    </row>
    <row r="176" spans="1:11" s="17" customFormat="1">
      <c r="A176" s="200"/>
      <c r="B176" s="201"/>
      <c r="C176" s="201"/>
      <c r="D176" s="198"/>
      <c r="E176" s="198"/>
      <c r="F176" s="198"/>
      <c r="G176" s="198"/>
      <c r="H176" s="200"/>
      <c r="I176" s="197"/>
      <c r="J176" s="200"/>
      <c r="K176" s="200"/>
    </row>
    <row r="177" spans="1:11" s="17" customFormat="1">
      <c r="A177" s="200"/>
      <c r="B177" s="201"/>
      <c r="C177" s="201"/>
      <c r="D177" s="198"/>
      <c r="E177" s="198"/>
      <c r="F177" s="198"/>
      <c r="G177" s="198"/>
      <c r="H177" s="200"/>
      <c r="I177" s="197"/>
      <c r="J177" s="200"/>
      <c r="K177" s="200"/>
    </row>
    <row r="178" spans="1:11" s="17" customFormat="1">
      <c r="A178" s="200"/>
      <c r="B178" s="201"/>
      <c r="C178" s="201"/>
      <c r="D178" s="198"/>
      <c r="E178" s="198"/>
      <c r="F178" s="198"/>
      <c r="G178" s="198"/>
      <c r="H178" s="200"/>
      <c r="I178" s="197"/>
      <c r="J178" s="200"/>
      <c r="K178" s="200"/>
    </row>
    <row r="179" spans="1:11" s="17" customFormat="1">
      <c r="A179" s="200"/>
      <c r="B179" s="201"/>
      <c r="C179" s="201"/>
      <c r="D179" s="198"/>
      <c r="E179" s="198"/>
      <c r="F179" s="198"/>
      <c r="G179" s="198"/>
      <c r="H179" s="200"/>
      <c r="I179" s="197"/>
      <c r="J179" s="200"/>
      <c r="K179" s="200"/>
    </row>
    <row r="180" spans="1:11" s="17" customFormat="1">
      <c r="A180" s="200"/>
      <c r="B180" s="201"/>
      <c r="C180" s="201"/>
      <c r="D180" s="198"/>
      <c r="E180" s="198"/>
      <c r="F180" s="198"/>
      <c r="G180" s="198"/>
      <c r="H180" s="200"/>
      <c r="I180" s="197"/>
      <c r="J180" s="200"/>
      <c r="K180" s="200"/>
    </row>
    <row r="181" spans="1:11" s="17" customFormat="1">
      <c r="A181" s="200"/>
      <c r="B181" s="201"/>
      <c r="C181" s="201"/>
      <c r="D181" s="198"/>
      <c r="E181" s="198"/>
      <c r="F181" s="198"/>
      <c r="G181" s="198"/>
      <c r="H181" s="200"/>
      <c r="I181" s="197"/>
      <c r="J181" s="200"/>
      <c r="K181" s="200"/>
    </row>
    <row r="182" spans="1:11" s="17" customFormat="1">
      <c r="A182" s="200"/>
      <c r="B182" s="201"/>
      <c r="C182" s="201"/>
      <c r="D182" s="198"/>
      <c r="E182" s="198"/>
      <c r="F182" s="198"/>
      <c r="G182" s="198"/>
      <c r="H182" s="200"/>
      <c r="I182" s="197"/>
      <c r="J182" s="200"/>
      <c r="K182" s="200"/>
    </row>
    <row r="183" spans="1:11" s="17" customFormat="1">
      <c r="A183" s="200"/>
      <c r="B183" s="201"/>
      <c r="C183" s="201"/>
      <c r="D183" s="198"/>
      <c r="E183" s="198"/>
      <c r="F183" s="198"/>
      <c r="G183" s="198"/>
      <c r="H183" s="200"/>
      <c r="I183" s="197"/>
      <c r="J183" s="200"/>
      <c r="K183" s="200"/>
    </row>
    <row r="184" spans="1:11" s="17" customFormat="1">
      <c r="A184" s="200"/>
      <c r="B184" s="201"/>
      <c r="C184" s="201"/>
      <c r="D184" s="198"/>
      <c r="E184" s="198"/>
      <c r="F184" s="198"/>
      <c r="G184" s="198"/>
      <c r="H184" s="200"/>
      <c r="I184" s="197"/>
      <c r="J184" s="200"/>
      <c r="K184" s="200"/>
    </row>
    <row r="185" spans="1:11" s="17" customFormat="1">
      <c r="A185" s="200"/>
      <c r="B185" s="201"/>
      <c r="C185" s="201"/>
      <c r="D185" s="198"/>
      <c r="E185" s="198"/>
      <c r="F185" s="198"/>
      <c r="G185" s="198"/>
      <c r="H185" s="200"/>
      <c r="I185" s="197"/>
      <c r="J185" s="200"/>
      <c r="K185" s="200"/>
    </row>
    <row r="186" spans="1:11" s="17" customFormat="1">
      <c r="A186" s="200"/>
      <c r="B186" s="201"/>
      <c r="C186" s="201"/>
      <c r="D186" s="198"/>
      <c r="E186" s="198"/>
      <c r="F186" s="198"/>
      <c r="G186" s="198"/>
      <c r="H186" s="200"/>
      <c r="I186" s="197"/>
      <c r="J186" s="200"/>
      <c r="K186" s="200"/>
    </row>
    <row r="187" spans="1:11" s="17" customFormat="1">
      <c r="A187" s="200"/>
      <c r="B187" s="201"/>
      <c r="C187" s="201"/>
      <c r="D187" s="198"/>
      <c r="E187" s="198"/>
      <c r="F187" s="198"/>
      <c r="G187" s="198"/>
      <c r="H187" s="200"/>
      <c r="I187" s="197"/>
      <c r="J187" s="200"/>
      <c r="K187" s="200"/>
    </row>
    <row r="188" spans="1:11" s="17" customFormat="1">
      <c r="A188" s="200"/>
      <c r="B188" s="201"/>
      <c r="C188" s="201"/>
      <c r="D188" s="198"/>
      <c r="E188" s="198"/>
      <c r="F188" s="198"/>
      <c r="G188" s="198"/>
      <c r="H188" s="200"/>
      <c r="I188" s="197"/>
      <c r="J188" s="200"/>
      <c r="K188" s="200"/>
    </row>
    <row r="189" spans="1:11" s="17" customFormat="1">
      <c r="A189" s="200"/>
      <c r="B189" s="201"/>
      <c r="C189" s="201"/>
      <c r="D189" s="198"/>
      <c r="E189" s="198"/>
      <c r="F189" s="198"/>
      <c r="G189" s="198"/>
      <c r="H189" s="200"/>
      <c r="I189" s="197"/>
      <c r="J189" s="200"/>
      <c r="K189" s="200"/>
    </row>
    <row r="190" spans="1:11" s="17" customFormat="1">
      <c r="A190" s="200"/>
      <c r="B190" s="201"/>
      <c r="C190" s="201"/>
      <c r="D190" s="198"/>
      <c r="E190" s="198"/>
      <c r="F190" s="198"/>
      <c r="G190" s="198"/>
      <c r="H190" s="200"/>
      <c r="I190" s="197"/>
      <c r="J190" s="200"/>
      <c r="K190" s="200"/>
    </row>
    <row r="191" spans="1:11" s="17" customFormat="1">
      <c r="A191" s="200"/>
      <c r="B191" s="201"/>
      <c r="C191" s="201"/>
      <c r="D191" s="198"/>
      <c r="E191" s="198"/>
      <c r="F191" s="198"/>
      <c r="G191" s="198"/>
      <c r="H191" s="200"/>
      <c r="I191" s="197"/>
      <c r="J191" s="200"/>
      <c r="K191" s="200"/>
    </row>
    <row r="192" spans="1:11" s="17" customFormat="1">
      <c r="A192" s="200"/>
      <c r="B192" s="201"/>
      <c r="C192" s="201"/>
      <c r="D192" s="198"/>
      <c r="E192" s="198"/>
      <c r="F192" s="198"/>
      <c r="G192" s="198"/>
      <c r="H192" s="200"/>
      <c r="I192" s="197"/>
      <c r="J192" s="200"/>
      <c r="K192" s="200"/>
    </row>
    <row r="193" spans="1:11" s="17" customFormat="1">
      <c r="A193" s="200"/>
      <c r="B193" s="201"/>
      <c r="C193" s="201"/>
      <c r="D193" s="198"/>
      <c r="E193" s="198"/>
      <c r="F193" s="198"/>
      <c r="G193" s="198"/>
      <c r="H193" s="200"/>
      <c r="I193" s="197"/>
      <c r="J193" s="200"/>
      <c r="K193" s="200"/>
    </row>
    <row r="194" spans="1:11" s="17" customFormat="1">
      <c r="A194" s="200"/>
      <c r="B194" s="201"/>
      <c r="C194" s="201"/>
      <c r="D194" s="198"/>
      <c r="E194" s="198"/>
      <c r="F194" s="198"/>
      <c r="G194" s="198"/>
      <c r="H194" s="200"/>
      <c r="I194" s="197"/>
      <c r="J194" s="200"/>
      <c r="K194" s="200"/>
    </row>
    <row r="195" spans="1:11" s="17" customFormat="1">
      <c r="A195" s="200"/>
      <c r="B195" s="201"/>
      <c r="C195" s="201"/>
      <c r="D195" s="198"/>
      <c r="E195" s="198"/>
      <c r="F195" s="198"/>
      <c r="G195" s="198"/>
      <c r="H195" s="200"/>
      <c r="I195" s="197"/>
      <c r="J195" s="200"/>
      <c r="K195" s="200"/>
    </row>
    <row r="196" spans="1:11" s="17" customFormat="1">
      <c r="A196" s="200"/>
      <c r="B196" s="201"/>
      <c r="C196" s="201"/>
      <c r="D196" s="198"/>
      <c r="E196" s="198"/>
      <c r="F196" s="198"/>
      <c r="G196" s="198"/>
      <c r="H196" s="200"/>
      <c r="I196" s="197"/>
      <c r="J196" s="200"/>
      <c r="K196" s="200"/>
    </row>
    <row r="197" spans="1:11" s="17" customFormat="1">
      <c r="A197" s="200"/>
      <c r="B197" s="201"/>
      <c r="C197" s="201"/>
      <c r="D197" s="198"/>
      <c r="E197" s="198"/>
      <c r="F197" s="198"/>
      <c r="G197" s="198"/>
      <c r="H197" s="200"/>
      <c r="I197" s="197"/>
      <c r="J197" s="200"/>
      <c r="K197" s="200"/>
    </row>
    <row r="198" spans="1:11" s="17" customFormat="1">
      <c r="A198" s="200"/>
      <c r="B198" s="201"/>
      <c r="C198" s="201"/>
      <c r="D198" s="198"/>
      <c r="E198" s="198"/>
      <c r="F198" s="198"/>
      <c r="G198" s="198"/>
      <c r="H198" s="200"/>
      <c r="I198" s="197"/>
      <c r="J198" s="200"/>
      <c r="K198" s="200"/>
    </row>
    <row r="199" spans="1:11" s="17" customFormat="1">
      <c r="A199" s="200"/>
      <c r="B199" s="201"/>
      <c r="C199" s="201"/>
      <c r="D199" s="198"/>
      <c r="E199" s="198"/>
      <c r="F199" s="198"/>
      <c r="G199" s="198"/>
      <c r="H199" s="200"/>
      <c r="I199" s="197"/>
      <c r="J199" s="200"/>
      <c r="K199" s="200"/>
    </row>
    <row r="200" spans="1:11" s="17" customFormat="1">
      <c r="A200" s="200"/>
      <c r="B200" s="201"/>
      <c r="C200" s="201"/>
      <c r="D200" s="198"/>
      <c r="E200" s="198"/>
      <c r="F200" s="198"/>
      <c r="G200" s="198"/>
      <c r="H200" s="200"/>
      <c r="I200" s="197"/>
      <c r="J200" s="200"/>
      <c r="K200" s="200"/>
    </row>
    <row r="201" spans="1:11" s="17" customFormat="1">
      <c r="A201" s="200"/>
      <c r="B201" s="201"/>
      <c r="C201" s="201"/>
      <c r="D201" s="198"/>
      <c r="E201" s="198"/>
      <c r="F201" s="198"/>
      <c r="G201" s="198"/>
      <c r="H201" s="200"/>
      <c r="I201" s="197"/>
      <c r="J201" s="200"/>
      <c r="K201" s="200"/>
    </row>
    <row r="202" spans="1:11" s="17" customFormat="1">
      <c r="A202" s="200"/>
      <c r="B202" s="201"/>
      <c r="C202" s="201"/>
      <c r="D202" s="198"/>
      <c r="E202" s="198"/>
      <c r="F202" s="198"/>
      <c r="G202" s="198"/>
      <c r="H202" s="200"/>
      <c r="I202" s="197"/>
      <c r="J202" s="200"/>
      <c r="K202" s="200"/>
    </row>
    <row r="203" spans="1:11" s="17" customFormat="1">
      <c r="A203" s="200"/>
      <c r="B203" s="201"/>
      <c r="C203" s="201"/>
      <c r="D203" s="198"/>
      <c r="E203" s="198"/>
      <c r="F203" s="198"/>
      <c r="G203" s="198"/>
      <c r="H203" s="200"/>
      <c r="I203" s="197"/>
      <c r="J203" s="200"/>
      <c r="K203" s="200"/>
    </row>
    <row r="204" spans="1:11" s="17" customFormat="1">
      <c r="A204" s="200"/>
      <c r="B204" s="201"/>
      <c r="C204" s="201"/>
      <c r="D204" s="198"/>
      <c r="E204" s="198"/>
      <c r="F204" s="198"/>
      <c r="G204" s="198"/>
      <c r="H204" s="200"/>
      <c r="I204" s="197"/>
      <c r="J204" s="200"/>
      <c r="K204" s="200"/>
    </row>
    <row r="205" spans="1:11" s="17" customFormat="1">
      <c r="A205" s="200"/>
      <c r="B205" s="201"/>
      <c r="C205" s="201"/>
      <c r="D205" s="198"/>
      <c r="E205" s="198"/>
      <c r="F205" s="198"/>
      <c r="G205" s="198"/>
      <c r="H205" s="200"/>
      <c r="I205" s="197"/>
      <c r="J205" s="200"/>
      <c r="K205" s="200"/>
    </row>
    <row r="206" spans="1:11" s="17" customFormat="1">
      <c r="A206" s="200"/>
      <c r="B206" s="201"/>
      <c r="C206" s="201"/>
      <c r="D206" s="198"/>
      <c r="E206" s="198"/>
      <c r="F206" s="198"/>
      <c r="G206" s="198"/>
      <c r="H206" s="200"/>
      <c r="I206" s="197"/>
      <c r="J206" s="200"/>
      <c r="K206" s="200"/>
    </row>
    <row r="207" spans="1:11" s="17" customFormat="1">
      <c r="A207" s="200"/>
      <c r="B207" s="201"/>
      <c r="C207" s="201"/>
      <c r="D207" s="198"/>
      <c r="E207" s="198"/>
      <c r="F207" s="198"/>
      <c r="G207" s="198"/>
      <c r="H207" s="200"/>
      <c r="I207" s="197"/>
      <c r="J207" s="200"/>
      <c r="K207" s="200"/>
    </row>
    <row r="208" spans="1:11" s="17" customFormat="1">
      <c r="A208" s="200"/>
      <c r="B208" s="201"/>
      <c r="C208" s="201"/>
      <c r="D208" s="198"/>
      <c r="E208" s="198"/>
      <c r="F208" s="198"/>
      <c r="G208" s="198"/>
      <c r="H208" s="200"/>
      <c r="I208" s="197"/>
      <c r="J208" s="200"/>
      <c r="K208" s="200"/>
    </row>
    <row r="209" spans="1:11" s="17" customFormat="1">
      <c r="A209" s="200"/>
      <c r="B209" s="201"/>
      <c r="C209" s="201"/>
      <c r="D209" s="198"/>
      <c r="E209" s="198"/>
      <c r="F209" s="198"/>
      <c r="G209" s="198"/>
      <c r="H209" s="200"/>
      <c r="I209" s="197"/>
      <c r="J209" s="200"/>
      <c r="K209" s="200"/>
    </row>
    <row r="210" spans="1:11" s="17" customFormat="1">
      <c r="A210" s="200"/>
      <c r="B210" s="201"/>
      <c r="C210" s="201"/>
      <c r="D210" s="198"/>
      <c r="E210" s="198"/>
      <c r="F210" s="198"/>
      <c r="G210" s="198"/>
      <c r="H210" s="200"/>
      <c r="I210" s="197"/>
      <c r="J210" s="200"/>
      <c r="K210" s="200"/>
    </row>
    <row r="211" spans="1:11" s="17" customFormat="1">
      <c r="A211" s="200"/>
      <c r="B211" s="201"/>
      <c r="C211" s="201"/>
      <c r="D211" s="198"/>
      <c r="E211" s="198"/>
      <c r="F211" s="198"/>
      <c r="G211" s="198"/>
      <c r="H211" s="200"/>
      <c r="I211" s="197"/>
      <c r="J211" s="200"/>
      <c r="K211" s="200"/>
    </row>
    <row r="212" spans="1:11" s="17" customFormat="1">
      <c r="A212" s="200"/>
      <c r="B212" s="201"/>
      <c r="C212" s="201"/>
      <c r="D212" s="198"/>
      <c r="E212" s="198"/>
      <c r="F212" s="198"/>
      <c r="G212" s="198"/>
      <c r="H212" s="200"/>
      <c r="I212" s="197"/>
      <c r="J212" s="200"/>
      <c r="K212" s="200"/>
    </row>
    <row r="213" spans="1:11" s="17" customFormat="1">
      <c r="A213" s="200"/>
      <c r="B213" s="201"/>
      <c r="C213" s="201"/>
      <c r="D213" s="198"/>
      <c r="E213" s="198"/>
      <c r="F213" s="198"/>
      <c r="G213" s="198"/>
      <c r="H213" s="200"/>
      <c r="I213" s="197"/>
      <c r="J213" s="200"/>
      <c r="K213" s="200"/>
    </row>
    <row r="214" spans="1:11" s="17" customFormat="1">
      <c r="A214" s="200"/>
      <c r="B214" s="201"/>
      <c r="C214" s="201"/>
      <c r="D214" s="198"/>
      <c r="E214" s="198"/>
      <c r="F214" s="198"/>
      <c r="G214" s="198"/>
      <c r="H214" s="200"/>
      <c r="I214" s="197"/>
      <c r="J214" s="200"/>
      <c r="K214" s="200"/>
    </row>
    <row r="215" spans="1:11" s="17" customFormat="1">
      <c r="A215" s="200"/>
      <c r="B215" s="201"/>
      <c r="C215" s="201"/>
      <c r="D215" s="198"/>
      <c r="E215" s="198"/>
      <c r="F215" s="198"/>
      <c r="G215" s="198"/>
      <c r="H215" s="200"/>
      <c r="I215" s="197"/>
      <c r="J215" s="200"/>
      <c r="K215" s="200"/>
    </row>
    <row r="216" spans="1:11" s="17" customFormat="1">
      <c r="A216" s="200"/>
      <c r="B216" s="201"/>
      <c r="C216" s="201"/>
      <c r="D216" s="198"/>
      <c r="E216" s="198"/>
      <c r="F216" s="198"/>
      <c r="G216" s="198"/>
      <c r="H216" s="200"/>
      <c r="I216" s="197"/>
      <c r="J216" s="200"/>
      <c r="K216" s="200"/>
    </row>
    <row r="217" spans="1:11" s="17" customFormat="1">
      <c r="A217" s="200"/>
      <c r="B217" s="201"/>
      <c r="C217" s="201"/>
      <c r="D217" s="198"/>
      <c r="E217" s="198"/>
      <c r="F217" s="198"/>
      <c r="G217" s="198"/>
      <c r="H217" s="200"/>
      <c r="I217" s="197"/>
      <c r="J217" s="200"/>
      <c r="K217" s="200"/>
    </row>
    <row r="218" spans="1:11" s="17" customFormat="1">
      <c r="A218" s="200"/>
      <c r="B218" s="201"/>
      <c r="C218" s="201"/>
      <c r="D218" s="198"/>
      <c r="E218" s="198"/>
      <c r="F218" s="198"/>
      <c r="G218" s="198"/>
      <c r="H218" s="200"/>
      <c r="I218" s="197"/>
      <c r="J218" s="200"/>
      <c r="K218" s="200"/>
    </row>
    <row r="219" spans="1:11" s="17" customFormat="1">
      <c r="A219" s="200"/>
      <c r="B219" s="201"/>
      <c r="C219" s="201"/>
      <c r="D219" s="198"/>
      <c r="E219" s="198"/>
      <c r="F219" s="198"/>
      <c r="G219" s="198"/>
      <c r="H219" s="200"/>
      <c r="I219" s="197"/>
      <c r="J219" s="200"/>
      <c r="K219" s="200"/>
    </row>
    <row r="220" spans="1:11" s="17" customFormat="1">
      <c r="A220" s="200"/>
      <c r="B220" s="201"/>
      <c r="C220" s="201"/>
      <c r="D220" s="198"/>
      <c r="E220" s="198"/>
      <c r="F220" s="198"/>
      <c r="G220" s="198"/>
      <c r="H220" s="200"/>
      <c r="I220" s="197"/>
      <c r="J220" s="200"/>
      <c r="K220" s="200"/>
    </row>
    <row r="221" spans="1:11" s="17" customFormat="1">
      <c r="A221" s="200"/>
      <c r="B221" s="201"/>
      <c r="C221" s="201"/>
      <c r="D221" s="198"/>
      <c r="E221" s="198"/>
      <c r="F221" s="198"/>
      <c r="G221" s="198"/>
      <c r="H221" s="200"/>
      <c r="I221" s="197"/>
      <c r="J221" s="200"/>
      <c r="K221" s="200"/>
    </row>
    <row r="222" spans="1:11" s="17" customFormat="1">
      <c r="A222" s="200"/>
      <c r="B222" s="201"/>
      <c r="C222" s="201"/>
      <c r="D222" s="198"/>
      <c r="E222" s="198"/>
      <c r="F222" s="198"/>
      <c r="G222" s="198"/>
      <c r="H222" s="200"/>
      <c r="I222" s="197"/>
      <c r="J222" s="200"/>
      <c r="K222" s="200"/>
    </row>
    <row r="223" spans="1:11" s="17" customFormat="1">
      <c r="A223" s="200"/>
      <c r="B223" s="201"/>
      <c r="C223" s="201"/>
      <c r="D223" s="198"/>
      <c r="E223" s="198"/>
      <c r="F223" s="198"/>
      <c r="G223" s="198"/>
      <c r="H223" s="200"/>
      <c r="I223" s="197"/>
      <c r="J223" s="200"/>
      <c r="K223" s="200"/>
    </row>
    <row r="224" spans="1:11" s="17" customFormat="1">
      <c r="A224" s="200"/>
      <c r="B224" s="201"/>
      <c r="C224" s="201"/>
      <c r="D224" s="198"/>
      <c r="E224" s="198"/>
      <c r="F224" s="198"/>
      <c r="G224" s="198"/>
      <c r="H224" s="200"/>
      <c r="I224" s="197"/>
      <c r="J224" s="200"/>
      <c r="K224" s="200"/>
    </row>
    <row r="225" spans="1:11" s="17" customFormat="1">
      <c r="A225" s="200"/>
      <c r="B225" s="201"/>
      <c r="C225" s="201"/>
      <c r="D225" s="198"/>
      <c r="E225" s="198"/>
      <c r="F225" s="198"/>
      <c r="G225" s="198"/>
      <c r="H225" s="200"/>
      <c r="I225" s="197"/>
      <c r="J225" s="200"/>
      <c r="K225" s="200"/>
    </row>
    <row r="226" spans="1:11" s="17" customFormat="1">
      <c r="A226" s="200"/>
      <c r="B226" s="201"/>
      <c r="C226" s="201"/>
      <c r="D226" s="198"/>
      <c r="E226" s="198"/>
      <c r="F226" s="198"/>
      <c r="G226" s="198"/>
      <c r="H226" s="200"/>
      <c r="I226" s="197"/>
      <c r="J226" s="200"/>
      <c r="K226" s="200"/>
    </row>
    <row r="227" spans="1:11" s="17" customFormat="1">
      <c r="A227" s="200"/>
      <c r="B227" s="201"/>
      <c r="C227" s="201"/>
      <c r="D227" s="198"/>
      <c r="E227" s="198"/>
      <c r="F227" s="198"/>
      <c r="G227" s="198"/>
      <c r="H227" s="200"/>
      <c r="I227" s="197"/>
      <c r="J227" s="200"/>
      <c r="K227" s="200"/>
    </row>
    <row r="228" spans="1:11" s="17" customFormat="1">
      <c r="A228" s="200"/>
      <c r="B228" s="201"/>
      <c r="C228" s="201"/>
      <c r="D228" s="198"/>
      <c r="E228" s="198"/>
      <c r="F228" s="198"/>
      <c r="G228" s="198"/>
      <c r="H228" s="200"/>
      <c r="I228" s="197"/>
      <c r="J228" s="200"/>
      <c r="K228" s="200"/>
    </row>
    <row r="229" spans="1:11" s="17" customFormat="1">
      <c r="A229" s="200"/>
      <c r="B229" s="201"/>
      <c r="C229" s="201"/>
      <c r="D229" s="198"/>
      <c r="E229" s="198"/>
      <c r="F229" s="198"/>
      <c r="G229" s="198"/>
      <c r="H229" s="200"/>
      <c r="I229" s="197"/>
      <c r="J229" s="200"/>
      <c r="K229" s="200"/>
    </row>
    <row r="230" spans="1:11" s="17" customFormat="1">
      <c r="A230" s="200"/>
      <c r="B230" s="201"/>
      <c r="C230" s="201"/>
      <c r="D230" s="198"/>
      <c r="E230" s="198"/>
      <c r="F230" s="198"/>
      <c r="G230" s="198"/>
      <c r="H230" s="200"/>
      <c r="I230" s="197"/>
      <c r="J230" s="200"/>
      <c r="K230" s="200"/>
    </row>
    <row r="231" spans="1:11" s="17" customFormat="1">
      <c r="A231" s="200"/>
      <c r="B231" s="201"/>
      <c r="C231" s="201"/>
      <c r="D231" s="198"/>
      <c r="E231" s="198"/>
      <c r="F231" s="198"/>
      <c r="G231" s="198"/>
      <c r="H231" s="200"/>
      <c r="I231" s="197"/>
      <c r="J231" s="200"/>
      <c r="K231" s="200"/>
    </row>
    <row r="232" spans="1:11" s="17" customFormat="1">
      <c r="A232" s="200"/>
      <c r="B232" s="201"/>
      <c r="C232" s="201"/>
      <c r="D232" s="198"/>
      <c r="E232" s="198"/>
      <c r="F232" s="198"/>
      <c r="G232" s="198"/>
      <c r="H232" s="200"/>
      <c r="I232" s="197"/>
      <c r="J232" s="200"/>
      <c r="K232" s="200"/>
    </row>
    <row r="233" spans="1:11" s="17" customFormat="1">
      <c r="A233" s="200"/>
      <c r="B233" s="201"/>
      <c r="C233" s="201"/>
      <c r="D233" s="198"/>
      <c r="E233" s="198"/>
      <c r="F233" s="198"/>
      <c r="G233" s="198"/>
      <c r="H233" s="200"/>
      <c r="I233" s="197"/>
      <c r="J233" s="200"/>
      <c r="K233" s="200"/>
    </row>
    <row r="234" spans="1:11" s="17" customFormat="1">
      <c r="A234" s="200"/>
      <c r="B234" s="201"/>
      <c r="C234" s="201"/>
      <c r="D234" s="198"/>
      <c r="E234" s="198"/>
      <c r="F234" s="198"/>
      <c r="G234" s="198"/>
      <c r="H234" s="200"/>
      <c r="I234" s="197"/>
      <c r="J234" s="200"/>
      <c r="K234" s="200"/>
    </row>
    <row r="235" spans="1:11" s="17" customFormat="1">
      <c r="A235" s="200"/>
      <c r="B235" s="201"/>
      <c r="C235" s="201"/>
      <c r="D235" s="198"/>
      <c r="E235" s="198"/>
      <c r="F235" s="198"/>
      <c r="G235" s="198"/>
      <c r="H235" s="200"/>
      <c r="I235" s="197"/>
      <c r="J235" s="200"/>
      <c r="K235" s="200"/>
    </row>
    <row r="236" spans="1:11" s="17" customFormat="1">
      <c r="A236" s="200"/>
      <c r="B236" s="201"/>
      <c r="C236" s="201"/>
      <c r="D236" s="198"/>
      <c r="E236" s="198"/>
      <c r="F236" s="198"/>
      <c r="G236" s="198"/>
      <c r="H236" s="200"/>
      <c r="I236" s="197"/>
      <c r="J236" s="200"/>
      <c r="K236" s="200"/>
    </row>
    <row r="237" spans="1:11" s="17" customFormat="1">
      <c r="A237" s="200"/>
      <c r="B237" s="201"/>
      <c r="C237" s="201"/>
      <c r="D237" s="198"/>
      <c r="E237" s="198"/>
      <c r="F237" s="198"/>
      <c r="G237" s="198"/>
      <c r="H237" s="200"/>
      <c r="I237" s="197"/>
      <c r="J237" s="200"/>
      <c r="K237" s="200"/>
    </row>
    <row r="238" spans="1:11" s="17" customFormat="1">
      <c r="A238" s="200"/>
      <c r="B238" s="201"/>
      <c r="C238" s="201"/>
      <c r="D238" s="198"/>
      <c r="E238" s="198"/>
      <c r="F238" s="198"/>
      <c r="G238" s="198"/>
      <c r="H238" s="200"/>
      <c r="I238" s="197"/>
      <c r="J238" s="200"/>
      <c r="K238" s="200"/>
    </row>
    <row r="239" spans="1:11" s="17" customFormat="1">
      <c r="A239" s="200"/>
      <c r="B239" s="201"/>
      <c r="C239" s="201"/>
      <c r="D239" s="198"/>
      <c r="E239" s="198"/>
      <c r="F239" s="198"/>
      <c r="G239" s="198"/>
      <c r="H239" s="200"/>
      <c r="I239" s="197"/>
      <c r="J239" s="200"/>
      <c r="K239" s="200"/>
    </row>
    <row r="240" spans="1:11" s="17" customFormat="1">
      <c r="A240" s="200"/>
      <c r="B240" s="201"/>
      <c r="C240" s="201"/>
      <c r="D240" s="198"/>
      <c r="E240" s="198"/>
      <c r="F240" s="198"/>
      <c r="G240" s="198"/>
      <c r="H240" s="200"/>
      <c r="I240" s="197"/>
      <c r="J240" s="200"/>
      <c r="K240" s="200"/>
    </row>
    <row r="241" spans="1:11" s="17" customFormat="1">
      <c r="A241" s="200"/>
      <c r="B241" s="201"/>
      <c r="C241" s="201"/>
      <c r="D241" s="198"/>
      <c r="E241" s="198"/>
      <c r="F241" s="198"/>
      <c r="G241" s="198"/>
      <c r="H241" s="200"/>
      <c r="I241" s="197"/>
      <c r="J241" s="200"/>
      <c r="K241" s="200"/>
    </row>
    <row r="242" spans="1:11" s="17" customFormat="1">
      <c r="A242" s="200"/>
      <c r="B242" s="201"/>
      <c r="C242" s="201"/>
      <c r="D242" s="198"/>
      <c r="E242" s="198"/>
      <c r="F242" s="198"/>
      <c r="G242" s="198"/>
      <c r="H242" s="200"/>
      <c r="I242" s="197"/>
      <c r="J242" s="200"/>
      <c r="K242" s="200"/>
    </row>
    <row r="243" spans="1:11" s="17" customFormat="1">
      <c r="A243" s="200"/>
      <c r="B243" s="201"/>
      <c r="C243" s="201"/>
      <c r="D243" s="198"/>
      <c r="E243" s="198"/>
      <c r="F243" s="198"/>
      <c r="G243" s="198"/>
      <c r="H243" s="200"/>
      <c r="I243" s="197"/>
      <c r="J243" s="200"/>
      <c r="K243" s="200"/>
    </row>
    <row r="244" spans="1:11" s="17" customFormat="1">
      <c r="A244" s="200"/>
      <c r="B244" s="201"/>
      <c r="C244" s="201"/>
      <c r="D244" s="198"/>
      <c r="E244" s="198"/>
      <c r="F244" s="198"/>
      <c r="G244" s="198"/>
      <c r="H244" s="200"/>
      <c r="I244" s="197"/>
      <c r="J244" s="200"/>
      <c r="K244" s="200"/>
    </row>
    <row r="245" spans="1:11" s="17" customFormat="1">
      <c r="A245" s="200"/>
      <c r="B245" s="201"/>
      <c r="C245" s="201"/>
      <c r="D245" s="198"/>
      <c r="E245" s="198"/>
      <c r="F245" s="198"/>
      <c r="G245" s="198"/>
      <c r="H245" s="200"/>
      <c r="I245" s="197"/>
      <c r="J245" s="200"/>
      <c r="K245" s="200"/>
    </row>
    <row r="246" spans="1:11" s="17" customFormat="1">
      <c r="A246" s="200"/>
      <c r="B246" s="201"/>
      <c r="C246" s="201"/>
      <c r="D246" s="198"/>
      <c r="E246" s="198"/>
      <c r="F246" s="198"/>
      <c r="G246" s="198"/>
      <c r="H246" s="200"/>
      <c r="I246" s="197"/>
      <c r="J246" s="200"/>
      <c r="K246" s="200"/>
    </row>
    <row r="247" spans="1:11" s="17" customFormat="1">
      <c r="A247" s="200"/>
      <c r="B247" s="201"/>
      <c r="C247" s="201"/>
      <c r="D247" s="198"/>
      <c r="E247" s="198"/>
      <c r="F247" s="198"/>
      <c r="G247" s="198"/>
      <c r="H247" s="200"/>
      <c r="I247" s="197"/>
      <c r="J247" s="200"/>
      <c r="K247" s="200"/>
    </row>
    <row r="248" spans="1:11" s="17" customFormat="1">
      <c r="A248" s="200"/>
      <c r="B248" s="201"/>
      <c r="C248" s="201"/>
      <c r="D248" s="198"/>
      <c r="E248" s="198"/>
      <c r="F248" s="198"/>
      <c r="G248" s="198"/>
      <c r="H248" s="200"/>
      <c r="I248" s="197"/>
      <c r="J248" s="200"/>
      <c r="K248" s="200"/>
    </row>
    <row r="249" spans="1:11" s="17" customFormat="1">
      <c r="A249" s="200"/>
      <c r="B249" s="201"/>
      <c r="C249" s="201"/>
      <c r="D249" s="198"/>
      <c r="E249" s="198"/>
      <c r="F249" s="198"/>
      <c r="G249" s="198"/>
      <c r="H249" s="200"/>
      <c r="I249" s="197"/>
      <c r="J249" s="200"/>
      <c r="K249" s="200"/>
    </row>
    <row r="250" spans="1:11" s="17" customFormat="1">
      <c r="A250" s="200"/>
      <c r="B250" s="201"/>
      <c r="C250" s="201"/>
      <c r="D250" s="198"/>
      <c r="E250" s="198"/>
      <c r="F250" s="198"/>
      <c r="G250" s="198"/>
      <c r="H250" s="200"/>
      <c r="I250" s="197"/>
      <c r="J250" s="200"/>
      <c r="K250" s="200"/>
    </row>
    <row r="251" spans="1:11" s="17" customFormat="1">
      <c r="A251" s="200"/>
      <c r="B251" s="201"/>
      <c r="C251" s="201"/>
      <c r="D251" s="198"/>
      <c r="E251" s="198"/>
      <c r="F251" s="198"/>
      <c r="G251" s="198"/>
      <c r="H251" s="200"/>
      <c r="I251" s="197"/>
      <c r="J251" s="200"/>
      <c r="K251" s="200"/>
    </row>
    <row r="252" spans="1:11" s="17" customFormat="1">
      <c r="A252" s="200"/>
      <c r="B252" s="201"/>
      <c r="C252" s="201"/>
      <c r="D252" s="198"/>
      <c r="E252" s="198"/>
      <c r="F252" s="198"/>
      <c r="G252" s="198"/>
      <c r="H252" s="200"/>
      <c r="I252" s="197"/>
      <c r="J252" s="200"/>
      <c r="K252" s="200"/>
    </row>
    <row r="253" spans="1:11" s="17" customFormat="1">
      <c r="A253" s="200"/>
      <c r="B253" s="201"/>
      <c r="C253" s="201"/>
      <c r="D253" s="198"/>
      <c r="E253" s="198"/>
      <c r="F253" s="198"/>
      <c r="G253" s="198"/>
      <c r="H253" s="200"/>
      <c r="I253" s="197"/>
      <c r="J253" s="200"/>
      <c r="K253" s="200"/>
    </row>
    <row r="254" spans="1:11" s="17" customFormat="1">
      <c r="A254" s="200"/>
      <c r="B254" s="201"/>
      <c r="C254" s="201"/>
      <c r="D254" s="198"/>
      <c r="E254" s="198"/>
      <c r="F254" s="198"/>
      <c r="G254" s="198"/>
      <c r="H254" s="200"/>
      <c r="I254" s="197"/>
      <c r="J254" s="200"/>
      <c r="K254" s="200"/>
    </row>
    <row r="255" spans="1:11" s="17" customFormat="1">
      <c r="A255" s="200"/>
      <c r="B255" s="201"/>
      <c r="C255" s="201"/>
      <c r="D255" s="198"/>
      <c r="E255" s="198"/>
      <c r="F255" s="198"/>
      <c r="G255" s="198"/>
      <c r="H255" s="200"/>
      <c r="I255" s="197"/>
      <c r="J255" s="200"/>
      <c r="K255" s="200"/>
    </row>
    <row r="256" spans="1:11" s="17" customFormat="1">
      <c r="A256" s="200"/>
      <c r="B256" s="201"/>
      <c r="C256" s="201"/>
      <c r="D256" s="198"/>
      <c r="E256" s="198"/>
      <c r="F256" s="198"/>
      <c r="G256" s="198"/>
      <c r="H256" s="200"/>
      <c r="I256" s="197"/>
      <c r="J256" s="200"/>
      <c r="K256" s="200"/>
    </row>
    <row r="257" spans="1:11" s="17" customFormat="1">
      <c r="A257" s="200"/>
      <c r="B257" s="201"/>
      <c r="C257" s="201"/>
      <c r="D257" s="198"/>
      <c r="E257" s="198"/>
      <c r="F257" s="198"/>
      <c r="G257" s="198"/>
      <c r="H257" s="200"/>
      <c r="I257" s="197"/>
      <c r="J257" s="200"/>
      <c r="K257" s="200"/>
    </row>
    <row r="258" spans="1:11" s="17" customFormat="1">
      <c r="A258" s="200"/>
      <c r="B258" s="201"/>
      <c r="C258" s="201"/>
      <c r="D258" s="198"/>
      <c r="E258" s="198"/>
      <c r="F258" s="198"/>
      <c r="G258" s="198"/>
      <c r="H258" s="200"/>
      <c r="I258" s="197"/>
      <c r="J258" s="200"/>
      <c r="K258" s="200"/>
    </row>
    <row r="259" spans="1:11" s="17" customFormat="1">
      <c r="A259" s="200"/>
      <c r="B259" s="201"/>
      <c r="C259" s="201"/>
      <c r="D259" s="198"/>
      <c r="E259" s="198"/>
      <c r="F259" s="198"/>
      <c r="G259" s="198"/>
      <c r="H259" s="200"/>
      <c r="I259" s="197"/>
      <c r="J259" s="200"/>
      <c r="K259" s="200"/>
    </row>
    <row r="260" spans="1:11" s="17" customFormat="1">
      <c r="A260" s="200"/>
      <c r="B260" s="201"/>
      <c r="C260" s="201"/>
      <c r="D260" s="198"/>
      <c r="E260" s="198"/>
      <c r="F260" s="198"/>
      <c r="G260" s="198"/>
      <c r="H260" s="200"/>
      <c r="I260" s="197"/>
      <c r="J260" s="200"/>
      <c r="K260" s="200"/>
    </row>
    <row r="261" spans="1:11" s="17" customFormat="1">
      <c r="A261" s="200"/>
      <c r="B261" s="201"/>
      <c r="C261" s="201"/>
      <c r="D261" s="198"/>
      <c r="E261" s="198"/>
      <c r="F261" s="198"/>
      <c r="G261" s="198"/>
      <c r="H261" s="200"/>
      <c r="I261" s="197"/>
      <c r="J261" s="200"/>
      <c r="K261" s="200"/>
    </row>
    <row r="262" spans="1:11" s="17" customFormat="1">
      <c r="A262" s="200"/>
      <c r="B262" s="201"/>
      <c r="C262" s="201"/>
      <c r="D262" s="198"/>
      <c r="E262" s="198"/>
      <c r="F262" s="198"/>
      <c r="G262" s="198"/>
      <c r="H262" s="200"/>
      <c r="I262" s="197"/>
      <c r="J262" s="200"/>
      <c r="K262" s="200"/>
    </row>
    <row r="263" spans="1:11" s="17" customFormat="1">
      <c r="A263" s="200"/>
      <c r="B263" s="201"/>
      <c r="C263" s="201"/>
      <c r="D263" s="198"/>
      <c r="E263" s="198"/>
      <c r="F263" s="198"/>
      <c r="G263" s="198"/>
      <c r="H263" s="200"/>
      <c r="I263" s="197"/>
      <c r="J263" s="200"/>
      <c r="K263" s="200"/>
    </row>
    <row r="264" spans="1:11" s="17" customFormat="1">
      <c r="A264" s="200"/>
      <c r="B264" s="201"/>
      <c r="C264" s="201"/>
      <c r="D264" s="198"/>
      <c r="E264" s="198"/>
      <c r="F264" s="198"/>
      <c r="G264" s="198"/>
      <c r="H264" s="200"/>
      <c r="I264" s="197"/>
      <c r="J264" s="200"/>
      <c r="K264" s="200"/>
    </row>
    <row r="265" spans="1:11" s="17" customFormat="1">
      <c r="A265" s="200"/>
      <c r="B265" s="201"/>
      <c r="C265" s="201"/>
      <c r="D265" s="198"/>
      <c r="E265" s="198"/>
      <c r="F265" s="198"/>
      <c r="G265" s="198"/>
      <c r="H265" s="200"/>
      <c r="I265" s="197"/>
      <c r="J265" s="200"/>
      <c r="K265" s="200"/>
    </row>
    <row r="266" spans="1:11" s="17" customFormat="1">
      <c r="A266" s="200"/>
      <c r="B266" s="201"/>
      <c r="C266" s="201"/>
      <c r="D266" s="198"/>
      <c r="E266" s="198"/>
      <c r="F266" s="198"/>
      <c r="G266" s="198"/>
      <c r="H266" s="200"/>
      <c r="I266" s="197"/>
      <c r="J266" s="200"/>
      <c r="K266" s="200"/>
    </row>
    <row r="267" spans="1:11" s="17" customFormat="1">
      <c r="A267" s="200"/>
      <c r="B267" s="201"/>
      <c r="C267" s="201"/>
      <c r="D267" s="198"/>
      <c r="E267" s="198"/>
      <c r="F267" s="198"/>
      <c r="G267" s="198"/>
      <c r="H267" s="200"/>
      <c r="I267" s="197"/>
      <c r="J267" s="200"/>
      <c r="K267" s="200"/>
    </row>
    <row r="268" spans="1:11" s="17" customFormat="1">
      <c r="A268" s="200"/>
      <c r="B268" s="201"/>
      <c r="C268" s="201"/>
      <c r="D268" s="198"/>
      <c r="E268" s="198"/>
      <c r="F268" s="198"/>
      <c r="G268" s="198"/>
      <c r="H268" s="200"/>
      <c r="I268" s="197"/>
      <c r="J268" s="200"/>
      <c r="K268" s="200"/>
    </row>
    <row r="269" spans="1:11" s="17" customFormat="1">
      <c r="A269" s="200"/>
      <c r="B269" s="201"/>
      <c r="C269" s="201"/>
      <c r="D269" s="198"/>
      <c r="E269" s="198"/>
      <c r="F269" s="198"/>
      <c r="G269" s="198"/>
      <c r="H269" s="200"/>
      <c r="I269" s="197"/>
      <c r="J269" s="200"/>
      <c r="K269" s="200"/>
    </row>
    <row r="270" spans="1:11" s="17" customFormat="1">
      <c r="A270" s="200"/>
      <c r="B270" s="201"/>
      <c r="C270" s="201"/>
      <c r="D270" s="198"/>
      <c r="E270" s="198"/>
      <c r="F270" s="198"/>
      <c r="G270" s="198"/>
      <c r="H270" s="200"/>
      <c r="I270" s="197"/>
      <c r="J270" s="200"/>
      <c r="K270" s="200"/>
    </row>
    <row r="271" spans="1:11" s="17" customFormat="1">
      <c r="A271" s="200"/>
      <c r="B271" s="201"/>
      <c r="C271" s="201"/>
      <c r="D271" s="198"/>
      <c r="E271" s="198"/>
      <c r="F271" s="198"/>
      <c r="G271" s="198"/>
      <c r="H271" s="200"/>
      <c r="I271" s="197"/>
      <c r="J271" s="200"/>
      <c r="K271" s="200"/>
    </row>
    <row r="272" spans="1:11" s="17" customFormat="1">
      <c r="A272" s="200"/>
      <c r="B272" s="201"/>
      <c r="C272" s="201"/>
      <c r="D272" s="198"/>
      <c r="E272" s="198"/>
      <c r="F272" s="198"/>
      <c r="G272" s="198"/>
      <c r="H272" s="200"/>
      <c r="I272" s="197"/>
      <c r="J272" s="200"/>
      <c r="K272" s="200"/>
    </row>
    <row r="273" spans="1:11" s="17" customFormat="1">
      <c r="A273" s="200"/>
      <c r="B273" s="201"/>
      <c r="C273" s="201"/>
      <c r="D273" s="198"/>
      <c r="E273" s="198"/>
      <c r="F273" s="198"/>
      <c r="G273" s="198"/>
      <c r="H273" s="200"/>
      <c r="I273" s="197"/>
      <c r="J273" s="200"/>
      <c r="K273" s="200"/>
    </row>
    <row r="274" spans="1:11" s="17" customFormat="1">
      <c r="A274" s="200"/>
      <c r="B274" s="201"/>
      <c r="C274" s="201"/>
      <c r="D274" s="198"/>
      <c r="E274" s="198"/>
      <c r="F274" s="198"/>
      <c r="G274" s="198"/>
      <c r="H274" s="200"/>
      <c r="I274" s="197"/>
      <c r="J274" s="200"/>
      <c r="K274" s="200"/>
    </row>
    <row r="275" spans="1:11" s="17" customFormat="1">
      <c r="A275" s="200"/>
      <c r="B275" s="201"/>
      <c r="C275" s="201"/>
      <c r="D275" s="198"/>
      <c r="E275" s="198"/>
      <c r="F275" s="198"/>
      <c r="G275" s="198"/>
      <c r="H275" s="200"/>
      <c r="I275" s="197"/>
      <c r="J275" s="200"/>
      <c r="K275" s="200"/>
    </row>
    <row r="276" spans="1:11" s="17" customFormat="1">
      <c r="A276" s="200"/>
      <c r="B276" s="201"/>
      <c r="C276" s="201"/>
      <c r="D276" s="198"/>
      <c r="E276" s="198"/>
      <c r="F276" s="198"/>
      <c r="G276" s="198"/>
      <c r="H276" s="200"/>
      <c r="I276" s="197"/>
      <c r="J276" s="200"/>
      <c r="K276" s="200"/>
    </row>
    <row r="277" spans="1:11" s="17" customFormat="1">
      <c r="A277" s="200"/>
      <c r="B277" s="201"/>
      <c r="C277" s="201"/>
      <c r="D277" s="198"/>
      <c r="E277" s="198"/>
      <c r="F277" s="198"/>
      <c r="G277" s="198"/>
      <c r="H277" s="200"/>
      <c r="I277" s="197"/>
      <c r="J277" s="200"/>
      <c r="K277" s="200"/>
    </row>
    <row r="278" spans="1:11" s="17" customFormat="1">
      <c r="A278" s="200"/>
      <c r="B278" s="201"/>
      <c r="C278" s="201"/>
      <c r="D278" s="198"/>
      <c r="E278" s="198"/>
      <c r="F278" s="198"/>
      <c r="G278" s="198"/>
      <c r="H278" s="200"/>
      <c r="I278" s="197"/>
      <c r="J278" s="200"/>
      <c r="K278" s="200"/>
    </row>
    <row r="279" spans="1:11" s="17" customFormat="1">
      <c r="A279" s="200"/>
      <c r="B279" s="201"/>
      <c r="C279" s="201"/>
      <c r="D279" s="198"/>
      <c r="E279" s="198"/>
      <c r="F279" s="198"/>
      <c r="G279" s="198"/>
      <c r="H279" s="200"/>
      <c r="I279" s="197"/>
      <c r="J279" s="200"/>
      <c r="K279" s="200"/>
    </row>
    <row r="280" spans="1:11" s="17" customFormat="1">
      <c r="A280" s="200"/>
      <c r="B280" s="201"/>
      <c r="C280" s="201"/>
      <c r="D280" s="198"/>
      <c r="E280" s="198"/>
      <c r="F280" s="198"/>
      <c r="G280" s="198"/>
      <c r="H280" s="200"/>
      <c r="I280" s="197"/>
      <c r="J280" s="200"/>
      <c r="K280" s="200"/>
    </row>
    <row r="281" spans="1:11" s="17" customFormat="1">
      <c r="A281" s="200"/>
      <c r="B281" s="201"/>
      <c r="C281" s="201"/>
      <c r="D281" s="198"/>
      <c r="E281" s="198"/>
      <c r="F281" s="198"/>
      <c r="G281" s="198"/>
      <c r="H281" s="200"/>
      <c r="I281" s="197"/>
      <c r="J281" s="200"/>
      <c r="K281" s="200"/>
    </row>
    <row r="282" spans="1:11" s="17" customFormat="1">
      <c r="A282" s="200"/>
      <c r="B282" s="201"/>
      <c r="C282" s="201"/>
      <c r="D282" s="198"/>
      <c r="E282" s="198"/>
      <c r="F282" s="198"/>
      <c r="G282" s="198"/>
      <c r="H282" s="200"/>
      <c r="I282" s="197"/>
      <c r="J282" s="200"/>
      <c r="K282" s="200"/>
    </row>
    <row r="283" spans="1:11" s="17" customFormat="1">
      <c r="A283" s="200"/>
      <c r="B283" s="201"/>
      <c r="C283" s="201"/>
      <c r="D283" s="198"/>
      <c r="E283" s="198"/>
      <c r="F283" s="198"/>
      <c r="G283" s="198"/>
      <c r="H283" s="200"/>
      <c r="I283" s="197"/>
      <c r="J283" s="200"/>
      <c r="K283" s="200"/>
    </row>
    <row r="284" spans="1:11" s="17" customFormat="1">
      <c r="A284" s="200"/>
      <c r="B284" s="201"/>
      <c r="C284" s="201"/>
      <c r="D284" s="198"/>
      <c r="E284" s="198"/>
      <c r="F284" s="198"/>
      <c r="G284" s="198"/>
      <c r="H284" s="200"/>
      <c r="I284" s="197"/>
      <c r="J284" s="200"/>
      <c r="K284" s="200"/>
    </row>
    <row r="285" spans="1:11" s="17" customFormat="1">
      <c r="A285" s="200"/>
      <c r="B285" s="201"/>
      <c r="C285" s="201"/>
      <c r="D285" s="198"/>
      <c r="E285" s="198"/>
      <c r="F285" s="198"/>
      <c r="G285" s="198"/>
      <c r="H285" s="200"/>
      <c r="I285" s="197"/>
      <c r="J285" s="200"/>
      <c r="K285" s="200"/>
    </row>
    <row r="286" spans="1:11" s="17" customFormat="1">
      <c r="A286" s="200"/>
      <c r="B286" s="201"/>
      <c r="C286" s="201"/>
      <c r="D286" s="198"/>
      <c r="E286" s="198"/>
      <c r="F286" s="198"/>
      <c r="G286" s="198"/>
      <c r="H286" s="200"/>
      <c r="I286" s="197"/>
      <c r="J286" s="200"/>
      <c r="K286" s="200"/>
    </row>
    <row r="287" spans="1:11" s="17" customFormat="1">
      <c r="A287" s="200"/>
      <c r="B287" s="201"/>
      <c r="C287" s="201"/>
      <c r="D287" s="198"/>
      <c r="E287" s="198"/>
      <c r="F287" s="198"/>
      <c r="G287" s="198"/>
      <c r="H287" s="200"/>
      <c r="I287" s="197"/>
      <c r="J287" s="200"/>
      <c r="K287" s="200"/>
    </row>
    <row r="288" spans="1:11" s="17" customFormat="1">
      <c r="A288" s="200"/>
      <c r="B288" s="201"/>
      <c r="C288" s="201"/>
      <c r="D288" s="198"/>
      <c r="E288" s="198"/>
      <c r="F288" s="198"/>
      <c r="G288" s="198"/>
      <c r="H288" s="200"/>
      <c r="I288" s="197"/>
      <c r="J288" s="200"/>
      <c r="K288" s="200"/>
    </row>
    <row r="289" spans="1:11" s="17" customFormat="1">
      <c r="A289" s="200"/>
      <c r="B289" s="201"/>
      <c r="C289" s="201"/>
      <c r="D289" s="198"/>
      <c r="E289" s="198"/>
      <c r="F289" s="198"/>
      <c r="G289" s="198"/>
      <c r="H289" s="200"/>
      <c r="I289" s="197"/>
      <c r="J289" s="200"/>
      <c r="K289" s="200"/>
    </row>
    <row r="290" spans="1:11" s="17" customFormat="1">
      <c r="A290" s="200"/>
      <c r="B290" s="201"/>
      <c r="C290" s="201"/>
      <c r="D290" s="198"/>
      <c r="E290" s="198"/>
      <c r="F290" s="198"/>
      <c r="G290" s="198"/>
      <c r="H290" s="200"/>
      <c r="I290" s="197"/>
      <c r="J290" s="200"/>
      <c r="K290" s="200"/>
    </row>
    <row r="291" spans="1:11" s="17" customFormat="1">
      <c r="A291" s="200"/>
      <c r="B291" s="201"/>
      <c r="C291" s="201"/>
      <c r="D291" s="198"/>
      <c r="E291" s="198"/>
      <c r="F291" s="198"/>
      <c r="G291" s="198"/>
      <c r="H291" s="200"/>
      <c r="I291" s="197"/>
      <c r="J291" s="200"/>
      <c r="K291" s="200"/>
    </row>
    <row r="292" spans="1:11" s="17" customFormat="1">
      <c r="A292" s="200"/>
      <c r="B292" s="201"/>
      <c r="C292" s="201"/>
      <c r="D292" s="198"/>
      <c r="E292" s="198"/>
      <c r="F292" s="198"/>
      <c r="G292" s="198"/>
      <c r="H292" s="200"/>
      <c r="I292" s="197"/>
      <c r="J292" s="200"/>
      <c r="K292" s="200"/>
    </row>
    <row r="293" spans="1:11" s="17" customFormat="1">
      <c r="A293" s="200"/>
      <c r="B293" s="201"/>
      <c r="C293" s="201"/>
      <c r="D293" s="198"/>
      <c r="E293" s="198"/>
      <c r="F293" s="198"/>
      <c r="G293" s="198"/>
      <c r="H293" s="200"/>
      <c r="I293" s="197"/>
      <c r="J293" s="200"/>
      <c r="K293" s="200"/>
    </row>
    <row r="294" spans="1:11" s="17" customFormat="1">
      <c r="A294" s="200"/>
      <c r="B294" s="201"/>
      <c r="C294" s="201"/>
      <c r="D294" s="198"/>
      <c r="E294" s="198"/>
      <c r="F294" s="198"/>
      <c r="G294" s="198"/>
      <c r="H294" s="200"/>
      <c r="I294" s="197"/>
      <c r="J294" s="200"/>
      <c r="K294" s="200"/>
    </row>
    <row r="295" spans="1:11" s="17" customFormat="1">
      <c r="A295" s="200"/>
      <c r="B295" s="201"/>
      <c r="C295" s="201"/>
      <c r="D295" s="198"/>
      <c r="E295" s="198"/>
      <c r="F295" s="198"/>
      <c r="G295" s="198"/>
      <c r="H295" s="200"/>
      <c r="I295" s="197"/>
      <c r="J295" s="200"/>
      <c r="K295" s="200"/>
    </row>
    <row r="296" spans="1:11" s="17" customFormat="1">
      <c r="A296" s="200"/>
      <c r="B296" s="201"/>
      <c r="C296" s="201"/>
      <c r="D296" s="198"/>
      <c r="E296" s="198"/>
      <c r="F296" s="198"/>
      <c r="G296" s="198"/>
      <c r="H296" s="200"/>
      <c r="I296" s="197"/>
      <c r="J296" s="200"/>
      <c r="K296" s="200"/>
    </row>
    <row r="297" spans="1:11" s="17" customFormat="1">
      <c r="A297" s="200"/>
      <c r="B297" s="201"/>
      <c r="C297" s="201"/>
      <c r="D297" s="198"/>
      <c r="E297" s="198"/>
      <c r="F297" s="198"/>
      <c r="G297" s="198"/>
      <c r="H297" s="200"/>
      <c r="I297" s="197"/>
      <c r="J297" s="200"/>
      <c r="K297" s="200"/>
    </row>
    <row r="298" spans="1:11" s="17" customFormat="1">
      <c r="A298" s="200"/>
      <c r="B298" s="201"/>
      <c r="C298" s="201"/>
      <c r="D298" s="198"/>
      <c r="E298" s="198"/>
      <c r="F298" s="198"/>
      <c r="G298" s="198"/>
      <c r="H298" s="200"/>
      <c r="I298" s="197"/>
      <c r="J298" s="200"/>
      <c r="K298" s="200"/>
    </row>
    <row r="299" spans="1:11" s="17" customFormat="1">
      <c r="A299" s="200"/>
      <c r="B299" s="201"/>
      <c r="C299" s="201"/>
      <c r="D299" s="198"/>
      <c r="E299" s="198"/>
      <c r="F299" s="198"/>
      <c r="G299" s="198"/>
      <c r="H299" s="200"/>
      <c r="I299" s="197"/>
      <c r="J299" s="200"/>
      <c r="K299" s="200"/>
    </row>
    <row r="300" spans="1:11" s="17" customFormat="1">
      <c r="A300" s="200"/>
      <c r="B300" s="201"/>
      <c r="C300" s="201"/>
      <c r="D300" s="198"/>
      <c r="E300" s="198"/>
      <c r="F300" s="198"/>
      <c r="G300" s="198"/>
      <c r="H300" s="200"/>
      <c r="I300" s="197"/>
      <c r="J300" s="200"/>
      <c r="K300" s="200"/>
    </row>
    <row r="301" spans="1:11" s="17" customFormat="1">
      <c r="A301" s="200"/>
      <c r="B301" s="201"/>
      <c r="C301" s="201"/>
      <c r="D301" s="198"/>
      <c r="E301" s="198"/>
      <c r="F301" s="198"/>
      <c r="G301" s="198"/>
      <c r="H301" s="200"/>
      <c r="I301" s="197"/>
      <c r="J301" s="200"/>
      <c r="K301" s="200"/>
    </row>
    <row r="302" spans="1:11" s="17" customFormat="1">
      <c r="A302" s="200"/>
      <c r="B302" s="201"/>
      <c r="C302" s="201"/>
      <c r="D302" s="198"/>
      <c r="E302" s="198"/>
      <c r="F302" s="198"/>
      <c r="G302" s="198"/>
      <c r="H302" s="200"/>
      <c r="I302" s="197"/>
      <c r="J302" s="200"/>
      <c r="K302" s="200"/>
    </row>
    <row r="303" spans="1:11" s="17" customFormat="1">
      <c r="A303" s="200"/>
      <c r="B303" s="201"/>
      <c r="C303" s="201"/>
      <c r="D303" s="198"/>
      <c r="E303" s="198"/>
      <c r="F303" s="198"/>
      <c r="G303" s="198"/>
      <c r="H303" s="200"/>
      <c r="I303" s="197"/>
      <c r="J303" s="200"/>
      <c r="K303" s="200"/>
    </row>
    <row r="304" spans="1:11" s="17" customFormat="1">
      <c r="A304" s="200"/>
      <c r="B304" s="201"/>
      <c r="C304" s="201"/>
      <c r="D304" s="198"/>
      <c r="E304" s="198"/>
      <c r="F304" s="198"/>
      <c r="G304" s="198"/>
      <c r="H304" s="200"/>
      <c r="I304" s="197"/>
      <c r="J304" s="200"/>
      <c r="K304" s="200"/>
    </row>
    <row r="305" spans="1:11" s="17" customFormat="1">
      <c r="A305" s="200"/>
      <c r="B305" s="201"/>
      <c r="C305" s="201"/>
      <c r="D305" s="198"/>
      <c r="E305" s="198"/>
      <c r="F305" s="198"/>
      <c r="G305" s="198"/>
      <c r="H305" s="200"/>
      <c r="I305" s="197"/>
      <c r="J305" s="200"/>
      <c r="K305" s="200"/>
    </row>
    <row r="306" spans="1:11" s="17" customFormat="1">
      <c r="A306" s="200"/>
      <c r="B306" s="201"/>
      <c r="C306" s="201"/>
      <c r="D306" s="198"/>
      <c r="E306" s="198"/>
      <c r="F306" s="198"/>
      <c r="G306" s="198"/>
      <c r="H306" s="200"/>
      <c r="I306" s="197"/>
      <c r="J306" s="200"/>
      <c r="K306" s="200"/>
    </row>
    <row r="307" spans="1:11" s="17" customFormat="1">
      <c r="A307" s="200"/>
      <c r="B307" s="201"/>
      <c r="C307" s="201"/>
      <c r="D307" s="198"/>
      <c r="E307" s="198"/>
      <c r="F307" s="198"/>
      <c r="G307" s="198"/>
      <c r="H307" s="200"/>
      <c r="I307" s="197"/>
      <c r="J307" s="200"/>
      <c r="K307" s="200"/>
    </row>
    <row r="308" spans="1:11" s="17" customFormat="1">
      <c r="A308" s="200"/>
      <c r="B308" s="201"/>
      <c r="C308" s="201"/>
      <c r="D308" s="198"/>
      <c r="E308" s="198"/>
      <c r="F308" s="198"/>
      <c r="G308" s="198"/>
      <c r="H308" s="200"/>
      <c r="I308" s="197"/>
      <c r="J308" s="200"/>
      <c r="K308" s="200"/>
    </row>
    <row r="309" spans="1:11" s="17" customFormat="1">
      <c r="A309" s="200"/>
      <c r="B309" s="201"/>
      <c r="C309" s="201"/>
      <c r="D309" s="198"/>
      <c r="E309" s="198"/>
      <c r="F309" s="198"/>
      <c r="G309" s="198"/>
      <c r="H309" s="200"/>
      <c r="I309" s="197"/>
      <c r="J309" s="200"/>
      <c r="K309" s="200"/>
    </row>
    <row r="310" spans="1:11" s="17" customFormat="1">
      <c r="A310" s="200"/>
      <c r="B310" s="201"/>
      <c r="C310" s="201"/>
      <c r="D310" s="198"/>
      <c r="E310" s="198"/>
      <c r="F310" s="198"/>
      <c r="G310" s="198"/>
      <c r="H310" s="200"/>
      <c r="I310" s="197"/>
      <c r="J310" s="200"/>
      <c r="K310" s="200"/>
    </row>
    <row r="311" spans="1:11" s="17" customFormat="1">
      <c r="A311" s="200"/>
      <c r="B311" s="201"/>
      <c r="C311" s="201"/>
      <c r="D311" s="198"/>
      <c r="E311" s="198"/>
      <c r="F311" s="198"/>
      <c r="G311" s="198"/>
      <c r="H311" s="200"/>
      <c r="I311" s="197"/>
      <c r="J311" s="200"/>
      <c r="K311" s="200"/>
    </row>
    <row r="312" spans="1:11" s="17" customFormat="1">
      <c r="A312" s="200"/>
      <c r="B312" s="201"/>
      <c r="C312" s="201"/>
      <c r="D312" s="198"/>
      <c r="E312" s="198"/>
      <c r="F312" s="198"/>
      <c r="G312" s="198"/>
      <c r="H312" s="200"/>
      <c r="I312" s="197"/>
      <c r="J312" s="200"/>
      <c r="K312" s="200"/>
    </row>
    <row r="313" spans="1:11" s="17" customFormat="1">
      <c r="A313" s="200"/>
      <c r="B313" s="201"/>
      <c r="C313" s="201"/>
      <c r="D313" s="198"/>
      <c r="E313" s="198"/>
      <c r="F313" s="198"/>
      <c r="G313" s="198"/>
      <c r="H313" s="200"/>
      <c r="I313" s="197"/>
      <c r="J313" s="200"/>
      <c r="K313" s="200"/>
    </row>
    <row r="314" spans="1:11" s="17" customFormat="1">
      <c r="A314" s="200"/>
      <c r="B314" s="201"/>
      <c r="C314" s="201"/>
      <c r="D314" s="198"/>
      <c r="E314" s="198"/>
      <c r="F314" s="198"/>
      <c r="G314" s="198"/>
      <c r="H314" s="200"/>
      <c r="I314" s="197"/>
      <c r="J314" s="200"/>
      <c r="K314" s="200"/>
    </row>
    <row r="315" spans="1:11" s="17" customFormat="1">
      <c r="A315" s="200"/>
      <c r="B315" s="201"/>
      <c r="C315" s="201"/>
      <c r="D315" s="198"/>
      <c r="E315" s="198"/>
      <c r="F315" s="198"/>
      <c r="G315" s="198"/>
      <c r="H315" s="200"/>
      <c r="I315" s="197"/>
      <c r="J315" s="200"/>
      <c r="K315" s="200"/>
    </row>
    <row r="316" spans="1:11" s="17" customFormat="1">
      <c r="A316" s="200"/>
      <c r="B316" s="201"/>
      <c r="C316" s="201"/>
      <c r="D316" s="198"/>
      <c r="E316" s="198"/>
      <c r="F316" s="198"/>
      <c r="G316" s="198"/>
      <c r="H316" s="200"/>
      <c r="I316" s="197"/>
      <c r="J316" s="200"/>
      <c r="K316" s="200"/>
    </row>
    <row r="317" spans="1:11" s="17" customFormat="1">
      <c r="A317" s="200"/>
      <c r="B317" s="201"/>
      <c r="C317" s="201"/>
      <c r="D317" s="198"/>
      <c r="E317" s="198"/>
      <c r="F317" s="198"/>
      <c r="G317" s="198"/>
      <c r="H317" s="200"/>
      <c r="I317" s="197"/>
      <c r="J317" s="200"/>
      <c r="K317" s="200"/>
    </row>
    <row r="318" spans="1:11" s="17" customFormat="1">
      <c r="A318" s="200"/>
      <c r="B318" s="201"/>
      <c r="C318" s="201"/>
      <c r="D318" s="198"/>
      <c r="E318" s="198"/>
      <c r="F318" s="198"/>
      <c r="G318" s="198"/>
      <c r="H318" s="200"/>
      <c r="I318" s="197"/>
      <c r="J318" s="200"/>
      <c r="K318" s="200"/>
    </row>
    <row r="319" spans="1:11" s="17" customFormat="1">
      <c r="A319" s="200"/>
      <c r="B319" s="201"/>
      <c r="C319" s="201"/>
      <c r="D319" s="198"/>
      <c r="E319" s="198"/>
      <c r="F319" s="198"/>
      <c r="G319" s="198"/>
      <c r="H319" s="200"/>
      <c r="I319" s="197"/>
      <c r="J319" s="200"/>
      <c r="K319" s="200"/>
    </row>
    <row r="320" spans="1:11" s="17" customFormat="1">
      <c r="A320" s="200"/>
      <c r="B320" s="201"/>
      <c r="C320" s="201"/>
      <c r="D320" s="198"/>
      <c r="E320" s="198"/>
      <c r="F320" s="198"/>
      <c r="G320" s="198"/>
      <c r="H320" s="200"/>
      <c r="I320" s="197"/>
      <c r="J320" s="200"/>
      <c r="K320" s="200"/>
    </row>
    <row r="321" spans="1:11" s="17" customFormat="1">
      <c r="A321" s="200"/>
      <c r="B321" s="201"/>
      <c r="C321" s="201"/>
      <c r="D321" s="198"/>
      <c r="E321" s="198"/>
      <c r="F321" s="198"/>
      <c r="G321" s="198"/>
      <c r="H321" s="200"/>
      <c r="I321" s="197"/>
      <c r="J321" s="200"/>
      <c r="K321" s="200"/>
    </row>
    <row r="322" spans="1:11" s="17" customFormat="1">
      <c r="A322" s="200"/>
      <c r="B322" s="201"/>
      <c r="C322" s="201"/>
      <c r="D322" s="198"/>
      <c r="E322" s="198"/>
      <c r="F322" s="198"/>
      <c r="G322" s="198"/>
      <c r="H322" s="200"/>
      <c r="I322" s="197"/>
      <c r="J322" s="200"/>
      <c r="K322" s="200"/>
    </row>
    <row r="323" spans="1:11" s="17" customFormat="1">
      <c r="A323" s="200"/>
      <c r="B323" s="201"/>
      <c r="C323" s="201"/>
      <c r="D323" s="198"/>
      <c r="E323" s="198"/>
      <c r="F323" s="198"/>
      <c r="G323" s="198"/>
      <c r="H323" s="200"/>
      <c r="I323" s="197"/>
      <c r="J323" s="200"/>
      <c r="K323" s="200"/>
    </row>
    <row r="324" spans="1:11" s="17" customFormat="1">
      <c r="A324" s="200"/>
      <c r="B324" s="201"/>
      <c r="C324" s="201"/>
      <c r="D324" s="198"/>
      <c r="E324" s="198"/>
      <c r="F324" s="198"/>
      <c r="G324" s="198"/>
      <c r="H324" s="200"/>
      <c r="I324" s="197"/>
      <c r="J324" s="200"/>
      <c r="K324" s="200"/>
    </row>
    <row r="325" spans="1:11" s="17" customFormat="1">
      <c r="A325" s="200"/>
      <c r="B325" s="201"/>
      <c r="C325" s="201"/>
      <c r="D325" s="198"/>
      <c r="E325" s="198"/>
      <c r="F325" s="198"/>
      <c r="G325" s="198"/>
      <c r="H325" s="200"/>
      <c r="I325" s="197"/>
      <c r="J325" s="200"/>
      <c r="K325" s="200"/>
    </row>
    <row r="326" spans="1:11" s="17" customFormat="1">
      <c r="A326" s="200"/>
      <c r="B326" s="201"/>
      <c r="C326" s="201"/>
      <c r="D326" s="198"/>
      <c r="E326" s="198"/>
      <c r="F326" s="198"/>
      <c r="G326" s="198"/>
      <c r="H326" s="200"/>
      <c r="I326" s="197"/>
      <c r="J326" s="200"/>
      <c r="K326" s="200"/>
    </row>
    <row r="327" spans="1:11" s="17" customFormat="1">
      <c r="A327" s="200"/>
      <c r="B327" s="201"/>
      <c r="C327" s="201"/>
      <c r="D327" s="198"/>
      <c r="E327" s="198"/>
      <c r="F327" s="198"/>
      <c r="G327" s="198"/>
      <c r="H327" s="200"/>
      <c r="I327" s="197"/>
      <c r="J327" s="200"/>
      <c r="K327" s="200"/>
    </row>
    <row r="328" spans="1:11" s="17" customFormat="1">
      <c r="A328" s="200"/>
      <c r="B328" s="201"/>
      <c r="C328" s="201"/>
      <c r="D328" s="198"/>
      <c r="E328" s="198"/>
      <c r="F328" s="198"/>
      <c r="G328" s="198"/>
      <c r="H328" s="200"/>
      <c r="I328" s="197"/>
      <c r="J328" s="200"/>
      <c r="K328" s="200"/>
    </row>
    <row r="329" spans="1:11" s="17" customFormat="1">
      <c r="A329" s="200"/>
      <c r="B329" s="201"/>
      <c r="C329" s="201"/>
      <c r="D329" s="198"/>
      <c r="E329" s="198"/>
      <c r="F329" s="198"/>
      <c r="G329" s="198"/>
      <c r="H329" s="200"/>
      <c r="I329" s="197"/>
      <c r="J329" s="200"/>
      <c r="K329" s="200"/>
    </row>
    <row r="330" spans="1:11" s="17" customFormat="1">
      <c r="A330" s="200"/>
      <c r="B330" s="201"/>
      <c r="C330" s="201"/>
      <c r="D330" s="198"/>
      <c r="E330" s="198"/>
      <c r="F330" s="198"/>
      <c r="G330" s="198"/>
      <c r="H330" s="200"/>
      <c r="I330" s="197"/>
      <c r="J330" s="200"/>
      <c r="K330" s="200"/>
    </row>
    <row r="331" spans="1:11" s="17" customFormat="1">
      <c r="A331" s="200"/>
      <c r="B331" s="201"/>
      <c r="C331" s="201"/>
      <c r="D331" s="198"/>
      <c r="E331" s="198"/>
      <c r="F331" s="198"/>
      <c r="G331" s="198"/>
      <c r="H331" s="200"/>
      <c r="I331" s="197"/>
      <c r="J331" s="200"/>
      <c r="K331" s="200"/>
    </row>
    <row r="332" spans="1:11" s="17" customFormat="1">
      <c r="A332" s="200"/>
      <c r="B332" s="201"/>
      <c r="C332" s="201"/>
      <c r="D332" s="198"/>
      <c r="E332" s="198"/>
      <c r="F332" s="198"/>
      <c r="G332" s="198"/>
      <c r="H332" s="200"/>
      <c r="I332" s="197"/>
      <c r="J332" s="200"/>
      <c r="K332" s="200"/>
    </row>
    <row r="333" spans="1:11" s="17" customFormat="1">
      <c r="A333" s="200"/>
      <c r="B333" s="201"/>
      <c r="C333" s="201"/>
      <c r="D333" s="198"/>
      <c r="E333" s="198"/>
      <c r="F333" s="198"/>
      <c r="G333" s="198"/>
      <c r="H333" s="200"/>
      <c r="I333" s="197"/>
      <c r="J333" s="200"/>
      <c r="K333" s="200"/>
    </row>
    <row r="334" spans="1:11" s="17" customFormat="1">
      <c r="A334" s="200"/>
      <c r="B334" s="201"/>
      <c r="C334" s="201"/>
      <c r="D334" s="198"/>
      <c r="E334" s="198"/>
      <c r="F334" s="198"/>
      <c r="G334" s="198"/>
      <c r="H334" s="200"/>
      <c r="I334" s="197"/>
      <c r="J334" s="200"/>
      <c r="K334" s="200"/>
    </row>
    <row r="335" spans="1:11" s="17" customFormat="1">
      <c r="A335" s="200"/>
      <c r="B335" s="201"/>
      <c r="C335" s="201"/>
      <c r="D335" s="198"/>
      <c r="E335" s="198"/>
      <c r="F335" s="198"/>
      <c r="G335" s="198"/>
      <c r="H335" s="200"/>
      <c r="I335" s="197"/>
      <c r="J335" s="200"/>
      <c r="K335" s="200"/>
    </row>
    <row r="336" spans="1:11" s="17" customFormat="1">
      <c r="A336" s="200"/>
      <c r="B336" s="201"/>
      <c r="C336" s="201"/>
      <c r="D336" s="198"/>
      <c r="E336" s="198"/>
      <c r="F336" s="198"/>
      <c r="G336" s="198"/>
      <c r="H336" s="200"/>
      <c r="I336" s="197"/>
      <c r="J336" s="200"/>
      <c r="K336" s="200"/>
    </row>
    <row r="337" spans="1:11" s="17" customFormat="1">
      <c r="A337" s="200"/>
      <c r="B337" s="201"/>
      <c r="C337" s="201"/>
      <c r="D337" s="198"/>
      <c r="E337" s="198"/>
      <c r="F337" s="198"/>
      <c r="G337" s="198"/>
      <c r="H337" s="200"/>
      <c r="I337" s="197"/>
      <c r="J337" s="200"/>
      <c r="K337" s="200"/>
    </row>
    <row r="338" spans="1:11" s="17" customFormat="1">
      <c r="A338" s="200"/>
      <c r="B338" s="201"/>
      <c r="C338" s="201"/>
      <c r="D338" s="198"/>
      <c r="E338" s="198"/>
      <c r="F338" s="198"/>
      <c r="G338" s="198"/>
      <c r="H338" s="200"/>
      <c r="I338" s="197"/>
      <c r="J338" s="200"/>
      <c r="K338" s="200"/>
    </row>
    <row r="339" spans="1:11" s="17" customFormat="1">
      <c r="A339" s="200"/>
      <c r="B339" s="201"/>
      <c r="C339" s="201"/>
      <c r="D339" s="198"/>
      <c r="E339" s="198"/>
      <c r="F339" s="198"/>
      <c r="G339" s="198"/>
      <c r="H339" s="200"/>
      <c r="I339" s="197"/>
      <c r="J339" s="200"/>
      <c r="K339" s="200"/>
    </row>
    <row r="340" spans="1:11" s="17" customFormat="1">
      <c r="A340" s="200"/>
      <c r="B340" s="201"/>
      <c r="C340" s="201"/>
      <c r="D340" s="198"/>
      <c r="E340" s="198"/>
      <c r="F340" s="198"/>
      <c r="G340" s="198"/>
      <c r="H340" s="200"/>
      <c r="I340" s="197"/>
      <c r="J340" s="200"/>
      <c r="K340" s="200"/>
    </row>
    <row r="341" spans="1:11" s="17" customFormat="1">
      <c r="A341" s="200"/>
      <c r="B341" s="201"/>
      <c r="C341" s="201"/>
      <c r="D341" s="198"/>
      <c r="E341" s="198"/>
      <c r="F341" s="198"/>
      <c r="G341" s="198"/>
      <c r="H341" s="200"/>
      <c r="I341" s="197"/>
      <c r="J341" s="200"/>
      <c r="K341" s="200"/>
    </row>
    <row r="342" spans="1:11" s="17" customFormat="1">
      <c r="A342" s="200"/>
      <c r="B342" s="201"/>
      <c r="C342" s="201"/>
      <c r="D342" s="198"/>
      <c r="E342" s="198"/>
      <c r="F342" s="198"/>
      <c r="G342" s="198"/>
      <c r="H342" s="200"/>
      <c r="I342" s="197"/>
      <c r="J342" s="200"/>
      <c r="K342" s="200"/>
    </row>
    <row r="343" spans="1:11" s="17" customFormat="1">
      <c r="A343" s="200"/>
      <c r="B343" s="201"/>
      <c r="C343" s="201"/>
      <c r="D343" s="198"/>
      <c r="E343" s="198"/>
      <c r="F343" s="198"/>
      <c r="G343" s="198"/>
      <c r="H343" s="200"/>
      <c r="I343" s="197"/>
      <c r="J343" s="200"/>
      <c r="K343" s="200"/>
    </row>
    <row r="344" spans="1:11" s="17" customFormat="1">
      <c r="A344" s="200"/>
      <c r="B344" s="201"/>
      <c r="C344" s="201"/>
      <c r="D344" s="198"/>
      <c r="E344" s="198"/>
      <c r="F344" s="198"/>
      <c r="G344" s="198"/>
      <c r="H344" s="200"/>
      <c r="I344" s="197"/>
      <c r="J344" s="200"/>
      <c r="K344" s="200"/>
    </row>
    <row r="345" spans="1:11" s="17" customFormat="1">
      <c r="A345" s="200"/>
      <c r="B345" s="201"/>
      <c r="C345" s="201"/>
      <c r="D345" s="198"/>
      <c r="E345" s="198"/>
      <c r="F345" s="198"/>
      <c r="G345" s="198"/>
      <c r="H345" s="200"/>
      <c r="I345" s="197"/>
      <c r="J345" s="200"/>
      <c r="K345" s="200"/>
    </row>
    <row r="346" spans="1:11" s="17" customFormat="1">
      <c r="A346" s="200"/>
      <c r="B346" s="201"/>
      <c r="C346" s="201"/>
      <c r="D346" s="198"/>
      <c r="E346" s="198"/>
      <c r="F346" s="198"/>
      <c r="G346" s="198"/>
      <c r="H346" s="200"/>
      <c r="I346" s="197"/>
      <c r="J346" s="200"/>
      <c r="K346" s="200"/>
    </row>
    <row r="347" spans="1:11" s="17" customFormat="1">
      <c r="A347" s="200"/>
      <c r="B347" s="201"/>
      <c r="C347" s="201"/>
      <c r="D347" s="198"/>
      <c r="E347" s="198"/>
      <c r="F347" s="198"/>
      <c r="G347" s="198"/>
      <c r="H347" s="200"/>
      <c r="I347" s="197"/>
      <c r="J347" s="200"/>
      <c r="K347" s="200"/>
    </row>
    <row r="348" spans="1:11" s="17" customFormat="1">
      <c r="A348" s="200"/>
      <c r="B348" s="201"/>
      <c r="C348" s="201"/>
      <c r="D348" s="198"/>
      <c r="E348" s="198"/>
      <c r="F348" s="198"/>
      <c r="G348" s="198"/>
      <c r="H348" s="200"/>
      <c r="I348" s="197"/>
      <c r="J348" s="200"/>
      <c r="K348" s="200"/>
    </row>
    <row r="349" spans="1:11" s="17" customFormat="1">
      <c r="A349" s="200"/>
      <c r="B349" s="201"/>
      <c r="C349" s="201"/>
      <c r="D349" s="198"/>
      <c r="E349" s="198"/>
      <c r="F349" s="198"/>
      <c r="G349" s="198"/>
      <c r="H349" s="200"/>
      <c r="I349" s="197"/>
      <c r="J349" s="200"/>
      <c r="K349" s="200"/>
    </row>
    <row r="350" spans="1:11" s="17" customFormat="1">
      <c r="A350" s="200"/>
      <c r="B350" s="201"/>
      <c r="C350" s="201"/>
      <c r="D350" s="198"/>
      <c r="E350" s="198"/>
      <c r="F350" s="198"/>
      <c r="G350" s="198"/>
      <c r="H350" s="200"/>
      <c r="I350" s="197"/>
      <c r="J350" s="200"/>
      <c r="K350" s="200"/>
    </row>
    <row r="351" spans="1:11" s="17" customFormat="1">
      <c r="A351" s="200"/>
      <c r="B351" s="201"/>
      <c r="C351" s="201"/>
      <c r="D351" s="198"/>
      <c r="E351" s="198"/>
      <c r="F351" s="198"/>
      <c r="G351" s="198"/>
      <c r="H351" s="200"/>
      <c r="I351" s="197"/>
      <c r="J351" s="200"/>
      <c r="K351" s="200"/>
    </row>
    <row r="352" spans="1:11" s="17" customFormat="1">
      <c r="A352" s="200"/>
      <c r="B352" s="201"/>
      <c r="C352" s="201"/>
      <c r="D352" s="198"/>
      <c r="E352" s="198"/>
      <c r="F352" s="198"/>
      <c r="G352" s="198"/>
      <c r="H352" s="200"/>
      <c r="I352" s="197"/>
      <c r="J352" s="200"/>
      <c r="K352" s="200"/>
    </row>
    <row r="353" spans="1:11" s="17" customFormat="1">
      <c r="A353" s="200"/>
      <c r="B353" s="201"/>
      <c r="C353" s="201"/>
      <c r="D353" s="198"/>
      <c r="E353" s="198"/>
      <c r="F353" s="198"/>
      <c r="G353" s="198"/>
      <c r="H353" s="200"/>
      <c r="I353" s="197"/>
      <c r="J353" s="200"/>
      <c r="K353" s="200"/>
    </row>
    <row r="354" spans="1:11" s="17" customFormat="1">
      <c r="A354" s="200"/>
      <c r="B354" s="201"/>
      <c r="C354" s="201"/>
      <c r="D354" s="198"/>
      <c r="E354" s="198"/>
      <c r="F354" s="198"/>
      <c r="G354" s="198"/>
      <c r="H354" s="200"/>
      <c r="I354" s="197"/>
      <c r="J354" s="200"/>
      <c r="K354" s="200"/>
    </row>
    <row r="355" spans="1:11" s="17" customFormat="1">
      <c r="A355" s="200"/>
      <c r="B355" s="201"/>
      <c r="C355" s="201"/>
      <c r="D355" s="198"/>
      <c r="E355" s="198"/>
      <c r="F355" s="198"/>
      <c r="G355" s="198"/>
      <c r="H355" s="200"/>
      <c r="I355" s="197"/>
      <c r="J355" s="200"/>
      <c r="K355" s="200"/>
    </row>
    <row r="356" spans="1:11" s="17" customFormat="1">
      <c r="A356" s="200"/>
      <c r="B356" s="201"/>
      <c r="C356" s="201"/>
      <c r="D356" s="198"/>
      <c r="E356" s="198"/>
      <c r="F356" s="198"/>
      <c r="G356" s="198"/>
      <c r="H356" s="200"/>
      <c r="I356" s="197"/>
      <c r="J356" s="200"/>
      <c r="K356" s="200"/>
    </row>
    <row r="357" spans="1:11" s="17" customFormat="1">
      <c r="A357" s="200"/>
      <c r="B357" s="201"/>
      <c r="C357" s="201"/>
      <c r="D357" s="198"/>
      <c r="E357" s="198"/>
      <c r="F357" s="198"/>
      <c r="G357" s="198"/>
      <c r="H357" s="200"/>
      <c r="I357" s="197"/>
      <c r="J357" s="200"/>
      <c r="K357" s="200"/>
    </row>
    <row r="358" spans="1:11" s="17" customFormat="1">
      <c r="A358" s="200"/>
      <c r="B358" s="201"/>
      <c r="C358" s="201"/>
      <c r="D358" s="198"/>
      <c r="E358" s="198"/>
      <c r="F358" s="198"/>
      <c r="G358" s="198"/>
      <c r="H358" s="200"/>
      <c r="I358" s="197"/>
      <c r="J358" s="200"/>
      <c r="K358" s="200"/>
    </row>
    <row r="359" spans="1:11" s="17" customFormat="1">
      <c r="A359" s="200"/>
      <c r="B359" s="201"/>
      <c r="C359" s="201"/>
      <c r="D359" s="198"/>
      <c r="E359" s="198"/>
      <c r="F359" s="198"/>
      <c r="G359" s="198"/>
      <c r="H359" s="200"/>
      <c r="I359" s="197"/>
      <c r="J359" s="200"/>
      <c r="K359" s="200"/>
    </row>
  </sheetData>
  <sortState xmlns:xlrd2="http://schemas.microsoft.com/office/spreadsheetml/2017/richdata2" ref="N14:O65">
    <sortCondition ref="N14:N65"/>
    <sortCondition ref="O14:O65"/>
  </sortState>
  <dataValidations count="9">
    <dataValidation type="decimal" allowBlank="1" showInputMessage="1" showErrorMessage="1" sqref="E7:E11 E2:E4" xr:uid="{00000000-0002-0000-0400-000000000000}">
      <formula1>-180</formula1>
      <formula2>180</formula2>
    </dataValidation>
    <dataValidation type="decimal" allowBlank="1" showInputMessage="1" showErrorMessage="1" sqref="D7:D10 D2:D4" xr:uid="{00000000-0002-0000-0400-000001000000}">
      <formula1>-90</formula1>
      <formula2>90</formula2>
    </dataValidation>
    <dataValidation type="custom" allowBlank="1" showInputMessage="1" showErrorMessage="1" sqref="I2 L2:L11 F2:G21" xr:uid="{00000000-0002-0000-0400-000002000000}">
      <formula1>I2&lt;Q2</formula1>
    </dataValidation>
    <dataValidation type="custom" allowBlank="1" showInputMessage="1" showErrorMessage="1" sqref="L12:L13" xr:uid="{00000000-0002-0000-0400-000003000000}">
      <formula1>O12&lt;#REF!</formula1>
    </dataValidation>
    <dataValidation type="custom" allowBlank="1" showInputMessage="1" showErrorMessage="1" sqref="L14:L15" xr:uid="{00000000-0002-0000-0400-000004000000}">
      <formula1>O14&lt;W12</formula1>
    </dataValidation>
    <dataValidation type="list" allowBlank="1" showInputMessage="1" showErrorMessage="1" sqref="A2:A21" xr:uid="{00000000-0002-0000-0400-000005000000}">
      <formula1>VRE</formula1>
    </dataValidation>
    <dataValidation type="custom" allowBlank="1" showInputMessage="1" showErrorMessage="1" sqref="I3:I21" xr:uid="{00000000-0002-0000-0400-000006000000}">
      <formula1>#REF!&lt;#REF!*10^6</formula1>
    </dataValidation>
    <dataValidation type="list" allowBlank="1" showInputMessage="1" showErrorMessage="1" sqref="C2:C21" xr:uid="{00000000-0002-0000-0400-000007000000}">
      <formula1>INDIRECT($A2)</formula1>
    </dataValidation>
    <dataValidation type="list" allowBlank="1" showInputMessage="1" showErrorMessage="1" sqref="H2:H11" xr:uid="{00000000-0002-0000-0400-000008000000}">
      <formula1>INDIRECT(C2)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25"/>
  <sheetViews>
    <sheetView zoomScale="80" zoomScaleNormal="80" workbookViewId="0">
      <selection activeCell="F15" sqref="F15"/>
    </sheetView>
  </sheetViews>
  <sheetFormatPr defaultRowHeight="15"/>
  <cols>
    <col min="1" max="1" width="35.28515625" style="211" customWidth="1"/>
    <col min="2" max="2" width="19.140625" style="211" customWidth="1"/>
    <col min="3" max="3" width="14.140625" style="208" customWidth="1"/>
    <col min="4" max="4" width="19.7109375" style="208" customWidth="1"/>
    <col min="5" max="5" width="8" style="208" customWidth="1"/>
    <col min="6" max="6" width="25.28515625" style="207" customWidth="1"/>
    <col min="7" max="7" width="23.5703125" style="208" customWidth="1"/>
    <col min="8" max="8" width="12.28515625" style="172" bestFit="1" customWidth="1"/>
    <col min="9" max="9" width="11.85546875" style="172" bestFit="1" customWidth="1"/>
    <col min="10" max="10" width="14" style="172" bestFit="1" customWidth="1"/>
    <col min="11" max="11" width="9.140625" style="172"/>
    <col min="12" max="12" width="18.5703125" style="172" customWidth="1"/>
    <col min="13" max="16384" width="9.140625" style="172"/>
  </cols>
  <sheetData>
    <row r="1" spans="1:19" ht="30">
      <c r="A1" s="208" t="s">
        <v>225</v>
      </c>
      <c r="B1" s="208" t="s">
        <v>265</v>
      </c>
      <c r="C1" s="208" t="s">
        <v>276</v>
      </c>
      <c r="D1" s="208" t="s">
        <v>299</v>
      </c>
      <c r="E1" s="208" t="s">
        <v>411</v>
      </c>
      <c r="F1" s="208" t="s">
        <v>25</v>
      </c>
      <c r="G1" s="208" t="s">
        <v>263</v>
      </c>
      <c r="H1" s="174" t="s">
        <v>303</v>
      </c>
      <c r="I1" s="174" t="s">
        <v>304</v>
      </c>
      <c r="J1" s="174" t="s">
        <v>305</v>
      </c>
      <c r="K1" s="174" t="s">
        <v>407</v>
      </c>
      <c r="L1" s="162" t="s">
        <v>456</v>
      </c>
      <c r="M1" s="162" t="s">
        <v>457</v>
      </c>
      <c r="N1" t="s">
        <v>458</v>
      </c>
      <c r="O1" t="s">
        <v>459</v>
      </c>
      <c r="P1" t="s">
        <v>460</v>
      </c>
      <c r="Q1" t="s">
        <v>461</v>
      </c>
      <c r="R1" t="s">
        <v>462</v>
      </c>
      <c r="S1" t="s">
        <v>6</v>
      </c>
    </row>
    <row r="2" spans="1:19">
      <c r="A2" s="208" t="s">
        <v>434</v>
      </c>
      <c r="B2" s="208" t="s">
        <v>434</v>
      </c>
      <c r="C2" s="208" t="s">
        <v>10</v>
      </c>
      <c r="D2" t="s">
        <v>477</v>
      </c>
      <c r="E2" s="208">
        <f>ROUND(F2*0.1,0)</f>
        <v>0</v>
      </c>
      <c r="F2" s="208">
        <v>1.2</v>
      </c>
      <c r="G2" s="220" t="s">
        <v>425</v>
      </c>
      <c r="H2" s="165"/>
      <c r="I2" s="165"/>
      <c r="J2" s="165"/>
      <c r="K2" s="165"/>
      <c r="L2" s="165"/>
      <c r="M2" s="165"/>
      <c r="N2" s="165"/>
      <c r="O2" s="165"/>
    </row>
    <row r="3" spans="1:19">
      <c r="A3" s="208" t="s">
        <v>435</v>
      </c>
      <c r="B3" s="208" t="s">
        <v>435</v>
      </c>
      <c r="C3" s="208" t="s">
        <v>209</v>
      </c>
      <c r="D3" t="s">
        <v>476</v>
      </c>
      <c r="E3" s="208">
        <v>0</v>
      </c>
      <c r="F3" s="208">
        <v>140</v>
      </c>
      <c r="G3" s="220" t="s">
        <v>427</v>
      </c>
      <c r="H3" s="165"/>
      <c r="I3" s="165"/>
      <c r="J3" s="165"/>
      <c r="K3" s="165"/>
      <c r="L3" s="165"/>
      <c r="M3" s="165"/>
      <c r="N3" s="165"/>
      <c r="O3" s="165"/>
    </row>
    <row r="4" spans="1:19">
      <c r="A4" s="208" t="s">
        <v>448</v>
      </c>
      <c r="B4" s="208" t="s">
        <v>448</v>
      </c>
      <c r="C4" s="208" t="s">
        <v>1</v>
      </c>
      <c r="D4" t="s">
        <v>475</v>
      </c>
      <c r="E4" s="208">
        <v>0</v>
      </c>
      <c r="F4" s="236">
        <v>30</v>
      </c>
      <c r="G4" s="220" t="s">
        <v>430</v>
      </c>
      <c r="H4" s="165"/>
      <c r="I4" s="165">
        <v>1</v>
      </c>
      <c r="J4" s="165"/>
      <c r="K4" s="165"/>
      <c r="L4" s="165"/>
    </row>
    <row r="5" spans="1:19" ht="17.25" customHeight="1">
      <c r="A5" s="208" t="s">
        <v>436</v>
      </c>
      <c r="B5" s="209" t="str">
        <f t="shared" ref="B5:B8" si="0">A5</f>
        <v>fuel oil_1</v>
      </c>
      <c r="C5" s="208" t="s">
        <v>230</v>
      </c>
      <c r="D5" t="s">
        <v>476</v>
      </c>
      <c r="E5" s="208">
        <v>0</v>
      </c>
      <c r="F5" s="208">
        <v>7</v>
      </c>
      <c r="G5" s="220" t="s">
        <v>425</v>
      </c>
      <c r="H5" s="165"/>
      <c r="I5" s="165"/>
      <c r="J5" s="165"/>
      <c r="K5" s="165"/>
      <c r="L5" s="165"/>
    </row>
    <row r="6" spans="1:19">
      <c r="A6" s="208" t="s">
        <v>437</v>
      </c>
      <c r="B6" s="209" t="str">
        <f t="shared" si="0"/>
        <v>fuel oil_2</v>
      </c>
      <c r="C6" s="208" t="s">
        <v>230</v>
      </c>
      <c r="D6" t="s">
        <v>476</v>
      </c>
      <c r="E6" s="208">
        <v>0</v>
      </c>
      <c r="F6" s="208">
        <v>10</v>
      </c>
      <c r="G6" s="220" t="s">
        <v>425</v>
      </c>
      <c r="H6" s="165"/>
      <c r="I6" s="165"/>
      <c r="J6" s="165"/>
      <c r="K6" s="165"/>
      <c r="L6" s="165"/>
    </row>
    <row r="7" spans="1:19">
      <c r="A7" s="208" t="s">
        <v>438</v>
      </c>
      <c r="B7" s="209" t="str">
        <f t="shared" si="0"/>
        <v>fuel oil_3</v>
      </c>
      <c r="C7" s="208" t="s">
        <v>230</v>
      </c>
      <c r="D7" t="s">
        <v>476</v>
      </c>
      <c r="E7" s="208">
        <v>0</v>
      </c>
      <c r="F7" s="208">
        <v>19</v>
      </c>
      <c r="G7" s="220" t="s">
        <v>425</v>
      </c>
      <c r="H7" s="165"/>
      <c r="I7" s="165"/>
      <c r="J7" s="165"/>
      <c r="K7" s="165"/>
      <c r="L7" s="165"/>
    </row>
    <row r="8" spans="1:19">
      <c r="A8" s="208" t="s">
        <v>439</v>
      </c>
      <c r="B8" s="209" t="str">
        <f t="shared" si="0"/>
        <v>fuel oil_4</v>
      </c>
      <c r="C8" s="208" t="s">
        <v>230</v>
      </c>
      <c r="D8" t="s">
        <v>476</v>
      </c>
      <c r="E8" s="208">
        <v>0</v>
      </c>
      <c r="F8" s="208">
        <v>19</v>
      </c>
      <c r="G8" s="220" t="s">
        <v>425</v>
      </c>
      <c r="H8" s="165"/>
      <c r="I8" s="165"/>
      <c r="J8" s="165"/>
      <c r="K8" s="165"/>
    </row>
    <row r="9" spans="1:19">
      <c r="A9" s="209" t="s">
        <v>474</v>
      </c>
      <c r="B9" s="209" t="s">
        <v>474</v>
      </c>
      <c r="C9" s="209" t="s">
        <v>473</v>
      </c>
      <c r="D9" s="208" t="s">
        <v>300</v>
      </c>
      <c r="E9" s="208">
        <v>0</v>
      </c>
      <c r="F9" s="207">
        <v>1</v>
      </c>
      <c r="G9" s="220" t="s">
        <v>425</v>
      </c>
      <c r="H9" s="165"/>
      <c r="I9" s="165"/>
      <c r="J9" s="165"/>
      <c r="K9" s="165"/>
    </row>
    <row r="10" spans="1:19">
      <c r="A10" s="209"/>
      <c r="B10" s="209"/>
      <c r="H10" s="165"/>
      <c r="I10" s="165"/>
      <c r="J10" s="165"/>
      <c r="K10" s="165"/>
    </row>
    <row r="11" spans="1:19">
      <c r="A11" s="209"/>
      <c r="B11" s="209"/>
      <c r="H11" s="165"/>
      <c r="I11" s="165"/>
      <c r="J11" s="165"/>
      <c r="K11" s="165"/>
    </row>
    <row r="12" spans="1:19">
      <c r="A12" s="209"/>
      <c r="B12" s="209"/>
      <c r="H12" s="165"/>
      <c r="I12" s="165"/>
      <c r="J12" s="165"/>
      <c r="K12" s="165"/>
    </row>
    <row r="13" spans="1:19">
      <c r="A13" s="209"/>
      <c r="B13" s="209"/>
      <c r="H13" s="165"/>
      <c r="I13" s="165"/>
      <c r="J13" s="165"/>
      <c r="K13" s="165"/>
    </row>
    <row r="14" spans="1:19">
      <c r="A14" s="209"/>
      <c r="B14" s="209"/>
      <c r="H14" s="165"/>
      <c r="I14" s="165"/>
      <c r="J14" s="165"/>
      <c r="K14" s="165"/>
    </row>
    <row r="15" spans="1:19">
      <c r="A15" s="209"/>
      <c r="B15" s="209"/>
      <c r="H15" s="165"/>
      <c r="I15" s="165"/>
      <c r="J15" s="165"/>
      <c r="K15" s="165"/>
    </row>
    <row r="16" spans="1:19">
      <c r="A16" s="209"/>
      <c r="B16" s="209"/>
      <c r="H16" s="165"/>
      <c r="I16" s="165"/>
      <c r="J16" s="165"/>
      <c r="K16" s="165"/>
    </row>
    <row r="17" spans="1:11">
      <c r="A17" s="209"/>
      <c r="B17" s="209"/>
      <c r="H17" s="165"/>
      <c r="I17" s="165"/>
      <c r="J17" s="165"/>
      <c r="K17" s="165"/>
    </row>
    <row r="18" spans="1:11">
      <c r="A18" s="209"/>
      <c r="B18" s="209"/>
      <c r="H18" s="165"/>
      <c r="I18" s="165"/>
      <c r="J18" s="165"/>
      <c r="K18" s="165"/>
    </row>
    <row r="19" spans="1:11">
      <c r="A19" s="209"/>
      <c r="B19" s="209"/>
      <c r="H19" s="165"/>
      <c r="I19" s="165"/>
      <c r="J19" s="165"/>
      <c r="K19" s="165"/>
    </row>
    <row r="20" spans="1:11">
      <c r="A20" s="209"/>
      <c r="B20" s="209"/>
      <c r="H20" s="165"/>
      <c r="I20" s="165"/>
      <c r="J20" s="165"/>
      <c r="K20" s="165"/>
    </row>
    <row r="21" spans="1:11">
      <c r="A21" s="209"/>
      <c r="B21" s="209"/>
      <c r="H21" s="165"/>
      <c r="I21" s="165"/>
      <c r="J21" s="165"/>
      <c r="K21" s="165"/>
    </row>
    <row r="22" spans="1:11">
      <c r="A22" s="209"/>
      <c r="B22" s="209"/>
      <c r="H22" s="165"/>
      <c r="I22" s="165"/>
      <c r="J22" s="165"/>
      <c r="K22" s="165"/>
    </row>
    <row r="23" spans="1:11">
      <c r="A23" s="209"/>
      <c r="B23" s="209"/>
      <c r="H23" s="165"/>
      <c r="I23" s="165"/>
      <c r="J23" s="165"/>
      <c r="K23" s="165"/>
    </row>
    <row r="24" spans="1:11">
      <c r="A24" s="209"/>
      <c r="B24" s="209"/>
      <c r="H24" s="165"/>
      <c r="I24" s="165"/>
      <c r="J24" s="165"/>
      <c r="K24" s="165"/>
    </row>
    <row r="25" spans="1:11">
      <c r="A25" s="209"/>
      <c r="B25" s="209"/>
      <c r="H25" s="165"/>
      <c r="I25" s="165"/>
      <c r="J25" s="165"/>
      <c r="K25" s="165"/>
    </row>
    <row r="26" spans="1:11">
      <c r="A26" s="209"/>
      <c r="B26" s="209"/>
      <c r="H26" s="165"/>
      <c r="I26" s="165"/>
      <c r="J26" s="165"/>
      <c r="K26" s="165"/>
    </row>
    <row r="27" spans="1:11">
      <c r="A27" s="209"/>
      <c r="B27" s="209"/>
      <c r="H27" s="165"/>
      <c r="I27" s="165"/>
      <c r="J27" s="165"/>
      <c r="K27" s="165"/>
    </row>
    <row r="28" spans="1:11">
      <c r="A28" s="209"/>
      <c r="B28" s="209"/>
      <c r="H28" s="165"/>
      <c r="I28" s="165"/>
      <c r="J28" s="165"/>
      <c r="K28" s="165"/>
    </row>
    <row r="29" spans="1:11">
      <c r="A29" s="209"/>
      <c r="B29" s="209"/>
      <c r="H29" s="165"/>
      <c r="I29" s="165"/>
      <c r="J29" s="165"/>
      <c r="K29" s="165"/>
    </row>
    <row r="30" spans="1:11">
      <c r="A30" s="209"/>
      <c r="B30" s="209"/>
      <c r="H30" s="165"/>
      <c r="I30" s="165"/>
      <c r="J30" s="165"/>
      <c r="K30" s="165"/>
    </row>
    <row r="31" spans="1:11">
      <c r="A31" s="209"/>
      <c r="B31" s="210"/>
      <c r="H31" s="165"/>
      <c r="I31" s="165"/>
      <c r="J31" s="165"/>
      <c r="K31" s="165"/>
    </row>
    <row r="32" spans="1:11">
      <c r="A32" s="210"/>
      <c r="B32" s="210"/>
      <c r="H32" s="165"/>
      <c r="I32" s="165"/>
      <c r="J32" s="165"/>
      <c r="K32" s="165"/>
    </row>
    <row r="33" spans="1:11">
      <c r="A33" s="210"/>
      <c r="B33" s="210"/>
      <c r="H33" s="165"/>
      <c r="I33" s="165"/>
      <c r="J33" s="165"/>
      <c r="K33" s="165"/>
    </row>
    <row r="34" spans="1:11">
      <c r="A34" s="210"/>
      <c r="B34" s="210"/>
      <c r="H34" s="165"/>
      <c r="I34" s="165"/>
      <c r="J34" s="165"/>
      <c r="K34" s="165"/>
    </row>
    <row r="35" spans="1:11">
      <c r="A35" s="210"/>
      <c r="B35" s="210"/>
      <c r="H35" s="165"/>
      <c r="I35" s="165"/>
      <c r="J35" s="165"/>
      <c r="K35" s="165"/>
    </row>
    <row r="36" spans="1:11">
      <c r="A36" s="210"/>
      <c r="B36" s="210"/>
      <c r="H36" s="165"/>
      <c r="I36" s="165"/>
      <c r="J36" s="165"/>
      <c r="K36" s="165"/>
    </row>
    <row r="37" spans="1:11">
      <c r="A37" s="210"/>
      <c r="B37" s="210"/>
      <c r="H37" s="165"/>
      <c r="I37" s="165"/>
      <c r="J37" s="165"/>
      <c r="K37" s="165"/>
    </row>
    <row r="38" spans="1:11">
      <c r="A38" s="210"/>
      <c r="B38" s="210"/>
      <c r="H38" s="165"/>
      <c r="I38" s="165"/>
      <c r="J38" s="165"/>
      <c r="K38" s="165"/>
    </row>
    <row r="39" spans="1:11">
      <c r="A39" s="210"/>
      <c r="B39" s="210"/>
      <c r="H39" s="165"/>
      <c r="I39" s="165"/>
      <c r="J39" s="165"/>
      <c r="K39" s="165"/>
    </row>
    <row r="40" spans="1:11">
      <c r="A40" s="210"/>
      <c r="B40" s="210"/>
      <c r="H40" s="165"/>
      <c r="I40" s="165"/>
      <c r="J40" s="165"/>
      <c r="K40" s="165"/>
    </row>
    <row r="41" spans="1:11">
      <c r="A41" s="210"/>
      <c r="B41" s="210"/>
      <c r="H41" s="165"/>
      <c r="I41" s="165"/>
      <c r="J41" s="165"/>
      <c r="K41" s="165"/>
    </row>
    <row r="42" spans="1:11">
      <c r="A42" s="210"/>
      <c r="B42" s="210"/>
      <c r="H42" s="165"/>
      <c r="I42" s="165"/>
      <c r="J42" s="165"/>
      <c r="K42" s="165"/>
    </row>
    <row r="43" spans="1:11">
      <c r="A43" s="210"/>
      <c r="B43" s="210"/>
      <c r="H43" s="165"/>
      <c r="I43" s="165"/>
      <c r="J43" s="165"/>
      <c r="K43" s="165"/>
    </row>
    <row r="44" spans="1:11">
      <c r="A44" s="210"/>
      <c r="B44" s="210"/>
      <c r="H44" s="165"/>
      <c r="I44" s="165"/>
      <c r="J44" s="165"/>
      <c r="K44" s="165"/>
    </row>
    <row r="45" spans="1:11">
      <c r="A45" s="210"/>
      <c r="B45" s="210"/>
      <c r="H45" s="165"/>
      <c r="I45" s="165"/>
      <c r="J45" s="165"/>
      <c r="K45" s="165"/>
    </row>
    <row r="46" spans="1:11">
      <c r="A46" s="210"/>
      <c r="B46" s="210"/>
      <c r="H46" s="165"/>
      <c r="I46" s="165"/>
      <c r="J46" s="165"/>
      <c r="K46" s="165"/>
    </row>
    <row r="47" spans="1:11">
      <c r="A47" s="210"/>
      <c r="B47" s="210"/>
      <c r="H47" s="165"/>
      <c r="I47" s="165"/>
      <c r="J47" s="165"/>
      <c r="K47" s="165"/>
    </row>
    <row r="48" spans="1:11">
      <c r="A48" s="210"/>
      <c r="B48" s="210"/>
      <c r="H48" s="165"/>
      <c r="I48" s="165"/>
      <c r="J48" s="165"/>
      <c r="K48" s="165"/>
    </row>
    <row r="49" spans="1:11">
      <c r="A49" s="210"/>
      <c r="B49" s="210"/>
      <c r="H49" s="165"/>
      <c r="I49" s="165"/>
      <c r="J49" s="165"/>
      <c r="K49" s="165"/>
    </row>
    <row r="50" spans="1:11">
      <c r="A50" s="210"/>
      <c r="B50" s="210"/>
      <c r="H50" s="165"/>
      <c r="I50" s="165"/>
      <c r="J50" s="165"/>
      <c r="K50" s="165"/>
    </row>
    <row r="51" spans="1:11">
      <c r="A51" s="210"/>
      <c r="B51" s="210"/>
      <c r="H51" s="165"/>
      <c r="I51" s="165"/>
      <c r="J51" s="165"/>
      <c r="K51" s="165"/>
    </row>
    <row r="52" spans="1:11">
      <c r="A52" s="210"/>
      <c r="B52" s="210"/>
      <c r="H52" s="165"/>
      <c r="I52" s="165"/>
      <c r="J52" s="165"/>
      <c r="K52" s="165"/>
    </row>
    <row r="53" spans="1:11">
      <c r="A53" s="210"/>
      <c r="B53" s="210"/>
      <c r="H53" s="165"/>
      <c r="I53" s="165"/>
      <c r="J53" s="165"/>
      <c r="K53" s="165"/>
    </row>
    <row r="54" spans="1:11">
      <c r="A54" s="210"/>
      <c r="B54" s="210"/>
      <c r="H54" s="165"/>
      <c r="I54" s="165"/>
      <c r="J54" s="165"/>
      <c r="K54" s="165"/>
    </row>
    <row r="55" spans="1:11">
      <c r="A55" s="210"/>
      <c r="B55" s="210"/>
      <c r="H55" s="165"/>
      <c r="I55" s="165"/>
      <c r="J55" s="165"/>
      <c r="K55" s="165"/>
    </row>
    <row r="56" spans="1:11">
      <c r="A56" s="210"/>
      <c r="B56" s="210"/>
      <c r="H56" s="165"/>
      <c r="I56" s="165"/>
      <c r="J56" s="165"/>
      <c r="K56" s="165"/>
    </row>
    <row r="57" spans="1:11">
      <c r="A57" s="210"/>
      <c r="B57" s="210"/>
      <c r="H57" s="165"/>
      <c r="I57" s="165"/>
      <c r="J57" s="165"/>
      <c r="K57" s="165"/>
    </row>
    <row r="58" spans="1:11">
      <c r="A58" s="210"/>
      <c r="B58" s="210"/>
      <c r="H58" s="165"/>
      <c r="I58" s="165"/>
      <c r="J58" s="165"/>
      <c r="K58" s="165"/>
    </row>
    <row r="59" spans="1:11">
      <c r="A59" s="210"/>
      <c r="B59" s="210"/>
      <c r="H59" s="165"/>
      <c r="I59" s="165"/>
      <c r="J59" s="165"/>
      <c r="K59" s="165"/>
    </row>
    <row r="60" spans="1:11">
      <c r="A60" s="210"/>
      <c r="B60" s="210"/>
      <c r="H60" s="165"/>
      <c r="I60" s="165"/>
      <c r="J60" s="165"/>
      <c r="K60" s="165"/>
    </row>
    <row r="61" spans="1:11">
      <c r="A61" s="210"/>
      <c r="B61" s="210"/>
      <c r="H61" s="165"/>
      <c r="I61" s="165"/>
      <c r="J61" s="165"/>
      <c r="K61" s="165"/>
    </row>
    <row r="62" spans="1:11">
      <c r="A62" s="210"/>
      <c r="B62" s="210"/>
      <c r="H62" s="165"/>
      <c r="I62" s="165"/>
      <c r="J62" s="165"/>
      <c r="K62" s="165"/>
    </row>
    <row r="63" spans="1:11">
      <c r="A63" s="210"/>
      <c r="B63" s="210"/>
      <c r="H63" s="165"/>
      <c r="I63" s="165"/>
      <c r="J63" s="165"/>
      <c r="K63" s="165"/>
    </row>
    <row r="64" spans="1:11">
      <c r="A64" s="210"/>
      <c r="B64" s="210"/>
      <c r="H64" s="165"/>
      <c r="I64" s="165"/>
      <c r="J64" s="165"/>
      <c r="K64" s="165"/>
    </row>
    <row r="65" spans="1:11">
      <c r="A65" s="210"/>
      <c r="B65" s="210"/>
      <c r="H65" s="165"/>
      <c r="I65" s="165"/>
      <c r="J65" s="165"/>
      <c r="K65" s="165"/>
    </row>
    <row r="66" spans="1:11">
      <c r="A66" s="210"/>
      <c r="B66" s="210"/>
      <c r="H66" s="165"/>
      <c r="I66" s="165"/>
      <c r="J66" s="165"/>
      <c r="K66" s="165"/>
    </row>
    <row r="67" spans="1:11">
      <c r="A67" s="210"/>
      <c r="B67" s="210"/>
      <c r="H67" s="165"/>
      <c r="I67" s="165"/>
      <c r="J67" s="165"/>
      <c r="K67" s="165"/>
    </row>
    <row r="68" spans="1:11">
      <c r="A68" s="210"/>
      <c r="B68" s="210"/>
      <c r="H68" s="165"/>
      <c r="I68" s="165"/>
      <c r="J68" s="165"/>
      <c r="K68" s="165"/>
    </row>
    <row r="69" spans="1:11">
      <c r="A69" s="210"/>
      <c r="B69" s="210"/>
      <c r="H69" s="165"/>
      <c r="I69" s="165"/>
      <c r="J69" s="165"/>
      <c r="K69" s="165"/>
    </row>
    <row r="70" spans="1:11">
      <c r="A70" s="210"/>
      <c r="B70" s="210"/>
      <c r="H70" s="165"/>
      <c r="I70" s="165"/>
      <c r="J70" s="165"/>
      <c r="K70" s="165"/>
    </row>
    <row r="71" spans="1:11">
      <c r="A71" s="210"/>
      <c r="B71" s="210"/>
      <c r="H71" s="165"/>
      <c r="I71" s="165"/>
      <c r="J71" s="165"/>
      <c r="K71" s="165"/>
    </row>
    <row r="72" spans="1:11">
      <c r="A72" s="210"/>
      <c r="B72" s="210"/>
      <c r="H72" s="165"/>
      <c r="I72" s="165"/>
      <c r="J72" s="165"/>
      <c r="K72" s="165"/>
    </row>
    <row r="73" spans="1:11">
      <c r="A73" s="210"/>
      <c r="B73" s="210"/>
      <c r="H73" s="165"/>
      <c r="I73" s="165"/>
      <c r="J73" s="165"/>
      <c r="K73" s="165"/>
    </row>
    <row r="74" spans="1:11">
      <c r="A74" s="210"/>
      <c r="B74" s="210"/>
      <c r="H74" s="165"/>
      <c r="I74" s="165"/>
      <c r="J74" s="165"/>
      <c r="K74" s="165"/>
    </row>
    <row r="75" spans="1:11">
      <c r="A75" s="210"/>
      <c r="B75" s="210"/>
      <c r="H75" s="165"/>
      <c r="I75" s="165"/>
      <c r="J75" s="165"/>
      <c r="K75" s="165"/>
    </row>
    <row r="76" spans="1:11">
      <c r="A76" s="210"/>
      <c r="B76" s="210"/>
      <c r="H76" s="165"/>
      <c r="I76" s="165"/>
      <c r="J76" s="165"/>
      <c r="K76" s="165"/>
    </row>
    <row r="77" spans="1:11">
      <c r="A77" s="210"/>
      <c r="B77" s="210"/>
      <c r="H77" s="165"/>
      <c r="I77" s="165"/>
      <c r="J77" s="165"/>
      <c r="K77" s="165"/>
    </row>
    <row r="78" spans="1:11">
      <c r="A78" s="210"/>
      <c r="B78" s="210"/>
      <c r="H78" s="165"/>
      <c r="I78" s="165"/>
      <c r="J78" s="165"/>
      <c r="K78" s="165"/>
    </row>
    <row r="79" spans="1:11">
      <c r="A79" s="210"/>
      <c r="B79" s="210"/>
      <c r="H79" s="165"/>
      <c r="I79" s="165"/>
      <c r="J79" s="165"/>
      <c r="K79" s="165"/>
    </row>
    <row r="80" spans="1:11">
      <c r="A80" s="210"/>
      <c r="B80" s="210"/>
      <c r="H80" s="165"/>
      <c r="I80" s="165"/>
      <c r="J80" s="165"/>
      <c r="K80" s="165"/>
    </row>
    <row r="81" spans="1:11">
      <c r="A81" s="210"/>
      <c r="B81" s="210"/>
      <c r="H81" s="165"/>
      <c r="I81" s="165"/>
      <c r="J81" s="165"/>
      <c r="K81" s="165"/>
    </row>
    <row r="82" spans="1:11">
      <c r="A82" s="210"/>
      <c r="B82" s="210"/>
      <c r="H82" s="165"/>
      <c r="I82" s="165"/>
      <c r="J82" s="165"/>
      <c r="K82" s="165"/>
    </row>
    <row r="83" spans="1:11">
      <c r="A83" s="210"/>
      <c r="B83" s="210"/>
      <c r="H83" s="165"/>
      <c r="I83" s="165"/>
      <c r="J83" s="165"/>
      <c r="K83" s="165"/>
    </row>
    <row r="84" spans="1:11">
      <c r="A84" s="210"/>
      <c r="B84" s="210"/>
      <c r="H84" s="165"/>
      <c r="I84" s="165"/>
      <c r="J84" s="165"/>
      <c r="K84" s="165"/>
    </row>
    <row r="85" spans="1:11">
      <c r="A85" s="210"/>
      <c r="B85" s="210"/>
      <c r="H85" s="165"/>
      <c r="I85" s="165"/>
      <c r="J85" s="165"/>
      <c r="K85" s="165"/>
    </row>
    <row r="86" spans="1:11">
      <c r="A86" s="210"/>
      <c r="B86" s="210"/>
      <c r="H86" s="165"/>
      <c r="I86" s="165"/>
      <c r="J86" s="165"/>
      <c r="K86" s="165"/>
    </row>
    <row r="87" spans="1:11">
      <c r="A87" s="210"/>
      <c r="B87" s="210"/>
      <c r="H87" s="165"/>
      <c r="I87" s="165"/>
      <c r="J87" s="165"/>
      <c r="K87" s="165"/>
    </row>
    <row r="88" spans="1:11">
      <c r="A88" s="210"/>
      <c r="B88" s="210"/>
      <c r="H88" s="165"/>
      <c r="I88" s="165"/>
      <c r="J88" s="165"/>
      <c r="K88" s="165"/>
    </row>
    <row r="89" spans="1:11">
      <c r="A89" s="210"/>
      <c r="B89" s="210"/>
      <c r="H89" s="165"/>
      <c r="I89" s="165"/>
      <c r="J89" s="165"/>
      <c r="K89" s="165"/>
    </row>
    <row r="90" spans="1:11">
      <c r="A90" s="210"/>
      <c r="B90" s="210"/>
      <c r="H90" s="165"/>
      <c r="I90" s="165"/>
      <c r="J90" s="165"/>
      <c r="K90" s="165"/>
    </row>
    <row r="91" spans="1:11">
      <c r="A91" s="210"/>
      <c r="B91" s="210"/>
      <c r="H91" s="165"/>
      <c r="I91" s="165"/>
      <c r="J91" s="165"/>
      <c r="K91" s="165"/>
    </row>
    <row r="92" spans="1:11">
      <c r="A92" s="210"/>
      <c r="B92" s="210"/>
      <c r="H92" s="165"/>
      <c r="I92" s="165"/>
      <c r="J92" s="165"/>
      <c r="K92" s="165"/>
    </row>
    <row r="93" spans="1:11">
      <c r="A93" s="210"/>
      <c r="B93" s="210"/>
      <c r="H93" s="165"/>
      <c r="I93" s="165"/>
      <c r="J93" s="165"/>
      <c r="K93" s="165"/>
    </row>
    <row r="94" spans="1:11">
      <c r="A94" s="210"/>
      <c r="B94" s="210"/>
      <c r="H94" s="165"/>
      <c r="I94" s="165"/>
      <c r="J94" s="165"/>
      <c r="K94" s="165"/>
    </row>
    <row r="95" spans="1:11">
      <c r="A95" s="210"/>
      <c r="B95" s="210"/>
      <c r="H95" s="165"/>
      <c r="I95" s="165"/>
      <c r="J95" s="165"/>
      <c r="K95" s="165"/>
    </row>
    <row r="96" spans="1:11">
      <c r="A96" s="210"/>
      <c r="B96" s="210"/>
      <c r="H96" s="165"/>
      <c r="I96" s="165"/>
      <c r="J96" s="165"/>
      <c r="K96" s="165"/>
    </row>
    <row r="97" spans="1:11">
      <c r="A97" s="210"/>
      <c r="B97" s="210"/>
      <c r="H97" s="165"/>
      <c r="I97" s="165"/>
      <c r="J97" s="165"/>
      <c r="K97" s="165"/>
    </row>
    <row r="98" spans="1:11">
      <c r="A98" s="210"/>
      <c r="B98" s="210"/>
      <c r="H98" s="165"/>
      <c r="I98" s="165"/>
      <c r="J98" s="165"/>
      <c r="K98" s="165"/>
    </row>
    <row r="99" spans="1:11">
      <c r="A99" s="210"/>
      <c r="B99" s="210"/>
      <c r="H99" s="165"/>
      <c r="I99" s="165"/>
      <c r="J99" s="165"/>
      <c r="K99" s="165"/>
    </row>
    <row r="100" spans="1:11">
      <c r="A100" s="210"/>
      <c r="B100" s="210"/>
      <c r="H100" s="165"/>
      <c r="I100" s="165"/>
      <c r="J100" s="165"/>
      <c r="K100" s="165"/>
    </row>
    <row r="101" spans="1:11">
      <c r="A101" s="210"/>
      <c r="B101" s="210"/>
      <c r="H101" s="165"/>
      <c r="I101" s="165"/>
      <c r="J101" s="165"/>
      <c r="K101" s="165"/>
    </row>
    <row r="102" spans="1:11">
      <c r="A102" s="210"/>
      <c r="B102" s="210"/>
      <c r="H102" s="165"/>
      <c r="I102" s="165"/>
      <c r="J102" s="165"/>
      <c r="K102" s="165"/>
    </row>
    <row r="103" spans="1:11">
      <c r="A103" s="210"/>
      <c r="B103" s="210"/>
      <c r="H103" s="165"/>
      <c r="I103" s="165"/>
      <c r="J103" s="165"/>
      <c r="K103" s="165"/>
    </row>
    <row r="104" spans="1:11">
      <c r="A104" s="210"/>
      <c r="B104" s="210"/>
      <c r="H104" s="165"/>
      <c r="I104" s="165"/>
      <c r="J104" s="165"/>
      <c r="K104" s="165"/>
    </row>
    <row r="105" spans="1:11">
      <c r="A105" s="210"/>
      <c r="B105" s="210"/>
      <c r="H105" s="165"/>
      <c r="I105" s="165"/>
      <c r="J105" s="165"/>
      <c r="K105" s="165"/>
    </row>
    <row r="106" spans="1:11">
      <c r="A106" s="210"/>
      <c r="B106" s="210"/>
      <c r="H106" s="165"/>
      <c r="I106" s="165"/>
      <c r="J106" s="165"/>
      <c r="K106" s="165"/>
    </row>
    <row r="107" spans="1:11">
      <c r="A107" s="210"/>
      <c r="B107" s="210"/>
      <c r="H107" s="165"/>
      <c r="I107" s="165"/>
      <c r="J107" s="165"/>
      <c r="K107" s="165"/>
    </row>
    <row r="108" spans="1:11">
      <c r="A108" s="210"/>
      <c r="B108" s="210"/>
      <c r="H108" s="165"/>
      <c r="I108" s="165"/>
      <c r="J108" s="165"/>
      <c r="K108" s="165"/>
    </row>
    <row r="109" spans="1:11">
      <c r="A109" s="210"/>
      <c r="B109" s="210"/>
      <c r="H109" s="165"/>
      <c r="I109" s="165"/>
      <c r="J109" s="165"/>
      <c r="K109" s="165"/>
    </row>
    <row r="110" spans="1:11">
      <c r="A110" s="210"/>
      <c r="B110" s="210"/>
      <c r="H110" s="165"/>
      <c r="I110" s="165"/>
      <c r="J110" s="165"/>
      <c r="K110" s="165"/>
    </row>
    <row r="111" spans="1:11">
      <c r="A111" s="210"/>
      <c r="B111" s="210"/>
      <c r="H111" s="165"/>
      <c r="I111" s="165"/>
      <c r="J111" s="165"/>
      <c r="K111" s="165"/>
    </row>
    <row r="112" spans="1:11">
      <c r="A112" s="210"/>
      <c r="B112" s="210"/>
      <c r="H112" s="165"/>
      <c r="I112" s="165"/>
      <c r="J112" s="165"/>
      <c r="K112" s="165"/>
    </row>
    <row r="113" spans="1:11">
      <c r="A113" s="210"/>
      <c r="B113" s="210"/>
      <c r="H113" s="165"/>
      <c r="I113" s="165"/>
      <c r="J113" s="165"/>
      <c r="K113" s="165"/>
    </row>
    <row r="114" spans="1:11">
      <c r="A114" s="210"/>
      <c r="B114" s="210"/>
      <c r="H114" s="165"/>
      <c r="I114" s="165"/>
      <c r="J114" s="165"/>
      <c r="K114" s="165"/>
    </row>
    <row r="115" spans="1:11">
      <c r="A115" s="210"/>
      <c r="B115" s="210"/>
      <c r="H115" s="165"/>
      <c r="I115" s="165"/>
      <c r="J115" s="165"/>
      <c r="K115" s="165"/>
    </row>
    <row r="116" spans="1:11">
      <c r="A116" s="210"/>
      <c r="B116" s="210"/>
      <c r="H116" s="165"/>
      <c r="I116" s="165"/>
      <c r="J116" s="165"/>
      <c r="K116" s="165"/>
    </row>
    <row r="117" spans="1:11">
      <c r="A117" s="210"/>
      <c r="B117" s="210"/>
      <c r="H117" s="165"/>
      <c r="I117" s="165"/>
      <c r="J117" s="165"/>
      <c r="K117" s="165"/>
    </row>
    <row r="118" spans="1:11">
      <c r="A118" s="210"/>
      <c r="B118" s="210"/>
      <c r="H118" s="165"/>
      <c r="I118" s="165"/>
      <c r="J118" s="165"/>
      <c r="K118" s="165"/>
    </row>
    <row r="119" spans="1:11">
      <c r="A119" s="210"/>
      <c r="B119" s="210"/>
      <c r="H119" s="165"/>
      <c r="I119" s="165"/>
      <c r="J119" s="165"/>
      <c r="K119" s="165"/>
    </row>
    <row r="120" spans="1:11">
      <c r="A120" s="210"/>
      <c r="B120" s="210"/>
      <c r="H120" s="165"/>
      <c r="I120" s="165"/>
      <c r="J120" s="165"/>
      <c r="K120" s="165"/>
    </row>
    <row r="121" spans="1:11">
      <c r="A121" s="210"/>
      <c r="B121" s="210"/>
      <c r="H121" s="165"/>
      <c r="I121" s="165"/>
      <c r="J121" s="165"/>
      <c r="K121" s="165"/>
    </row>
    <row r="122" spans="1:11">
      <c r="A122" s="210"/>
      <c r="B122" s="210"/>
      <c r="H122" s="165"/>
      <c r="I122" s="165"/>
      <c r="J122" s="165"/>
      <c r="K122" s="165"/>
    </row>
    <row r="123" spans="1:11">
      <c r="A123" s="210"/>
      <c r="B123" s="210"/>
      <c r="H123" s="165"/>
      <c r="I123" s="165"/>
      <c r="J123" s="165"/>
      <c r="K123" s="165"/>
    </row>
    <row r="124" spans="1:11">
      <c r="A124" s="210"/>
      <c r="B124" s="210"/>
      <c r="H124" s="165"/>
      <c r="I124" s="165"/>
      <c r="J124" s="165"/>
      <c r="K124" s="165"/>
    </row>
    <row r="125" spans="1:11">
      <c r="A125" s="210"/>
      <c r="B125" s="210"/>
      <c r="H125" s="165"/>
      <c r="I125" s="165"/>
      <c r="J125" s="165"/>
      <c r="K125" s="16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6600"/>
  </sheetPr>
  <dimension ref="A1:Q16"/>
  <sheetViews>
    <sheetView zoomScale="80" zoomScaleNormal="80" workbookViewId="0">
      <selection activeCell="D8" sqref="D8"/>
    </sheetView>
  </sheetViews>
  <sheetFormatPr defaultRowHeight="15"/>
  <cols>
    <col min="1" max="1" width="13.28515625" customWidth="1"/>
    <col min="2" max="2" width="16.42578125" bestFit="1" customWidth="1"/>
    <col min="3" max="5" width="8" customWidth="1"/>
    <col min="6" max="6" width="10.42578125" customWidth="1"/>
    <col min="7" max="7" width="8" customWidth="1"/>
    <col min="8" max="8" width="8.85546875" customWidth="1"/>
    <col min="9" max="13" width="8" customWidth="1"/>
    <col min="14" max="14" width="8.85546875" customWidth="1"/>
  </cols>
  <sheetData>
    <row r="1" spans="1:17" s="56" customFormat="1" ht="60">
      <c r="A1" s="151" t="s">
        <v>225</v>
      </c>
      <c r="B1" s="151" t="s">
        <v>265</v>
      </c>
      <c r="C1" s="151" t="s">
        <v>276</v>
      </c>
      <c r="D1" s="151" t="s">
        <v>411</v>
      </c>
      <c r="E1" s="151" t="s">
        <v>25</v>
      </c>
      <c r="F1" s="105" t="s">
        <v>282</v>
      </c>
      <c r="G1" s="105" t="s">
        <v>281</v>
      </c>
      <c r="H1" s="151" t="s">
        <v>302</v>
      </c>
      <c r="I1" s="151" t="s">
        <v>263</v>
      </c>
      <c r="J1" s="150" t="s">
        <v>299</v>
      </c>
      <c r="K1" s="151" t="s">
        <v>303</v>
      </c>
      <c r="L1" s="151" t="s">
        <v>304</v>
      </c>
      <c r="M1" s="151" t="s">
        <v>305</v>
      </c>
      <c r="N1" s="151" t="s">
        <v>407</v>
      </c>
      <c r="O1" s="105"/>
      <c r="P1" s="105"/>
      <c r="Q1" s="105"/>
    </row>
    <row r="2" spans="1:17">
      <c r="A2" s="97"/>
      <c r="B2" s="97"/>
      <c r="C2" s="97"/>
      <c r="D2" s="97"/>
      <c r="E2" s="97"/>
      <c r="F2" s="97"/>
      <c r="G2" s="97"/>
      <c r="H2" s="97"/>
      <c r="I2" s="33"/>
      <c r="J2" s="97"/>
      <c r="K2" s="97"/>
      <c r="L2" s="97"/>
      <c r="M2" s="97"/>
      <c r="N2" s="5"/>
      <c r="O2" s="5"/>
      <c r="P2" s="5"/>
      <c r="Q2" s="5"/>
    </row>
    <row r="3" spans="1:17">
      <c r="A3" s="97"/>
      <c r="C3" s="97"/>
      <c r="D3" s="97"/>
      <c r="E3" s="97"/>
      <c r="F3" s="97"/>
      <c r="G3" s="97"/>
      <c r="H3" s="97"/>
      <c r="I3" s="97"/>
      <c r="J3" s="97"/>
      <c r="K3" s="5"/>
      <c r="L3" s="5"/>
      <c r="M3" s="5"/>
      <c r="N3" s="5"/>
      <c r="O3" s="5"/>
      <c r="P3" s="5"/>
      <c r="Q3" s="5"/>
    </row>
    <row r="4" spans="1:17" s="180" customFormat="1">
      <c r="A4" s="181"/>
      <c r="B4" s="181"/>
      <c r="C4" s="181"/>
      <c r="D4" s="181"/>
      <c r="E4" s="181"/>
      <c r="F4" s="181"/>
      <c r="G4" s="181"/>
      <c r="H4" s="181"/>
      <c r="J4" s="181"/>
    </row>
    <row r="5" spans="1:17">
      <c r="A5" s="97"/>
      <c r="B5" s="97"/>
      <c r="C5" s="97"/>
      <c r="D5" s="97"/>
      <c r="E5" s="97"/>
      <c r="F5" s="97"/>
      <c r="G5" s="97"/>
      <c r="H5" s="97"/>
      <c r="I5" s="97"/>
      <c r="J5" s="97"/>
      <c r="K5" s="5"/>
      <c r="L5" s="5"/>
      <c r="M5" s="5"/>
      <c r="N5" s="5"/>
      <c r="O5" s="5"/>
      <c r="P5" s="5"/>
      <c r="Q5" s="5"/>
    </row>
    <row r="6" spans="1:17">
      <c r="A6" s="97"/>
      <c r="B6" s="97"/>
      <c r="C6" s="97"/>
      <c r="D6" s="97"/>
      <c r="E6" s="97"/>
      <c r="F6" s="97"/>
      <c r="G6" s="97"/>
      <c r="H6" s="147"/>
      <c r="I6" s="97"/>
      <c r="J6" s="5"/>
      <c r="K6" s="5"/>
      <c r="L6" s="5"/>
      <c r="M6" s="5"/>
      <c r="N6" s="5"/>
      <c r="O6" s="5"/>
      <c r="P6" s="5"/>
      <c r="Q6" s="5"/>
    </row>
    <row r="7" spans="1:17">
      <c r="A7" s="97"/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5"/>
      <c r="P7" s="5"/>
      <c r="Q7" s="5"/>
    </row>
    <row r="8" spans="1:17">
      <c r="A8" s="97"/>
      <c r="B8" s="97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5"/>
      <c r="P8" s="5"/>
      <c r="Q8" s="5"/>
    </row>
    <row r="9" spans="1:17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</row>
    <row r="10" spans="1:17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</row>
    <row r="11" spans="1:17">
      <c r="A11" s="51"/>
      <c r="B11" s="54"/>
      <c r="C11" s="54"/>
      <c r="D11" s="51"/>
      <c r="E11" s="54"/>
      <c r="F11" s="54"/>
      <c r="G11" s="54"/>
      <c r="H11" s="54"/>
      <c r="I11" s="54"/>
    </row>
    <row r="12" spans="1:17">
      <c r="A12" s="33"/>
      <c r="B12" s="33"/>
      <c r="C12" s="33"/>
      <c r="D12" s="33"/>
      <c r="E12" s="33"/>
      <c r="F12" s="33"/>
      <c r="G12" s="33"/>
      <c r="H12" s="33"/>
      <c r="I12" s="33"/>
    </row>
    <row r="13" spans="1:17">
      <c r="A13" s="33"/>
      <c r="B13" s="33"/>
      <c r="C13" s="33"/>
      <c r="D13" s="33"/>
      <c r="E13" s="33"/>
      <c r="F13" s="33"/>
      <c r="G13" s="33"/>
      <c r="H13" s="33"/>
      <c r="I13" s="33"/>
    </row>
    <row r="14" spans="1:17">
      <c r="A14" s="33"/>
      <c r="B14" s="33"/>
      <c r="C14" s="33"/>
      <c r="D14" s="33"/>
      <c r="E14" s="33"/>
      <c r="F14" s="33"/>
      <c r="G14" s="33"/>
      <c r="H14" s="33"/>
      <c r="I14" s="33"/>
    </row>
    <row r="15" spans="1:17">
      <c r="A15" s="33"/>
      <c r="B15" s="33"/>
      <c r="C15" s="33"/>
      <c r="D15" s="33"/>
      <c r="E15" s="33"/>
      <c r="F15" s="33"/>
      <c r="G15" s="33"/>
      <c r="H15" s="33"/>
      <c r="I15" s="33"/>
    </row>
    <row r="16" spans="1:17">
      <c r="A16" s="33"/>
      <c r="B16" s="33"/>
      <c r="C16" s="33"/>
      <c r="D16" s="33"/>
      <c r="E16" s="33"/>
      <c r="F16" s="33"/>
      <c r="G16" s="33"/>
      <c r="H16" s="33"/>
      <c r="I16" s="33"/>
    </row>
  </sheetData>
  <dataValidations count="3">
    <dataValidation type="custom" allowBlank="1" showInputMessage="1" showErrorMessage="1" sqref="I2" xr:uid="{00000000-0002-0000-0600-000000000000}">
      <formula1>M1&lt;T2</formula1>
    </dataValidation>
    <dataValidation type="custom" allowBlank="1" showInputMessage="1" showErrorMessage="1" sqref="I4" xr:uid="{00000000-0002-0000-0600-000001000000}">
      <formula1>I15&lt;V25*10^6</formula1>
    </dataValidation>
    <dataValidation type="custom" allowBlank="1" showInputMessage="1" showErrorMessage="1" sqref="B3" xr:uid="{00000000-0002-0000-0600-000002000000}">
      <formula1>E3&lt;M3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Q29"/>
  <sheetViews>
    <sheetView zoomScale="80" zoomScaleNormal="80" workbookViewId="0">
      <selection activeCell="D18" sqref="D18"/>
    </sheetView>
  </sheetViews>
  <sheetFormatPr defaultRowHeight="15"/>
  <cols>
    <col min="2" max="2" width="16" customWidth="1"/>
    <col min="3" max="3" width="12.7109375" customWidth="1"/>
    <col min="4" max="4" width="6.5703125" customWidth="1"/>
    <col min="5" max="5" width="8.5703125" customWidth="1"/>
    <col min="6" max="6" width="9" customWidth="1"/>
    <col min="7" max="7" width="6.7109375" customWidth="1"/>
    <col min="8" max="8" width="17.28515625" customWidth="1"/>
    <col min="9" max="9" width="10.5703125" customWidth="1"/>
    <col min="10" max="10" width="11.28515625" customWidth="1"/>
    <col min="11" max="11" width="11.5703125" customWidth="1"/>
    <col min="18" max="18" width="11" customWidth="1"/>
  </cols>
  <sheetData>
    <row r="1" spans="2:17" s="163" customFormat="1" ht="53.25" customHeight="1">
      <c r="B1" s="162" t="s">
        <v>225</v>
      </c>
      <c r="C1" s="162" t="s">
        <v>265</v>
      </c>
      <c r="D1" s="162" t="s">
        <v>276</v>
      </c>
      <c r="E1" s="162" t="s">
        <v>25</v>
      </c>
      <c r="F1" s="162" t="s">
        <v>282</v>
      </c>
      <c r="G1" s="163" t="s">
        <v>281</v>
      </c>
      <c r="H1" s="163" t="s">
        <v>413</v>
      </c>
      <c r="I1" s="163" t="s">
        <v>414</v>
      </c>
      <c r="J1" s="162" t="s">
        <v>284</v>
      </c>
      <c r="K1" s="162" t="s">
        <v>263</v>
      </c>
      <c r="L1" s="162" t="s">
        <v>303</v>
      </c>
      <c r="M1" s="162" t="s">
        <v>304</v>
      </c>
      <c r="N1" s="162" t="s">
        <v>305</v>
      </c>
      <c r="O1" s="162" t="s">
        <v>407</v>
      </c>
      <c r="P1" s="164" t="s">
        <v>299</v>
      </c>
      <c r="Q1" s="163" t="s">
        <v>411</v>
      </c>
    </row>
    <row r="2" spans="2:17">
      <c r="B2" s="66"/>
      <c r="C2" s="66"/>
      <c r="D2" s="66"/>
      <c r="E2" s="66"/>
      <c r="F2" s="66"/>
      <c r="G2" s="66"/>
      <c r="H2" s="154"/>
      <c r="I2" s="155"/>
      <c r="J2" s="66"/>
      <c r="L2" s="52"/>
      <c r="M2" s="52"/>
      <c r="N2" s="52"/>
      <c r="O2" s="97"/>
    </row>
    <row r="3" spans="2:17">
      <c r="B3" s="66"/>
      <c r="C3" s="66"/>
      <c r="D3" s="66"/>
      <c r="E3" s="66"/>
      <c r="F3" s="66"/>
      <c r="G3" s="66"/>
      <c r="H3" s="156"/>
      <c r="I3" s="157"/>
      <c r="J3" s="66"/>
      <c r="L3" s="52"/>
      <c r="M3" s="52"/>
      <c r="N3" s="52"/>
      <c r="O3" s="52"/>
    </row>
    <row r="4" spans="2:17">
      <c r="B4" s="66"/>
      <c r="C4" s="66"/>
      <c r="D4" s="66"/>
      <c r="E4" s="66"/>
      <c r="F4" s="66"/>
      <c r="G4" s="66"/>
      <c r="H4" s="156"/>
      <c r="I4" s="158"/>
      <c r="J4" s="66"/>
      <c r="L4" s="52"/>
      <c r="M4" s="52"/>
      <c r="N4" s="52"/>
      <c r="O4" s="52"/>
    </row>
    <row r="5" spans="2:17">
      <c r="B5" s="66"/>
      <c r="C5" s="66"/>
      <c r="D5" s="66"/>
      <c r="E5" s="66"/>
      <c r="F5" s="66"/>
      <c r="G5" s="66"/>
      <c r="H5" s="156"/>
      <c r="I5" s="158"/>
      <c r="J5" s="66"/>
      <c r="O5" s="52"/>
    </row>
    <row r="6" spans="2:17">
      <c r="B6" s="66"/>
      <c r="C6" s="66"/>
      <c r="D6" s="66"/>
      <c r="E6" s="66"/>
      <c r="F6" s="66"/>
      <c r="G6" s="66"/>
      <c r="H6" s="156"/>
      <c r="I6" s="66"/>
      <c r="J6" s="66"/>
      <c r="O6" s="52"/>
    </row>
    <row r="7" spans="2:17">
      <c r="B7" s="66"/>
      <c r="C7" s="66"/>
      <c r="D7" s="66"/>
      <c r="E7" s="66"/>
      <c r="F7" s="66"/>
      <c r="G7" s="66"/>
      <c r="H7" s="156"/>
      <c r="I7" s="66"/>
      <c r="J7" s="66"/>
      <c r="O7" s="52"/>
    </row>
    <row r="8" spans="2:17">
      <c r="B8" s="66"/>
      <c r="C8" s="66"/>
      <c r="D8" s="66"/>
      <c r="E8" s="66"/>
      <c r="F8" s="66"/>
      <c r="G8" s="66"/>
      <c r="H8" s="156"/>
      <c r="I8" s="158"/>
      <c r="J8" s="66"/>
      <c r="O8" s="52"/>
    </row>
    <row r="9" spans="2:17">
      <c r="B9" s="66"/>
      <c r="C9" s="66"/>
      <c r="D9" s="66"/>
      <c r="E9" s="66"/>
      <c r="F9" s="66"/>
      <c r="G9" s="66"/>
      <c r="H9" s="156"/>
      <c r="I9" s="66"/>
      <c r="J9" s="66"/>
      <c r="O9" s="52"/>
    </row>
    <row r="10" spans="2:17">
      <c r="B10" s="66"/>
      <c r="C10" s="66"/>
      <c r="D10" s="66"/>
      <c r="E10" s="66"/>
      <c r="F10" s="66"/>
      <c r="G10" s="66"/>
      <c r="H10" s="156"/>
      <c r="I10" s="66"/>
      <c r="J10" s="66"/>
      <c r="O10" s="52"/>
    </row>
    <row r="11" spans="2:17">
      <c r="B11" s="159"/>
      <c r="C11" s="159"/>
      <c r="D11" s="159"/>
      <c r="E11" s="159"/>
      <c r="F11" s="159"/>
      <c r="G11" s="159"/>
      <c r="H11" s="159"/>
      <c r="I11" s="159"/>
      <c r="J11" s="159"/>
      <c r="K11" s="159"/>
    </row>
    <row r="12" spans="2:17">
      <c r="B12" s="159"/>
      <c r="C12" s="159"/>
      <c r="D12" s="159"/>
      <c r="E12" s="159"/>
      <c r="F12" s="159"/>
      <c r="G12" s="159"/>
      <c r="H12" s="159"/>
      <c r="I12" s="159"/>
      <c r="J12" s="159"/>
      <c r="K12" s="159"/>
    </row>
    <row r="13" spans="2:17">
      <c r="B13" s="159"/>
      <c r="C13" s="159"/>
      <c r="D13" s="159"/>
      <c r="E13" s="159"/>
      <c r="F13" s="159"/>
      <c r="G13" s="159"/>
      <c r="H13" s="159"/>
      <c r="I13" s="159"/>
      <c r="J13" s="159"/>
      <c r="K13" s="159"/>
    </row>
    <row r="14" spans="2:17">
      <c r="B14" s="159"/>
      <c r="C14" s="159"/>
      <c r="D14" s="159"/>
      <c r="E14" s="159"/>
      <c r="F14" s="159"/>
      <c r="G14" s="159"/>
      <c r="H14" s="159"/>
      <c r="I14" s="159"/>
      <c r="J14" s="159"/>
      <c r="K14" s="159"/>
    </row>
    <row r="15" spans="2:17">
      <c r="B15" s="159"/>
      <c r="C15" s="159"/>
      <c r="D15" s="159"/>
      <c r="E15" s="159"/>
      <c r="F15" s="159"/>
      <c r="G15" s="159"/>
      <c r="H15" s="159"/>
      <c r="I15" s="159"/>
      <c r="J15" s="159"/>
      <c r="K15" s="159"/>
    </row>
    <row r="16" spans="2:17">
      <c r="B16" s="159"/>
      <c r="C16" s="159"/>
      <c r="D16" s="159"/>
      <c r="E16" s="159"/>
      <c r="F16" s="159"/>
      <c r="G16" s="159"/>
      <c r="H16" s="159"/>
      <c r="I16" s="159"/>
      <c r="J16" s="159"/>
      <c r="K16" s="159"/>
    </row>
    <row r="17" spans="2:11">
      <c r="B17" s="159"/>
      <c r="C17" s="159"/>
      <c r="D17" s="159"/>
      <c r="E17" s="159"/>
      <c r="F17" s="159"/>
      <c r="G17" s="159"/>
      <c r="H17" s="159"/>
      <c r="I17" s="159"/>
      <c r="J17" s="159"/>
      <c r="K17" s="159"/>
    </row>
    <row r="18" spans="2:11">
      <c r="B18" s="159"/>
      <c r="C18" s="159"/>
      <c r="D18" s="159"/>
      <c r="E18" s="159"/>
      <c r="F18" s="159"/>
      <c r="G18" s="159"/>
      <c r="H18" s="159"/>
      <c r="I18" s="159"/>
      <c r="J18" s="159"/>
      <c r="K18" s="159"/>
    </row>
    <row r="19" spans="2:11">
      <c r="B19" s="159"/>
      <c r="C19" s="159"/>
      <c r="D19" s="159"/>
      <c r="E19" s="159"/>
      <c r="F19" s="159"/>
      <c r="G19" s="159"/>
      <c r="H19" s="159"/>
      <c r="I19" s="159"/>
      <c r="J19" s="159"/>
      <c r="K19" s="159"/>
    </row>
    <row r="20" spans="2:11">
      <c r="B20" s="159"/>
      <c r="C20" s="159"/>
      <c r="D20" s="159"/>
      <c r="E20" s="159"/>
      <c r="F20" s="159"/>
      <c r="G20" s="159"/>
      <c r="H20" s="66"/>
      <c r="I20" s="159"/>
      <c r="J20" s="159"/>
      <c r="K20" s="159"/>
    </row>
    <row r="21" spans="2:11">
      <c r="B21" s="159"/>
      <c r="C21" s="159"/>
      <c r="D21" s="159"/>
      <c r="E21" s="159"/>
      <c r="F21" s="159"/>
      <c r="G21" s="159"/>
      <c r="H21" s="66"/>
      <c r="I21" s="159"/>
      <c r="J21" s="159"/>
      <c r="K21" s="159"/>
    </row>
    <row r="22" spans="2:11">
      <c r="B22" s="159"/>
      <c r="C22" s="159"/>
      <c r="D22" s="159"/>
      <c r="E22" s="159"/>
      <c r="F22" s="159"/>
      <c r="G22" s="159"/>
      <c r="H22" s="66"/>
      <c r="I22" s="159"/>
      <c r="J22" s="159"/>
      <c r="K22" s="159"/>
    </row>
    <row r="23" spans="2:11">
      <c r="B23" s="159"/>
      <c r="C23" s="159"/>
      <c r="D23" s="159"/>
      <c r="E23" s="159"/>
      <c r="F23" s="159"/>
      <c r="G23" s="159"/>
      <c r="H23" s="66"/>
      <c r="I23" s="159"/>
      <c r="J23" s="159"/>
      <c r="K23" s="159"/>
    </row>
    <row r="24" spans="2:11">
      <c r="B24" s="159"/>
      <c r="C24" s="159"/>
      <c r="D24" s="159"/>
      <c r="E24" s="159"/>
      <c r="F24" s="159"/>
      <c r="G24" s="159"/>
      <c r="H24" s="66"/>
      <c r="I24" s="159"/>
      <c r="J24" s="159"/>
      <c r="K24" s="159"/>
    </row>
    <row r="25" spans="2:11">
      <c r="B25" s="159"/>
      <c r="C25" s="159"/>
      <c r="D25" s="159"/>
      <c r="E25" s="159"/>
      <c r="F25" s="159"/>
      <c r="G25" s="159"/>
      <c r="H25" s="66"/>
      <c r="I25" s="159"/>
      <c r="J25" s="159"/>
      <c r="K25" s="159"/>
    </row>
    <row r="26" spans="2:11">
      <c r="B26" s="159"/>
      <c r="C26" s="159"/>
      <c r="D26" s="159"/>
      <c r="E26" s="159"/>
      <c r="F26" s="159"/>
      <c r="G26" s="159"/>
      <c r="H26" s="66"/>
      <c r="I26" s="159"/>
      <c r="J26" s="159"/>
      <c r="K26" s="159"/>
    </row>
    <row r="27" spans="2:11">
      <c r="B27" s="159"/>
      <c r="C27" s="159"/>
      <c r="D27" s="159"/>
      <c r="E27" s="159"/>
      <c r="F27" s="159"/>
      <c r="G27" s="159"/>
      <c r="H27" s="66"/>
      <c r="I27" s="159"/>
      <c r="J27" s="159"/>
      <c r="K27" s="159"/>
    </row>
    <row r="28" spans="2:11">
      <c r="B28" s="159"/>
      <c r="C28" s="159"/>
      <c r="D28" s="159"/>
      <c r="E28" s="159"/>
      <c r="F28" s="159"/>
      <c r="G28" s="159"/>
      <c r="H28" s="66"/>
      <c r="I28" s="159"/>
      <c r="J28" s="159"/>
      <c r="K28" s="159"/>
    </row>
    <row r="29" spans="2:11">
      <c r="H29" s="5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6600"/>
  </sheetPr>
  <dimension ref="A1:C19"/>
  <sheetViews>
    <sheetView workbookViewId="0">
      <selection activeCell="G8" sqref="G8"/>
    </sheetView>
  </sheetViews>
  <sheetFormatPr defaultRowHeight="15"/>
  <cols>
    <col min="1" max="1" width="38" bestFit="1" customWidth="1"/>
    <col min="2" max="2" width="16.7109375" style="52" customWidth="1"/>
    <col min="3" max="3" width="17.7109375" style="52" customWidth="1"/>
  </cols>
  <sheetData>
    <row r="1" spans="1:3">
      <c r="A1" t="s">
        <v>394</v>
      </c>
      <c r="B1" s="52">
        <v>1</v>
      </c>
      <c r="C1" s="52">
        <v>2</v>
      </c>
    </row>
    <row r="2" spans="1:3">
      <c r="B2" s="52" t="s">
        <v>304</v>
      </c>
      <c r="C2" s="52" t="s">
        <v>305</v>
      </c>
    </row>
    <row r="3" spans="1:3">
      <c r="A3" t="s">
        <v>395</v>
      </c>
      <c r="B3" s="52">
        <v>1</v>
      </c>
      <c r="C3" s="52">
        <v>1</v>
      </c>
    </row>
    <row r="5" spans="1:3">
      <c r="A5" t="s">
        <v>392</v>
      </c>
    </row>
    <row r="6" spans="1:3">
      <c r="B6" s="52" t="s">
        <v>380</v>
      </c>
      <c r="C6" s="52" t="s">
        <v>381</v>
      </c>
    </row>
    <row r="7" spans="1:3">
      <c r="A7" t="s">
        <v>384</v>
      </c>
      <c r="B7" s="166">
        <v>1.3</v>
      </c>
      <c r="C7" s="167">
        <v>0.7</v>
      </c>
    </row>
    <row r="8" spans="1:3">
      <c r="B8" s="139"/>
      <c r="C8" s="140"/>
    </row>
    <row r="9" spans="1:3">
      <c r="B9" s="139" t="s">
        <v>382</v>
      </c>
      <c r="C9" s="140" t="s">
        <v>383</v>
      </c>
    </row>
    <row r="10" spans="1:3">
      <c r="A10" t="s">
        <v>393</v>
      </c>
      <c r="B10" s="144">
        <v>6000</v>
      </c>
      <c r="C10" s="144">
        <v>2</v>
      </c>
    </row>
    <row r="12" spans="1:3">
      <c r="B12" s="52" t="s">
        <v>382</v>
      </c>
    </row>
    <row r="13" spans="1:3">
      <c r="A13" t="s">
        <v>385</v>
      </c>
      <c r="B13" s="144">
        <f>B10*24</f>
        <v>144000</v>
      </c>
    </row>
    <row r="15" spans="1:3">
      <c r="B15" s="52" t="s">
        <v>387</v>
      </c>
      <c r="C15" s="52" t="s">
        <v>388</v>
      </c>
    </row>
    <row r="16" spans="1:3">
      <c r="A16" t="s">
        <v>386</v>
      </c>
      <c r="B16" s="144">
        <v>1000</v>
      </c>
      <c r="C16" s="144">
        <v>-1000</v>
      </c>
    </row>
    <row r="18" spans="1:3">
      <c r="B18" s="52" t="s">
        <v>390</v>
      </c>
      <c r="C18" s="52" t="s">
        <v>391</v>
      </c>
    </row>
    <row r="19" spans="1:3">
      <c r="A19" t="s">
        <v>389</v>
      </c>
      <c r="B19" s="145">
        <v>1</v>
      </c>
      <c r="C19" s="14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6600"/>
  </sheetPr>
  <dimension ref="A1:S111"/>
  <sheetViews>
    <sheetView zoomScale="70" zoomScaleNormal="70" workbookViewId="0">
      <selection activeCell="K9" sqref="K9"/>
    </sheetView>
  </sheetViews>
  <sheetFormatPr defaultRowHeight="15"/>
  <cols>
    <col min="1" max="1" width="33.42578125" customWidth="1"/>
    <col min="2" max="2" width="12" style="178" bestFit="1" customWidth="1"/>
    <col min="5" max="5" width="26.7109375" customWidth="1"/>
    <col min="6" max="6" width="15.42578125" bestFit="1" customWidth="1"/>
    <col min="7" max="7" width="17" customWidth="1"/>
    <col min="8" max="8" width="17.5703125" style="33" customWidth="1"/>
    <col min="9" max="10" width="9.140625" style="5"/>
    <col min="11" max="11" width="31.85546875" style="5" customWidth="1"/>
    <col min="13" max="13" width="9.140625" customWidth="1"/>
    <col min="18" max="18" width="13.42578125" customWidth="1"/>
    <col min="19" max="19" width="11" customWidth="1"/>
  </cols>
  <sheetData>
    <row r="1" spans="1:19" s="178" customFormat="1" ht="18.75">
      <c r="A1" s="212" t="s">
        <v>401</v>
      </c>
      <c r="B1" s="212" t="s">
        <v>258</v>
      </c>
      <c r="C1" s="212" t="s">
        <v>223</v>
      </c>
      <c r="D1" s="212" t="s">
        <v>224</v>
      </c>
      <c r="E1" s="212" t="s">
        <v>263</v>
      </c>
      <c r="F1" s="212" t="s">
        <v>379</v>
      </c>
      <c r="G1" s="212" t="s">
        <v>257</v>
      </c>
      <c r="H1" s="193"/>
      <c r="I1" s="185"/>
      <c r="J1" s="185"/>
      <c r="K1" s="185"/>
      <c r="M1" s="190"/>
      <c r="N1" s="219"/>
      <c r="O1" s="175"/>
      <c r="P1" s="175"/>
      <c r="Q1" s="175"/>
      <c r="R1" s="179"/>
      <c r="S1" s="185"/>
    </row>
    <row r="2" spans="1:19" ht="18.75">
      <c r="A2" s="220" t="s">
        <v>463</v>
      </c>
      <c r="B2" s="214">
        <v>0.33</v>
      </c>
      <c r="C2" s="221"/>
      <c r="D2" s="222"/>
      <c r="E2" s="220" t="s">
        <v>429</v>
      </c>
      <c r="F2" s="216">
        <v>3.9507042253521127E-2</v>
      </c>
      <c r="G2" s="223" t="s">
        <v>433</v>
      </c>
      <c r="H2" s="251"/>
      <c r="K2" s="190"/>
      <c r="M2" s="190"/>
      <c r="N2" s="219"/>
      <c r="O2" s="185"/>
      <c r="P2" s="5"/>
      <c r="Q2" s="185"/>
      <c r="R2" s="179"/>
      <c r="S2" s="5"/>
    </row>
    <row r="3" spans="1:19" ht="18.75">
      <c r="A3" s="220" t="s">
        <v>464</v>
      </c>
      <c r="B3" s="214">
        <v>0.33</v>
      </c>
      <c r="C3" s="222"/>
      <c r="D3" s="222"/>
      <c r="E3" s="220" t="s">
        <v>427</v>
      </c>
      <c r="F3" s="216">
        <v>9.9929577464788727E-2</v>
      </c>
      <c r="G3" s="189" t="s">
        <v>398</v>
      </c>
      <c r="H3" s="251"/>
      <c r="K3" s="190"/>
      <c r="M3" s="190"/>
      <c r="N3" s="219"/>
      <c r="O3" s="185"/>
      <c r="P3" s="5"/>
      <c r="Q3" s="185"/>
      <c r="R3" s="179"/>
      <c r="S3" s="188"/>
    </row>
    <row r="4" spans="1:19" ht="18.75">
      <c r="A4" s="220" t="s">
        <v>465</v>
      </c>
      <c r="B4" s="214">
        <v>0.33</v>
      </c>
      <c r="C4" s="222"/>
      <c r="D4" s="222"/>
      <c r="E4" s="220" t="s">
        <v>428</v>
      </c>
      <c r="F4" s="216">
        <v>9.9929577464788727E-2</v>
      </c>
      <c r="G4" s="189" t="s">
        <v>398</v>
      </c>
      <c r="H4" s="251"/>
      <c r="K4" s="190"/>
      <c r="M4" s="190"/>
      <c r="N4" s="219"/>
      <c r="O4" s="185"/>
      <c r="P4" s="5"/>
      <c r="Q4" s="185"/>
      <c r="R4" s="179"/>
      <c r="S4" s="5"/>
    </row>
    <row r="5" spans="1:19" ht="18.75">
      <c r="A5" s="220" t="s">
        <v>466</v>
      </c>
      <c r="B5" s="214">
        <v>0.33</v>
      </c>
      <c r="C5" s="222"/>
      <c r="D5" s="222"/>
      <c r="E5" s="220" t="s">
        <v>430</v>
      </c>
      <c r="F5" s="216">
        <v>3.9507042253521127E-2</v>
      </c>
      <c r="G5" s="223" t="s">
        <v>433</v>
      </c>
      <c r="H5" s="252"/>
      <c r="K5" s="190"/>
      <c r="M5" s="190"/>
      <c r="N5" s="219"/>
      <c r="O5" s="185"/>
      <c r="P5" s="5"/>
      <c r="Q5" s="185"/>
      <c r="R5" s="179"/>
      <c r="S5" s="5"/>
    </row>
    <row r="6" spans="1:19" ht="18.75">
      <c r="A6" s="220" t="s">
        <v>467</v>
      </c>
      <c r="B6" s="214">
        <v>0.33</v>
      </c>
      <c r="C6" s="222"/>
      <c r="D6" s="222"/>
      <c r="E6" s="220" t="s">
        <v>426</v>
      </c>
      <c r="F6" s="216">
        <v>3.9507042253521127E-2</v>
      </c>
      <c r="G6" s="223" t="s">
        <v>433</v>
      </c>
      <c r="H6" s="251"/>
      <c r="K6" s="190"/>
      <c r="M6" s="190"/>
      <c r="N6" s="219"/>
      <c r="O6" s="185"/>
      <c r="P6" s="5"/>
      <c r="Q6" s="185"/>
      <c r="R6" s="179"/>
      <c r="S6" s="5"/>
    </row>
    <row r="7" spans="1:19" ht="18.75">
      <c r="A7" s="220" t="s">
        <v>468</v>
      </c>
      <c r="B7" s="214">
        <v>0.33</v>
      </c>
      <c r="C7" s="222"/>
      <c r="D7" s="222"/>
      <c r="E7" s="220" t="s">
        <v>431</v>
      </c>
      <c r="F7" s="216">
        <v>9.9929577464788727E-2</v>
      </c>
      <c r="G7" s="189" t="s">
        <v>398</v>
      </c>
      <c r="H7" s="251"/>
      <c r="K7" s="190"/>
      <c r="M7" s="190"/>
      <c r="N7" s="219"/>
      <c r="O7" s="185"/>
      <c r="P7" s="5"/>
      <c r="Q7" s="190"/>
      <c r="R7" s="179"/>
      <c r="S7" s="5"/>
    </row>
    <row r="8" spans="1:19" ht="18.75">
      <c r="A8" s="220" t="s">
        <v>469</v>
      </c>
      <c r="B8" s="214">
        <v>1</v>
      </c>
      <c r="C8" s="222"/>
      <c r="D8" s="222"/>
      <c r="E8" s="220" t="s">
        <v>425</v>
      </c>
      <c r="F8" s="216">
        <v>0.57746478873239437</v>
      </c>
      <c r="G8" s="189" t="s">
        <v>432</v>
      </c>
      <c r="H8" s="252"/>
      <c r="K8" s="190"/>
      <c r="M8" s="5"/>
      <c r="N8" s="5"/>
      <c r="O8" s="5"/>
      <c r="P8" s="5"/>
      <c r="Q8" s="5"/>
      <c r="R8" s="179"/>
      <c r="S8" s="5"/>
    </row>
    <row r="9" spans="1:19" ht="18.75">
      <c r="A9" s="213"/>
      <c r="B9" s="214"/>
      <c r="C9" s="215"/>
      <c r="D9" s="215"/>
      <c r="E9" s="214"/>
      <c r="F9" s="216"/>
      <c r="G9" s="213"/>
      <c r="H9" s="252"/>
      <c r="M9" s="5"/>
      <c r="N9" s="5"/>
      <c r="O9" s="5"/>
      <c r="P9" s="5"/>
      <c r="Q9" s="5"/>
      <c r="R9" s="179"/>
      <c r="S9" s="5"/>
    </row>
    <row r="10" spans="1:19" ht="18.75">
      <c r="A10" s="213"/>
      <c r="B10" s="214"/>
      <c r="C10" s="215"/>
      <c r="D10" s="215"/>
      <c r="E10" s="214"/>
      <c r="F10" s="216"/>
      <c r="G10" s="213"/>
      <c r="H10" s="251"/>
      <c r="Q10" s="5"/>
      <c r="R10" s="179"/>
      <c r="S10" s="5"/>
    </row>
    <row r="11" spans="1:19" ht="18.75">
      <c r="A11" s="213"/>
      <c r="B11" s="214"/>
      <c r="C11" s="215"/>
      <c r="D11" s="215"/>
      <c r="E11" s="214"/>
      <c r="F11" s="216"/>
      <c r="G11" s="213"/>
      <c r="H11" s="251"/>
      <c r="Q11" s="5"/>
      <c r="R11" s="179"/>
      <c r="S11" s="5"/>
    </row>
    <row r="12" spans="1:19" ht="18.75">
      <c r="A12" s="213"/>
      <c r="B12" s="214"/>
      <c r="C12" s="215"/>
      <c r="D12" s="215"/>
      <c r="E12" s="214"/>
      <c r="F12" s="216"/>
      <c r="G12" s="213"/>
      <c r="H12" s="251"/>
      <c r="I12" s="33"/>
      <c r="Q12" s="5"/>
      <c r="R12" s="179"/>
      <c r="S12" s="188"/>
    </row>
    <row r="13" spans="1:19" ht="18.75">
      <c r="A13" s="213"/>
      <c r="B13" s="214"/>
      <c r="C13" s="215"/>
      <c r="D13" s="215"/>
      <c r="E13" s="214"/>
      <c r="F13" s="216"/>
      <c r="G13" s="213"/>
      <c r="H13" s="252"/>
      <c r="Q13" s="5"/>
      <c r="R13" s="179"/>
      <c r="S13" s="5"/>
    </row>
    <row r="14" spans="1:19" ht="18.75">
      <c r="A14" s="213"/>
      <c r="B14" s="214"/>
      <c r="C14" s="215"/>
      <c r="D14" s="215"/>
      <c r="E14" s="214"/>
      <c r="F14" s="216"/>
      <c r="G14" s="213"/>
      <c r="H14" s="252"/>
      <c r="Q14" s="5"/>
      <c r="R14" s="179"/>
      <c r="S14" s="5"/>
    </row>
    <row r="15" spans="1:19" ht="18.75">
      <c r="A15" s="213"/>
      <c r="B15" s="214"/>
      <c r="C15" s="215"/>
      <c r="D15" s="215"/>
      <c r="E15" s="214"/>
      <c r="F15" s="216"/>
      <c r="G15" s="213"/>
      <c r="H15" s="251"/>
      <c r="Q15" s="5"/>
      <c r="R15" s="179"/>
      <c r="S15" s="5"/>
    </row>
    <row r="16" spans="1:19" ht="18.75">
      <c r="A16" s="213"/>
      <c r="B16" s="214"/>
      <c r="C16" s="215"/>
      <c r="D16" s="215"/>
      <c r="E16" s="214"/>
      <c r="F16" s="216"/>
      <c r="G16" s="213"/>
      <c r="H16" s="252"/>
      <c r="Q16" s="5"/>
      <c r="R16" s="179"/>
      <c r="S16" s="5"/>
    </row>
    <row r="17" spans="1:19" ht="18.75">
      <c r="A17" s="213"/>
      <c r="B17" s="214"/>
      <c r="C17" s="215"/>
      <c r="D17" s="215"/>
      <c r="E17" s="214"/>
      <c r="F17" s="216"/>
      <c r="G17" s="213"/>
      <c r="H17" s="252"/>
      <c r="Q17" s="5"/>
      <c r="R17" s="179"/>
      <c r="S17" s="188"/>
    </row>
    <row r="18" spans="1:19" ht="18.75">
      <c r="A18" s="213"/>
      <c r="B18" s="214"/>
      <c r="C18" s="215"/>
      <c r="D18" s="215"/>
      <c r="E18" s="214"/>
      <c r="F18" s="216"/>
      <c r="G18" s="213"/>
      <c r="H18" s="252"/>
      <c r="Q18" s="5"/>
      <c r="R18" s="179"/>
      <c r="S18" s="5"/>
    </row>
    <row r="19" spans="1:19" ht="18.75">
      <c r="A19" s="213"/>
      <c r="B19" s="214"/>
      <c r="C19" s="215"/>
      <c r="D19" s="215"/>
      <c r="E19" s="214"/>
      <c r="F19" s="216"/>
      <c r="G19" s="213"/>
      <c r="H19" s="251"/>
      <c r="Q19" s="5"/>
      <c r="R19" s="179"/>
      <c r="S19" s="188"/>
    </row>
    <row r="20" spans="1:19" ht="18.75">
      <c r="A20" s="213"/>
      <c r="B20" s="214"/>
      <c r="C20" s="215"/>
      <c r="D20" s="215"/>
      <c r="E20" s="214"/>
      <c r="F20" s="216"/>
      <c r="G20" s="213"/>
      <c r="H20" s="252"/>
      <c r="Q20" s="5"/>
      <c r="R20" s="179"/>
      <c r="S20" s="5"/>
    </row>
    <row r="21" spans="1:19" ht="18.75">
      <c r="A21" s="213"/>
      <c r="B21" s="214"/>
      <c r="C21" s="215"/>
      <c r="D21" s="215"/>
      <c r="E21" s="214"/>
      <c r="F21" s="216"/>
      <c r="G21" s="213"/>
      <c r="H21" s="252"/>
      <c r="Q21" s="5"/>
      <c r="R21" s="179"/>
      <c r="S21" s="5"/>
    </row>
    <row r="22" spans="1:19" ht="18.75">
      <c r="A22" s="213"/>
      <c r="B22" s="214"/>
      <c r="C22" s="215"/>
      <c r="D22" s="215"/>
      <c r="E22" s="214"/>
      <c r="F22" s="216"/>
      <c r="G22" s="213"/>
      <c r="H22" s="252"/>
      <c r="Q22" s="5"/>
      <c r="R22" s="179"/>
      <c r="S22" s="188"/>
    </row>
    <row r="23" spans="1:19" ht="18.75">
      <c r="A23" s="213"/>
      <c r="B23" s="214"/>
      <c r="C23" s="215"/>
      <c r="D23" s="215"/>
      <c r="E23" s="214"/>
      <c r="F23" s="216"/>
      <c r="G23" s="213"/>
      <c r="H23" s="252"/>
      <c r="Q23" s="5"/>
      <c r="R23" s="179"/>
      <c r="S23" s="5"/>
    </row>
    <row r="24" spans="1:19" ht="18.75">
      <c r="A24" s="213"/>
      <c r="B24" s="214"/>
      <c r="C24" s="215"/>
      <c r="D24" s="215"/>
      <c r="E24" s="214"/>
      <c r="F24" s="216"/>
      <c r="G24" s="213"/>
      <c r="H24" s="251"/>
      <c r="Q24" s="5"/>
      <c r="R24" s="179"/>
      <c r="S24" s="5"/>
    </row>
    <row r="25" spans="1:19" ht="18.75">
      <c r="A25" s="213"/>
      <c r="B25" s="214"/>
      <c r="C25" s="215"/>
      <c r="D25" s="215"/>
      <c r="E25" s="214"/>
      <c r="F25" s="216"/>
      <c r="G25" s="213"/>
      <c r="H25" s="252"/>
      <c r="Q25" s="5"/>
      <c r="R25" s="179"/>
      <c r="S25" s="5"/>
    </row>
    <row r="26" spans="1:19" ht="18.75">
      <c r="A26" s="213"/>
      <c r="B26" s="214"/>
      <c r="C26" s="215"/>
      <c r="D26" s="215"/>
      <c r="E26" s="214"/>
      <c r="F26" s="216"/>
      <c r="G26" s="213"/>
      <c r="H26" s="252"/>
      <c r="Q26" s="5"/>
      <c r="R26" s="179"/>
      <c r="S26" s="5"/>
    </row>
    <row r="27" spans="1:19" ht="18.75">
      <c r="A27" s="213"/>
      <c r="B27" s="214"/>
      <c r="C27" s="215"/>
      <c r="D27" s="215"/>
      <c r="E27" s="214"/>
      <c r="F27" s="216"/>
      <c r="G27" s="213"/>
      <c r="H27" s="252"/>
      <c r="Q27" s="5"/>
      <c r="R27" s="179"/>
      <c r="S27" s="5"/>
    </row>
    <row r="28" spans="1:19" ht="18.75">
      <c r="A28" s="213"/>
      <c r="B28" s="214"/>
      <c r="C28" s="215"/>
      <c r="D28" s="215"/>
      <c r="E28" s="214"/>
      <c r="F28" s="216"/>
      <c r="G28" s="213"/>
      <c r="H28" s="252"/>
      <c r="Q28" s="5"/>
      <c r="R28" s="179"/>
      <c r="S28" s="5"/>
    </row>
    <row r="29" spans="1:19" ht="18.75">
      <c r="A29" s="213"/>
      <c r="B29" s="214"/>
      <c r="C29" s="215"/>
      <c r="D29" s="215"/>
      <c r="E29" s="214"/>
      <c r="F29" s="216"/>
      <c r="G29" s="213"/>
      <c r="H29" s="252"/>
      <c r="Q29" s="5"/>
      <c r="R29" s="179"/>
      <c r="S29" s="5"/>
    </row>
    <row r="30" spans="1:19" ht="18.75">
      <c r="A30" s="213"/>
      <c r="B30" s="214"/>
      <c r="C30" s="215"/>
      <c r="D30" s="215"/>
      <c r="E30" s="214"/>
      <c r="F30" s="216"/>
      <c r="G30" s="213"/>
      <c r="H30" s="252"/>
      <c r="Q30" s="5"/>
      <c r="R30" s="179"/>
      <c r="S30" s="5"/>
    </row>
    <row r="31" spans="1:19" ht="18.75">
      <c r="A31" s="213"/>
      <c r="B31" s="214"/>
      <c r="C31" s="215"/>
      <c r="D31" s="215"/>
      <c r="E31" s="214"/>
      <c r="F31" s="216"/>
      <c r="G31" s="213"/>
      <c r="H31" s="252"/>
      <c r="Q31" s="5"/>
      <c r="R31" s="179"/>
      <c r="S31" s="5"/>
    </row>
    <row r="32" spans="1:19" ht="18.75">
      <c r="A32" s="213"/>
      <c r="B32" s="214"/>
      <c r="C32" s="215"/>
      <c r="D32" s="215"/>
      <c r="E32" s="214"/>
      <c r="F32" s="216"/>
      <c r="G32" s="213"/>
      <c r="H32" s="252"/>
      <c r="Q32" s="5"/>
      <c r="R32" s="179"/>
      <c r="S32" s="5"/>
    </row>
    <row r="33" spans="1:19" ht="18.75">
      <c r="A33" s="213"/>
      <c r="B33" s="214"/>
      <c r="C33" s="213"/>
      <c r="D33" s="213"/>
      <c r="E33" s="214"/>
      <c r="F33" s="216"/>
      <c r="G33" s="213"/>
      <c r="H33" s="251"/>
      <c r="Q33" s="5"/>
      <c r="R33" s="179"/>
      <c r="S33" s="5"/>
    </row>
    <row r="34" spans="1:19" ht="18.75">
      <c r="A34" s="217"/>
      <c r="B34" s="214"/>
      <c r="C34" s="217"/>
      <c r="D34" s="217"/>
      <c r="E34" s="214"/>
      <c r="F34" s="216"/>
      <c r="G34" s="217"/>
      <c r="H34" s="252"/>
      <c r="Q34" s="5"/>
      <c r="R34" s="179"/>
      <c r="S34" s="5"/>
    </row>
    <row r="35" spans="1:19">
      <c r="A35" s="213"/>
      <c r="B35" s="214"/>
      <c r="C35" s="213"/>
      <c r="D35" s="213"/>
      <c r="E35" s="214"/>
      <c r="F35" s="216"/>
      <c r="G35" s="213"/>
      <c r="H35" s="252"/>
      <c r="Q35" s="5"/>
      <c r="R35" s="5"/>
      <c r="S35" s="5"/>
    </row>
    <row r="36" spans="1:19">
      <c r="A36" s="213"/>
      <c r="B36" s="214"/>
      <c r="C36" s="213"/>
      <c r="D36" s="213"/>
      <c r="E36" s="214"/>
      <c r="F36" s="216"/>
      <c r="G36" s="213"/>
      <c r="H36" s="252"/>
      <c r="Q36" s="5"/>
      <c r="R36" s="5"/>
      <c r="S36" s="5"/>
    </row>
    <row r="37" spans="1:19">
      <c r="A37" s="213"/>
      <c r="B37" s="214"/>
      <c r="C37" s="213"/>
      <c r="D37" s="213"/>
      <c r="E37" s="214"/>
      <c r="F37" s="216"/>
      <c r="G37" s="213"/>
      <c r="H37" s="251"/>
      <c r="Q37" s="5"/>
      <c r="R37" s="5"/>
      <c r="S37" s="5"/>
    </row>
    <row r="38" spans="1:19">
      <c r="A38" s="213"/>
      <c r="B38" s="214"/>
      <c r="C38" s="213"/>
      <c r="D38" s="213"/>
      <c r="E38" s="214"/>
      <c r="F38" s="216"/>
      <c r="G38" s="213"/>
      <c r="H38" s="252"/>
      <c r="Q38" s="5"/>
      <c r="R38" s="5"/>
      <c r="S38" s="5"/>
    </row>
    <row r="39" spans="1:19">
      <c r="A39" s="213"/>
      <c r="B39" s="214"/>
      <c r="C39" s="213"/>
      <c r="D39" s="213"/>
      <c r="E39" s="214"/>
      <c r="F39" s="216"/>
      <c r="G39" s="213"/>
      <c r="H39" s="251"/>
      <c r="Q39" s="5"/>
      <c r="R39" s="5"/>
      <c r="S39" s="5"/>
    </row>
    <row r="40" spans="1:19">
      <c r="A40" s="213"/>
      <c r="B40" s="214"/>
      <c r="C40" s="213"/>
      <c r="D40" s="213"/>
      <c r="E40" s="214"/>
      <c r="F40" s="216"/>
      <c r="G40" s="213"/>
      <c r="H40" s="252"/>
    </row>
    <row r="41" spans="1:19">
      <c r="A41" s="213"/>
      <c r="B41" s="214"/>
      <c r="C41" s="213"/>
      <c r="D41" s="213"/>
      <c r="E41" s="214"/>
      <c r="F41" s="216"/>
      <c r="G41" s="213"/>
      <c r="H41" s="252"/>
    </row>
    <row r="42" spans="1:19">
      <c r="A42" s="213"/>
      <c r="B42" s="214"/>
      <c r="C42" s="213"/>
      <c r="D42" s="213"/>
      <c r="E42" s="214"/>
      <c r="F42" s="216"/>
      <c r="G42" s="213"/>
      <c r="H42" s="252"/>
    </row>
    <row r="43" spans="1:19">
      <c r="A43" s="213"/>
      <c r="B43" s="214"/>
      <c r="C43" s="213"/>
      <c r="D43" s="213"/>
      <c r="E43" s="214"/>
      <c r="F43" s="216"/>
      <c r="G43" s="213"/>
      <c r="H43" s="252"/>
    </row>
    <row r="44" spans="1:19">
      <c r="A44" s="217"/>
      <c r="B44" s="214"/>
      <c r="C44" s="217"/>
      <c r="D44" s="217"/>
      <c r="E44" s="214"/>
      <c r="F44" s="216"/>
      <c r="G44" s="217"/>
      <c r="H44" s="252"/>
    </row>
    <row r="45" spans="1:19">
      <c r="A45" s="213"/>
      <c r="B45" s="214"/>
      <c r="C45" s="213"/>
      <c r="D45" s="213"/>
      <c r="E45" s="214"/>
      <c r="F45" s="216"/>
      <c r="G45" s="213"/>
      <c r="H45" s="252"/>
    </row>
    <row r="46" spans="1:19">
      <c r="A46" s="213"/>
      <c r="B46" s="214"/>
      <c r="C46" s="213"/>
      <c r="D46" s="213"/>
      <c r="E46" s="214"/>
      <c r="F46" s="216"/>
      <c r="G46" s="213"/>
      <c r="H46" s="252"/>
    </row>
    <row r="47" spans="1:19">
      <c r="A47" s="213"/>
      <c r="B47" s="214"/>
      <c r="C47" s="213"/>
      <c r="D47" s="213"/>
      <c r="E47" s="214"/>
      <c r="F47" s="216"/>
      <c r="G47" s="213"/>
      <c r="H47" s="251"/>
    </row>
    <row r="48" spans="1:19">
      <c r="A48" s="213"/>
      <c r="B48" s="214"/>
      <c r="C48" s="213"/>
      <c r="D48" s="213"/>
      <c r="E48" s="214"/>
      <c r="F48" s="216"/>
      <c r="G48" s="213"/>
      <c r="H48" s="252"/>
    </row>
    <row r="49" spans="1:8">
      <c r="A49" s="213"/>
      <c r="B49" s="214"/>
      <c r="C49" s="213"/>
      <c r="D49" s="213"/>
      <c r="E49" s="214"/>
      <c r="F49" s="216"/>
      <c r="G49" s="213"/>
      <c r="H49" s="252"/>
    </row>
    <row r="50" spans="1:8">
      <c r="A50" s="213"/>
      <c r="B50" s="214"/>
      <c r="C50" s="213"/>
      <c r="D50" s="213"/>
      <c r="E50" s="214"/>
      <c r="F50" s="216"/>
      <c r="G50" s="213"/>
      <c r="H50" s="252"/>
    </row>
    <row r="51" spans="1:8">
      <c r="A51" s="213"/>
      <c r="B51" s="214"/>
      <c r="C51" s="213"/>
      <c r="D51" s="213"/>
      <c r="E51" s="214"/>
      <c r="F51" s="216"/>
      <c r="G51" s="213"/>
      <c r="H51" s="252"/>
    </row>
    <row r="52" spans="1:8">
      <c r="A52" s="213"/>
      <c r="B52" s="214"/>
      <c r="C52" s="213"/>
      <c r="D52" s="213"/>
      <c r="E52" s="214"/>
      <c r="F52" s="216"/>
      <c r="G52" s="213"/>
      <c r="H52" s="252"/>
    </row>
    <row r="53" spans="1:8">
      <c r="A53" s="213"/>
      <c r="B53" s="214"/>
      <c r="C53" s="213"/>
      <c r="D53" s="213"/>
      <c r="E53" s="214"/>
      <c r="F53" s="216"/>
      <c r="G53" s="213"/>
      <c r="H53" s="252"/>
    </row>
    <row r="54" spans="1:8">
      <c r="A54" s="213"/>
      <c r="B54" s="214"/>
      <c r="C54" s="213"/>
      <c r="D54" s="213"/>
      <c r="E54" s="214"/>
      <c r="F54" s="216"/>
      <c r="G54" s="213"/>
      <c r="H54" s="252"/>
    </row>
    <row r="55" spans="1:8">
      <c r="A55" s="213"/>
      <c r="B55" s="214"/>
      <c r="C55" s="213"/>
      <c r="D55" s="213"/>
      <c r="E55" s="214"/>
      <c r="F55" s="216"/>
      <c r="G55" s="213"/>
      <c r="H55" s="252"/>
    </row>
    <row r="56" spans="1:8">
      <c r="A56" s="213"/>
      <c r="B56" s="214"/>
      <c r="C56" s="213"/>
      <c r="D56" s="213"/>
      <c r="E56" s="214"/>
      <c r="F56" s="216"/>
      <c r="G56" s="213"/>
      <c r="H56" s="252"/>
    </row>
    <row r="57" spans="1:8">
      <c r="A57" s="213"/>
      <c r="B57" s="214"/>
      <c r="C57" s="213"/>
      <c r="D57" s="213"/>
      <c r="E57" s="214"/>
      <c r="F57" s="216"/>
      <c r="G57" s="213"/>
      <c r="H57" s="252"/>
    </row>
    <row r="58" spans="1:8">
      <c r="A58" s="213"/>
      <c r="B58" s="214"/>
      <c r="C58" s="213"/>
      <c r="D58" s="213"/>
      <c r="E58" s="214"/>
      <c r="F58" s="216"/>
      <c r="G58" s="213"/>
      <c r="H58" s="252"/>
    </row>
    <row r="59" spans="1:8">
      <c r="A59" s="213"/>
      <c r="B59" s="214"/>
      <c r="C59" s="213"/>
      <c r="D59" s="213"/>
      <c r="E59" s="214"/>
      <c r="F59" s="216"/>
      <c r="G59" s="213"/>
      <c r="H59" s="252"/>
    </row>
    <row r="60" spans="1:8">
      <c r="A60" s="213"/>
      <c r="B60" s="214"/>
      <c r="C60" s="213"/>
      <c r="D60" s="213"/>
      <c r="E60" s="214"/>
      <c r="F60" s="216"/>
      <c r="G60" s="213"/>
      <c r="H60" s="252"/>
    </row>
    <row r="61" spans="1:8">
      <c r="A61" s="213"/>
      <c r="B61" s="214"/>
      <c r="C61" s="213"/>
      <c r="D61" s="213"/>
      <c r="E61" s="214"/>
      <c r="F61" s="216"/>
      <c r="G61" s="213"/>
      <c r="H61" s="252"/>
    </row>
    <row r="62" spans="1:8">
      <c r="A62" s="213"/>
      <c r="B62" s="214"/>
      <c r="C62" s="213"/>
      <c r="D62" s="213"/>
      <c r="E62" s="214"/>
      <c r="F62" s="216"/>
      <c r="G62" s="213"/>
      <c r="H62" s="252"/>
    </row>
    <row r="63" spans="1:8">
      <c r="A63" s="213"/>
      <c r="B63" s="214"/>
      <c r="C63" s="213"/>
      <c r="D63" s="213"/>
      <c r="E63" s="214"/>
      <c r="F63" s="216"/>
      <c r="G63" s="213"/>
      <c r="H63" s="252"/>
    </row>
    <row r="64" spans="1:8">
      <c r="A64" s="143"/>
      <c r="B64" s="173"/>
      <c r="C64" s="143"/>
      <c r="D64" s="143"/>
      <c r="E64" s="143"/>
      <c r="F64" s="143"/>
      <c r="G64" s="143"/>
      <c r="H64" s="253"/>
    </row>
    <row r="65" spans="1:7">
      <c r="A65" s="143"/>
      <c r="B65" s="173"/>
      <c r="C65" s="143"/>
      <c r="D65" s="143"/>
      <c r="E65" s="143"/>
      <c r="F65" s="143"/>
      <c r="G65" s="143"/>
    </row>
    <row r="66" spans="1:7">
      <c r="A66" s="143"/>
      <c r="B66" s="173"/>
      <c r="C66" s="143"/>
      <c r="D66" s="143"/>
      <c r="E66" s="143"/>
      <c r="F66" s="143"/>
      <c r="G66" s="143"/>
    </row>
    <row r="67" spans="1:7">
      <c r="A67" s="143"/>
      <c r="B67" s="173"/>
      <c r="C67" s="143"/>
      <c r="D67" s="143"/>
      <c r="E67" s="143"/>
      <c r="F67" s="143"/>
      <c r="G67" s="143"/>
    </row>
    <row r="68" spans="1:7">
      <c r="A68" s="143"/>
      <c r="B68" s="173"/>
      <c r="C68" s="143"/>
      <c r="D68" s="143"/>
      <c r="E68" s="143"/>
      <c r="F68" s="143"/>
      <c r="G68" s="143"/>
    </row>
    <row r="69" spans="1:7">
      <c r="A69" s="143"/>
      <c r="B69" s="173"/>
      <c r="C69" s="143"/>
      <c r="D69" s="143"/>
      <c r="E69" s="143"/>
      <c r="F69" s="143"/>
      <c r="G69" s="143"/>
    </row>
    <row r="70" spans="1:7">
      <c r="A70" s="143"/>
      <c r="B70" s="173"/>
      <c r="C70" s="143"/>
      <c r="D70" s="143"/>
      <c r="E70" s="143"/>
      <c r="F70" s="143"/>
      <c r="G70" s="143"/>
    </row>
    <row r="71" spans="1:7">
      <c r="A71" s="143"/>
      <c r="B71" s="173"/>
      <c r="C71" s="143"/>
      <c r="D71" s="143"/>
      <c r="E71" s="143"/>
      <c r="F71" s="143"/>
      <c r="G71" s="143"/>
    </row>
    <row r="72" spans="1:7">
      <c r="A72" s="143"/>
      <c r="B72" s="173"/>
      <c r="C72" s="143"/>
      <c r="D72" s="143"/>
      <c r="E72" s="143"/>
      <c r="F72" s="143"/>
      <c r="G72" s="143"/>
    </row>
    <row r="73" spans="1:7">
      <c r="A73" s="143"/>
      <c r="B73" s="173"/>
      <c r="C73" s="143"/>
      <c r="D73" s="143"/>
      <c r="E73" s="143"/>
      <c r="F73" s="143"/>
      <c r="G73" s="143"/>
    </row>
    <row r="74" spans="1:7">
      <c r="A74" s="143"/>
      <c r="B74" s="173"/>
      <c r="C74" s="143"/>
      <c r="D74" s="143"/>
      <c r="E74" s="143"/>
      <c r="F74" s="143"/>
      <c r="G74" s="143"/>
    </row>
    <row r="75" spans="1:7">
      <c r="A75" s="143"/>
      <c r="B75" s="173"/>
      <c r="C75" s="143"/>
      <c r="D75" s="143"/>
      <c r="E75" s="143"/>
      <c r="F75" s="143"/>
      <c r="G75" s="143"/>
    </row>
    <row r="76" spans="1:7">
      <c r="A76" s="143"/>
      <c r="B76" s="173"/>
      <c r="C76" s="143"/>
      <c r="D76" s="143"/>
      <c r="E76" s="143"/>
      <c r="F76" s="143"/>
      <c r="G76" s="143"/>
    </row>
    <row r="77" spans="1:7">
      <c r="A77" s="143"/>
      <c r="B77" s="173"/>
      <c r="C77" s="143"/>
      <c r="D77" s="143"/>
      <c r="E77" s="143"/>
      <c r="F77" s="143"/>
      <c r="G77" s="143"/>
    </row>
    <row r="78" spans="1:7">
      <c r="A78" s="143"/>
      <c r="B78" s="173"/>
      <c r="C78" s="143"/>
      <c r="D78" s="143"/>
      <c r="E78" s="143"/>
      <c r="F78" s="143"/>
      <c r="G78" s="143"/>
    </row>
    <row r="79" spans="1:7">
      <c r="A79" s="143"/>
      <c r="B79" s="173"/>
      <c r="C79" s="143"/>
      <c r="D79" s="143"/>
      <c r="E79" s="143"/>
      <c r="F79" s="143"/>
      <c r="G79" s="143"/>
    </row>
    <row r="80" spans="1:7">
      <c r="A80" s="143"/>
      <c r="B80" s="173"/>
      <c r="C80" s="143"/>
      <c r="D80" s="143"/>
      <c r="E80" s="143"/>
      <c r="F80" s="143"/>
      <c r="G80" s="143"/>
    </row>
    <row r="81" spans="1:7">
      <c r="A81" s="143"/>
      <c r="B81" s="173"/>
      <c r="C81" s="143"/>
      <c r="D81" s="143"/>
      <c r="E81" s="143"/>
      <c r="F81" s="143"/>
      <c r="G81" s="143"/>
    </row>
    <row r="82" spans="1:7">
      <c r="A82" s="143"/>
      <c r="B82" s="173"/>
      <c r="C82" s="143"/>
      <c r="D82" s="143"/>
      <c r="E82" s="143"/>
      <c r="F82" s="143"/>
      <c r="G82" s="143"/>
    </row>
    <row r="83" spans="1:7">
      <c r="A83" s="143"/>
      <c r="B83" s="173"/>
      <c r="C83" s="143"/>
      <c r="D83" s="143"/>
      <c r="E83" s="143"/>
      <c r="F83" s="143"/>
      <c r="G83" s="143"/>
    </row>
    <row r="84" spans="1:7">
      <c r="A84" s="143"/>
      <c r="B84" s="173"/>
      <c r="C84" s="143"/>
      <c r="D84" s="143"/>
      <c r="E84" s="143"/>
      <c r="F84" s="143"/>
      <c r="G84" s="143"/>
    </row>
    <row r="85" spans="1:7">
      <c r="A85" s="143"/>
      <c r="B85" s="173"/>
      <c r="C85" s="143"/>
      <c r="D85" s="143"/>
      <c r="E85" s="143"/>
      <c r="F85" s="143"/>
      <c r="G85" s="143"/>
    </row>
    <row r="86" spans="1:7">
      <c r="A86" s="143"/>
      <c r="B86" s="173"/>
      <c r="C86" s="143"/>
      <c r="D86" s="143"/>
      <c r="E86" s="143"/>
      <c r="F86" s="143"/>
      <c r="G86" s="143"/>
    </row>
    <row r="87" spans="1:7">
      <c r="A87" s="143"/>
      <c r="B87" s="173"/>
      <c r="C87" s="143"/>
      <c r="D87" s="143"/>
      <c r="E87" s="143"/>
      <c r="F87" s="143"/>
      <c r="G87" s="143"/>
    </row>
    <row r="88" spans="1:7">
      <c r="A88" s="143"/>
      <c r="B88" s="173"/>
      <c r="C88" s="143"/>
      <c r="D88" s="143"/>
      <c r="E88" s="143"/>
      <c r="F88" s="143"/>
      <c r="G88" s="143"/>
    </row>
    <row r="89" spans="1:7">
      <c r="A89" s="143"/>
      <c r="B89" s="173"/>
      <c r="C89" s="143"/>
      <c r="D89" s="143"/>
      <c r="E89" s="143"/>
      <c r="F89" s="143"/>
      <c r="G89" s="143"/>
    </row>
    <row r="90" spans="1:7">
      <c r="A90" s="143"/>
      <c r="B90" s="173"/>
      <c r="C90" s="143"/>
      <c r="D90" s="143"/>
      <c r="E90" s="143"/>
      <c r="F90" s="143"/>
      <c r="G90" s="143"/>
    </row>
    <row r="91" spans="1:7">
      <c r="A91" s="143"/>
      <c r="B91" s="173"/>
      <c r="C91" s="143"/>
      <c r="D91" s="143"/>
      <c r="E91" s="143"/>
      <c r="F91" s="143"/>
      <c r="G91" s="143"/>
    </row>
    <row r="92" spans="1:7">
      <c r="A92" s="143"/>
      <c r="B92" s="173"/>
      <c r="C92" s="143"/>
      <c r="D92" s="143"/>
      <c r="E92" s="143"/>
      <c r="F92" s="143"/>
      <c r="G92" s="143"/>
    </row>
    <row r="93" spans="1:7">
      <c r="A93" s="143"/>
      <c r="B93" s="173"/>
      <c r="C93" s="143"/>
      <c r="D93" s="143"/>
      <c r="E93" s="143"/>
      <c r="F93" s="143"/>
      <c r="G93" s="143"/>
    </row>
    <row r="94" spans="1:7">
      <c r="A94" s="143"/>
      <c r="B94" s="173"/>
      <c r="C94" s="143"/>
      <c r="D94" s="143"/>
      <c r="E94" s="143"/>
      <c r="F94" s="143"/>
      <c r="G94" s="143"/>
    </row>
    <row r="95" spans="1:7">
      <c r="A95" s="143"/>
      <c r="B95" s="173"/>
      <c r="C95" s="143"/>
      <c r="D95" s="143"/>
      <c r="E95" s="143"/>
      <c r="F95" s="143"/>
      <c r="G95" s="143"/>
    </row>
    <row r="96" spans="1:7">
      <c r="A96" s="143"/>
      <c r="B96" s="173"/>
      <c r="C96" s="143"/>
      <c r="D96" s="143"/>
      <c r="E96" s="143"/>
      <c r="F96" s="143"/>
      <c r="G96" s="143"/>
    </row>
    <row r="97" spans="1:7">
      <c r="A97" s="143"/>
      <c r="B97" s="173"/>
      <c r="C97" s="143"/>
      <c r="D97" s="143"/>
      <c r="E97" s="143"/>
      <c r="F97" s="143"/>
      <c r="G97" s="143"/>
    </row>
    <row r="98" spans="1:7">
      <c r="A98" s="143"/>
      <c r="B98" s="173"/>
      <c r="C98" s="143"/>
      <c r="D98" s="143"/>
      <c r="E98" s="143"/>
      <c r="F98" s="143"/>
      <c r="G98" s="143"/>
    </row>
    <row r="99" spans="1:7">
      <c r="A99" s="143"/>
      <c r="B99" s="173"/>
      <c r="C99" s="143"/>
      <c r="D99" s="143"/>
      <c r="E99" s="143"/>
      <c r="F99" s="143"/>
      <c r="G99" s="143"/>
    </row>
    <row r="100" spans="1:7">
      <c r="A100" s="143"/>
      <c r="B100" s="173"/>
      <c r="C100" s="143"/>
      <c r="D100" s="143"/>
      <c r="E100" s="143"/>
      <c r="F100" s="143"/>
      <c r="G100" s="143"/>
    </row>
    <row r="101" spans="1:7">
      <c r="A101" s="143"/>
      <c r="B101" s="173"/>
      <c r="C101" s="143"/>
      <c r="D101" s="143"/>
      <c r="E101" s="143"/>
      <c r="F101" s="143"/>
      <c r="G101" s="143"/>
    </row>
    <row r="102" spans="1:7">
      <c r="A102" s="143"/>
      <c r="B102" s="173"/>
      <c r="C102" s="143"/>
      <c r="D102" s="143"/>
      <c r="E102" s="143"/>
      <c r="F102" s="143"/>
      <c r="G102" s="143"/>
    </row>
    <row r="103" spans="1:7">
      <c r="A103" s="143"/>
      <c r="B103" s="173"/>
      <c r="C103" s="143"/>
      <c r="D103" s="143"/>
      <c r="E103" s="143"/>
      <c r="F103" s="143"/>
      <c r="G103" s="143"/>
    </row>
    <row r="104" spans="1:7">
      <c r="A104" s="143"/>
      <c r="B104" s="173"/>
      <c r="C104" s="143"/>
      <c r="D104" s="143"/>
      <c r="E104" s="143"/>
      <c r="F104" s="143"/>
      <c r="G104" s="143"/>
    </row>
    <row r="105" spans="1:7">
      <c r="A105" s="143"/>
      <c r="B105" s="173"/>
      <c r="C105" s="143"/>
      <c r="D105" s="143"/>
      <c r="E105" s="143"/>
      <c r="F105" s="143"/>
      <c r="G105" s="143"/>
    </row>
    <row r="106" spans="1:7">
      <c r="A106" s="143"/>
      <c r="B106" s="173"/>
      <c r="C106" s="143"/>
      <c r="D106" s="143"/>
      <c r="E106" s="143"/>
      <c r="F106" s="143"/>
      <c r="G106" s="143"/>
    </row>
    <row r="107" spans="1:7">
      <c r="A107" s="143"/>
      <c r="B107" s="173"/>
      <c r="C107" s="143"/>
      <c r="D107" s="143"/>
      <c r="E107" s="143"/>
      <c r="F107" s="143"/>
      <c r="G107" s="143"/>
    </row>
    <row r="108" spans="1:7">
      <c r="A108" s="143"/>
      <c r="B108" s="173"/>
      <c r="C108" s="143"/>
      <c r="D108" s="143"/>
      <c r="E108" s="143"/>
      <c r="F108" s="143"/>
      <c r="G108" s="143"/>
    </row>
    <row r="109" spans="1:7">
      <c r="A109" s="143"/>
      <c r="B109" s="173"/>
      <c r="C109" s="143"/>
      <c r="D109" s="143"/>
      <c r="E109" s="143"/>
      <c r="F109" s="143"/>
      <c r="G109" s="143"/>
    </row>
    <row r="110" spans="1:7">
      <c r="A110" s="143"/>
      <c r="B110" s="173"/>
      <c r="C110" s="143"/>
      <c r="D110" s="143"/>
      <c r="E110" s="143"/>
      <c r="F110" s="143"/>
      <c r="G110" s="143"/>
    </row>
    <row r="111" spans="1:7">
      <c r="A111" s="143"/>
      <c r="B111" s="173"/>
      <c r="C111" s="143"/>
      <c r="D111" s="143"/>
      <c r="E111" s="143"/>
      <c r="F111" s="143"/>
      <c r="G111" s="143"/>
    </row>
  </sheetData>
  <phoneticPr fontId="2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6600"/>
  </sheetPr>
  <dimension ref="A1:N116"/>
  <sheetViews>
    <sheetView zoomScaleNormal="100" workbookViewId="0">
      <selection activeCell="L14" sqref="L14"/>
    </sheetView>
  </sheetViews>
  <sheetFormatPr defaultRowHeight="15"/>
  <cols>
    <col min="1" max="1" width="27.85546875" style="189" bestFit="1" customWidth="1"/>
    <col min="2" max="3" width="23" style="189" customWidth="1"/>
    <col min="4" max="4" width="11.85546875" style="189" customWidth="1"/>
    <col min="5" max="5" width="12.42578125" style="178" customWidth="1"/>
    <col min="6" max="6" width="15.85546875" style="189" customWidth="1"/>
    <col min="7" max="7" width="13" style="182" customWidth="1"/>
    <col min="8" max="8" width="11" style="178" customWidth="1"/>
    <col min="9" max="9" width="26.42578125" style="178" customWidth="1"/>
    <col min="10" max="10" width="15.85546875" style="178" customWidth="1"/>
    <col min="11" max="12" width="20.42578125" style="191" customWidth="1"/>
    <col min="13" max="14" width="11" style="178" customWidth="1"/>
    <col min="15" max="16384" width="9.140625" style="178"/>
  </cols>
  <sheetData>
    <row r="1" spans="1:14" s="176" customFormat="1" ht="42" customHeight="1">
      <c r="A1" s="191" t="s">
        <v>265</v>
      </c>
      <c r="B1" s="191" t="s">
        <v>267</v>
      </c>
      <c r="C1" s="191" t="s">
        <v>266</v>
      </c>
      <c r="D1" s="191" t="s">
        <v>259</v>
      </c>
      <c r="E1" s="176" t="s">
        <v>260</v>
      </c>
      <c r="F1" s="191" t="s">
        <v>222</v>
      </c>
      <c r="G1" s="177" t="s">
        <v>406</v>
      </c>
      <c r="H1" s="176" t="s">
        <v>264</v>
      </c>
      <c r="I1" s="176" t="s">
        <v>369</v>
      </c>
      <c r="J1" s="176" t="s">
        <v>400</v>
      </c>
      <c r="K1" s="191"/>
      <c r="M1" s="175"/>
      <c r="N1" s="175"/>
    </row>
    <row r="2" spans="1:14">
      <c r="A2" s="189" t="s">
        <v>449</v>
      </c>
      <c r="B2" s="220" t="s">
        <v>426</v>
      </c>
      <c r="C2" s="220" t="s">
        <v>429</v>
      </c>
      <c r="D2" s="189">
        <v>138</v>
      </c>
      <c r="E2" s="186"/>
      <c r="F2" s="189">
        <v>14</v>
      </c>
      <c r="G2" s="183">
        <v>10000</v>
      </c>
      <c r="H2" s="186" cm="1">
        <f t="array" ref="H2">_xlfn.IFS($D2=138,$F2*0.5,$D2=240,$F2*0.4,$D2=400,$F2*0.3,$D2=500,$F2*0.3)</f>
        <v>7</v>
      </c>
      <c r="I2" s="186"/>
      <c r="J2" s="187"/>
      <c r="L2" s="220" t="s">
        <v>429</v>
      </c>
      <c r="M2" s="185"/>
      <c r="N2" s="185"/>
    </row>
    <row r="3" spans="1:14">
      <c r="A3" s="189" t="s">
        <v>450</v>
      </c>
      <c r="B3" s="220" t="s">
        <v>426</v>
      </c>
      <c r="C3" s="220" t="s">
        <v>429</v>
      </c>
      <c r="D3" s="189">
        <v>138</v>
      </c>
      <c r="E3" s="186"/>
      <c r="F3" s="189">
        <v>14</v>
      </c>
      <c r="G3" s="183">
        <v>10000</v>
      </c>
      <c r="H3" s="186" cm="1">
        <f t="array" ref="H3">_xlfn.IFS($D3=138,$F3*0.5,$D3=240,$F3*0.4,$D3=400,$F3*0.3,$D3=500,$F3*0.3)</f>
        <v>7</v>
      </c>
      <c r="I3" s="186"/>
      <c r="J3" s="187"/>
      <c r="L3" s="220" t="s">
        <v>427</v>
      </c>
      <c r="M3" s="185"/>
      <c r="N3" s="185"/>
    </row>
    <row r="4" spans="1:14">
      <c r="A4" s="189" t="s">
        <v>451</v>
      </c>
      <c r="B4" s="220" t="s">
        <v>429</v>
      </c>
      <c r="C4" s="220" t="s">
        <v>427</v>
      </c>
      <c r="D4" s="189">
        <v>138</v>
      </c>
      <c r="E4" s="186"/>
      <c r="F4" s="189">
        <v>10</v>
      </c>
      <c r="G4" s="183">
        <v>10000</v>
      </c>
      <c r="H4" s="186" cm="1">
        <f t="array" ref="H4">_xlfn.IFS($D4=138,$F4*0.5,$D4=240,$F4*0.4,$D4=400,$F4*0.3,$D4=500,$F4*0.3)</f>
        <v>5</v>
      </c>
      <c r="I4" s="186"/>
      <c r="J4" s="187"/>
      <c r="L4" s="220" t="s">
        <v>428</v>
      </c>
      <c r="M4" s="185"/>
      <c r="N4" s="185"/>
    </row>
    <row r="5" spans="1:14">
      <c r="A5" s="189" t="s">
        <v>452</v>
      </c>
      <c r="B5" s="220" t="s">
        <v>429</v>
      </c>
      <c r="C5" s="220" t="s">
        <v>427</v>
      </c>
      <c r="D5" s="189">
        <v>138</v>
      </c>
      <c r="E5" s="186"/>
      <c r="F5" s="189">
        <v>10</v>
      </c>
      <c r="G5" s="183">
        <v>10000</v>
      </c>
      <c r="H5" s="186" cm="1">
        <f t="array" ref="H5">_xlfn.IFS($D5=138,$F5*0.5,$D5=240,$F5*0.4,$D5=400,$F5*0.3,$D5=500,$F5*0.3)</f>
        <v>5</v>
      </c>
      <c r="I5" s="186"/>
      <c r="J5" s="187"/>
      <c r="L5" s="220" t="s">
        <v>430</v>
      </c>
      <c r="M5" s="185"/>
      <c r="N5" s="185"/>
    </row>
    <row r="6" spans="1:14">
      <c r="A6" s="189" t="s">
        <v>470</v>
      </c>
      <c r="B6" s="220" t="s">
        <v>426</v>
      </c>
      <c r="C6" s="220" t="s">
        <v>428</v>
      </c>
      <c r="D6" s="189">
        <v>138</v>
      </c>
      <c r="E6" s="186"/>
      <c r="F6" s="189">
        <v>60</v>
      </c>
      <c r="G6" s="183">
        <v>10000</v>
      </c>
      <c r="H6" s="186" cm="1">
        <f t="array" ref="H6">_xlfn.IFS($D6=138,$F6*0.5,$D6=240,$F6*0.4,$D6=400,$F6*0.3,$D6=500,$F6*0.3)</f>
        <v>30</v>
      </c>
      <c r="I6" s="186"/>
      <c r="J6" s="187"/>
      <c r="L6" s="220" t="s">
        <v>426</v>
      </c>
      <c r="M6" s="185"/>
      <c r="N6" s="185"/>
    </row>
    <row r="7" spans="1:14">
      <c r="A7" s="189" t="s">
        <v>471</v>
      </c>
      <c r="B7" s="220" t="s">
        <v>429</v>
      </c>
      <c r="C7" s="220" t="s">
        <v>430</v>
      </c>
      <c r="D7" s="189">
        <v>138</v>
      </c>
      <c r="E7" s="186"/>
      <c r="F7" s="189">
        <v>9</v>
      </c>
      <c r="G7" s="183">
        <v>10000</v>
      </c>
      <c r="H7" s="186" cm="1">
        <f t="array" ref="H7">_xlfn.IFS($D7=138,$F7*0.5,$D7=240,$F7*0.4,$D7=400,$F7*0.3,$D7=500,$F7*0.3)</f>
        <v>4.5</v>
      </c>
      <c r="I7" s="186"/>
      <c r="J7" s="187"/>
      <c r="L7" s="220" t="s">
        <v>431</v>
      </c>
      <c r="M7" s="185"/>
      <c r="N7" s="185"/>
    </row>
    <row r="8" spans="1:14">
      <c r="A8" s="189" t="s">
        <v>472</v>
      </c>
      <c r="B8" s="220" t="s">
        <v>429</v>
      </c>
      <c r="C8" s="220" t="s">
        <v>430</v>
      </c>
      <c r="D8" s="189">
        <v>138</v>
      </c>
      <c r="E8" s="186"/>
      <c r="F8" s="189">
        <v>9</v>
      </c>
      <c r="G8" s="183">
        <v>10000</v>
      </c>
      <c r="H8" s="186" cm="1">
        <f t="array" ref="H8">_xlfn.IFS($D8=138,$F8*0.5,$D8=240,$F8*0.4,$D8=400,$F8*0.3,$D8=500,$F8*0.3)</f>
        <v>4.5</v>
      </c>
      <c r="I8" s="186"/>
      <c r="J8" s="187"/>
      <c r="L8" s="220" t="s">
        <v>425</v>
      </c>
      <c r="M8" s="185"/>
      <c r="N8" s="185"/>
    </row>
    <row r="9" spans="1:14">
      <c r="A9" s="189" t="s">
        <v>453</v>
      </c>
      <c r="B9" s="220" t="s">
        <v>428</v>
      </c>
      <c r="C9" s="220" t="s">
        <v>431</v>
      </c>
      <c r="D9" s="189">
        <v>138</v>
      </c>
      <c r="E9" s="186"/>
      <c r="F9" s="189">
        <v>16</v>
      </c>
      <c r="G9" s="183">
        <v>10000</v>
      </c>
      <c r="H9" s="186" cm="1">
        <f t="array" ref="H9">_xlfn.IFS($D9=138,$F9*0.5,$D9=240,$F9*0.4,$D9=400,$F9*0.3,$D9=500,$F9*0.3)</f>
        <v>8</v>
      </c>
      <c r="I9" s="186"/>
      <c r="J9" s="187"/>
      <c r="L9" s="218"/>
      <c r="M9" s="185"/>
      <c r="N9" s="185"/>
    </row>
    <row r="10" spans="1:14">
      <c r="A10" s="189" t="s">
        <v>454</v>
      </c>
      <c r="B10" s="220" t="s">
        <v>429</v>
      </c>
      <c r="C10" s="220" t="s">
        <v>425</v>
      </c>
      <c r="D10" s="189">
        <v>138</v>
      </c>
      <c r="E10" s="186"/>
      <c r="F10" s="189">
        <v>40</v>
      </c>
      <c r="G10" s="183">
        <v>10000</v>
      </c>
      <c r="H10" s="186" cm="1">
        <f t="array" ref="H10">_xlfn.IFS($D10=138,$F10*0.5,$D10=240,$F10*0.4,$D10=400,$F10*0.3,$D10=500,$F10*0.3)</f>
        <v>20</v>
      </c>
      <c r="I10" s="186"/>
      <c r="J10" s="187"/>
      <c r="L10" s="220" t="s">
        <v>424</v>
      </c>
      <c r="M10" s="185"/>
      <c r="N10" s="185"/>
    </row>
    <row r="11" spans="1:14">
      <c r="A11" s="189" t="s">
        <v>455</v>
      </c>
      <c r="B11" s="220" t="s">
        <v>429</v>
      </c>
      <c r="C11" s="220" t="s">
        <v>425</v>
      </c>
      <c r="D11" s="189">
        <v>138</v>
      </c>
      <c r="E11" s="186"/>
      <c r="F11" s="189">
        <v>40</v>
      </c>
      <c r="G11" s="183">
        <v>10000</v>
      </c>
      <c r="H11" s="186" cm="1">
        <f t="array" ref="H11">_xlfn.IFS($D11=138,$F11*0.5,$D11=240,$F11*0.4,$D11=400,$F11*0.3,$D11=500,$F11*0.3)</f>
        <v>20</v>
      </c>
      <c r="I11" s="186"/>
      <c r="J11" s="187"/>
      <c r="L11" s="218"/>
      <c r="M11" s="185"/>
      <c r="N11" s="185"/>
    </row>
    <row r="12" spans="1:14">
      <c r="E12" s="186"/>
      <c r="G12" s="183"/>
      <c r="H12" s="186"/>
      <c r="I12" s="186"/>
      <c r="J12" s="187"/>
      <c r="L12" s="218"/>
      <c r="M12" s="185"/>
      <c r="N12" s="185"/>
    </row>
    <row r="13" spans="1:14">
      <c r="E13" s="186"/>
      <c r="G13" s="183"/>
      <c r="H13" s="186"/>
      <c r="I13" s="186"/>
      <c r="J13" s="187"/>
      <c r="L13" s="218"/>
      <c r="M13" s="185"/>
      <c r="N13" s="185"/>
    </row>
    <row r="14" spans="1:14">
      <c r="A14" s="190"/>
      <c r="D14" s="190"/>
      <c r="E14" s="182"/>
      <c r="G14" s="183"/>
      <c r="H14" s="182"/>
      <c r="I14" s="182"/>
      <c r="J14" s="187"/>
      <c r="L14" s="218"/>
      <c r="M14" s="185"/>
      <c r="N14" s="185"/>
    </row>
    <row r="15" spans="1:14">
      <c r="A15" s="190"/>
      <c r="D15" s="190"/>
      <c r="E15" s="182"/>
      <c r="G15" s="183"/>
      <c r="H15" s="182"/>
      <c r="I15" s="182"/>
      <c r="J15" s="187"/>
      <c r="M15" s="185"/>
      <c r="N15" s="185"/>
    </row>
    <row r="16" spans="1:14">
      <c r="A16" s="190"/>
      <c r="D16" s="190"/>
      <c r="E16" s="182"/>
      <c r="G16" s="183"/>
      <c r="H16" s="182"/>
      <c r="I16" s="182"/>
      <c r="J16" s="187"/>
      <c r="M16" s="185"/>
      <c r="N16" s="185"/>
    </row>
    <row r="17" spans="1:14">
      <c r="A17" s="190"/>
      <c r="D17" s="190"/>
      <c r="E17" s="182"/>
      <c r="G17" s="183"/>
      <c r="H17" s="182"/>
      <c r="I17" s="182"/>
      <c r="J17" s="187"/>
      <c r="M17" s="185"/>
      <c r="N17" s="185"/>
    </row>
    <row r="18" spans="1:14">
      <c r="A18" s="190"/>
      <c r="D18" s="190"/>
      <c r="E18" s="182"/>
      <c r="G18" s="183"/>
      <c r="H18" s="182"/>
      <c r="I18" s="182"/>
      <c r="J18" s="187"/>
      <c r="M18" s="185"/>
      <c r="N18" s="185"/>
    </row>
    <row r="19" spans="1:14">
      <c r="A19" s="190"/>
      <c r="D19" s="190"/>
      <c r="E19" s="182"/>
      <c r="G19" s="183"/>
      <c r="H19" s="182"/>
      <c r="I19" s="182"/>
      <c r="J19" s="187"/>
      <c r="M19" s="185"/>
      <c r="N19" s="185"/>
    </row>
    <row r="20" spans="1:14">
      <c r="A20" s="190"/>
      <c r="D20" s="190"/>
      <c r="E20" s="182"/>
      <c r="G20" s="183"/>
      <c r="H20" s="182"/>
      <c r="I20" s="182"/>
      <c r="J20" s="187"/>
      <c r="M20" s="185"/>
      <c r="N20" s="185"/>
    </row>
    <row r="21" spans="1:14">
      <c r="A21" s="190"/>
      <c r="D21" s="190"/>
      <c r="E21" s="182"/>
      <c r="G21" s="183"/>
      <c r="H21" s="182"/>
      <c r="I21" s="182"/>
      <c r="J21" s="187"/>
      <c r="M21" s="185"/>
      <c r="N21" s="185"/>
    </row>
    <row r="22" spans="1:14">
      <c r="A22" s="190"/>
      <c r="D22" s="190"/>
      <c r="E22" s="182"/>
      <c r="G22" s="183"/>
      <c r="H22" s="182"/>
      <c r="I22" s="182"/>
      <c r="J22" s="187"/>
      <c r="M22" s="185"/>
      <c r="N22" s="185"/>
    </row>
    <row r="23" spans="1:14">
      <c r="A23" s="190"/>
      <c r="D23" s="190"/>
      <c r="E23" s="182"/>
      <c r="G23" s="183"/>
      <c r="H23" s="182"/>
      <c r="I23" s="182"/>
      <c r="J23" s="187"/>
      <c r="M23" s="185"/>
      <c r="N23" s="185"/>
    </row>
    <row r="24" spans="1:14">
      <c r="A24" s="190"/>
      <c r="D24" s="192"/>
      <c r="E24" s="184"/>
      <c r="G24" s="183"/>
      <c r="H24" s="182"/>
      <c r="I24" s="182"/>
      <c r="J24" s="187"/>
      <c r="M24" s="185"/>
      <c r="N24" s="185"/>
    </row>
    <row r="25" spans="1:14">
      <c r="A25" s="190"/>
      <c r="D25" s="190"/>
      <c r="E25" s="182"/>
      <c r="G25" s="183"/>
      <c r="H25" s="182"/>
      <c r="I25" s="182"/>
      <c r="J25" s="187"/>
      <c r="M25" s="185"/>
      <c r="N25" s="185"/>
    </row>
    <row r="26" spans="1:14">
      <c r="A26" s="190"/>
      <c r="D26" s="190"/>
      <c r="E26" s="182"/>
      <c r="G26" s="183"/>
      <c r="H26" s="182"/>
      <c r="I26" s="182"/>
      <c r="J26" s="187"/>
      <c r="M26" s="185"/>
      <c r="N26" s="185"/>
    </row>
    <row r="27" spans="1:14">
      <c r="A27" s="190"/>
      <c r="D27" s="190"/>
      <c r="E27" s="182"/>
      <c r="G27" s="183"/>
      <c r="H27" s="182"/>
      <c r="I27" s="182"/>
      <c r="J27" s="187"/>
      <c r="M27" s="185"/>
      <c r="N27" s="185"/>
    </row>
    <row r="28" spans="1:14">
      <c r="A28" s="190"/>
      <c r="D28" s="190"/>
      <c r="E28" s="182"/>
      <c r="G28" s="183"/>
      <c r="H28" s="182"/>
      <c r="I28" s="182"/>
      <c r="J28" s="187"/>
      <c r="M28" s="185"/>
      <c r="N28" s="185"/>
    </row>
    <row r="29" spans="1:14">
      <c r="A29" s="190"/>
      <c r="D29" s="190"/>
      <c r="E29" s="182"/>
      <c r="G29" s="183"/>
      <c r="H29" s="182"/>
      <c r="I29" s="182"/>
      <c r="J29" s="187"/>
      <c r="M29" s="185"/>
      <c r="N29" s="185"/>
    </row>
    <row r="30" spans="1:14">
      <c r="A30" s="190"/>
      <c r="D30" s="190"/>
      <c r="E30" s="182"/>
      <c r="G30" s="183"/>
      <c r="H30" s="182"/>
      <c r="I30" s="182"/>
      <c r="J30" s="187"/>
      <c r="M30" s="185"/>
      <c r="N30" s="185"/>
    </row>
    <row r="31" spans="1:14">
      <c r="A31" s="190"/>
      <c r="D31" s="190"/>
      <c r="E31" s="182"/>
      <c r="G31" s="183"/>
      <c r="H31" s="182"/>
      <c r="I31" s="182"/>
      <c r="J31" s="187"/>
      <c r="M31" s="185"/>
      <c r="N31" s="185"/>
    </row>
    <row r="32" spans="1:14">
      <c r="A32" s="190"/>
      <c r="D32" s="190"/>
      <c r="E32" s="182"/>
      <c r="G32" s="183"/>
      <c r="H32" s="182"/>
      <c r="I32" s="182"/>
      <c r="J32" s="187"/>
      <c r="M32" s="185"/>
      <c r="N32" s="185"/>
    </row>
    <row r="33" spans="1:14">
      <c r="A33" s="190"/>
      <c r="D33" s="190"/>
      <c r="E33" s="182"/>
      <c r="G33" s="183"/>
      <c r="H33" s="182"/>
      <c r="I33" s="182"/>
      <c r="J33" s="187"/>
      <c r="M33" s="185"/>
      <c r="N33" s="185"/>
    </row>
    <row r="34" spans="1:14">
      <c r="A34" s="190"/>
      <c r="D34" s="190"/>
      <c r="E34" s="182"/>
      <c r="G34" s="183"/>
      <c r="H34" s="182"/>
      <c r="I34" s="182"/>
      <c r="J34" s="187"/>
      <c r="M34" s="185"/>
      <c r="N34" s="185"/>
    </row>
    <row r="35" spans="1:14">
      <c r="A35" s="190"/>
      <c r="D35" s="190"/>
      <c r="E35" s="182"/>
      <c r="G35" s="183"/>
      <c r="H35" s="182"/>
      <c r="I35" s="182"/>
      <c r="J35" s="187"/>
      <c r="M35" s="185"/>
      <c r="N35" s="185"/>
    </row>
    <row r="36" spans="1:14">
      <c r="A36" s="190"/>
      <c r="D36" s="190"/>
      <c r="E36" s="182"/>
      <c r="G36" s="183"/>
      <c r="H36" s="182"/>
      <c r="I36" s="182"/>
      <c r="J36" s="187"/>
      <c r="M36" s="185"/>
      <c r="N36" s="185"/>
    </row>
    <row r="37" spans="1:14">
      <c r="A37" s="190"/>
      <c r="D37" s="190"/>
      <c r="E37" s="182"/>
      <c r="G37" s="183"/>
      <c r="H37" s="182"/>
      <c r="I37" s="182"/>
      <c r="J37" s="187"/>
      <c r="M37" s="185"/>
      <c r="N37" s="185"/>
    </row>
    <row r="38" spans="1:14">
      <c r="A38" s="190"/>
      <c r="D38" s="190"/>
      <c r="E38" s="182"/>
      <c r="G38" s="183"/>
      <c r="H38" s="182"/>
      <c r="I38" s="182"/>
      <c r="J38" s="187"/>
      <c r="M38" s="185"/>
      <c r="N38" s="185"/>
    </row>
    <row r="39" spans="1:14">
      <c r="A39" s="190"/>
      <c r="D39" s="190"/>
      <c r="E39" s="182"/>
      <c r="G39" s="183"/>
      <c r="H39" s="182"/>
      <c r="I39" s="182"/>
      <c r="J39" s="187"/>
      <c r="M39" s="185"/>
      <c r="N39" s="185"/>
    </row>
    <row r="40" spans="1:14">
      <c r="A40" s="190"/>
      <c r="D40" s="190"/>
      <c r="E40" s="182"/>
      <c r="G40" s="183"/>
      <c r="H40" s="182"/>
      <c r="I40" s="182"/>
      <c r="J40" s="187"/>
      <c r="M40" s="185"/>
      <c r="N40" s="185"/>
    </row>
    <row r="41" spans="1:14">
      <c r="A41" s="190"/>
      <c r="D41" s="190"/>
      <c r="E41" s="182"/>
      <c r="G41" s="183"/>
      <c r="H41" s="182"/>
      <c r="I41" s="182"/>
      <c r="J41" s="187"/>
      <c r="M41" s="185"/>
      <c r="N41" s="185"/>
    </row>
    <row r="42" spans="1:14">
      <c r="A42" s="190"/>
      <c r="D42" s="190"/>
      <c r="E42" s="182"/>
      <c r="G42" s="183"/>
      <c r="H42" s="182"/>
      <c r="I42" s="182"/>
      <c r="J42" s="187"/>
      <c r="M42" s="185"/>
      <c r="N42" s="185"/>
    </row>
    <row r="43" spans="1:14">
      <c r="A43" s="190"/>
      <c r="D43" s="190"/>
      <c r="E43" s="182"/>
      <c r="G43" s="183"/>
      <c r="H43" s="182"/>
      <c r="I43" s="182"/>
      <c r="J43" s="187"/>
      <c r="M43" s="185"/>
      <c r="N43" s="185"/>
    </row>
    <row r="44" spans="1:14">
      <c r="A44" s="190"/>
      <c r="D44" s="190"/>
      <c r="E44" s="182"/>
      <c r="G44" s="183"/>
      <c r="H44" s="182"/>
      <c r="I44" s="182"/>
      <c r="J44" s="187"/>
      <c r="M44" s="185"/>
      <c r="N44" s="185"/>
    </row>
    <row r="45" spans="1:14">
      <c r="A45" s="190"/>
      <c r="D45" s="190"/>
      <c r="E45" s="182"/>
      <c r="G45" s="183"/>
      <c r="H45" s="182"/>
      <c r="I45" s="182"/>
      <c r="J45" s="187"/>
      <c r="M45" s="185"/>
      <c r="N45" s="185"/>
    </row>
    <row r="46" spans="1:14">
      <c r="A46" s="190"/>
      <c r="D46" s="190"/>
      <c r="E46" s="182"/>
      <c r="G46" s="183"/>
      <c r="H46" s="182"/>
      <c r="I46" s="182"/>
      <c r="J46" s="187"/>
      <c r="M46" s="185"/>
      <c r="N46" s="185"/>
    </row>
    <row r="47" spans="1:14">
      <c r="A47" s="190"/>
      <c r="D47" s="190"/>
      <c r="E47" s="182"/>
      <c r="G47" s="183"/>
      <c r="H47" s="182"/>
      <c r="I47" s="182"/>
      <c r="J47" s="187"/>
      <c r="M47" s="185"/>
      <c r="N47" s="185"/>
    </row>
    <row r="48" spans="1:14">
      <c r="A48" s="190"/>
      <c r="D48" s="190"/>
      <c r="E48" s="182"/>
      <c r="G48" s="183"/>
      <c r="H48" s="182"/>
      <c r="I48" s="182"/>
      <c r="J48" s="187"/>
      <c r="M48" s="185"/>
      <c r="N48" s="185"/>
    </row>
    <row r="49" spans="1:14">
      <c r="A49" s="190"/>
      <c r="D49" s="190"/>
      <c r="E49" s="182"/>
      <c r="G49" s="183"/>
      <c r="H49" s="182"/>
      <c r="I49" s="182"/>
      <c r="J49" s="187"/>
      <c r="M49" s="185"/>
      <c r="N49" s="185"/>
    </row>
    <row r="50" spans="1:14">
      <c r="A50" s="190"/>
      <c r="D50" s="190"/>
      <c r="E50" s="182"/>
      <c r="G50" s="183"/>
      <c r="H50" s="182"/>
      <c r="I50" s="182"/>
      <c r="J50" s="187"/>
      <c r="M50" s="185"/>
      <c r="N50" s="185"/>
    </row>
    <row r="51" spans="1:14">
      <c r="A51" s="190"/>
      <c r="D51" s="190"/>
      <c r="E51" s="182"/>
      <c r="G51" s="183"/>
      <c r="H51" s="182"/>
      <c r="I51" s="182"/>
      <c r="J51" s="187"/>
      <c r="M51" s="185"/>
      <c r="N51" s="185"/>
    </row>
    <row r="52" spans="1:14">
      <c r="A52" s="190"/>
      <c r="D52" s="190"/>
      <c r="E52" s="182"/>
      <c r="G52" s="183"/>
      <c r="H52" s="182"/>
      <c r="I52" s="182"/>
      <c r="J52" s="187"/>
      <c r="M52" s="185"/>
      <c r="N52" s="185"/>
    </row>
    <row r="53" spans="1:14">
      <c r="A53" s="190"/>
      <c r="D53" s="190"/>
      <c r="E53" s="182"/>
      <c r="G53" s="183"/>
      <c r="H53" s="182"/>
      <c r="I53" s="182"/>
      <c r="J53" s="187"/>
      <c r="M53" s="185"/>
      <c r="N53" s="185"/>
    </row>
    <row r="54" spans="1:14">
      <c r="A54" s="190"/>
      <c r="D54" s="190"/>
      <c r="E54" s="182"/>
      <c r="G54" s="183"/>
      <c r="H54" s="182"/>
      <c r="I54" s="182"/>
      <c r="J54" s="187"/>
      <c r="M54" s="185"/>
      <c r="N54" s="185"/>
    </row>
    <row r="55" spans="1:14">
      <c r="A55" s="190"/>
      <c r="D55" s="190"/>
      <c r="E55" s="182"/>
      <c r="G55" s="183"/>
      <c r="H55" s="182"/>
      <c r="I55" s="182"/>
      <c r="J55" s="187"/>
      <c r="M55" s="185"/>
      <c r="N55" s="185"/>
    </row>
    <row r="56" spans="1:14">
      <c r="A56" s="190"/>
      <c r="D56" s="190"/>
      <c r="E56" s="182"/>
      <c r="G56" s="183"/>
      <c r="H56" s="182"/>
      <c r="I56" s="182"/>
      <c r="J56" s="187"/>
      <c r="M56" s="185"/>
      <c r="N56" s="185"/>
    </row>
    <row r="57" spans="1:14">
      <c r="A57" s="190"/>
      <c r="D57" s="190"/>
      <c r="E57" s="182"/>
      <c r="G57" s="183"/>
      <c r="H57" s="182"/>
      <c r="I57" s="182"/>
      <c r="J57" s="187"/>
      <c r="M57" s="185"/>
      <c r="N57" s="185"/>
    </row>
    <row r="58" spans="1:14">
      <c r="A58" s="190"/>
      <c r="D58" s="190"/>
      <c r="E58" s="182"/>
      <c r="G58" s="183"/>
      <c r="H58" s="182"/>
      <c r="I58" s="182"/>
      <c r="J58" s="187"/>
      <c r="M58" s="185"/>
      <c r="N58" s="185"/>
    </row>
    <row r="59" spans="1:14">
      <c r="A59" s="190"/>
      <c r="D59" s="190"/>
      <c r="E59" s="182"/>
      <c r="G59" s="183"/>
      <c r="H59" s="182"/>
      <c r="I59" s="182"/>
      <c r="J59" s="187"/>
      <c r="M59" s="185"/>
      <c r="N59" s="185"/>
    </row>
    <row r="60" spans="1:14">
      <c r="A60" s="190"/>
      <c r="D60" s="190"/>
      <c r="E60" s="182"/>
      <c r="G60" s="183"/>
      <c r="H60" s="182"/>
      <c r="I60" s="182"/>
      <c r="J60" s="187"/>
      <c r="M60" s="185"/>
      <c r="N60" s="185"/>
    </row>
    <row r="61" spans="1:14">
      <c r="A61" s="190"/>
      <c r="D61" s="190"/>
      <c r="E61" s="182"/>
      <c r="G61" s="183"/>
      <c r="H61" s="182"/>
      <c r="I61" s="182"/>
      <c r="J61" s="187"/>
      <c r="M61" s="185"/>
      <c r="N61" s="185"/>
    </row>
    <row r="62" spans="1:14">
      <c r="A62" s="190"/>
      <c r="D62" s="190"/>
      <c r="E62" s="182"/>
      <c r="G62" s="183"/>
      <c r="H62" s="182"/>
      <c r="I62" s="182"/>
      <c r="J62" s="187"/>
      <c r="M62" s="185"/>
      <c r="N62" s="185"/>
    </row>
    <row r="63" spans="1:14">
      <c r="A63" s="190"/>
      <c r="D63" s="190"/>
      <c r="E63" s="182"/>
      <c r="G63" s="183"/>
      <c r="H63" s="182"/>
      <c r="I63" s="182"/>
      <c r="J63" s="187"/>
      <c r="M63" s="185"/>
      <c r="N63" s="185"/>
    </row>
    <row r="64" spans="1:14">
      <c r="A64" s="190"/>
      <c r="D64" s="190"/>
      <c r="E64" s="182"/>
      <c r="G64" s="183"/>
      <c r="H64" s="182"/>
      <c r="I64" s="182"/>
      <c r="J64" s="187"/>
      <c r="M64" s="185"/>
      <c r="N64" s="185"/>
    </row>
    <row r="65" spans="1:14">
      <c r="A65" s="190"/>
      <c r="D65" s="190"/>
      <c r="E65" s="182"/>
      <c r="G65" s="183"/>
      <c r="H65" s="182"/>
      <c r="I65" s="182"/>
      <c r="J65" s="187"/>
      <c r="M65" s="185"/>
      <c r="N65" s="185"/>
    </row>
    <row r="66" spans="1:14">
      <c r="A66" s="190"/>
      <c r="D66" s="190"/>
      <c r="E66" s="182"/>
      <c r="G66" s="183"/>
      <c r="H66" s="182"/>
      <c r="I66" s="182"/>
      <c r="J66" s="187"/>
      <c r="M66" s="185"/>
      <c r="N66" s="185"/>
    </row>
    <row r="67" spans="1:14">
      <c r="A67" s="190"/>
      <c r="D67" s="190"/>
      <c r="E67" s="182"/>
      <c r="G67" s="183"/>
      <c r="H67" s="182"/>
      <c r="I67" s="182"/>
      <c r="J67" s="187"/>
      <c r="M67" s="185"/>
      <c r="N67" s="185"/>
    </row>
    <row r="68" spans="1:14">
      <c r="A68" s="190"/>
      <c r="D68" s="190"/>
      <c r="E68" s="182"/>
      <c r="G68" s="183"/>
      <c r="H68" s="182"/>
      <c r="I68" s="182"/>
      <c r="J68" s="187"/>
      <c r="M68" s="185"/>
      <c r="N68" s="185"/>
    </row>
    <row r="69" spans="1:14">
      <c r="A69" s="190"/>
      <c r="D69" s="190"/>
      <c r="E69" s="182"/>
      <c r="G69" s="183"/>
      <c r="H69" s="182"/>
      <c r="I69" s="182"/>
      <c r="J69" s="187"/>
      <c r="M69" s="185"/>
      <c r="N69" s="185"/>
    </row>
    <row r="70" spans="1:14">
      <c r="A70" s="190"/>
      <c r="D70" s="190"/>
      <c r="E70" s="182"/>
      <c r="G70" s="183"/>
      <c r="H70" s="182"/>
      <c r="I70" s="182"/>
      <c r="J70" s="187"/>
      <c r="M70" s="185"/>
      <c r="N70" s="185"/>
    </row>
    <row r="71" spans="1:14">
      <c r="A71" s="190"/>
      <c r="D71" s="190"/>
      <c r="E71" s="182"/>
      <c r="G71" s="183"/>
      <c r="H71" s="182"/>
      <c r="I71" s="182"/>
      <c r="J71" s="187"/>
      <c r="M71" s="185"/>
      <c r="N71" s="185"/>
    </row>
    <row r="72" spans="1:14">
      <c r="A72" s="190"/>
      <c r="D72" s="190"/>
      <c r="E72" s="182"/>
      <c r="G72" s="183"/>
      <c r="H72" s="182"/>
      <c r="I72" s="182"/>
      <c r="J72" s="187"/>
      <c r="M72" s="185"/>
      <c r="N72" s="185"/>
    </row>
    <row r="73" spans="1:14">
      <c r="A73" s="190"/>
      <c r="D73" s="190"/>
      <c r="E73" s="182"/>
      <c r="G73" s="183"/>
      <c r="H73" s="182"/>
      <c r="I73" s="182"/>
      <c r="J73" s="187"/>
      <c r="M73" s="185"/>
      <c r="N73" s="185"/>
    </row>
    <row r="74" spans="1:14">
      <c r="A74" s="190"/>
      <c r="D74" s="190"/>
      <c r="E74" s="182"/>
      <c r="G74" s="183"/>
      <c r="H74" s="182"/>
      <c r="I74" s="182"/>
      <c r="J74" s="187"/>
      <c r="M74" s="185"/>
      <c r="N74" s="185"/>
    </row>
    <row r="75" spans="1:14">
      <c r="A75" s="190"/>
      <c r="D75" s="190"/>
      <c r="E75" s="182"/>
      <c r="G75" s="183"/>
      <c r="H75" s="182"/>
      <c r="I75" s="182"/>
      <c r="J75" s="187"/>
      <c r="M75" s="185"/>
      <c r="N75" s="185"/>
    </row>
    <row r="76" spans="1:14">
      <c r="A76" s="190"/>
      <c r="D76" s="190"/>
      <c r="E76" s="182"/>
      <c r="G76" s="183"/>
      <c r="H76" s="182"/>
      <c r="I76" s="182"/>
      <c r="J76" s="187"/>
      <c r="M76" s="185"/>
      <c r="N76" s="185"/>
    </row>
    <row r="77" spans="1:14">
      <c r="A77" s="190"/>
      <c r="D77" s="190"/>
      <c r="E77" s="182"/>
      <c r="G77" s="183"/>
      <c r="H77" s="182"/>
      <c r="I77" s="182"/>
      <c r="J77" s="187"/>
      <c r="M77" s="185"/>
      <c r="N77" s="185"/>
    </row>
    <row r="78" spans="1:14">
      <c r="A78" s="190"/>
      <c r="D78" s="190"/>
      <c r="E78" s="182"/>
      <c r="G78" s="183"/>
      <c r="H78" s="182"/>
      <c r="I78" s="182"/>
      <c r="J78" s="187"/>
      <c r="M78" s="185"/>
      <c r="N78" s="185"/>
    </row>
    <row r="79" spans="1:14">
      <c r="A79" s="190"/>
      <c r="D79" s="190"/>
      <c r="E79" s="182"/>
      <c r="G79" s="183"/>
      <c r="H79" s="182"/>
      <c r="I79" s="182"/>
      <c r="J79" s="187"/>
      <c r="M79" s="185"/>
      <c r="N79" s="185"/>
    </row>
    <row r="80" spans="1:14">
      <c r="A80" s="190"/>
      <c r="D80" s="190"/>
      <c r="E80" s="182"/>
      <c r="G80" s="183"/>
      <c r="H80" s="182"/>
      <c r="I80" s="182"/>
      <c r="J80" s="187"/>
      <c r="M80" s="185"/>
      <c r="N80" s="185"/>
    </row>
    <row r="81" spans="1:14">
      <c r="A81" s="190"/>
      <c r="D81" s="190"/>
      <c r="E81" s="182"/>
      <c r="G81" s="183"/>
      <c r="H81" s="182"/>
      <c r="I81" s="182"/>
      <c r="J81" s="187"/>
      <c r="M81" s="185"/>
      <c r="N81" s="185"/>
    </row>
    <row r="82" spans="1:14">
      <c r="A82" s="190"/>
      <c r="D82" s="190"/>
      <c r="E82" s="182"/>
      <c r="G82" s="183"/>
      <c r="H82" s="182"/>
      <c r="I82" s="182"/>
      <c r="J82" s="187"/>
      <c r="M82" s="185"/>
      <c r="N82" s="185"/>
    </row>
    <row r="83" spans="1:14">
      <c r="A83" s="190"/>
      <c r="D83" s="190"/>
      <c r="E83" s="182"/>
      <c r="G83" s="183"/>
      <c r="H83" s="182"/>
      <c r="I83" s="182"/>
      <c r="J83" s="187"/>
      <c r="M83" s="185"/>
      <c r="N83" s="185"/>
    </row>
    <row r="84" spans="1:14">
      <c r="A84" s="190"/>
      <c r="D84" s="190"/>
      <c r="E84" s="182"/>
      <c r="G84" s="183"/>
      <c r="H84" s="182"/>
      <c r="I84" s="182"/>
      <c r="J84" s="187"/>
      <c r="M84" s="185"/>
      <c r="N84" s="185"/>
    </row>
    <row r="85" spans="1:14">
      <c r="A85" s="190"/>
      <c r="D85" s="190"/>
      <c r="E85" s="185"/>
      <c r="H85" s="185"/>
      <c r="I85" s="185"/>
      <c r="J85" s="185"/>
      <c r="M85" s="185"/>
      <c r="N85" s="185"/>
    </row>
    <row r="86" spans="1:14">
      <c r="A86" s="190"/>
      <c r="D86" s="190"/>
      <c r="E86" s="185"/>
      <c r="H86" s="185"/>
      <c r="I86" s="185"/>
      <c r="J86" s="185"/>
      <c r="M86" s="185"/>
      <c r="N86" s="185"/>
    </row>
    <row r="87" spans="1:14">
      <c r="A87" s="190"/>
      <c r="D87" s="190"/>
      <c r="E87" s="185"/>
      <c r="H87" s="185"/>
      <c r="I87" s="185"/>
      <c r="J87" s="185"/>
      <c r="M87" s="185"/>
      <c r="N87" s="185"/>
    </row>
    <row r="88" spans="1:14">
      <c r="A88" s="190"/>
      <c r="D88" s="190"/>
      <c r="E88" s="185"/>
      <c r="H88" s="185"/>
      <c r="I88" s="185"/>
      <c r="J88" s="185"/>
      <c r="M88" s="185"/>
      <c r="N88" s="185"/>
    </row>
    <row r="89" spans="1:14">
      <c r="A89" s="190"/>
      <c r="D89" s="190"/>
      <c r="E89" s="185"/>
      <c r="H89" s="185"/>
      <c r="I89" s="185"/>
      <c r="J89" s="185"/>
      <c r="M89" s="185"/>
      <c r="N89" s="185"/>
    </row>
    <row r="90" spans="1:14">
      <c r="A90" s="190"/>
      <c r="D90" s="190"/>
      <c r="E90" s="185"/>
      <c r="H90" s="185"/>
      <c r="I90" s="185"/>
      <c r="J90" s="185"/>
      <c r="M90" s="185"/>
      <c r="N90" s="185"/>
    </row>
    <row r="91" spans="1:14">
      <c r="A91" s="190"/>
      <c r="D91" s="190"/>
      <c r="E91" s="185"/>
      <c r="H91" s="185"/>
      <c r="I91" s="185"/>
      <c r="J91" s="185"/>
      <c r="M91" s="185"/>
      <c r="N91" s="185"/>
    </row>
    <row r="92" spans="1:14">
      <c r="A92" s="190"/>
      <c r="D92" s="190"/>
      <c r="E92" s="185"/>
      <c r="H92" s="185"/>
      <c r="I92" s="185"/>
      <c r="J92" s="185"/>
      <c r="M92" s="185"/>
      <c r="N92" s="185"/>
    </row>
    <row r="93" spans="1:14">
      <c r="A93" s="190"/>
      <c r="D93" s="190"/>
      <c r="E93" s="185"/>
      <c r="H93" s="185"/>
      <c r="I93" s="185"/>
      <c r="J93" s="185"/>
      <c r="M93" s="185"/>
      <c r="N93" s="185"/>
    </row>
    <row r="94" spans="1:14">
      <c r="A94" s="190"/>
      <c r="D94" s="190"/>
      <c r="E94" s="185"/>
      <c r="H94" s="185"/>
      <c r="I94" s="185"/>
      <c r="J94" s="185"/>
      <c r="M94" s="185"/>
      <c r="N94" s="185"/>
    </row>
    <row r="95" spans="1:14">
      <c r="A95" s="190"/>
      <c r="D95" s="190"/>
      <c r="E95" s="185"/>
      <c r="H95" s="185"/>
      <c r="I95" s="185"/>
      <c r="J95" s="185"/>
      <c r="M95" s="185"/>
      <c r="N95" s="185"/>
    </row>
    <row r="96" spans="1:14">
      <c r="A96" s="190"/>
      <c r="D96" s="190"/>
      <c r="E96" s="185"/>
      <c r="H96" s="185"/>
      <c r="I96" s="185"/>
      <c r="J96" s="185"/>
      <c r="M96" s="185"/>
      <c r="N96" s="185"/>
    </row>
    <row r="97" spans="1:14">
      <c r="A97" s="190"/>
      <c r="D97" s="190"/>
      <c r="E97" s="185"/>
      <c r="H97" s="185"/>
      <c r="I97" s="185"/>
      <c r="J97" s="185"/>
      <c r="M97" s="185"/>
      <c r="N97" s="185"/>
    </row>
    <row r="98" spans="1:14">
      <c r="A98" s="190"/>
      <c r="D98" s="190"/>
      <c r="E98" s="185"/>
      <c r="H98" s="185"/>
      <c r="I98" s="185"/>
      <c r="J98" s="185"/>
      <c r="M98" s="185"/>
      <c r="N98" s="185"/>
    </row>
    <row r="99" spans="1:14">
      <c r="A99" s="190"/>
      <c r="D99" s="190"/>
      <c r="E99" s="185"/>
      <c r="H99" s="185"/>
      <c r="I99" s="185"/>
      <c r="J99" s="185"/>
      <c r="M99" s="185"/>
      <c r="N99" s="185"/>
    </row>
    <row r="100" spans="1:14">
      <c r="A100" s="190"/>
      <c r="D100" s="190"/>
      <c r="E100" s="185"/>
      <c r="H100" s="185"/>
      <c r="I100" s="185"/>
      <c r="J100" s="185"/>
      <c r="M100" s="185"/>
      <c r="N100" s="185"/>
    </row>
    <row r="101" spans="1:14">
      <c r="A101" s="190"/>
      <c r="D101" s="190"/>
      <c r="E101" s="185"/>
      <c r="H101" s="185"/>
      <c r="I101" s="185"/>
      <c r="J101" s="185"/>
      <c r="M101" s="185"/>
      <c r="N101" s="185"/>
    </row>
    <row r="102" spans="1:14">
      <c r="A102" s="190"/>
      <c r="D102" s="190"/>
      <c r="E102" s="185"/>
      <c r="H102" s="185"/>
      <c r="I102" s="185"/>
      <c r="J102" s="185"/>
      <c r="M102" s="185"/>
      <c r="N102" s="185"/>
    </row>
    <row r="103" spans="1:14">
      <c r="A103" s="190"/>
      <c r="D103" s="190"/>
      <c r="E103" s="185"/>
      <c r="H103" s="185"/>
      <c r="I103" s="185"/>
      <c r="J103" s="185"/>
      <c r="M103" s="185"/>
      <c r="N103" s="185"/>
    </row>
    <row r="104" spans="1:14">
      <c r="A104" s="190"/>
      <c r="D104" s="190"/>
      <c r="E104" s="185"/>
      <c r="H104" s="185"/>
      <c r="I104" s="185"/>
      <c r="J104" s="185"/>
      <c r="M104" s="185"/>
      <c r="N104" s="185"/>
    </row>
    <row r="105" spans="1:14">
      <c r="A105" s="190"/>
      <c r="D105" s="190"/>
      <c r="E105" s="185"/>
      <c r="H105" s="185"/>
      <c r="I105" s="185"/>
      <c r="J105" s="185"/>
      <c r="M105" s="185"/>
      <c r="N105" s="185"/>
    </row>
    <row r="106" spans="1:14">
      <c r="A106" s="190"/>
      <c r="D106" s="190"/>
      <c r="E106" s="185"/>
      <c r="H106" s="185"/>
      <c r="I106" s="185"/>
      <c r="J106" s="185"/>
      <c r="M106" s="185"/>
      <c r="N106" s="185"/>
    </row>
    <row r="107" spans="1:14">
      <c r="A107" s="190"/>
      <c r="D107" s="190"/>
      <c r="E107" s="185"/>
      <c r="H107" s="185"/>
      <c r="I107" s="185"/>
      <c r="J107" s="185"/>
      <c r="M107" s="185"/>
      <c r="N107" s="185"/>
    </row>
    <row r="108" spans="1:14">
      <c r="A108" s="190"/>
      <c r="D108" s="190"/>
      <c r="E108" s="185"/>
      <c r="H108" s="185"/>
      <c r="I108" s="185"/>
      <c r="J108" s="185"/>
      <c r="M108" s="185"/>
      <c r="N108" s="185"/>
    </row>
    <row r="109" spans="1:14">
      <c r="A109" s="190"/>
      <c r="D109" s="190"/>
      <c r="E109" s="185"/>
      <c r="H109" s="185"/>
      <c r="I109" s="185"/>
      <c r="J109" s="185"/>
      <c r="M109" s="185"/>
      <c r="N109" s="185"/>
    </row>
    <row r="110" spans="1:14">
      <c r="M110" s="185"/>
      <c r="N110" s="185"/>
    </row>
    <row r="111" spans="1:14">
      <c r="M111" s="185"/>
      <c r="N111" s="185"/>
    </row>
    <row r="112" spans="1:14">
      <c r="M112" s="185"/>
      <c r="N112" s="185"/>
    </row>
    <row r="113" spans="13:14">
      <c r="M113" s="185"/>
      <c r="N113" s="185"/>
    </row>
    <row r="114" spans="13:14">
      <c r="M114" s="185"/>
      <c r="N114" s="185"/>
    </row>
    <row r="115" spans="13:14">
      <c r="M115" s="185"/>
      <c r="N115" s="185"/>
    </row>
    <row r="116" spans="13:14">
      <c r="M116" s="185"/>
      <c r="N116" s="185"/>
    </row>
  </sheetData>
  <sortState xmlns:xlrd2="http://schemas.microsoft.com/office/spreadsheetml/2017/richdata2" ref="L2:L8">
    <sortCondition ref="L2"/>
  </sortState>
  <phoneticPr fontId="23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37"/>
  <sheetViews>
    <sheetView topLeftCell="A4" zoomScale="120" zoomScaleNormal="120" workbookViewId="0">
      <selection activeCell="C9" sqref="C9"/>
    </sheetView>
  </sheetViews>
  <sheetFormatPr defaultRowHeight="15"/>
  <cols>
    <col min="1" max="1" width="12.5703125" customWidth="1"/>
    <col min="2" max="2" width="21.42578125" customWidth="1"/>
    <col min="3" max="3" width="10.140625" customWidth="1"/>
    <col min="4" max="4" width="12.7109375" bestFit="1" customWidth="1"/>
    <col min="5" max="5" width="10" customWidth="1"/>
    <col min="6" max="6" width="12.7109375" customWidth="1"/>
    <col min="7" max="8" width="12.85546875" customWidth="1"/>
    <col min="9" max="9" width="13.140625" customWidth="1"/>
    <col min="10" max="10" width="14" customWidth="1"/>
    <col min="11" max="11" width="12.140625" customWidth="1"/>
    <col min="12" max="12" width="9.140625" customWidth="1"/>
  </cols>
  <sheetData>
    <row r="1" spans="1:15" ht="19.5" thickBot="1">
      <c r="A1" s="57" t="s">
        <v>310</v>
      </c>
    </row>
    <row r="2" spans="1:15" ht="31.5" customHeight="1">
      <c r="A2" s="71"/>
      <c r="B2" s="241" t="s">
        <v>311</v>
      </c>
      <c r="C2" s="241"/>
      <c r="D2" s="241"/>
      <c r="E2" s="242" t="s">
        <v>312</v>
      </c>
      <c r="F2" s="242"/>
      <c r="G2" s="243" t="s">
        <v>322</v>
      </c>
      <c r="H2" s="243"/>
      <c r="I2" s="243"/>
      <c r="J2" s="244"/>
      <c r="K2" s="87"/>
      <c r="L2" s="86"/>
    </row>
    <row r="3" spans="1:15">
      <c r="A3" s="94" t="s">
        <v>336</v>
      </c>
      <c r="B3" s="72" t="s">
        <v>299</v>
      </c>
      <c r="C3" s="72" t="s">
        <v>298</v>
      </c>
      <c r="D3" s="72" t="s">
        <v>309</v>
      </c>
      <c r="E3" s="73" t="s">
        <v>313</v>
      </c>
      <c r="F3" s="73" t="s">
        <v>314</v>
      </c>
      <c r="G3" s="74" t="s">
        <v>295</v>
      </c>
      <c r="H3" s="74" t="s">
        <v>323</v>
      </c>
      <c r="I3" s="74" t="s">
        <v>332</v>
      </c>
      <c r="J3" s="75" t="s">
        <v>333</v>
      </c>
      <c r="K3" s="34"/>
      <c r="L3" s="52"/>
      <c r="M3" s="52"/>
      <c r="N3" s="52"/>
      <c r="O3" s="52"/>
    </row>
    <row r="4" spans="1:15" ht="15.75" thickBot="1">
      <c r="A4" s="76"/>
      <c r="B4" s="82" t="s">
        <v>308</v>
      </c>
      <c r="C4" s="82" t="s">
        <v>324</v>
      </c>
      <c r="D4" s="82" t="s">
        <v>324</v>
      </c>
      <c r="E4" s="83" t="s">
        <v>316</v>
      </c>
      <c r="F4" s="83" t="s">
        <v>316</v>
      </c>
      <c r="G4" s="84" t="s">
        <v>331</v>
      </c>
      <c r="H4" s="84" t="s">
        <v>331</v>
      </c>
      <c r="I4" s="84" t="s">
        <v>331</v>
      </c>
      <c r="J4" s="85" t="s">
        <v>331</v>
      </c>
      <c r="K4" s="34"/>
      <c r="L4" s="52"/>
      <c r="M4" s="52"/>
      <c r="N4" s="52"/>
      <c r="O4" s="52"/>
    </row>
    <row r="5" spans="1:15">
      <c r="A5" s="76" t="str">
        <f>'site independent'!A5</f>
        <v>coal</v>
      </c>
      <c r="B5" s="77" t="str">
        <f>ROUND(('site independent'!D5*(1/3412)), 5) &amp;"P + "&amp;'site independent'!P5</f>
        <v>0.00888P + 10000</v>
      </c>
      <c r="C5" s="34">
        <f>IF(ISBLANK('site independent'!O5), "",  'site independent'!O5)</f>
        <v>105</v>
      </c>
      <c r="D5" s="34">
        <f>IF(ISBLANK('site independent'!S5), "",  'site independent'!S5)</f>
        <v>0</v>
      </c>
      <c r="E5" s="34">
        <f>IF('site independent'!Q5&gt;0, 'site independent'!Q5, "")</f>
        <v>3</v>
      </c>
      <c r="F5" s="34">
        <f>IF('site independent'!R5&gt;0, 'site independent'!R5, "")</f>
        <v>3</v>
      </c>
      <c r="G5" s="34">
        <f>IF(ISBLANK('site independent'!L5), "", ('site independent'!L5)*60)</f>
        <v>120</v>
      </c>
      <c r="H5" s="34">
        <f>IF(ISBLANK('site independent'!L5), "", (-1)*('site independent'!L5)*60)</f>
        <v>-120</v>
      </c>
      <c r="I5" s="78">
        <f>IF(ISBLANK('site independent'!K5), "",  (1/'site independent'!K5))</f>
        <v>0.1</v>
      </c>
      <c r="J5" s="79">
        <f>IF(ISBLANK('site independent'!K5), "",  (-1)*(1/'site independent'!K5))</f>
        <v>-0.1</v>
      </c>
      <c r="K5" s="34"/>
      <c r="L5" s="52"/>
      <c r="M5" s="52"/>
      <c r="N5" s="52"/>
      <c r="O5" s="52"/>
    </row>
    <row r="6" spans="1:15">
      <c r="A6" s="76" t="str">
        <f>'site independent'!A6</f>
        <v>Natural gas</v>
      </c>
      <c r="B6" s="77" t="str">
        <f>ROUND(('site independent'!D6*(1/3412)), 5) &amp;"P + "&amp;'site independent'!P6</f>
        <v>0P + 10000</v>
      </c>
      <c r="C6" s="34" t="str">
        <f>IF(ISBLANK('site independent'!O6), "",  'site independent'!O6)</f>
        <v/>
      </c>
      <c r="D6" s="34">
        <f>IF(ISBLANK('site independent'!S6), "",  'site independent'!S6)</f>
        <v>0</v>
      </c>
      <c r="E6" s="34">
        <f>IF('site independent'!Q6&gt;0, 'site independent'!Q6, "")</f>
        <v>4</v>
      </c>
      <c r="F6" s="34">
        <f>IF('site independent'!R6&gt;0, 'site independent'!R6, "")</f>
        <v>3</v>
      </c>
      <c r="G6" s="34" t="str">
        <f>IF(ISBLANK('site independent'!L6), "", ('site independent'!L6)*60)</f>
        <v/>
      </c>
      <c r="H6" s="34" t="str">
        <f>IF(ISBLANK('site independent'!L6), "", (-1)*('site independent'!L6)*60)</f>
        <v/>
      </c>
      <c r="I6" s="78" t="str">
        <f>IF('site independent'!K6&gt;0, (1/'site independent'!K6), "")</f>
        <v/>
      </c>
      <c r="J6" s="79" t="str">
        <f>IF(ISBLANK('site independent'!K6), "",  (-1)*(1/'site independent'!K6))</f>
        <v/>
      </c>
      <c r="K6" s="34"/>
      <c r="L6" s="52"/>
      <c r="M6" s="52"/>
      <c r="N6" s="52"/>
      <c r="O6" s="52"/>
    </row>
    <row r="7" spans="1:15">
      <c r="A7" s="76" t="str">
        <f>'site independent'!A7</f>
        <v>NG_CC</v>
      </c>
      <c r="B7" s="77" t="str">
        <f>ROUND(('site independent'!D7*(1/3412)), 5) &amp;"P + "&amp;'site independent'!P7</f>
        <v>0.01439P + 10000</v>
      </c>
      <c r="C7" s="34">
        <f>IF(ISBLANK('site independent'!O7), "",  'site independent'!O7)</f>
        <v>79</v>
      </c>
      <c r="D7" s="34">
        <f>IF(ISBLANK('site independent'!S7), "",  'site independent'!S7)</f>
        <v>0</v>
      </c>
      <c r="E7" s="34">
        <f>IF('site independent'!Q7&gt;0, 'site independent'!Q7, "")</f>
        <v>4</v>
      </c>
      <c r="F7" s="34">
        <f>IF('site independent'!R7&gt;0, 'site independent'!R7, "")</f>
        <v>3</v>
      </c>
      <c r="G7" s="34">
        <f>IF(ISBLANK('site independent'!L7), "", ('site independent'!L7)*60)</f>
        <v>300</v>
      </c>
      <c r="H7" s="34">
        <f>IF(ISBLANK('site independent'!L7), "", (-1)*('site independent'!L7)*60)</f>
        <v>-300</v>
      </c>
      <c r="I7" s="78">
        <f>IF('site independent'!K7&gt;0, (1/'site independent'!K7), "")</f>
        <v>0.25</v>
      </c>
      <c r="J7" s="79">
        <f>IF(ISBLANK('site independent'!K7), "",  (-1)*(1/'site independent'!K7))</f>
        <v>-0.25</v>
      </c>
      <c r="K7" s="34"/>
      <c r="L7" s="52"/>
      <c r="M7" s="52"/>
      <c r="N7" s="52"/>
      <c r="O7" s="52"/>
    </row>
    <row r="8" spans="1:15">
      <c r="A8" s="76" t="str">
        <f>'site independent'!A8</f>
        <v>NG_CT</v>
      </c>
      <c r="B8" s="77" t="str">
        <f>ROUND(('site independent'!D8*(1/3412)), 5) &amp;"P + "&amp;'site independent'!P8</f>
        <v>0.02403P + 10000</v>
      </c>
      <c r="C8" s="34">
        <f>IF(ISBLANK('site independent'!O8), "",  'site independent'!O8)</f>
        <v>103</v>
      </c>
      <c r="D8" s="34">
        <f>IF(ISBLANK('site independent'!S8), "",  'site independent'!S8)</f>
        <v>0</v>
      </c>
      <c r="E8" s="34">
        <f>IF('site independent'!Q8&gt;0, 'site independent'!Q8, "")</f>
        <v>4</v>
      </c>
      <c r="F8" s="34">
        <f>IF('site independent'!R8&gt;0, 'site independent'!R8, "")</f>
        <v>3</v>
      </c>
      <c r="G8" s="34">
        <f>IF(ISBLANK('site independent'!L8), "", ('site independent'!L8)*60)</f>
        <v>480</v>
      </c>
      <c r="H8" s="34">
        <f>IF(ISBLANK('site independent'!L8), "", (-1)*('site independent'!L8)*60)</f>
        <v>-480</v>
      </c>
      <c r="I8" s="78">
        <f>IF('site independent'!K8&gt;0, (1/'site independent'!K8), "")</f>
        <v>2</v>
      </c>
      <c r="J8" s="79">
        <f>IF(ISBLANK('site independent'!K8), "",  (-1)*(1/'site independent'!K8))</f>
        <v>-2</v>
      </c>
      <c r="K8" s="34"/>
      <c r="L8" s="52"/>
      <c r="M8" s="52"/>
      <c r="N8" s="52"/>
      <c r="O8" s="52"/>
    </row>
    <row r="9" spans="1:15">
      <c r="A9" s="76" t="str">
        <f>'site independent'!A9</f>
        <v>NG_CG</v>
      </c>
      <c r="B9" s="77" t="str">
        <f>ROUND(('site independent'!D9*(1/3412)), 5) &amp;"P + "&amp;'site independent'!P9</f>
        <v>0.02403P + 10000</v>
      </c>
      <c r="C9" s="34">
        <f>IF(ISBLANK('site independent'!O9), "",  'site independent'!O9)</f>
        <v>103</v>
      </c>
      <c r="D9" s="34">
        <f>IF(ISBLANK('site independent'!S9), "",  'site independent'!S9)</f>
        <v>0</v>
      </c>
      <c r="E9" s="34">
        <f>IF('site independent'!Q9&gt;0, 'site independent'!Q9, "")</f>
        <v>4</v>
      </c>
      <c r="F9" s="34">
        <f>IF('site independent'!R9&gt;0, 'site independent'!R9, "")</f>
        <v>3</v>
      </c>
      <c r="G9" s="34">
        <f>IF(ISBLANK('site independent'!L9), "", ('site independent'!L9)*60)</f>
        <v>480</v>
      </c>
      <c r="H9" s="34">
        <f>IF(ISBLANK('site independent'!L9), "", (-1)*('site independent'!L9)*60)</f>
        <v>-480</v>
      </c>
      <c r="I9" s="78">
        <f>IF('site independent'!K9&gt;0, (1/'site independent'!K9), "")</f>
        <v>2</v>
      </c>
      <c r="J9" s="79">
        <f>IF(ISBLANK('site independent'!K9), "",  (-1)*(1/'site independent'!K9))</f>
        <v>-2</v>
      </c>
      <c r="K9" s="34"/>
      <c r="L9" s="52"/>
      <c r="M9" s="52"/>
      <c r="N9" s="52"/>
      <c r="O9" s="52"/>
    </row>
    <row r="10" spans="1:15">
      <c r="A10" s="76" t="str">
        <f>'site independent'!A10</f>
        <v>diesel</v>
      </c>
      <c r="B10" s="77" t="str">
        <f>ROUND(('site independent'!D10*(1/3412)), 5) &amp;"P + "&amp;'site independent'!P10</f>
        <v>0.08441P + 10000</v>
      </c>
      <c r="C10" s="34">
        <f>IF(ISBLANK('site independent'!O10), "",  'site independent'!O10)</f>
        <v>10000000</v>
      </c>
      <c r="D10" s="34">
        <f>IF(ISBLANK('site independent'!S10), "",  'site independent'!S10)</f>
        <v>0</v>
      </c>
      <c r="E10" s="34" t="str">
        <f>IF('site independent'!Q10&gt;0, 'site independent'!Q10, "")</f>
        <v/>
      </c>
      <c r="F10" s="34" t="str">
        <f>IF('site independent'!R10&gt;0, 'site independent'!R10, "")</f>
        <v/>
      </c>
      <c r="G10" s="34" t="str">
        <f>IF(ISBLANK('site independent'!L10), "", ('site independent'!L10)*60)</f>
        <v/>
      </c>
      <c r="H10" s="34" t="str">
        <f>IF(ISBLANK('site independent'!L10), "", (-1)*('site independent'!L10)*60)</f>
        <v/>
      </c>
      <c r="I10" s="78" t="str">
        <f>IF('site independent'!K10&gt;0, (1/'site independent'!K10), "")</f>
        <v/>
      </c>
      <c r="J10" s="79" t="str">
        <f>IF(ISBLANK('site independent'!K10), "",  (-1)*(1/'site independent'!K10))</f>
        <v/>
      </c>
      <c r="K10" s="34"/>
      <c r="L10" s="52"/>
      <c r="M10" s="52"/>
      <c r="N10" s="52"/>
      <c r="O10" s="52"/>
    </row>
    <row r="11" spans="1:15">
      <c r="A11" s="76" t="str">
        <f>'site independent'!A11</f>
        <v>fuel oil</v>
      </c>
      <c r="B11" s="77" t="str">
        <f>ROUND(('site independent'!D11*(1/3412)), 5) &amp;"P + "&amp;'site independent'!P11</f>
        <v>0.05064P + 10000</v>
      </c>
      <c r="C11" s="34">
        <f>IF(ISBLANK('site independent'!O11), "",  'site independent'!O11)</f>
        <v>10000000</v>
      </c>
      <c r="D11" s="34">
        <f>IF(ISBLANK('site independent'!S11), "",  'site independent'!S11)</f>
        <v>0</v>
      </c>
      <c r="E11" s="34" t="str">
        <f>IF('site independent'!Q11&gt;0, 'site independent'!Q11, "")</f>
        <v/>
      </c>
      <c r="F11" s="34" t="str">
        <f>IF('site independent'!R11&gt;0, 'site independent'!R11, "")</f>
        <v/>
      </c>
      <c r="G11" s="34" t="str">
        <f>IF(ISBLANK('site independent'!L11), "", ('site independent'!L11)*60)</f>
        <v/>
      </c>
      <c r="H11" s="34" t="str">
        <f>IF(ISBLANK('site independent'!L11), "", (-1)*('site independent'!L11)*60)</f>
        <v/>
      </c>
      <c r="I11" s="78" t="str">
        <f>IF('site independent'!K11&gt;0, (1/'site independent'!K11), "")</f>
        <v/>
      </c>
      <c r="J11" s="79" t="str">
        <f>IF(ISBLANK('site independent'!K11), "",  (-1)*(1/'site independent'!K11))</f>
        <v/>
      </c>
      <c r="K11" s="34"/>
      <c r="L11" s="52"/>
      <c r="M11" s="52"/>
      <c r="N11" s="52"/>
      <c r="O11" s="52"/>
    </row>
    <row r="12" spans="1:15">
      <c r="A12" s="76" t="str">
        <f>'site independent'!A12</f>
        <v>nuclear</v>
      </c>
      <c r="B12" s="77" t="str">
        <f>ROUND(('site independent'!D12*(1/3412)), 5) &amp;"P + "&amp;'site independent'!P12</f>
        <v>0.00346P + 10000</v>
      </c>
      <c r="C12" s="34">
        <f>IF(ISBLANK('site independent'!O12), "",  'site independent'!O12)</f>
        <v>500</v>
      </c>
      <c r="D12" s="34">
        <f>IF(ISBLANK('site independent'!S12), "",  'site independent'!S12)</f>
        <v>0</v>
      </c>
      <c r="E12" s="34">
        <f>IF('site independent'!Q12&gt;0, 'site independent'!Q12, "")</f>
        <v>10</v>
      </c>
      <c r="F12" s="34">
        <f>IF('site independent'!R12&gt;0, 'site independent'!R12, "")</f>
        <v>3</v>
      </c>
      <c r="G12" s="34">
        <f>IF('site independent'!L12&gt;0, ('site independent'!L12/100)*(1)*60, "")</f>
        <v>3</v>
      </c>
      <c r="H12" s="34"/>
      <c r="I12" s="78">
        <f>IF('site independent'!K12&gt;0, (1/'site independent'!K12), "")</f>
        <v>7.6923076923076927E-2</v>
      </c>
      <c r="J12" s="79">
        <f>IF(ISBLANK('site independent'!K12), "",  (-1)*(1/'site independent'!K12))</f>
        <v>-7.6923076923076927E-2</v>
      </c>
      <c r="K12" s="34"/>
      <c r="L12" s="52"/>
      <c r="M12" s="52"/>
      <c r="N12" s="52"/>
      <c r="O12" s="52"/>
    </row>
    <row r="13" spans="1:15">
      <c r="A13" s="76" t="str">
        <f>'site independent'!A13</f>
        <v>hydro</v>
      </c>
      <c r="B13" s="77" t="str">
        <f>ROUND(('site independent'!D13*(1/3412)), 5) &amp;"P + "&amp;'site independent'!P13</f>
        <v>0.00188P + 10000</v>
      </c>
      <c r="C13" s="34" t="str">
        <f>IF(ISBLANK('site independent'!O13), "",  'site independent'!O13)</f>
        <v/>
      </c>
      <c r="D13" s="34" t="str">
        <f>IF(ISBLANK('site independent'!S13), "",  'site independent'!S13)</f>
        <v/>
      </c>
      <c r="E13" s="34" t="str">
        <f>IF('site independent'!Q13&gt;0, 'site independent'!Q13, "")</f>
        <v/>
      </c>
      <c r="F13" s="34" t="str">
        <f>IF('site independent'!R13&gt;0, 'site independent'!R13, "")</f>
        <v/>
      </c>
      <c r="G13" s="34" t="str">
        <f>IF('site independent'!L13&gt;0, ('site independent'!L13/100)*(1)*60, "")</f>
        <v/>
      </c>
      <c r="H13" s="34"/>
      <c r="I13" s="78" t="str">
        <f>IF('site independent'!K13&gt;0, (1/'site independent'!K13), "")</f>
        <v/>
      </c>
      <c r="J13" s="79" t="str">
        <f>IF(ISBLANK('site independent'!K13), "",  (-1)*(1/'site independent'!K13))</f>
        <v/>
      </c>
      <c r="K13" s="34"/>
      <c r="L13" s="52"/>
      <c r="M13" s="52"/>
      <c r="N13" s="52"/>
      <c r="O13" s="52"/>
    </row>
    <row r="14" spans="1:15">
      <c r="A14" s="76" t="str">
        <f>'site independent'!A14</f>
        <v>hydro_hourly</v>
      </c>
      <c r="B14" s="77" t="str">
        <f>ROUND(('site independent'!D14*(1/3412)), 5) &amp;"P + "&amp;'site independent'!P14</f>
        <v>0.00188P + 10000</v>
      </c>
      <c r="C14" s="34" t="str">
        <f>IF(ISBLANK('site independent'!O14), "",  'site independent'!O14)</f>
        <v/>
      </c>
      <c r="D14" s="34" t="str">
        <f>IF(ISBLANK('site independent'!S14), "",  'site independent'!S14)</f>
        <v/>
      </c>
      <c r="E14" s="34" t="str">
        <f>IF('site independent'!Q14&gt;0, 'site independent'!Q14, "")</f>
        <v/>
      </c>
      <c r="F14" s="34" t="str">
        <f>IF('site independent'!R14&gt;0, 'site independent'!R14, "")</f>
        <v/>
      </c>
      <c r="G14" s="34"/>
      <c r="H14" s="34" t="str">
        <f>IF('site independent'!L14&gt;0, ('site independent'!L14/100)*(1)*60, "")</f>
        <v/>
      </c>
      <c r="I14" s="78" t="str">
        <f>IF('site independent'!K14&gt;0, (1/'site independent'!K14), "")</f>
        <v/>
      </c>
      <c r="J14" s="79" t="str">
        <f>IF(ISBLANK('site independent'!K14), "",  (-1)*(1/'site independent'!K14))</f>
        <v/>
      </c>
      <c r="K14" s="34"/>
      <c r="L14" s="52"/>
      <c r="M14" s="52"/>
      <c r="N14" s="52"/>
      <c r="O14" s="52"/>
    </row>
    <row r="15" spans="1:15">
      <c r="A15" s="76" t="str">
        <f>'site independent'!A15</f>
        <v>hydro_daily</v>
      </c>
      <c r="B15" s="77" t="str">
        <f>ROUND(('site independent'!D15*(1/3412)), 5) &amp;"P + "&amp;'site independent'!P15</f>
        <v>0.00188P + 10000</v>
      </c>
      <c r="C15" s="34" t="str">
        <f>IF(ISBLANK('site independent'!O15), "",  'site independent'!O15)</f>
        <v/>
      </c>
      <c r="D15" s="34"/>
      <c r="E15" s="34"/>
      <c r="F15" s="34"/>
      <c r="G15" s="34"/>
      <c r="H15" s="34"/>
      <c r="I15" s="78"/>
      <c r="J15" s="79"/>
      <c r="K15" s="34"/>
      <c r="L15" s="52"/>
      <c r="M15" s="52"/>
      <c r="N15" s="52"/>
      <c r="O15" s="52"/>
    </row>
    <row r="16" spans="1:15">
      <c r="A16" s="76" t="str">
        <f>'site independent'!A16</f>
        <v>hydro_monthly</v>
      </c>
      <c r="B16" s="77" t="str">
        <f>ROUND(('site independent'!D16*(1/3412)), 5) &amp;"P + "&amp;'site independent'!P16</f>
        <v>0.00188P + 10000</v>
      </c>
      <c r="C16" s="34" t="str">
        <f>IF(ISBLANK('site independent'!O16), "",  'site independent'!O16)</f>
        <v/>
      </c>
      <c r="D16" s="34"/>
      <c r="E16" s="34"/>
      <c r="F16" s="34"/>
      <c r="G16" s="34"/>
      <c r="H16" s="34"/>
      <c r="I16" s="78"/>
      <c r="J16" s="79"/>
      <c r="K16" s="34"/>
      <c r="L16" s="52"/>
      <c r="M16" s="52"/>
      <c r="N16" s="52"/>
      <c r="O16" s="52"/>
    </row>
    <row r="17" spans="1:15">
      <c r="A17" s="76" t="str">
        <f>'site independent'!A17</f>
        <v>geothermal</v>
      </c>
      <c r="B17" s="77" t="str">
        <f>ROUND(('site independent'!D17*(1/3412)), 5) &amp;"P + "&amp;'site independent'!P17</f>
        <v>0P + 10000</v>
      </c>
      <c r="C17" s="34" t="str">
        <f>IF(ISBLANK('site independent'!O17), "",  'site independent'!O17)</f>
        <v/>
      </c>
      <c r="D17" s="34"/>
      <c r="E17" s="34"/>
      <c r="F17" s="34"/>
      <c r="G17" s="34"/>
      <c r="H17" s="34"/>
      <c r="I17" s="78"/>
      <c r="J17" s="79"/>
      <c r="K17" s="34"/>
      <c r="L17" s="52"/>
      <c r="M17" s="52"/>
      <c r="N17" s="52"/>
      <c r="O17" s="52"/>
    </row>
    <row r="18" spans="1:15">
      <c r="A18" s="76" t="str">
        <f>'site independent'!A18</f>
        <v>biomass</v>
      </c>
      <c r="B18" s="77" t="str">
        <f>ROUND(('site independent'!D18*(1/3412)), 5) &amp;"P + "&amp;'site independent'!P18</f>
        <v>0.01158P + 10000</v>
      </c>
      <c r="C18" s="34" t="str">
        <f>IF(ISBLANK('site independent'!O18), "",  'site independent'!O18)</f>
        <v/>
      </c>
      <c r="D18" s="34"/>
      <c r="E18" s="34"/>
      <c r="F18" s="34"/>
      <c r="G18" s="34"/>
      <c r="H18" s="34"/>
      <c r="I18" s="78"/>
      <c r="J18" s="79"/>
      <c r="K18" s="34"/>
      <c r="L18" s="52"/>
      <c r="M18" s="52"/>
      <c r="N18" s="52"/>
      <c r="O18" s="52"/>
    </row>
    <row r="19" spans="1:15">
      <c r="A19" s="76" t="str">
        <f>'site independent'!A19</f>
        <v>biogas</v>
      </c>
      <c r="B19" s="77" t="str">
        <f>ROUND(('site independent'!D19*(1/3412)), 5) &amp;"P + "&amp;'site independent'!P19</f>
        <v>0.01158P + 10000</v>
      </c>
      <c r="C19" s="34" t="str">
        <f>IF(ISBLANK('site independent'!O19), "",  'site independent'!O19)</f>
        <v/>
      </c>
      <c r="D19" s="34"/>
      <c r="E19" s="34"/>
      <c r="F19" s="34"/>
      <c r="G19" s="34"/>
      <c r="H19" s="34"/>
      <c r="I19" s="78"/>
      <c r="J19" s="79"/>
      <c r="K19" s="34"/>
      <c r="L19" s="52"/>
      <c r="M19" s="52"/>
      <c r="N19" s="52"/>
      <c r="O19" s="52"/>
    </row>
    <row r="20" spans="1:15">
      <c r="A20" s="76" t="s">
        <v>4</v>
      </c>
      <c r="B20" s="88" t="s">
        <v>300</v>
      </c>
      <c r="C20" s="34"/>
      <c r="D20" s="34"/>
      <c r="E20" s="34"/>
      <c r="F20" s="34"/>
      <c r="G20" s="34"/>
      <c r="H20" s="34"/>
      <c r="I20" s="78"/>
      <c r="J20" s="79"/>
      <c r="K20" s="34"/>
      <c r="L20" s="52"/>
      <c r="M20" s="52"/>
      <c r="N20" s="52"/>
      <c r="O20" s="52"/>
    </row>
    <row r="21" spans="1:15">
      <c r="A21" s="76" t="s">
        <v>337</v>
      </c>
      <c r="B21" s="88" t="s">
        <v>300</v>
      </c>
      <c r="C21" s="34"/>
      <c r="D21" s="34"/>
      <c r="E21" s="34"/>
      <c r="F21" s="34"/>
      <c r="G21" s="34"/>
      <c r="H21" s="34"/>
      <c r="I21" s="78"/>
      <c r="J21" s="79"/>
      <c r="K21" s="34"/>
      <c r="L21" s="52"/>
      <c r="M21" s="52"/>
      <c r="N21" s="52"/>
      <c r="O21" s="52"/>
    </row>
    <row r="22" spans="1:15">
      <c r="A22" s="76" t="s">
        <v>227</v>
      </c>
      <c r="B22" s="88" t="s">
        <v>335</v>
      </c>
      <c r="C22" s="89">
        <v>0</v>
      </c>
      <c r="D22" s="89">
        <v>0</v>
      </c>
      <c r="E22" s="34"/>
      <c r="F22" s="34"/>
      <c r="G22" s="17"/>
      <c r="H22" s="34"/>
      <c r="I22" s="78"/>
      <c r="J22" s="79"/>
      <c r="K22" s="34"/>
      <c r="L22" s="52"/>
      <c r="M22" s="52"/>
      <c r="N22" s="52"/>
      <c r="O22" s="52"/>
    </row>
    <row r="23" spans="1:15">
      <c r="A23" s="76" t="s">
        <v>228</v>
      </c>
      <c r="B23" s="88" t="s">
        <v>335</v>
      </c>
      <c r="C23" s="89">
        <v>0</v>
      </c>
      <c r="D23" s="89">
        <v>0</v>
      </c>
      <c r="E23" s="34"/>
      <c r="F23" s="34"/>
      <c r="G23" s="17"/>
      <c r="H23" s="34"/>
      <c r="I23" s="78"/>
      <c r="J23" s="79"/>
      <c r="K23" s="34"/>
      <c r="L23" s="52"/>
      <c r="M23" s="52"/>
      <c r="N23" s="52"/>
      <c r="O23" s="52"/>
    </row>
    <row r="24" spans="1:15">
      <c r="A24" s="76" t="s">
        <v>334</v>
      </c>
      <c r="B24" s="88" t="s">
        <v>335</v>
      </c>
      <c r="C24" s="89">
        <v>0</v>
      </c>
      <c r="D24" s="89">
        <v>0</v>
      </c>
      <c r="E24" s="34"/>
      <c r="F24" s="34"/>
      <c r="G24" s="34"/>
      <c r="H24" s="34"/>
      <c r="I24" s="34"/>
      <c r="J24" s="90"/>
      <c r="K24" s="52"/>
      <c r="L24" s="52"/>
      <c r="M24" s="52"/>
      <c r="N24" s="52"/>
      <c r="O24" s="52"/>
    </row>
    <row r="25" spans="1:15" ht="15.75" thickBot="1">
      <c r="A25" s="80" t="s">
        <v>283</v>
      </c>
      <c r="B25" s="91" t="s">
        <v>335</v>
      </c>
      <c r="C25" s="92">
        <v>0</v>
      </c>
      <c r="D25" s="92">
        <v>0</v>
      </c>
      <c r="E25" s="81"/>
      <c r="F25" s="81"/>
      <c r="G25" s="81"/>
      <c r="H25" s="81"/>
      <c r="I25" s="81"/>
      <c r="J25" s="93"/>
      <c r="K25" s="52"/>
      <c r="L25" s="52"/>
      <c r="M25" s="52"/>
      <c r="N25" s="52"/>
      <c r="O25" s="52"/>
    </row>
    <row r="26" spans="1:15"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</row>
    <row r="27" spans="1:15">
      <c r="A27" t="s">
        <v>294</v>
      </c>
      <c r="B27" s="52">
        <f t="shared" ref="B27:J27" si="0">COLUMN(B3)-2</f>
        <v>0</v>
      </c>
      <c r="C27" s="52">
        <f t="shared" si="0"/>
        <v>1</v>
      </c>
      <c r="D27" s="52">
        <f t="shared" si="0"/>
        <v>2</v>
      </c>
      <c r="E27" s="52">
        <f t="shared" si="0"/>
        <v>3</v>
      </c>
      <c r="F27" s="52">
        <f t="shared" si="0"/>
        <v>4</v>
      </c>
      <c r="G27" s="52">
        <f t="shared" si="0"/>
        <v>5</v>
      </c>
      <c r="H27" s="52">
        <f t="shared" si="0"/>
        <v>6</v>
      </c>
      <c r="I27" s="52">
        <f t="shared" si="0"/>
        <v>7</v>
      </c>
      <c r="J27" s="52">
        <f t="shared" si="0"/>
        <v>8</v>
      </c>
      <c r="K27" s="52"/>
    </row>
    <row r="29" spans="1:15" ht="18.75">
      <c r="A29" s="171" t="s">
        <v>307</v>
      </c>
      <c r="B29" s="169" t="s">
        <v>299</v>
      </c>
      <c r="C29" s="169" t="s">
        <v>306</v>
      </c>
      <c r="D29" s="169"/>
      <c r="E29" s="169"/>
      <c r="F29" s="169"/>
      <c r="G29" s="135"/>
      <c r="H29" s="135"/>
      <c r="I29" s="135"/>
    </row>
    <row r="30" spans="1:15">
      <c r="B30" s="169" t="s">
        <v>298</v>
      </c>
      <c r="C30" s="135" t="s">
        <v>297</v>
      </c>
      <c r="D30" s="135"/>
      <c r="E30" s="135"/>
      <c r="F30" s="135"/>
      <c r="G30" s="135"/>
      <c r="H30" s="135"/>
      <c r="I30" s="135"/>
    </row>
    <row r="31" spans="1:15">
      <c r="B31" s="135" t="s">
        <v>309</v>
      </c>
      <c r="C31" s="135"/>
      <c r="D31" s="135"/>
      <c r="E31" s="135"/>
      <c r="F31" s="135"/>
      <c r="G31" s="135"/>
      <c r="H31" s="135"/>
      <c r="I31" s="135"/>
    </row>
    <row r="32" spans="1:15">
      <c r="B32" s="169" t="s">
        <v>313</v>
      </c>
      <c r="C32" s="135" t="s">
        <v>315</v>
      </c>
      <c r="D32" s="135"/>
      <c r="E32" s="170"/>
      <c r="F32" s="170"/>
      <c r="G32" s="135"/>
      <c r="H32" s="135"/>
      <c r="I32" s="135"/>
    </row>
    <row r="33" spans="2:9">
      <c r="B33" s="169" t="s">
        <v>314</v>
      </c>
      <c r="C33" s="135" t="s">
        <v>317</v>
      </c>
      <c r="D33" s="135"/>
      <c r="E33" s="170"/>
      <c r="F33" s="170"/>
      <c r="G33" s="135"/>
      <c r="H33" s="135"/>
      <c r="I33" s="135"/>
    </row>
    <row r="34" spans="2:9">
      <c r="B34" s="169" t="s">
        <v>295</v>
      </c>
      <c r="C34" s="169" t="s">
        <v>325</v>
      </c>
      <c r="D34" s="170"/>
      <c r="E34" s="135"/>
      <c r="F34" s="135"/>
      <c r="G34" s="135"/>
      <c r="H34" s="135"/>
      <c r="I34" s="135"/>
    </row>
    <row r="35" spans="2:9">
      <c r="B35" s="169" t="s">
        <v>323</v>
      </c>
      <c r="C35" s="169" t="s">
        <v>326</v>
      </c>
      <c r="D35" s="170"/>
      <c r="E35" s="135"/>
      <c r="F35" s="135"/>
      <c r="G35" s="135"/>
      <c r="H35" s="135"/>
      <c r="I35" s="135"/>
    </row>
    <row r="36" spans="2:9">
      <c r="B36" s="169" t="s">
        <v>296</v>
      </c>
      <c r="C36" s="169" t="s">
        <v>329</v>
      </c>
      <c r="D36" s="135"/>
      <c r="E36" s="135"/>
      <c r="F36" s="135"/>
      <c r="G36" s="135"/>
      <c r="H36" s="135"/>
      <c r="I36" s="135"/>
    </row>
    <row r="37" spans="2:9">
      <c r="B37" s="169" t="s">
        <v>328</v>
      </c>
      <c r="C37" s="169" t="s">
        <v>330</v>
      </c>
      <c r="D37" s="135"/>
      <c r="E37" s="135"/>
      <c r="F37" s="135"/>
      <c r="G37" s="135"/>
      <c r="H37" s="135"/>
      <c r="I37" s="135"/>
    </row>
  </sheetData>
  <mergeCells count="3">
    <mergeCell ref="B2:D2"/>
    <mergeCell ref="E2:F2"/>
    <mergeCell ref="G2:J2"/>
  </mergeCell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AY38"/>
  <sheetViews>
    <sheetView workbookViewId="0">
      <selection activeCell="E33" sqref="E33"/>
    </sheetView>
  </sheetViews>
  <sheetFormatPr defaultRowHeight="15"/>
  <cols>
    <col min="3" max="3" width="24.85546875" customWidth="1"/>
    <col min="4" max="4" width="15" customWidth="1"/>
    <col min="5" max="5" width="23.7109375" customWidth="1"/>
  </cols>
  <sheetData>
    <row r="2" spans="2:5">
      <c r="B2" t="s">
        <v>275</v>
      </c>
    </row>
    <row r="4" spans="2:5">
      <c r="C4" t="s">
        <v>288</v>
      </c>
      <c r="E4" t="s">
        <v>289</v>
      </c>
    </row>
    <row r="5" spans="2:5">
      <c r="C5" s="35" t="s">
        <v>4</v>
      </c>
      <c r="E5" s="35" t="s">
        <v>227</v>
      </c>
    </row>
    <row r="6" spans="2:5">
      <c r="C6" s="37" t="s">
        <v>226</v>
      </c>
      <c r="E6" s="37" t="s">
        <v>228</v>
      </c>
    </row>
    <row r="7" spans="2:5">
      <c r="C7" s="36" t="s">
        <v>285</v>
      </c>
      <c r="E7" s="36" t="s">
        <v>231</v>
      </c>
    </row>
    <row r="8" spans="2:5">
      <c r="C8" s="36" t="s">
        <v>286</v>
      </c>
      <c r="E8" s="38" t="s">
        <v>277</v>
      </c>
    </row>
    <row r="9" spans="2:5">
      <c r="C9" s="36" t="s">
        <v>287</v>
      </c>
      <c r="E9" s="35" t="s">
        <v>278</v>
      </c>
    </row>
    <row r="10" spans="2:5">
      <c r="C10" s="38" t="s">
        <v>17</v>
      </c>
      <c r="E10" s="37" t="s">
        <v>279</v>
      </c>
    </row>
    <row r="11" spans="2:5">
      <c r="C11" s="35" t="s">
        <v>20</v>
      </c>
      <c r="E11" s="36" t="s">
        <v>280</v>
      </c>
    </row>
    <row r="12" spans="2:5">
      <c r="C12" s="37" t="s">
        <v>261</v>
      </c>
      <c r="E12" s="38" t="s">
        <v>234</v>
      </c>
    </row>
    <row r="13" spans="2:5">
      <c r="C13" s="37" t="s">
        <v>262</v>
      </c>
      <c r="E13" s="35" t="s">
        <v>232</v>
      </c>
    </row>
    <row r="14" spans="2:5">
      <c r="C14" s="36" t="s">
        <v>209</v>
      </c>
      <c r="E14" s="37" t="s">
        <v>236</v>
      </c>
    </row>
    <row r="15" spans="2:5">
      <c r="C15" s="38" t="s">
        <v>230</v>
      </c>
      <c r="E15" s="36" t="s">
        <v>290</v>
      </c>
    </row>
    <row r="16" spans="2:5">
      <c r="C16" s="35" t="s">
        <v>1</v>
      </c>
      <c r="E16" s="38" t="s">
        <v>291</v>
      </c>
    </row>
    <row r="17" spans="3:17">
      <c r="C17" s="37" t="s">
        <v>2</v>
      </c>
      <c r="E17" s="35" t="s">
        <v>235</v>
      </c>
    </row>
    <row r="18" spans="3:17">
      <c r="C18" s="36" t="s">
        <v>9</v>
      </c>
      <c r="E18" s="37" t="s">
        <v>233</v>
      </c>
    </row>
    <row r="19" spans="3:17">
      <c r="C19" s="38" t="s">
        <v>10</v>
      </c>
    </row>
    <row r="22" spans="3:17">
      <c r="C22" s="1" t="s">
        <v>204</v>
      </c>
      <c r="D22" s="168" t="s">
        <v>205</v>
      </c>
      <c r="E22" s="135" t="s">
        <v>293</v>
      </c>
      <c r="F22" s="135"/>
      <c r="G22" s="135"/>
      <c r="H22" s="135"/>
      <c r="I22" s="135"/>
      <c r="J22" s="135"/>
      <c r="K22" s="135"/>
      <c r="L22" s="135"/>
      <c r="M22" s="135"/>
      <c r="N22" s="135"/>
      <c r="O22" s="135"/>
      <c r="P22" s="135"/>
      <c r="Q22" s="135"/>
    </row>
    <row r="23" spans="3:17">
      <c r="C23" s="1" t="s">
        <v>27</v>
      </c>
      <c r="D23" s="1">
        <v>255</v>
      </c>
    </row>
    <row r="24" spans="3:17">
      <c r="C24" s="1" t="s">
        <v>201</v>
      </c>
      <c r="D24" s="1">
        <v>1.6879999999999999</v>
      </c>
    </row>
    <row r="26" spans="3:17">
      <c r="C26" s="1" t="s">
        <v>207</v>
      </c>
      <c r="D26" s="1" t="s">
        <v>206</v>
      </c>
    </row>
    <row r="27" spans="3:17">
      <c r="C27" s="1" t="s">
        <v>27</v>
      </c>
      <c r="D27" s="1">
        <v>225</v>
      </c>
    </row>
    <row r="28" spans="3:17">
      <c r="C28" s="1" t="s">
        <v>201</v>
      </c>
      <c r="D28" s="1">
        <v>1.353</v>
      </c>
    </row>
    <row r="30" spans="3:17">
      <c r="C30" s="1" t="s">
        <v>208</v>
      </c>
      <c r="D30" s="1" t="s">
        <v>203</v>
      </c>
    </row>
    <row r="31" spans="3:17">
      <c r="C31" s="1" t="s">
        <v>27</v>
      </c>
      <c r="D31" s="1">
        <v>95</v>
      </c>
    </row>
    <row r="32" spans="3:17">
      <c r="C32" s="1" t="s">
        <v>202</v>
      </c>
      <c r="D32" s="1">
        <v>0.72</v>
      </c>
    </row>
    <row r="36" spans="3:51">
      <c r="C36" s="135" t="s">
        <v>396</v>
      </c>
      <c r="D36" s="135"/>
      <c r="E36" s="135"/>
      <c r="F36" s="135"/>
      <c r="G36" s="135"/>
      <c r="H36" s="135"/>
      <c r="I36" s="135"/>
      <c r="J36" s="135"/>
    </row>
    <row r="38" spans="3:51">
      <c r="C38" s="135" t="s">
        <v>409</v>
      </c>
      <c r="D38" s="135"/>
      <c r="E38" s="135"/>
      <c r="F38" s="135"/>
      <c r="G38" s="135"/>
      <c r="H38" s="135"/>
      <c r="I38" s="135"/>
      <c r="J38" s="135"/>
      <c r="K38" s="135"/>
      <c r="L38" s="135"/>
      <c r="M38" s="135"/>
      <c r="N38" s="135"/>
      <c r="O38" s="135"/>
      <c r="P38" s="135"/>
      <c r="Q38" s="135"/>
      <c r="R38" s="135"/>
      <c r="S38" s="135"/>
      <c r="T38" s="135"/>
      <c r="U38" s="135"/>
      <c r="V38" s="135"/>
      <c r="W38" s="135"/>
      <c r="X38" s="135"/>
      <c r="Y38" s="135"/>
      <c r="Z38" s="135"/>
      <c r="AA38" s="135"/>
      <c r="AB38" s="135"/>
      <c r="AC38" s="135"/>
      <c r="AD38" s="135"/>
      <c r="AE38" s="135"/>
      <c r="AF38" s="135"/>
      <c r="AG38" s="135"/>
      <c r="AH38" s="135"/>
      <c r="AI38" s="135"/>
      <c r="AJ38" s="135"/>
      <c r="AK38" s="135"/>
      <c r="AL38" s="135"/>
      <c r="AM38" s="135"/>
      <c r="AN38" s="135"/>
      <c r="AO38" s="135"/>
      <c r="AP38" s="135"/>
      <c r="AQ38" s="135"/>
      <c r="AR38" s="135"/>
      <c r="AS38" s="135"/>
      <c r="AT38" s="135"/>
      <c r="AU38" s="135"/>
      <c r="AV38" s="135"/>
      <c r="AW38" s="135"/>
      <c r="AX38" s="135"/>
      <c r="AY38" s="13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2"/>
  <sheetViews>
    <sheetView tabSelected="1" workbookViewId="0">
      <selection activeCell="K15" sqref="K15"/>
    </sheetView>
  </sheetViews>
  <sheetFormatPr defaultRowHeight="15"/>
  <cols>
    <col min="1" max="1" width="23" customWidth="1"/>
    <col min="2" max="2" width="15.42578125" customWidth="1"/>
    <col min="3" max="4" width="14" bestFit="1" customWidth="1"/>
    <col min="5" max="5" width="13.5703125" customWidth="1"/>
    <col min="6" max="6" width="12.5703125" bestFit="1" customWidth="1"/>
  </cols>
  <sheetData>
    <row r="1" spans="1:6">
      <c r="A1" s="40" t="s">
        <v>373</v>
      </c>
    </row>
    <row r="3" spans="1:6" s="185" customFormat="1">
      <c r="A3" s="195" t="s">
        <v>374</v>
      </c>
      <c r="B3" s="195" t="s">
        <v>371</v>
      </c>
      <c r="C3" s="195" t="s">
        <v>372</v>
      </c>
    </row>
    <row r="4" spans="1:6" s="185" customFormat="1">
      <c r="B4" s="185" t="s">
        <v>268</v>
      </c>
      <c r="C4" s="185" t="s">
        <v>376</v>
      </c>
    </row>
    <row r="5" spans="1:6" s="185" customFormat="1">
      <c r="B5" s="185" t="s">
        <v>269</v>
      </c>
      <c r="C5" s="185" t="s">
        <v>378</v>
      </c>
    </row>
    <row r="6" spans="1:6" s="185" customFormat="1">
      <c r="C6" s="196" t="s">
        <v>377</v>
      </c>
    </row>
    <row r="7" spans="1:6" s="5" customFormat="1"/>
    <row r="8" spans="1:6" s="175" customFormat="1">
      <c r="A8" s="175" t="s">
        <v>375</v>
      </c>
      <c r="B8" s="175" t="s">
        <v>268</v>
      </c>
      <c r="C8" s="175" t="s">
        <v>269</v>
      </c>
      <c r="D8" s="175" t="s">
        <v>376</v>
      </c>
      <c r="E8" s="175" t="s">
        <v>378</v>
      </c>
      <c r="F8" s="193" t="s">
        <v>377</v>
      </c>
    </row>
    <row r="9" spans="1:6" s="194" customFormat="1">
      <c r="B9" s="146" t="s">
        <v>272</v>
      </c>
      <c r="C9" s="146" t="s">
        <v>272</v>
      </c>
      <c r="D9" s="146" t="s">
        <v>273</v>
      </c>
      <c r="E9" s="146" t="s">
        <v>274</v>
      </c>
      <c r="F9" s="146" t="s">
        <v>292</v>
      </c>
    </row>
    <row r="10" spans="1:6" s="5" customFormat="1">
      <c r="D10" s="5" t="s">
        <v>402</v>
      </c>
      <c r="E10" s="5" t="s">
        <v>403</v>
      </c>
    </row>
    <row r="11" spans="1:6" s="5" customFormat="1">
      <c r="D11" s="5" t="s">
        <v>405</v>
      </c>
      <c r="E11" s="5" t="s">
        <v>404</v>
      </c>
    </row>
    <row r="12" spans="1:6">
      <c r="A12" s="50"/>
    </row>
  </sheetData>
  <dataValidations count="4">
    <dataValidation type="custom" allowBlank="1" showInputMessage="1" showErrorMessage="1" sqref="B9:C9" xr:uid="{00000000-0002-0000-0E00-000000000000}">
      <formula1>E7&lt;M7</formula1>
    </dataValidation>
    <dataValidation type="custom" allowBlank="1" showInputMessage="1" showErrorMessage="1" sqref="D9" xr:uid="{00000000-0002-0000-0E00-000001000000}">
      <formula1>D15&lt;Q25*10^6</formula1>
    </dataValidation>
    <dataValidation type="custom" allowBlank="1" showInputMessage="1" showErrorMessage="1" sqref="F9" xr:uid="{00000000-0002-0000-0E00-000002000000}">
      <formula1>D10&lt;Q20*10^6</formula1>
    </dataValidation>
    <dataValidation type="custom" allowBlank="1" showInputMessage="1" showErrorMessage="1" sqref="E9" xr:uid="{00000000-0002-0000-0E00-000003000000}">
      <formula1>#REF!&lt;Q19*10^6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</vt:i4>
      </vt:variant>
    </vt:vector>
  </HeadingPairs>
  <TitlesOfParts>
    <vt:vector size="26" baseType="lpstr">
      <vt:lpstr>site independent</vt:lpstr>
      <vt:lpstr>modeled attributes</vt:lpstr>
      <vt:lpstr>scenario analysis</vt:lpstr>
      <vt:lpstr>vre plants</vt:lpstr>
      <vt:lpstr>non-vre plants</vt:lpstr>
      <vt:lpstr>storage</vt:lpstr>
      <vt:lpstr>EV_aggregator</vt:lpstr>
      <vt:lpstr>demand response</vt:lpstr>
      <vt:lpstr>demand centres</vt:lpstr>
      <vt:lpstr>existing transmission</vt:lpstr>
      <vt:lpstr>modeled attributes _original</vt:lpstr>
      <vt:lpstr>excel input instructions</vt:lpstr>
      <vt:lpstr>lists</vt:lpstr>
      <vt:lpstr>mono_c_Si</vt:lpstr>
      <vt:lpstr>mono_tech</vt:lpstr>
      <vt:lpstr>multi_c_Si</vt:lpstr>
      <vt:lpstr>multi_tech</vt:lpstr>
      <vt:lpstr>'site independent'!Print_Area</vt:lpstr>
      <vt:lpstr>Solar</vt:lpstr>
      <vt:lpstr>thin_film</vt:lpstr>
      <vt:lpstr>thin_tech</vt:lpstr>
      <vt:lpstr>VRE</vt:lpstr>
      <vt:lpstr>Wind</vt:lpstr>
      <vt:lpstr>wind_offshore</vt:lpstr>
      <vt:lpstr>wind_onshore</vt:lpstr>
      <vt:lpstr>wind_tech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Nathalin</dc:creator>
  <cp:lastModifiedBy>Mohammadali Saffari</cp:lastModifiedBy>
  <cp:lastPrinted>2015-06-03T16:51:47Z</cp:lastPrinted>
  <dcterms:created xsi:type="dcterms:W3CDTF">2015-05-08T16:44:21Z</dcterms:created>
  <dcterms:modified xsi:type="dcterms:W3CDTF">2021-10-07T04:06:24Z</dcterms:modified>
</cp:coreProperties>
</file>